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0-2021 KC Reports\2020-2021 Membership Reports\"/>
    </mc:Choice>
  </mc:AlternateContent>
  <xr:revisionPtr revIDLastSave="0" documentId="13_ncr:1_{04E19CB7-7B4B-4FAA-8246-FF13527AD8CE}" xr6:coauthVersionLast="46" xr6:coauthVersionMax="46" xr10:uidLastSave="{00000000-0000-0000-0000-000000000000}"/>
  <bookViews>
    <workbookView xWindow="2340" yWindow="525" windowWidth="17775" windowHeight="10395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16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2" sheetId="308" r:id="rId67"/>
    <sheet name="DD13" sheetId="309" r:id="rId68"/>
    <sheet name="DD14" sheetId="310" r:id="rId69"/>
    <sheet name="DD15" sheetId="315" r:id="rId70"/>
    <sheet name="DD16" sheetId="84" r:id="rId71"/>
    <sheet name="DD17" sheetId="85" r:id="rId72"/>
    <sheet name="DD18" sheetId="86" r:id="rId73"/>
    <sheet name="DD19" sheetId="87" r:id="rId74"/>
    <sheet name="DD20" sheetId="88" r:id="rId75"/>
    <sheet name="DD21" sheetId="89" r:id="rId76"/>
    <sheet name="DD22" sheetId="90" r:id="rId77"/>
    <sheet name="DD23" sheetId="91" r:id="rId78"/>
    <sheet name="DD24" sheetId="92" r:id="rId79"/>
    <sheet name="DD25" sheetId="93" r:id="rId80"/>
    <sheet name="DD26" sheetId="94" r:id="rId81"/>
    <sheet name="DD27" sheetId="95" r:id="rId82"/>
    <sheet name="DD28" sheetId="96" r:id="rId83"/>
    <sheet name="DD29" sheetId="97" r:id="rId84"/>
    <sheet name="DD30" sheetId="98" r:id="rId85"/>
    <sheet name="DD31" sheetId="99" r:id="rId86"/>
    <sheet name="DD32" sheetId="311" r:id="rId87"/>
    <sheet name="DD33" sheetId="317" r:id="rId88"/>
    <sheet name="DD34" sheetId="323" r:id="rId89"/>
    <sheet name="DD35" sheetId="324" r:id="rId90"/>
    <sheet name="DD36" sheetId="100" r:id="rId91"/>
    <sheet name="DD37" sheetId="102" r:id="rId92"/>
    <sheet name="DD38" sheetId="103" r:id="rId93"/>
    <sheet name="DD39" sheetId="104" r:id="rId94"/>
    <sheet name="DD40" sheetId="105" r:id="rId95"/>
    <sheet name="DD41" sheetId="106" r:id="rId96"/>
    <sheet name="DD42" sheetId="107" r:id="rId97"/>
    <sheet name="DD43" sheetId="108" r:id="rId98"/>
    <sheet name="DD44" sheetId="129" r:id="rId99"/>
    <sheet name="DD45" sheetId="110" r:id="rId100"/>
    <sheet name="DD46" sheetId="111" r:id="rId101"/>
    <sheet name="DD47" sheetId="112" r:id="rId102"/>
    <sheet name="DD48" sheetId="113" r:id="rId103"/>
    <sheet name="DD49" sheetId="114" r:id="rId104"/>
    <sheet name="DD50" sheetId="115" r:id="rId105"/>
    <sheet name="DD51" sheetId="116" r:id="rId106"/>
    <sheet name="DD52" sheetId="117" r:id="rId107"/>
    <sheet name="DD53" sheetId="118" r:id="rId108"/>
    <sheet name="DD54" sheetId="119" r:id="rId109"/>
    <sheet name="DD55" sheetId="120" r:id="rId110"/>
    <sheet name="DD56" sheetId="121" r:id="rId111"/>
    <sheet name="DD57" sheetId="122" r:id="rId112"/>
    <sheet name="DD58" sheetId="123" r:id="rId113"/>
    <sheet name="DD59" sheetId="124" r:id="rId114"/>
    <sheet name="DD60" sheetId="125" r:id="rId115"/>
    <sheet name="DD61" sheetId="126" r:id="rId116"/>
    <sheet name="DD62" sheetId="127" r:id="rId117"/>
    <sheet name="DD63" sheetId="128" r:id="rId118"/>
    <sheet name="DD64" sheetId="312" r:id="rId119"/>
    <sheet name="DD65" sheetId="316" r:id="rId120"/>
    <sheet name="DD66" sheetId="130" r:id="rId121"/>
    <sheet name="DD67" sheetId="132" r:id="rId122"/>
    <sheet name="DD68" sheetId="133" r:id="rId123"/>
    <sheet name="DD69" sheetId="134" r:id="rId124"/>
    <sheet name="DD70" sheetId="135" r:id="rId125"/>
    <sheet name="DD71" sheetId="136" r:id="rId126"/>
    <sheet name="DD72" sheetId="137" r:id="rId127"/>
    <sheet name="DD73" sheetId="138" r:id="rId128"/>
    <sheet name="DD74" sheetId="139" r:id="rId129"/>
    <sheet name="DD75" sheetId="140" r:id="rId130"/>
    <sheet name="DD76" sheetId="141" r:id="rId131"/>
    <sheet name="DD77" sheetId="142" r:id="rId132"/>
    <sheet name="DD78" sheetId="143" r:id="rId133"/>
    <sheet name="DD79" sheetId="144" r:id="rId134"/>
    <sheet name="DD80" sheetId="145" r:id="rId135"/>
    <sheet name="DD81" sheetId="146" r:id="rId136"/>
    <sheet name="DD82" sheetId="147" r:id="rId137"/>
    <sheet name="DD83" sheetId="148" r:id="rId138"/>
    <sheet name="DD84" sheetId="149" r:id="rId139"/>
    <sheet name="DD85" sheetId="150" r:id="rId140"/>
    <sheet name="DD86" sheetId="151" r:id="rId141"/>
    <sheet name="DD87" sheetId="152" r:id="rId142"/>
    <sheet name="DD88" sheetId="153" r:id="rId143"/>
    <sheet name="DD89" sheetId="154" r:id="rId144"/>
    <sheet name="DD90" sheetId="155" r:id="rId145"/>
    <sheet name="DD91" sheetId="156" r:id="rId146"/>
    <sheet name="DD92" sheetId="157" r:id="rId147"/>
    <sheet name="DD93" sheetId="158" r:id="rId148"/>
    <sheet name="DD94" sheetId="159" r:id="rId149"/>
    <sheet name="DD95" sheetId="160" r:id="rId150"/>
    <sheet name="DD96" sheetId="161" r:id="rId151"/>
    <sheet name="DD97" sheetId="162" r:id="rId152"/>
    <sheet name="DD98" sheetId="163" r:id="rId153"/>
    <sheet name="DD99" sheetId="318" r:id="rId154"/>
    <sheet name="DD101" sheetId="165" r:id="rId155"/>
    <sheet name="DD102" sheetId="166" r:id="rId156"/>
    <sheet name="DD103" sheetId="167" r:id="rId157"/>
    <sheet name="DD104" sheetId="168" r:id="rId158"/>
    <sheet name="DD105" sheetId="169" r:id="rId159"/>
    <sheet name="DD106" sheetId="170" r:id="rId160"/>
    <sheet name="DD107" sheetId="171" r:id="rId161"/>
    <sheet name="DD108" sheetId="172" r:id="rId162"/>
    <sheet name="DD109" sheetId="173" r:id="rId163"/>
    <sheet name="DD110" sheetId="174" r:id="rId164"/>
    <sheet name="DD111" sheetId="175" r:id="rId165"/>
    <sheet name="DD112" sheetId="176" r:id="rId166"/>
    <sheet name="DD113" sheetId="177" r:id="rId167"/>
    <sheet name="DD114" sheetId="178" r:id="rId168"/>
    <sheet name="DD115" sheetId="179" r:id="rId169"/>
    <sheet name="DD116" sheetId="319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41" sheetId="51" r:id="rId186"/>
    <sheet name="DD142" sheetId="52" r:id="rId187"/>
    <sheet name="DD143" sheetId="53" r:id="rId188"/>
    <sheet name="DD144" sheetId="54" r:id="rId189"/>
    <sheet name="DD145" sheetId="55" r:id="rId190"/>
    <sheet name="DD146" sheetId="56" r:id="rId191"/>
    <sheet name="DD147" sheetId="57" r:id="rId192"/>
    <sheet name="DD148" sheetId="58" r:id="rId193"/>
    <sheet name="DD149" sheetId="59" r:id="rId194"/>
    <sheet name="DD150" sheetId="60" r:id="rId195"/>
    <sheet name="DD151" sheetId="61" r:id="rId196"/>
    <sheet name="DD152" sheetId="62" r:id="rId197"/>
    <sheet name="DD153" sheetId="63" r:id="rId198"/>
    <sheet name="DD154" sheetId="64" r:id="rId199"/>
    <sheet name="DD155" sheetId="65" r:id="rId200"/>
    <sheet name="DD156" sheetId="66" r:id="rId201"/>
    <sheet name="DD157" sheetId="67" r:id="rId202"/>
    <sheet name="DD158" sheetId="68" r:id="rId203"/>
    <sheet name="DD159" sheetId="69" r:id="rId204"/>
    <sheet name="DD160" sheetId="70" r:id="rId205"/>
    <sheet name="DD161" sheetId="76" r:id="rId206"/>
    <sheet name="DD162" sheetId="77" r:id="rId207"/>
    <sheet name="DD163" sheetId="321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1" sheetId="215" r:id="rId224"/>
    <sheet name="DD186" sheetId="217" r:id="rId225"/>
    <sheet name="DD187" sheetId="218" r:id="rId226"/>
    <sheet name="DD188" sheetId="219" r:id="rId227"/>
    <sheet name="DD189" sheetId="220" r:id="rId228"/>
    <sheet name="DD190" sheetId="221" r:id="rId229"/>
    <sheet name="DD191" sheetId="222" r:id="rId230"/>
    <sheet name="DD192" sheetId="223" r:id="rId231"/>
    <sheet name="DD193" sheetId="224" r:id="rId232"/>
    <sheet name="DD196" sheetId="226" r:id="rId233"/>
    <sheet name="DD197" sheetId="232" r:id="rId234"/>
    <sheet name="DD198" sheetId="233" r:id="rId235"/>
    <sheet name="DD199" sheetId="234" r:id="rId236"/>
    <sheet name="DD200" sheetId="235" r:id="rId237"/>
    <sheet name="DD201" sheetId="236" r:id="rId238"/>
    <sheet name="DD202" sheetId="320" r:id="rId239"/>
    <sheet name="DD206" sheetId="238" r:id="rId240"/>
    <sheet name="DD207" sheetId="239" r:id="rId241"/>
    <sheet name="DD208" sheetId="240" r:id="rId242"/>
    <sheet name="DD209" sheetId="241" r:id="rId243"/>
    <sheet name="DD210" sheetId="242" r:id="rId244"/>
    <sheet name="DD211" sheetId="243" r:id="rId245"/>
    <sheet name="DD212" sheetId="244" r:id="rId246"/>
    <sheet name="DD213" sheetId="245" r:id="rId247"/>
    <sheet name="DD214" sheetId="246" r:id="rId248"/>
    <sheet name="DD215" sheetId="247" r:id="rId249"/>
    <sheet name="DD216" sheetId="248" r:id="rId250"/>
    <sheet name="DD217" sheetId="249" r:id="rId251"/>
    <sheet name="DD218" sheetId="307" r:id="rId252"/>
    <sheet name="DD219" sheetId="322" r:id="rId253"/>
    <sheet name="DD221" sheetId="251" r:id="rId254"/>
    <sheet name="DD222" sheetId="252" r:id="rId255"/>
    <sheet name="DD223" sheetId="253" r:id="rId256"/>
    <sheet name="DD224" sheetId="254" r:id="rId257"/>
    <sheet name="DD225" sheetId="255" r:id="rId258"/>
    <sheet name="DD226" sheetId="256" r:id="rId259"/>
    <sheet name="DD227" sheetId="257" r:id="rId260"/>
    <sheet name="DD228" sheetId="258" r:id="rId261"/>
    <sheet name="DD229" sheetId="259" r:id="rId262"/>
    <sheet name="DD230" sheetId="260" r:id="rId263"/>
    <sheet name="DD231" sheetId="261" r:id="rId264"/>
    <sheet name="DD232" sheetId="263" r:id="rId265"/>
    <sheet name="DD233" sheetId="264" r:id="rId266"/>
    <sheet name="DD234" sheetId="265" r:id="rId267"/>
    <sheet name="DD235" sheetId="266" r:id="rId268"/>
    <sheet name="DD236" sheetId="267" r:id="rId269"/>
    <sheet name="DD237" sheetId="268" r:id="rId270"/>
    <sheet name="DD238" sheetId="269" r:id="rId271"/>
    <sheet name="DD241" sheetId="271" r:id="rId272"/>
    <sheet name="DD242" sheetId="272" r:id="rId273"/>
    <sheet name="DD243" sheetId="273" r:id="rId274"/>
    <sheet name="DD244" sheetId="274" r:id="rId275"/>
    <sheet name="DD245" sheetId="275" r:id="rId276"/>
    <sheet name="DD246" sheetId="276" r:id="rId277"/>
    <sheet name="DD247" sheetId="314" r:id="rId278"/>
    <sheet name="Sheet4" sheetId="24" r:id="rId279"/>
  </sheets>
  <externalReferences>
    <externalReference r:id="rId280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'Historical_Members_Data_96-16'!$A$1:$O$181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'Historical_Members_Data_96-16'!$1:$5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61" l="1"/>
  <c r="C6" i="161"/>
  <c r="D6" i="161"/>
  <c r="E6" i="161"/>
  <c r="F6" i="161"/>
  <c r="G6" i="161"/>
  <c r="H6" i="161"/>
  <c r="I6" i="161"/>
  <c r="J6" i="161"/>
  <c r="K6" i="161" s="1"/>
  <c r="M6" i="161"/>
  <c r="N6" i="161"/>
  <c r="O6" i="161"/>
  <c r="P6" i="161"/>
  <c r="Q6" i="161"/>
  <c r="R6" i="161"/>
  <c r="S6" i="161"/>
  <c r="T6" i="161" s="1"/>
  <c r="U6" i="161"/>
  <c r="B135" i="285"/>
  <c r="C135" i="285"/>
  <c r="G135" i="285"/>
  <c r="K135" i="285"/>
  <c r="O135" i="285"/>
  <c r="S135" i="285"/>
  <c r="V135" i="285"/>
  <c r="B837" i="82"/>
  <c r="C837" i="82"/>
  <c r="D837" i="82"/>
  <c r="E837" i="82"/>
  <c r="W837" i="82" s="1"/>
  <c r="V6" i="161" s="1"/>
  <c r="F837" i="82"/>
  <c r="E135" i="285" s="1"/>
  <c r="G837" i="82"/>
  <c r="F135" i="285" s="1"/>
  <c r="H837" i="82"/>
  <c r="I837" i="82"/>
  <c r="H135" i="285" s="1"/>
  <c r="J837" i="82"/>
  <c r="I135" i="285" s="1"/>
  <c r="K837" i="82"/>
  <c r="J135" i="285" s="1"/>
  <c r="L837" i="82"/>
  <c r="M837" i="82"/>
  <c r="L135" i="285" s="1"/>
  <c r="N837" i="82"/>
  <c r="M135" i="285" s="1"/>
  <c r="O837" i="82"/>
  <c r="N135" i="285" s="1"/>
  <c r="P837" i="82"/>
  <c r="Q837" i="82"/>
  <c r="P135" i="285" s="1"/>
  <c r="R837" i="82"/>
  <c r="Q135" i="285" s="1"/>
  <c r="S837" i="82"/>
  <c r="R135" i="285" s="1"/>
  <c r="T837" i="82"/>
  <c r="U837" i="82"/>
  <c r="T135" i="285" s="1"/>
  <c r="X837" i="82"/>
  <c r="Y837" i="82"/>
  <c r="Z837" i="82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U135" i="285" l="1"/>
  <c r="D135" i="285"/>
  <c r="T5" i="161"/>
  <c r="K5" i="161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7" i="275"/>
  <c r="R7" i="275"/>
  <c r="Q7" i="275"/>
  <c r="P7" i="275"/>
  <c r="O7" i="275"/>
  <c r="N7" i="275"/>
  <c r="M7" i="275"/>
  <c r="J7" i="275"/>
  <c r="I7" i="275"/>
  <c r="H7" i="275"/>
  <c r="G7" i="275"/>
  <c r="F7" i="275"/>
  <c r="E7" i="275"/>
  <c r="D7" i="275"/>
  <c r="C7" i="275"/>
  <c r="B7" i="275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8" i="274"/>
  <c r="R8" i="274"/>
  <c r="Q8" i="274"/>
  <c r="P8" i="274"/>
  <c r="O8" i="274"/>
  <c r="N8" i="274"/>
  <c r="M8" i="274"/>
  <c r="J8" i="274"/>
  <c r="I8" i="274"/>
  <c r="H8" i="274"/>
  <c r="G8" i="274"/>
  <c r="F8" i="274"/>
  <c r="E8" i="274"/>
  <c r="D8" i="274"/>
  <c r="C8" i="274"/>
  <c r="B8" i="274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6" i="265"/>
  <c r="R6" i="265"/>
  <c r="Q6" i="265"/>
  <c r="P6" i="265"/>
  <c r="O6" i="265"/>
  <c r="N6" i="265"/>
  <c r="M6" i="265"/>
  <c r="J6" i="265"/>
  <c r="I6" i="265"/>
  <c r="H6" i="265"/>
  <c r="G6" i="265"/>
  <c r="F6" i="265"/>
  <c r="E6" i="265"/>
  <c r="D6" i="265"/>
  <c r="C6" i="265"/>
  <c r="B6" i="265"/>
  <c r="S5" i="265"/>
  <c r="R5" i="265"/>
  <c r="Q5" i="265"/>
  <c r="P5" i="265"/>
  <c r="O5" i="265"/>
  <c r="N5" i="265"/>
  <c r="M5" i="265"/>
  <c r="J5" i="265"/>
  <c r="I5" i="265"/>
  <c r="H5" i="265"/>
  <c r="G5" i="265"/>
  <c r="F5" i="265"/>
  <c r="E5" i="265"/>
  <c r="D5" i="265"/>
  <c r="C5" i="265"/>
  <c r="B5" i="265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5" i="257"/>
  <c r="R5" i="257"/>
  <c r="Q5" i="257"/>
  <c r="P5" i="257"/>
  <c r="O5" i="257"/>
  <c r="N5" i="257"/>
  <c r="M5" i="257"/>
  <c r="J5" i="257"/>
  <c r="I5" i="257"/>
  <c r="H5" i="257"/>
  <c r="G5" i="257"/>
  <c r="F5" i="257"/>
  <c r="E5" i="257"/>
  <c r="D5" i="257"/>
  <c r="C5" i="257"/>
  <c r="B5" i="257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7" i="254"/>
  <c r="R7" i="254"/>
  <c r="Q7" i="254"/>
  <c r="P7" i="254"/>
  <c r="O7" i="254"/>
  <c r="N7" i="254"/>
  <c r="M7" i="254"/>
  <c r="J7" i="254"/>
  <c r="I7" i="254"/>
  <c r="H7" i="254"/>
  <c r="G7" i="254"/>
  <c r="F7" i="254"/>
  <c r="E7" i="254"/>
  <c r="D7" i="254"/>
  <c r="C7" i="254"/>
  <c r="B7" i="254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6" i="253"/>
  <c r="R6" i="253"/>
  <c r="Q6" i="253"/>
  <c r="P6" i="253"/>
  <c r="O6" i="253"/>
  <c r="N6" i="253"/>
  <c r="M6" i="253"/>
  <c r="J6" i="253"/>
  <c r="I6" i="253"/>
  <c r="H6" i="253"/>
  <c r="G6" i="253"/>
  <c r="F6" i="253"/>
  <c r="E6" i="253"/>
  <c r="D6" i="253"/>
  <c r="C6" i="253"/>
  <c r="B6" i="253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3" i="320"/>
  <c r="R3" i="320"/>
  <c r="Q3" i="320"/>
  <c r="P3" i="320"/>
  <c r="O3" i="320"/>
  <c r="N3" i="320"/>
  <c r="M3" i="320"/>
  <c r="J3" i="320"/>
  <c r="I3" i="320"/>
  <c r="H3" i="320"/>
  <c r="G3" i="320"/>
  <c r="F3" i="320"/>
  <c r="E3" i="320"/>
  <c r="D3" i="320"/>
  <c r="C3" i="320"/>
  <c r="B3" i="320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6" i="235"/>
  <c r="R6" i="235"/>
  <c r="Q6" i="235"/>
  <c r="P6" i="235"/>
  <c r="O6" i="235"/>
  <c r="N6" i="235"/>
  <c r="M6" i="235"/>
  <c r="J6" i="235"/>
  <c r="I6" i="235"/>
  <c r="H6" i="235"/>
  <c r="G6" i="235"/>
  <c r="F6" i="235"/>
  <c r="E6" i="235"/>
  <c r="D6" i="235"/>
  <c r="C6" i="235"/>
  <c r="B6" i="235"/>
  <c r="S5" i="235"/>
  <c r="R5" i="235"/>
  <c r="Q5" i="235"/>
  <c r="P5" i="235"/>
  <c r="O5" i="235"/>
  <c r="N5" i="235"/>
  <c r="M5" i="235"/>
  <c r="J5" i="235"/>
  <c r="I5" i="235"/>
  <c r="H5" i="235"/>
  <c r="G5" i="235"/>
  <c r="F5" i="235"/>
  <c r="E5" i="235"/>
  <c r="D5" i="235"/>
  <c r="C5" i="235"/>
  <c r="B5" i="235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6" i="232"/>
  <c r="R6" i="232"/>
  <c r="Q6" i="232"/>
  <c r="P6" i="232"/>
  <c r="O6" i="232"/>
  <c r="N6" i="232"/>
  <c r="M6" i="232"/>
  <c r="J6" i="232"/>
  <c r="I6" i="232"/>
  <c r="H6" i="232"/>
  <c r="G6" i="232"/>
  <c r="F6" i="232"/>
  <c r="E6" i="232"/>
  <c r="D6" i="232"/>
  <c r="C6" i="232"/>
  <c r="B6" i="232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6" i="214"/>
  <c r="R6" i="214"/>
  <c r="Q6" i="214"/>
  <c r="P6" i="214"/>
  <c r="O6" i="214"/>
  <c r="N6" i="214"/>
  <c r="M6" i="214"/>
  <c r="J6" i="214"/>
  <c r="I6" i="214"/>
  <c r="H6" i="214"/>
  <c r="G6" i="214"/>
  <c r="F6" i="214"/>
  <c r="E6" i="214"/>
  <c r="D6" i="214"/>
  <c r="C6" i="214"/>
  <c r="B6" i="214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7" i="213"/>
  <c r="R7" i="213"/>
  <c r="Q7" i="213"/>
  <c r="P7" i="213"/>
  <c r="O7" i="213"/>
  <c r="N7" i="213"/>
  <c r="M7" i="213"/>
  <c r="J7" i="213"/>
  <c r="I7" i="213"/>
  <c r="H7" i="213"/>
  <c r="G7" i="213"/>
  <c r="F7" i="213"/>
  <c r="E7" i="213"/>
  <c r="D7" i="213"/>
  <c r="C7" i="213"/>
  <c r="B7" i="213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6" i="321"/>
  <c r="R6" i="321"/>
  <c r="Q6" i="321"/>
  <c r="P6" i="321"/>
  <c r="O6" i="321"/>
  <c r="N6" i="321"/>
  <c r="M6" i="321"/>
  <c r="J6" i="321"/>
  <c r="I6" i="321"/>
  <c r="H6" i="321"/>
  <c r="G6" i="321"/>
  <c r="F6" i="321"/>
  <c r="E6" i="321"/>
  <c r="D6" i="321"/>
  <c r="C6" i="321"/>
  <c r="B6" i="321"/>
  <c r="S5" i="321"/>
  <c r="R5" i="321"/>
  <c r="Q5" i="321"/>
  <c r="P5" i="321"/>
  <c r="O5" i="321"/>
  <c r="N5" i="321"/>
  <c r="M5" i="321"/>
  <c r="J5" i="321"/>
  <c r="I5" i="321"/>
  <c r="H5" i="321"/>
  <c r="G5" i="321"/>
  <c r="F5" i="321"/>
  <c r="E5" i="321"/>
  <c r="D5" i="321"/>
  <c r="C5" i="321"/>
  <c r="B5" i="321"/>
  <c r="S4" i="321"/>
  <c r="R4" i="321"/>
  <c r="Q4" i="321"/>
  <c r="P4" i="321"/>
  <c r="O4" i="321"/>
  <c r="N4" i="321"/>
  <c r="M4" i="321"/>
  <c r="J4" i="321"/>
  <c r="I4" i="321"/>
  <c r="H4" i="321"/>
  <c r="G4" i="321"/>
  <c r="F4" i="321"/>
  <c r="E4" i="321"/>
  <c r="D4" i="321"/>
  <c r="C4" i="321"/>
  <c r="B4" i="321"/>
  <c r="S3" i="321"/>
  <c r="R3" i="321"/>
  <c r="Q3" i="321"/>
  <c r="P3" i="321"/>
  <c r="O3" i="321"/>
  <c r="N3" i="321"/>
  <c r="M3" i="321"/>
  <c r="J3" i="321"/>
  <c r="I3" i="321"/>
  <c r="H3" i="321"/>
  <c r="G3" i="321"/>
  <c r="F3" i="321"/>
  <c r="E3" i="321"/>
  <c r="D3" i="321"/>
  <c r="C3" i="321"/>
  <c r="B3" i="321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7" i="70"/>
  <c r="R7" i="70"/>
  <c r="Q7" i="70"/>
  <c r="P7" i="70"/>
  <c r="O7" i="70"/>
  <c r="N7" i="70"/>
  <c r="M7" i="70"/>
  <c r="J7" i="70"/>
  <c r="I7" i="70"/>
  <c r="H7" i="70"/>
  <c r="G7" i="70"/>
  <c r="F7" i="70"/>
  <c r="E7" i="70"/>
  <c r="D7" i="70"/>
  <c r="C7" i="70"/>
  <c r="B7" i="70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6" i="54"/>
  <c r="R6" i="54"/>
  <c r="Q6" i="54"/>
  <c r="P6" i="54"/>
  <c r="O6" i="54"/>
  <c r="N6" i="54"/>
  <c r="M6" i="54"/>
  <c r="J6" i="54"/>
  <c r="I6" i="54"/>
  <c r="H6" i="54"/>
  <c r="G6" i="54"/>
  <c r="F6" i="54"/>
  <c r="E6" i="54"/>
  <c r="D6" i="54"/>
  <c r="C6" i="54"/>
  <c r="B6" i="54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8" i="51"/>
  <c r="R8" i="51"/>
  <c r="Q8" i="51"/>
  <c r="P8" i="51"/>
  <c r="O8" i="51"/>
  <c r="N8" i="51"/>
  <c r="M8" i="51"/>
  <c r="J8" i="51"/>
  <c r="I8" i="51"/>
  <c r="H8" i="51"/>
  <c r="G8" i="51"/>
  <c r="F8" i="51"/>
  <c r="E8" i="51"/>
  <c r="D8" i="51"/>
  <c r="C8" i="51"/>
  <c r="B8" i="51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7" i="193"/>
  <c r="R7" i="193"/>
  <c r="Q7" i="193"/>
  <c r="P7" i="193"/>
  <c r="O7" i="193"/>
  <c r="N7" i="193"/>
  <c r="M7" i="193"/>
  <c r="J7" i="193"/>
  <c r="I7" i="193"/>
  <c r="H7" i="193"/>
  <c r="G7" i="193"/>
  <c r="F7" i="193"/>
  <c r="E7" i="193"/>
  <c r="D7" i="193"/>
  <c r="C7" i="193"/>
  <c r="B7" i="193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7" i="192"/>
  <c r="R7" i="192"/>
  <c r="Q7" i="192"/>
  <c r="P7" i="192"/>
  <c r="O7" i="192"/>
  <c r="N7" i="192"/>
  <c r="M7" i="192"/>
  <c r="J7" i="192"/>
  <c r="I7" i="192"/>
  <c r="H7" i="192"/>
  <c r="G7" i="192"/>
  <c r="F7" i="192"/>
  <c r="E7" i="192"/>
  <c r="D7" i="192"/>
  <c r="C7" i="192"/>
  <c r="B7" i="192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6" i="179"/>
  <c r="R6" i="179"/>
  <c r="Q6" i="179"/>
  <c r="P6" i="179"/>
  <c r="O6" i="179"/>
  <c r="N6" i="179"/>
  <c r="M6" i="179"/>
  <c r="J6" i="179"/>
  <c r="I6" i="179"/>
  <c r="H6" i="179"/>
  <c r="G6" i="179"/>
  <c r="F6" i="179"/>
  <c r="E6" i="179"/>
  <c r="D6" i="179"/>
  <c r="C6" i="179"/>
  <c r="B6" i="17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6" i="176"/>
  <c r="R6" i="176"/>
  <c r="Q6" i="176"/>
  <c r="P6" i="176"/>
  <c r="O6" i="176"/>
  <c r="N6" i="176"/>
  <c r="M6" i="176"/>
  <c r="J6" i="176"/>
  <c r="I6" i="176"/>
  <c r="H6" i="176"/>
  <c r="G6" i="176"/>
  <c r="F6" i="176"/>
  <c r="E6" i="176"/>
  <c r="D6" i="176"/>
  <c r="C6" i="176"/>
  <c r="B6" i="176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6" i="168"/>
  <c r="R6" i="168"/>
  <c r="Q6" i="168"/>
  <c r="P6" i="168"/>
  <c r="O6" i="168"/>
  <c r="N6" i="168"/>
  <c r="M6" i="168"/>
  <c r="J6" i="168"/>
  <c r="I6" i="168"/>
  <c r="H6" i="168"/>
  <c r="G6" i="168"/>
  <c r="F6" i="168"/>
  <c r="E6" i="168"/>
  <c r="D6" i="168"/>
  <c r="C6" i="168"/>
  <c r="B6" i="168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6" i="166"/>
  <c r="R6" i="166"/>
  <c r="Q6" i="166"/>
  <c r="P6" i="166"/>
  <c r="O6" i="166"/>
  <c r="N6" i="166"/>
  <c r="M6" i="166"/>
  <c r="J6" i="166"/>
  <c r="I6" i="166"/>
  <c r="H6" i="166"/>
  <c r="G6" i="166"/>
  <c r="F6" i="166"/>
  <c r="E6" i="166"/>
  <c r="D6" i="166"/>
  <c r="C6" i="166"/>
  <c r="B6" i="166"/>
  <c r="S5" i="166"/>
  <c r="R5" i="166"/>
  <c r="Q5" i="166"/>
  <c r="P5" i="166"/>
  <c r="O5" i="166"/>
  <c r="N5" i="166"/>
  <c r="M5" i="166"/>
  <c r="J5" i="166"/>
  <c r="I5" i="166"/>
  <c r="H5" i="166"/>
  <c r="G5" i="166"/>
  <c r="F5" i="166"/>
  <c r="E5" i="166"/>
  <c r="D5" i="166"/>
  <c r="C5" i="166"/>
  <c r="B5" i="166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6" i="165"/>
  <c r="R6" i="165"/>
  <c r="Q6" i="165"/>
  <c r="P6" i="165"/>
  <c r="O6" i="165"/>
  <c r="N6" i="165"/>
  <c r="M6" i="165"/>
  <c r="J6" i="165"/>
  <c r="I6" i="165"/>
  <c r="H6" i="165"/>
  <c r="G6" i="165"/>
  <c r="F6" i="165"/>
  <c r="E6" i="165"/>
  <c r="D6" i="165"/>
  <c r="C6" i="165"/>
  <c r="B6" i="165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18"/>
  <c r="R6" i="318"/>
  <c r="Q6" i="318"/>
  <c r="P6" i="318"/>
  <c r="O6" i="318"/>
  <c r="N6" i="318"/>
  <c r="M6" i="318"/>
  <c r="J6" i="318"/>
  <c r="I6" i="318"/>
  <c r="H6" i="318"/>
  <c r="G6" i="318"/>
  <c r="F6" i="318"/>
  <c r="E6" i="318"/>
  <c r="D6" i="318"/>
  <c r="C6" i="318"/>
  <c r="B6" i="318"/>
  <c r="S5" i="318"/>
  <c r="R5" i="318"/>
  <c r="Q5" i="318"/>
  <c r="P5" i="318"/>
  <c r="O5" i="318"/>
  <c r="N5" i="318"/>
  <c r="M5" i="318"/>
  <c r="J5" i="318"/>
  <c r="I5" i="318"/>
  <c r="H5" i="318"/>
  <c r="G5" i="318"/>
  <c r="F5" i="318"/>
  <c r="E5" i="318"/>
  <c r="D5" i="318"/>
  <c r="C5" i="318"/>
  <c r="B5" i="318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7" i="163"/>
  <c r="R7" i="163"/>
  <c r="Q7" i="163"/>
  <c r="P7" i="163"/>
  <c r="O7" i="163"/>
  <c r="N7" i="163"/>
  <c r="M7" i="163"/>
  <c r="J7" i="163"/>
  <c r="I7" i="163"/>
  <c r="H7" i="163"/>
  <c r="G7" i="163"/>
  <c r="F7" i="163"/>
  <c r="E7" i="163"/>
  <c r="D7" i="163"/>
  <c r="C7" i="163"/>
  <c r="B7" i="163"/>
  <c r="S6" i="163"/>
  <c r="R6" i="163"/>
  <c r="Q6" i="163"/>
  <c r="P6" i="163"/>
  <c r="O6" i="163"/>
  <c r="N6" i="163"/>
  <c r="M6" i="163"/>
  <c r="J6" i="163"/>
  <c r="I6" i="163"/>
  <c r="H6" i="163"/>
  <c r="G6" i="163"/>
  <c r="F6" i="163"/>
  <c r="E6" i="163"/>
  <c r="D6" i="163"/>
  <c r="C6" i="163"/>
  <c r="B6" i="163"/>
  <c r="S5" i="163"/>
  <c r="R5" i="163"/>
  <c r="Q5" i="163"/>
  <c r="P5" i="163"/>
  <c r="O5" i="163"/>
  <c r="N5" i="163"/>
  <c r="M5" i="163"/>
  <c r="J5" i="163"/>
  <c r="I5" i="163"/>
  <c r="H5" i="163"/>
  <c r="G5" i="163"/>
  <c r="F5" i="163"/>
  <c r="E5" i="163"/>
  <c r="D5" i="163"/>
  <c r="C5" i="163"/>
  <c r="B5" i="163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6" i="159"/>
  <c r="R6" i="159"/>
  <c r="Q6" i="159"/>
  <c r="P6" i="159"/>
  <c r="O6" i="159"/>
  <c r="N6" i="159"/>
  <c r="M6" i="159"/>
  <c r="J6" i="159"/>
  <c r="I6" i="159"/>
  <c r="H6" i="159"/>
  <c r="G6" i="159"/>
  <c r="F6" i="159"/>
  <c r="E6" i="159"/>
  <c r="D6" i="159"/>
  <c r="C6" i="159"/>
  <c r="B6" i="159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5" i="156"/>
  <c r="R5" i="156"/>
  <c r="Q5" i="156"/>
  <c r="P5" i="156"/>
  <c r="O5" i="156"/>
  <c r="N5" i="156"/>
  <c r="M5" i="156"/>
  <c r="J5" i="156"/>
  <c r="I5" i="156"/>
  <c r="H5" i="156"/>
  <c r="G5" i="156"/>
  <c r="F5" i="156"/>
  <c r="E5" i="156"/>
  <c r="D5" i="156"/>
  <c r="C5" i="156"/>
  <c r="B5" i="156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7" i="150"/>
  <c r="R7" i="150"/>
  <c r="Q7" i="150"/>
  <c r="P7" i="150"/>
  <c r="O7" i="150"/>
  <c r="N7" i="150"/>
  <c r="M7" i="150"/>
  <c r="J7" i="150"/>
  <c r="I7" i="150"/>
  <c r="H7" i="150"/>
  <c r="G7" i="150"/>
  <c r="F7" i="150"/>
  <c r="E7" i="150"/>
  <c r="D7" i="150"/>
  <c r="C7" i="150"/>
  <c r="B7" i="150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6" i="146"/>
  <c r="R6" i="146"/>
  <c r="Q6" i="146"/>
  <c r="P6" i="146"/>
  <c r="O6" i="146"/>
  <c r="N6" i="146"/>
  <c r="M6" i="146"/>
  <c r="J6" i="146"/>
  <c r="I6" i="146"/>
  <c r="H6" i="146"/>
  <c r="G6" i="146"/>
  <c r="F6" i="146"/>
  <c r="E6" i="146"/>
  <c r="D6" i="146"/>
  <c r="C6" i="146"/>
  <c r="B6" i="146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7" i="144"/>
  <c r="R7" i="144"/>
  <c r="Q7" i="144"/>
  <c r="P7" i="144"/>
  <c r="O7" i="144"/>
  <c r="N7" i="144"/>
  <c r="M7" i="144"/>
  <c r="J7" i="144"/>
  <c r="I7" i="144"/>
  <c r="H7" i="144"/>
  <c r="G7" i="144"/>
  <c r="F7" i="144"/>
  <c r="E7" i="144"/>
  <c r="D7" i="144"/>
  <c r="C7" i="144"/>
  <c r="B7" i="144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5" i="142"/>
  <c r="R5" i="142"/>
  <c r="Q5" i="142"/>
  <c r="P5" i="142"/>
  <c r="O5" i="142"/>
  <c r="N5" i="142"/>
  <c r="M5" i="142"/>
  <c r="J5" i="142"/>
  <c r="I5" i="142"/>
  <c r="H5" i="142"/>
  <c r="G5" i="142"/>
  <c r="F5" i="142"/>
  <c r="E5" i="142"/>
  <c r="D5" i="142"/>
  <c r="C5" i="142"/>
  <c r="B5" i="142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7" i="140"/>
  <c r="R7" i="140"/>
  <c r="Q7" i="140"/>
  <c r="P7" i="140"/>
  <c r="O7" i="140"/>
  <c r="N7" i="140"/>
  <c r="M7" i="140"/>
  <c r="J7" i="140"/>
  <c r="I7" i="140"/>
  <c r="H7" i="140"/>
  <c r="G7" i="140"/>
  <c r="F7" i="140"/>
  <c r="E7" i="140"/>
  <c r="D7" i="140"/>
  <c r="C7" i="140"/>
  <c r="B7" i="140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7" i="138"/>
  <c r="R7" i="138"/>
  <c r="Q7" i="138"/>
  <c r="P7" i="138"/>
  <c r="O7" i="138"/>
  <c r="N7" i="138"/>
  <c r="M7" i="138"/>
  <c r="J7" i="138"/>
  <c r="I7" i="138"/>
  <c r="H7" i="138"/>
  <c r="G7" i="138"/>
  <c r="F7" i="138"/>
  <c r="E7" i="138"/>
  <c r="D7" i="138"/>
  <c r="C7" i="138"/>
  <c r="B7" i="138"/>
  <c r="S6" i="138"/>
  <c r="R6" i="138"/>
  <c r="Q6" i="138"/>
  <c r="P6" i="138"/>
  <c r="O6" i="138"/>
  <c r="N6" i="138"/>
  <c r="M6" i="138"/>
  <c r="J6" i="138"/>
  <c r="I6" i="138"/>
  <c r="H6" i="138"/>
  <c r="G6" i="138"/>
  <c r="F6" i="138"/>
  <c r="E6" i="138"/>
  <c r="D6" i="138"/>
  <c r="C6" i="138"/>
  <c r="B6" i="138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6" i="137"/>
  <c r="R6" i="137"/>
  <c r="Q6" i="137"/>
  <c r="P6" i="137"/>
  <c r="O6" i="137"/>
  <c r="N6" i="137"/>
  <c r="M6" i="137"/>
  <c r="J6" i="137"/>
  <c r="I6" i="137"/>
  <c r="H6" i="137"/>
  <c r="G6" i="137"/>
  <c r="F6" i="137"/>
  <c r="E6" i="137"/>
  <c r="D6" i="137"/>
  <c r="C6" i="137"/>
  <c r="B6" i="137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7" i="136"/>
  <c r="R7" i="136"/>
  <c r="Q7" i="136"/>
  <c r="P7" i="136"/>
  <c r="O7" i="136"/>
  <c r="N7" i="136"/>
  <c r="M7" i="136"/>
  <c r="J7" i="136"/>
  <c r="I7" i="136"/>
  <c r="H7" i="136"/>
  <c r="G7" i="136"/>
  <c r="F7" i="136"/>
  <c r="E7" i="136"/>
  <c r="D7" i="136"/>
  <c r="C7" i="136"/>
  <c r="B7" i="136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5" i="126"/>
  <c r="R5" i="126"/>
  <c r="Q5" i="126"/>
  <c r="P5" i="126"/>
  <c r="O5" i="126"/>
  <c r="N5" i="126"/>
  <c r="M5" i="126"/>
  <c r="J5" i="126"/>
  <c r="I5" i="126"/>
  <c r="H5" i="126"/>
  <c r="G5" i="126"/>
  <c r="F5" i="126"/>
  <c r="E5" i="126"/>
  <c r="D5" i="126"/>
  <c r="C5" i="126"/>
  <c r="B5" i="126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6" i="122"/>
  <c r="R6" i="122"/>
  <c r="Q6" i="122"/>
  <c r="P6" i="122"/>
  <c r="O6" i="122"/>
  <c r="N6" i="122"/>
  <c r="M6" i="122"/>
  <c r="J6" i="122"/>
  <c r="I6" i="122"/>
  <c r="H6" i="122"/>
  <c r="G6" i="122"/>
  <c r="F6" i="122"/>
  <c r="E6" i="122"/>
  <c r="D6" i="122"/>
  <c r="C6" i="122"/>
  <c r="B6" i="122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4" i="323"/>
  <c r="R4" i="323"/>
  <c r="Q4" i="323"/>
  <c r="P4" i="323"/>
  <c r="O4" i="323"/>
  <c r="N4" i="323"/>
  <c r="M4" i="323"/>
  <c r="J4" i="323"/>
  <c r="I4" i="323"/>
  <c r="H4" i="323"/>
  <c r="G4" i="323"/>
  <c r="F4" i="323"/>
  <c r="E4" i="323"/>
  <c r="D4" i="323"/>
  <c r="C4" i="323"/>
  <c r="B4" i="323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6" i="317"/>
  <c r="R6" i="317"/>
  <c r="Q6" i="317"/>
  <c r="P6" i="317"/>
  <c r="O6" i="317"/>
  <c r="N6" i="317"/>
  <c r="M6" i="317"/>
  <c r="J6" i="317"/>
  <c r="I6" i="317"/>
  <c r="H6" i="317"/>
  <c r="G6" i="317"/>
  <c r="F6" i="317"/>
  <c r="E6" i="317"/>
  <c r="D6" i="317"/>
  <c r="C6" i="317"/>
  <c r="B6" i="317"/>
  <c r="S5" i="317"/>
  <c r="R5" i="317"/>
  <c r="Q5" i="317"/>
  <c r="P5" i="317"/>
  <c r="O5" i="317"/>
  <c r="N5" i="317"/>
  <c r="M5" i="317"/>
  <c r="J5" i="317"/>
  <c r="I5" i="317"/>
  <c r="H5" i="317"/>
  <c r="G5" i="317"/>
  <c r="F5" i="317"/>
  <c r="E5" i="317"/>
  <c r="D5" i="317"/>
  <c r="C5" i="317"/>
  <c r="B5" i="317"/>
  <c r="S4" i="317"/>
  <c r="R4" i="317"/>
  <c r="Q4" i="317"/>
  <c r="P4" i="317"/>
  <c r="O4" i="317"/>
  <c r="N4" i="317"/>
  <c r="M4" i="317"/>
  <c r="J4" i="317"/>
  <c r="I4" i="317"/>
  <c r="H4" i="317"/>
  <c r="G4" i="317"/>
  <c r="F4" i="317"/>
  <c r="E4" i="317"/>
  <c r="D4" i="317"/>
  <c r="C4" i="317"/>
  <c r="B4" i="317"/>
  <c r="S3" i="317"/>
  <c r="R3" i="317"/>
  <c r="Q3" i="317"/>
  <c r="P3" i="317"/>
  <c r="O3" i="317"/>
  <c r="N3" i="317"/>
  <c r="M3" i="317"/>
  <c r="J3" i="317"/>
  <c r="I3" i="317"/>
  <c r="H3" i="317"/>
  <c r="G3" i="317"/>
  <c r="F3" i="317"/>
  <c r="E3" i="317"/>
  <c r="D3" i="317"/>
  <c r="C3" i="317"/>
  <c r="B3" i="317"/>
  <c r="S6" i="311"/>
  <c r="R6" i="311"/>
  <c r="Q6" i="311"/>
  <c r="P6" i="311"/>
  <c r="O6" i="311"/>
  <c r="N6" i="311"/>
  <c r="M6" i="311"/>
  <c r="J6" i="311"/>
  <c r="I6" i="311"/>
  <c r="H6" i="311"/>
  <c r="G6" i="311"/>
  <c r="F6" i="311"/>
  <c r="E6" i="311"/>
  <c r="D6" i="311"/>
  <c r="C6" i="311"/>
  <c r="B6" i="311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6" i="94"/>
  <c r="R6" i="94"/>
  <c r="Q6" i="94"/>
  <c r="P6" i="94"/>
  <c r="O6" i="94"/>
  <c r="N6" i="94"/>
  <c r="M6" i="94"/>
  <c r="J6" i="94"/>
  <c r="I6" i="94"/>
  <c r="H6" i="94"/>
  <c r="G6" i="94"/>
  <c r="F6" i="94"/>
  <c r="E6" i="94"/>
  <c r="D6" i="94"/>
  <c r="C6" i="94"/>
  <c r="B6" i="94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3" i="315"/>
  <c r="R3" i="315"/>
  <c r="Q3" i="315"/>
  <c r="P3" i="315"/>
  <c r="O3" i="315"/>
  <c r="N3" i="315"/>
  <c r="M3" i="315"/>
  <c r="J3" i="315"/>
  <c r="I3" i="315"/>
  <c r="H3" i="315"/>
  <c r="G3" i="315"/>
  <c r="F3" i="315"/>
  <c r="E3" i="315"/>
  <c r="D3" i="315"/>
  <c r="C3" i="315"/>
  <c r="B3" i="315"/>
  <c r="S6" i="309"/>
  <c r="R6" i="309"/>
  <c r="Q6" i="309"/>
  <c r="P6" i="309"/>
  <c r="O6" i="309"/>
  <c r="N6" i="309"/>
  <c r="M6" i="309"/>
  <c r="J6" i="309"/>
  <c r="I6" i="309"/>
  <c r="H6" i="309"/>
  <c r="G6" i="309"/>
  <c r="F6" i="309"/>
  <c r="E6" i="309"/>
  <c r="D6" i="309"/>
  <c r="C6" i="309"/>
  <c r="B6" i="309"/>
  <c r="S5" i="309"/>
  <c r="R5" i="309"/>
  <c r="Q5" i="309"/>
  <c r="P5" i="309"/>
  <c r="O5" i="309"/>
  <c r="N5" i="309"/>
  <c r="M5" i="309"/>
  <c r="J5" i="309"/>
  <c r="I5" i="309"/>
  <c r="H5" i="309"/>
  <c r="G5" i="309"/>
  <c r="F5" i="309"/>
  <c r="E5" i="309"/>
  <c r="D5" i="309"/>
  <c r="C5" i="309"/>
  <c r="B5" i="309"/>
  <c r="S4" i="309"/>
  <c r="R4" i="309"/>
  <c r="Q4" i="309"/>
  <c r="P4" i="309"/>
  <c r="O4" i="309"/>
  <c r="N4" i="309"/>
  <c r="M4" i="309"/>
  <c r="J4" i="309"/>
  <c r="I4" i="309"/>
  <c r="H4" i="309"/>
  <c r="G4" i="309"/>
  <c r="F4" i="309"/>
  <c r="E4" i="309"/>
  <c r="D4" i="309"/>
  <c r="C4" i="309"/>
  <c r="B4" i="309"/>
  <c r="S3" i="309"/>
  <c r="R3" i="309"/>
  <c r="Q3" i="309"/>
  <c r="P3" i="309"/>
  <c r="O3" i="309"/>
  <c r="N3" i="309"/>
  <c r="M3" i="309"/>
  <c r="J3" i="309"/>
  <c r="I3" i="309"/>
  <c r="H3" i="309"/>
  <c r="G3" i="309"/>
  <c r="F3" i="309"/>
  <c r="E3" i="309"/>
  <c r="D3" i="309"/>
  <c r="C3" i="309"/>
  <c r="B3" i="309"/>
  <c r="S5" i="308"/>
  <c r="R5" i="308"/>
  <c r="Q5" i="308"/>
  <c r="P5" i="308"/>
  <c r="O5" i="308"/>
  <c r="N5" i="308"/>
  <c r="M5" i="308"/>
  <c r="J5" i="308"/>
  <c r="I5" i="308"/>
  <c r="H5" i="308"/>
  <c r="G5" i="308"/>
  <c r="F5" i="308"/>
  <c r="E5" i="308"/>
  <c r="D5" i="308"/>
  <c r="C5" i="308"/>
  <c r="B5" i="308"/>
  <c r="S4" i="308"/>
  <c r="R4" i="308"/>
  <c r="Q4" i="308"/>
  <c r="P4" i="308"/>
  <c r="O4" i="308"/>
  <c r="N4" i="308"/>
  <c r="M4" i="308"/>
  <c r="J4" i="308"/>
  <c r="I4" i="308"/>
  <c r="H4" i="308"/>
  <c r="G4" i="308"/>
  <c r="F4" i="308"/>
  <c r="E4" i="308"/>
  <c r="D4" i="308"/>
  <c r="C4" i="308"/>
  <c r="B4" i="308"/>
  <c r="S3" i="308"/>
  <c r="R3" i="308"/>
  <c r="Q3" i="308"/>
  <c r="P3" i="308"/>
  <c r="O3" i="308"/>
  <c r="N3" i="308"/>
  <c r="M3" i="308"/>
  <c r="J3" i="308"/>
  <c r="I3" i="308"/>
  <c r="H3" i="308"/>
  <c r="G3" i="308"/>
  <c r="F3" i="308"/>
  <c r="E3" i="308"/>
  <c r="D3" i="308"/>
  <c r="C3" i="308"/>
  <c r="B3" i="30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6" i="26"/>
  <c r="R6" i="26"/>
  <c r="Q6" i="26"/>
  <c r="P6" i="26"/>
  <c r="O6" i="26"/>
  <c r="N6" i="26"/>
  <c r="M6" i="26"/>
  <c r="K6" i="26"/>
  <c r="J6" i="26"/>
  <c r="I6" i="26"/>
  <c r="H6" i="26"/>
  <c r="G6" i="26"/>
  <c r="F6" i="26"/>
  <c r="E6" i="26"/>
  <c r="D6" i="26"/>
  <c r="C6" i="26"/>
  <c r="B6" i="26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C134" i="285"/>
  <c r="Q134" i="285"/>
  <c r="B836" i="82"/>
  <c r="B134" i="285" s="1"/>
  <c r="C836" i="82"/>
  <c r="D836" i="82"/>
  <c r="E836" i="82"/>
  <c r="W836" i="82" s="1"/>
  <c r="V5" i="161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S836" i="82"/>
  <c r="R134" i="285" s="1"/>
  <c r="T836" i="82"/>
  <c r="S134" i="285" s="1"/>
  <c r="U836" i="82"/>
  <c r="T134" i="285" s="1"/>
  <c r="X836" i="82"/>
  <c r="U5" i="161" s="1"/>
  <c r="Y836" i="82"/>
  <c r="Z836" i="82"/>
  <c r="D134" i="285" l="1"/>
  <c r="U134" i="285"/>
  <c r="V134" i="285"/>
  <c r="K4" i="316"/>
  <c r="K4" i="312"/>
  <c r="Z6" i="131"/>
  <c r="Y6" i="131" s="1"/>
  <c r="N6" i="131"/>
  <c r="C6" i="131"/>
  <c r="A6" i="131"/>
  <c r="Z5" i="131"/>
  <c r="Y5" i="131"/>
  <c r="C5" i="131"/>
  <c r="A5" i="131"/>
  <c r="T35" i="72"/>
  <c r="B35" i="72"/>
  <c r="T34" i="72"/>
  <c r="B34" i="72"/>
  <c r="T3" i="324"/>
  <c r="Z6" i="101"/>
  <c r="Y6" i="101" s="1"/>
  <c r="C6" i="101"/>
  <c r="A6" i="101"/>
  <c r="Z5" i="101"/>
  <c r="Y5" i="101" s="1"/>
  <c r="C5" i="101"/>
  <c r="A5" i="101"/>
  <c r="K3" i="324" l="1"/>
  <c r="T4" i="316"/>
  <c r="T4" i="312"/>
  <c r="T5" i="316"/>
  <c r="K5" i="316"/>
  <c r="T3" i="316"/>
  <c r="K3" i="316"/>
  <c r="T3" i="312"/>
  <c r="K3" i="312"/>
  <c r="N6" i="101"/>
  <c r="K3" i="323"/>
  <c r="T4" i="323"/>
  <c r="K4" i="323"/>
  <c r="T3" i="323"/>
  <c r="V6" i="167"/>
  <c r="Z835" i="82"/>
  <c r="Y835" i="82"/>
  <c r="X835" i="82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W835" i="82" s="1"/>
  <c r="D835" i="82"/>
  <c r="C835" i="82"/>
  <c r="C22" i="287" s="1"/>
  <c r="B835" i="82"/>
  <c r="B22" i="287" s="1"/>
  <c r="V22" i="287" l="1"/>
  <c r="U8" i="274"/>
  <c r="K8" i="274"/>
  <c r="U22" i="287"/>
  <c r="V8" i="274"/>
  <c r="T8" i="274"/>
  <c r="D22" i="287"/>
  <c r="I12" i="270"/>
  <c r="Z4" i="82" l="1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6" i="311" l="1"/>
  <c r="K6" i="311"/>
  <c r="X3" i="82"/>
  <c r="U3" i="26" s="1"/>
  <c r="E70" i="294" l="1"/>
  <c r="D72" i="296" s="1"/>
  <c r="F70" i="294"/>
  <c r="E72" i="296" s="1"/>
  <c r="G70" i="294"/>
  <c r="G72" i="296" s="1"/>
  <c r="H70" i="294"/>
  <c r="H72" i="296" s="1"/>
  <c r="I70" i="294"/>
  <c r="I72" i="296" s="1"/>
  <c r="J70" i="294"/>
  <c r="K72" i="296" s="1"/>
  <c r="K70" i="294"/>
  <c r="L72" i="296" s="1"/>
  <c r="L70" i="294"/>
  <c r="M72" i="296" s="1"/>
  <c r="M70" i="294"/>
  <c r="O72" i="296" s="1"/>
  <c r="N70" i="294"/>
  <c r="P72" i="296" s="1"/>
  <c r="O70" i="294"/>
  <c r="Q72" i="296" s="1"/>
  <c r="D70" i="294"/>
  <c r="C72" i="296" s="1"/>
  <c r="P65" i="294"/>
  <c r="P64" i="294"/>
  <c r="P63" i="294"/>
  <c r="P62" i="294"/>
  <c r="P61" i="294"/>
  <c r="P60" i="294"/>
  <c r="P70" i="294" l="1"/>
  <c r="F72" i="296"/>
  <c r="J72" i="296"/>
  <c r="N72" i="296"/>
  <c r="R72" i="296"/>
  <c r="Y18" i="237"/>
  <c r="N18" i="237"/>
  <c r="C18" i="237"/>
  <c r="A18" i="237"/>
  <c r="T5" i="265" l="1"/>
  <c r="S72" i="296"/>
  <c r="T5" i="26"/>
  <c r="K7" i="144"/>
  <c r="K6" i="159"/>
  <c r="K8" i="51"/>
  <c r="K7" i="59"/>
  <c r="K6" i="265"/>
  <c r="K5" i="265"/>
  <c r="K7" i="275"/>
  <c r="T7" i="275"/>
  <c r="T7" i="150"/>
  <c r="T4" i="162"/>
  <c r="T6" i="318"/>
  <c r="T4" i="55"/>
  <c r="T7" i="213"/>
  <c r="K3" i="322"/>
  <c r="K7" i="213"/>
  <c r="T4" i="322"/>
  <c r="T6" i="322"/>
  <c r="T6" i="265"/>
  <c r="K5" i="322"/>
  <c r="T7" i="163"/>
  <c r="K4" i="322"/>
  <c r="K6" i="322"/>
  <c r="T3" i="322"/>
  <c r="T5" i="322"/>
  <c r="K6" i="30"/>
  <c r="T6" i="309"/>
  <c r="K5" i="309"/>
  <c r="T6" i="317"/>
  <c r="K5" i="317"/>
  <c r="T5" i="126"/>
  <c r="K5" i="132"/>
  <c r="T6" i="159"/>
  <c r="T8" i="51"/>
  <c r="T7" i="59"/>
  <c r="K7" i="150"/>
  <c r="K4" i="162"/>
  <c r="K7" i="163"/>
  <c r="K6" i="318"/>
  <c r="K4" i="55"/>
  <c r="T6" i="26"/>
  <c r="T5" i="308"/>
  <c r="K3" i="309"/>
  <c r="T4" i="309"/>
  <c r="K6" i="84"/>
  <c r="T6" i="118"/>
  <c r="K6" i="125"/>
  <c r="T7" i="140"/>
  <c r="T6" i="30"/>
  <c r="T5" i="309"/>
  <c r="T6" i="84"/>
  <c r="T5" i="317"/>
  <c r="T6" i="125"/>
  <c r="T5" i="132"/>
  <c r="T7" i="144"/>
  <c r="K5" i="308"/>
  <c r="T3" i="309"/>
  <c r="K6" i="309"/>
  <c r="K4" i="309"/>
  <c r="K6" i="317"/>
  <c r="K6" i="118"/>
  <c r="K5" i="126"/>
  <c r="K7" i="140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20" i="72"/>
  <c r="T221" i="72"/>
  <c r="T222" i="72"/>
  <c r="B220" i="72"/>
  <c r="B221" i="72"/>
  <c r="B222" i="72"/>
  <c r="B87" i="292" l="1"/>
  <c r="L212" i="80" l="1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P842" i="4" l="1"/>
  <c r="Q842" i="4"/>
  <c r="R842" i="4"/>
  <c r="S842" i="4"/>
  <c r="T842" i="4"/>
  <c r="U842" i="4"/>
  <c r="O842" i="4"/>
  <c r="F842" i="4"/>
  <c r="G842" i="4"/>
  <c r="H842" i="4"/>
  <c r="I842" i="4"/>
  <c r="J842" i="4"/>
  <c r="K842" i="4"/>
  <c r="L842" i="4"/>
  <c r="E842" i="4"/>
  <c r="Y834" i="82" l="1"/>
  <c r="X834" i="82"/>
  <c r="U5" i="129" s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834" i="82"/>
  <c r="C834" i="82"/>
  <c r="C110" i="289" s="1"/>
  <c r="B834" i="82"/>
  <c r="B110" i="289" s="1"/>
  <c r="V110" i="289" l="1"/>
  <c r="W834" i="82"/>
  <c r="V5" i="129" s="1"/>
  <c r="D110" i="289"/>
  <c r="X833" i="82"/>
  <c r="U7" i="59" s="1"/>
  <c r="X832" i="82"/>
  <c r="U5" i="28" s="1"/>
  <c r="X831" i="82"/>
  <c r="U5" i="33" s="1"/>
  <c r="X830" i="82"/>
  <c r="U7" i="93" s="1"/>
  <c r="X829" i="82"/>
  <c r="U5" i="97" s="1"/>
  <c r="X828" i="82"/>
  <c r="U6" i="119" s="1"/>
  <c r="X827" i="82"/>
  <c r="U6" i="98" s="1"/>
  <c r="X826" i="82"/>
  <c r="U6" i="318" s="1"/>
  <c r="X825" i="82"/>
  <c r="U6" i="52" s="1"/>
  <c r="X824" i="82"/>
  <c r="U7" i="254" s="1"/>
  <c r="X823" i="82"/>
  <c r="U4" i="97" s="1"/>
  <c r="X822" i="82"/>
  <c r="U6" i="103" s="1"/>
  <c r="X821" i="82"/>
  <c r="U5" i="197" s="1"/>
  <c r="X820" i="82"/>
  <c r="U6" i="179" s="1"/>
  <c r="X819" i="82"/>
  <c r="U6" i="173" s="1"/>
  <c r="X818" i="82"/>
  <c r="U6" i="148" s="1"/>
  <c r="X817" i="82"/>
  <c r="U6" i="311" s="1"/>
  <c r="X816" i="82"/>
  <c r="U5" i="179" s="1"/>
  <c r="X815" i="82"/>
  <c r="X814" i="82"/>
  <c r="U6" i="245" s="1"/>
  <c r="X813" i="82"/>
  <c r="U5" i="119" s="1"/>
  <c r="X812" i="82"/>
  <c r="U6" i="176" s="1"/>
  <c r="X811" i="82"/>
  <c r="U6" i="249" s="1"/>
  <c r="X810" i="82"/>
  <c r="U4" i="29" s="1"/>
  <c r="X809" i="82"/>
  <c r="U7" i="273" s="1"/>
  <c r="X808" i="82"/>
  <c r="U6" i="112" s="1"/>
  <c r="X807" i="82"/>
  <c r="U6" i="110" s="1"/>
  <c r="X806" i="82"/>
  <c r="U6" i="105" s="1"/>
  <c r="X805" i="82"/>
  <c r="U6" i="168" s="1"/>
  <c r="X804" i="82"/>
  <c r="U6" i="234" s="1"/>
  <c r="X803" i="82"/>
  <c r="U6" i="177" s="1"/>
  <c r="X802" i="82"/>
  <c r="U6" i="93" s="1"/>
  <c r="X801" i="82"/>
  <c r="U6" i="167" s="1"/>
  <c r="X800" i="82"/>
  <c r="U7" i="90" s="1"/>
  <c r="X799" i="82"/>
  <c r="U6" i="261" s="1"/>
  <c r="X798" i="82"/>
  <c r="U6" i="183" s="1"/>
  <c r="X797" i="82"/>
  <c r="U6" i="273" s="1"/>
  <c r="X796" i="82"/>
  <c r="U6" i="147" s="1"/>
  <c r="X795" i="82"/>
  <c r="U7" i="275" s="1"/>
  <c r="X794" i="82"/>
  <c r="U6" i="95" s="1"/>
  <c r="X793" i="82"/>
  <c r="U6" i="251" s="1"/>
  <c r="X792" i="82"/>
  <c r="U6" i="252" s="1"/>
  <c r="X791" i="82"/>
  <c r="U5" i="176" s="1"/>
  <c r="X790" i="82"/>
  <c r="U7" i="274" s="1"/>
  <c r="X789" i="82"/>
  <c r="U4" i="34" s="1"/>
  <c r="X788" i="82"/>
  <c r="U6" i="206" s="1"/>
  <c r="X787" i="82"/>
  <c r="U5" i="93" s="1"/>
  <c r="X786" i="82"/>
  <c r="U6" i="137" s="1"/>
  <c r="X785" i="82"/>
  <c r="U6" i="274" s="1"/>
  <c r="X784" i="82"/>
  <c r="U6" i="236" s="1"/>
  <c r="X783" i="82"/>
  <c r="U6" i="174" s="1"/>
  <c r="X782" i="82"/>
  <c r="U7" i="163" s="1"/>
  <c r="X781" i="82"/>
  <c r="U6" i="106" s="1"/>
  <c r="X780" i="82"/>
  <c r="U5" i="318" s="1"/>
  <c r="X779" i="82"/>
  <c r="U5" i="132" s="1"/>
  <c r="X778" i="82"/>
  <c r="U7" i="150" s="1"/>
  <c r="X777" i="82"/>
  <c r="U6" i="191" s="1"/>
  <c r="X776" i="82"/>
  <c r="U5" i="267" s="1"/>
  <c r="X775" i="82"/>
  <c r="X774" i="82"/>
  <c r="U6" i="165" s="1"/>
  <c r="X773" i="82"/>
  <c r="U6" i="88" s="1"/>
  <c r="X772" i="82"/>
  <c r="U6" i="26" s="1"/>
  <c r="X771" i="82"/>
  <c r="U6" i="143" s="1"/>
  <c r="X770" i="82"/>
  <c r="U5" i="86" s="1"/>
  <c r="X769" i="82"/>
  <c r="U5" i="274" s="1"/>
  <c r="X768" i="82"/>
  <c r="U5" i="168" s="1"/>
  <c r="X767" i="82"/>
  <c r="U6" i="202" s="1"/>
  <c r="X766" i="82"/>
  <c r="U3" i="34" s="1"/>
  <c r="X765" i="82"/>
  <c r="U5" i="143" s="1"/>
  <c r="X764" i="82"/>
  <c r="U5" i="92" s="1"/>
  <c r="X763" i="82"/>
  <c r="U6" i="265" s="1"/>
  <c r="X762" i="82"/>
  <c r="U6" i="232" s="1"/>
  <c r="X761" i="82"/>
  <c r="U5" i="243" s="1"/>
  <c r="X760" i="82"/>
  <c r="U6" i="210" s="1"/>
  <c r="X759" i="82"/>
  <c r="U5" i="26" s="1"/>
  <c r="X758" i="82"/>
  <c r="U6" i="241" s="1"/>
  <c r="X757" i="82"/>
  <c r="U6" i="209" s="1"/>
  <c r="X756" i="82"/>
  <c r="U6" i="242" s="1"/>
  <c r="X755" i="82"/>
  <c r="U7" i="70" s="1"/>
  <c r="X754" i="82"/>
  <c r="U5" i="239" s="1"/>
  <c r="X753" i="82"/>
  <c r="U6" i="118" s="1"/>
  <c r="X752" i="82"/>
  <c r="U5" i="209" s="1"/>
  <c r="X751" i="82"/>
  <c r="U5" i="141" s="1"/>
  <c r="X750" i="82"/>
  <c r="U4" i="141" s="1"/>
  <c r="X749" i="82"/>
  <c r="U6" i="85" s="1"/>
  <c r="X748" i="82"/>
  <c r="U6" i="240" s="1"/>
  <c r="X747" i="82"/>
  <c r="U5" i="241" s="1"/>
  <c r="X746" i="82"/>
  <c r="U6" i="263" s="1"/>
  <c r="X745" i="82"/>
  <c r="U5" i="106" s="1"/>
  <c r="X744" i="82"/>
  <c r="U6" i="238" s="1"/>
  <c r="X743" i="82"/>
  <c r="U5" i="191" s="1"/>
  <c r="X742" i="82"/>
  <c r="U6" i="146" s="1"/>
  <c r="X741" i="82"/>
  <c r="U6" i="214" s="1"/>
  <c r="X740" i="82"/>
  <c r="U5" i="142" s="1"/>
  <c r="X739" i="82"/>
  <c r="U6" i="104" s="1"/>
  <c r="X738" i="82"/>
  <c r="U5" i="172" s="1"/>
  <c r="X737" i="82"/>
  <c r="U5" i="31" s="1"/>
  <c r="X736" i="82"/>
  <c r="U6" i="62" s="1"/>
  <c r="X735" i="82"/>
  <c r="U6" i="319" s="1"/>
  <c r="X734" i="82"/>
  <c r="U6" i="70" s="1"/>
  <c r="X733" i="82"/>
  <c r="U4" i="176" s="1"/>
  <c r="X732" i="82"/>
  <c r="U5" i="269" s="1"/>
  <c r="X731" i="82"/>
  <c r="U5" i="317" s="1"/>
  <c r="X730" i="82"/>
  <c r="U4" i="209" s="1"/>
  <c r="X729" i="82"/>
  <c r="U6" i="200" s="1"/>
  <c r="X728" i="82"/>
  <c r="U6" i="69" s="1"/>
  <c r="X727" i="82"/>
  <c r="U6" i="205" s="1"/>
  <c r="X726" i="82"/>
  <c r="U5" i="148" s="1"/>
  <c r="X725" i="82"/>
  <c r="U6" i="107" s="1"/>
  <c r="X724" i="82"/>
  <c r="U4" i="311" s="1"/>
  <c r="X723" i="82"/>
  <c r="U7" i="60" s="1"/>
  <c r="X722" i="82"/>
  <c r="U6" i="194" s="1"/>
  <c r="X721" i="82"/>
  <c r="U7" i="144" s="1"/>
  <c r="X720" i="82"/>
  <c r="U6" i="30" s="1"/>
  <c r="X719" i="82"/>
  <c r="U3" i="176" s="1"/>
  <c r="X718" i="82"/>
  <c r="U5" i="96" s="1"/>
  <c r="X717" i="82"/>
  <c r="U6" i="158" s="1"/>
  <c r="X716" i="82"/>
  <c r="U7" i="186" s="1"/>
  <c r="X715" i="82"/>
  <c r="U7" i="276" s="1"/>
  <c r="X714" i="82"/>
  <c r="U4" i="33" s="1"/>
  <c r="X713" i="82"/>
  <c r="U6" i="253" s="1"/>
  <c r="X712" i="82"/>
  <c r="U5" i="200" s="1"/>
  <c r="X711" i="82"/>
  <c r="U5" i="184" s="1"/>
  <c r="X710" i="82"/>
  <c r="U6" i="89" s="1"/>
  <c r="X709" i="82"/>
  <c r="U5" i="265" s="1"/>
  <c r="X708" i="82"/>
  <c r="U6" i="247" s="1"/>
  <c r="X707" i="82"/>
  <c r="U6" i="123" s="1"/>
  <c r="X706" i="82"/>
  <c r="U7" i="67" s="1"/>
  <c r="X705" i="82"/>
  <c r="U4" i="267" s="1"/>
  <c r="X704" i="82"/>
  <c r="U4" i="200" s="1"/>
  <c r="X703" i="82"/>
  <c r="U6" i="163" s="1"/>
  <c r="X702" i="82"/>
  <c r="U7" i="65" s="1"/>
  <c r="X701" i="82"/>
  <c r="U7" i="258" s="1"/>
  <c r="X700" i="82"/>
  <c r="U6" i="66" s="1"/>
  <c r="X699" i="82"/>
  <c r="U5" i="242" s="1"/>
  <c r="X698" i="82"/>
  <c r="U5" i="203" s="1"/>
  <c r="X697" i="82"/>
  <c r="U6" i="122" s="1"/>
  <c r="X696" i="82"/>
  <c r="U6" i="266" s="1"/>
  <c r="X695" i="82"/>
  <c r="U4" i="161" s="1"/>
  <c r="X694" i="82"/>
  <c r="U6" i="61" s="1"/>
  <c r="X693" i="82"/>
  <c r="U6" i="321" s="1"/>
  <c r="X692" i="82"/>
  <c r="U6" i="322" s="1"/>
  <c r="X691" i="82"/>
  <c r="U4" i="264" s="1"/>
  <c r="X690" i="82"/>
  <c r="U7" i="185" s="1"/>
  <c r="X689" i="82"/>
  <c r="U5" i="257" s="1"/>
  <c r="X688" i="82"/>
  <c r="U7" i="181" s="1"/>
  <c r="X687" i="82"/>
  <c r="U4" i="129" s="1"/>
  <c r="X686" i="82"/>
  <c r="U6" i="212" s="1"/>
  <c r="X685" i="82"/>
  <c r="U5" i="261" s="1"/>
  <c r="X684" i="82"/>
  <c r="U5" i="156" s="1"/>
  <c r="X683" i="82"/>
  <c r="U6" i="152" s="1"/>
  <c r="X682" i="82"/>
  <c r="U5" i="52" s="1"/>
  <c r="X681" i="82"/>
  <c r="U5" i="126" s="1"/>
  <c r="X680" i="82"/>
  <c r="U6" i="57" s="1"/>
  <c r="X679" i="82"/>
  <c r="U3" i="129" s="1"/>
  <c r="X678" i="82"/>
  <c r="U4" i="172" s="1"/>
  <c r="X677" i="82"/>
  <c r="U6" i="254" s="1"/>
  <c r="X676" i="82"/>
  <c r="U7" i="187" s="1"/>
  <c r="X675" i="82"/>
  <c r="U6" i="94" s="1"/>
  <c r="X674" i="82"/>
  <c r="U6" i="63" s="1"/>
  <c r="X673" i="82"/>
  <c r="U5" i="273" s="1"/>
  <c r="X672" i="82"/>
  <c r="U5" i="263" s="1"/>
  <c r="X671" i="82"/>
  <c r="U5" i="210" s="1"/>
  <c r="X670" i="82"/>
  <c r="U5" i="98" s="1"/>
  <c r="X669" i="82"/>
  <c r="U5" i="87" s="1"/>
  <c r="X668" i="82"/>
  <c r="U5" i="152" s="1"/>
  <c r="X667" i="82"/>
  <c r="U5" i="35" s="1"/>
  <c r="X666" i="82"/>
  <c r="U5" i="177" s="1"/>
  <c r="X665" i="82"/>
  <c r="U4" i="99" s="1"/>
  <c r="X664" i="82"/>
  <c r="U5" i="322" s="1"/>
  <c r="X663" i="82"/>
  <c r="U6" i="211" s="1"/>
  <c r="X662" i="82"/>
  <c r="U5" i="70" s="1"/>
  <c r="X661" i="82"/>
  <c r="U4" i="203" s="1"/>
  <c r="X660" i="82"/>
  <c r="U4" i="70" s="1"/>
  <c r="X659" i="82"/>
  <c r="U5" i="245" s="1"/>
  <c r="X658" i="82"/>
  <c r="U6" i="53" s="1"/>
  <c r="X657" i="82"/>
  <c r="U6" i="307" s="1"/>
  <c r="X656" i="82"/>
  <c r="U6" i="157" s="1"/>
  <c r="X655" i="82"/>
  <c r="U3" i="141" s="1"/>
  <c r="X654" i="82"/>
  <c r="U6" i="171" s="1"/>
  <c r="X653" i="82"/>
  <c r="U7" i="140" s="1"/>
  <c r="X652" i="82"/>
  <c r="U4" i="197" s="1"/>
  <c r="X651" i="82"/>
  <c r="U5" i="307" s="1"/>
  <c r="X650" i="82"/>
  <c r="U5" i="236" s="1"/>
  <c r="X649" i="82"/>
  <c r="U5" i="171" s="1"/>
  <c r="X648" i="82"/>
  <c r="U6" i="185" s="1"/>
  <c r="X647" i="82"/>
  <c r="U4" i="177" s="1"/>
  <c r="X646" i="82"/>
  <c r="U6" i="175" s="1"/>
  <c r="X645" i="82"/>
  <c r="U4" i="127" s="1"/>
  <c r="X644" i="82"/>
  <c r="U6" i="223" s="1"/>
  <c r="X643" i="82"/>
  <c r="U8" i="51" s="1"/>
  <c r="X642" i="82"/>
  <c r="U6" i="166" s="1"/>
  <c r="X641" i="82"/>
  <c r="U6" i="150" s="1"/>
  <c r="X640" i="82"/>
  <c r="U5" i="321" s="1"/>
  <c r="X639" i="82"/>
  <c r="U4" i="268" s="1"/>
  <c r="X638" i="82"/>
  <c r="U6" i="60" s="1"/>
  <c r="X637" i="82"/>
  <c r="U4" i="245" s="1"/>
  <c r="X636" i="82"/>
  <c r="U4" i="312" s="1"/>
  <c r="X635" i="82"/>
  <c r="U5" i="163" s="1"/>
  <c r="X634" i="82"/>
  <c r="U5" i="271" s="1"/>
  <c r="X633" i="82"/>
  <c r="U4" i="142" s="1"/>
  <c r="X632" i="82"/>
  <c r="U4" i="184" s="1"/>
  <c r="X631" i="82"/>
  <c r="U6" i="276" s="1"/>
  <c r="X630" i="82"/>
  <c r="U5" i="254" s="1"/>
  <c r="X629" i="82"/>
  <c r="U4" i="322" s="1"/>
  <c r="X628" i="82"/>
  <c r="U5" i="249" s="1"/>
  <c r="X627" i="82"/>
  <c r="U6" i="153" s="1"/>
  <c r="X626" i="82"/>
  <c r="U5" i="196" s="1"/>
  <c r="X625" i="82"/>
  <c r="U3" i="29" s="1"/>
  <c r="X624" i="82"/>
  <c r="U5" i="149" s="1"/>
  <c r="X623" i="82"/>
  <c r="U5" i="247" s="1"/>
  <c r="X622" i="82"/>
  <c r="U5" i="253" s="1"/>
  <c r="X621" i="82"/>
  <c r="U5" i="62" s="1"/>
  <c r="X620" i="82"/>
  <c r="U6" i="140" s="1"/>
  <c r="X619" i="82"/>
  <c r="U4" i="163" s="1"/>
  <c r="X618" i="82"/>
  <c r="U6" i="54" s="1"/>
  <c r="X617" i="82"/>
  <c r="U3" i="99" s="1"/>
  <c r="X616" i="82"/>
  <c r="U6" i="76" s="1"/>
  <c r="X615" i="82"/>
  <c r="U5" i="150" s="1"/>
  <c r="X614" i="82"/>
  <c r="U4" i="236" s="1"/>
  <c r="X613" i="82"/>
  <c r="U5" i="151" s="1"/>
  <c r="X612" i="82"/>
  <c r="U5" i="95" s="1"/>
  <c r="X611" i="82"/>
  <c r="U6" i="246" s="1"/>
  <c r="X610" i="82"/>
  <c r="U5" i="240" s="1"/>
  <c r="X609" i="82"/>
  <c r="U6" i="226" s="1"/>
  <c r="X608" i="82"/>
  <c r="U5" i="76" s="1"/>
  <c r="X607" i="82"/>
  <c r="U5" i="104" s="1"/>
  <c r="X606" i="82"/>
  <c r="U4" i="318" s="1"/>
  <c r="X605" i="82"/>
  <c r="U5" i="232" s="1"/>
  <c r="X604" i="82"/>
  <c r="U5" i="173" s="1"/>
  <c r="X603" i="82"/>
  <c r="U5" i="175" s="1"/>
  <c r="X602" i="82"/>
  <c r="U5" i="153" s="1"/>
  <c r="X601" i="82"/>
  <c r="U4" i="162" s="1"/>
  <c r="X600" i="82"/>
  <c r="U4" i="317" s="1"/>
  <c r="X599" i="82"/>
  <c r="U6" i="65" s="1"/>
  <c r="X598" i="82"/>
  <c r="U6" i="139" s="1"/>
  <c r="X597" i="82"/>
  <c r="U6" i="102" s="1"/>
  <c r="X596" i="82"/>
  <c r="U5" i="27" s="1"/>
  <c r="X595" i="82"/>
  <c r="U5" i="248" s="1"/>
  <c r="X594" i="82"/>
  <c r="U6" i="159" s="1"/>
  <c r="X593" i="82"/>
  <c r="U5" i="157" s="1"/>
  <c r="X592" i="82"/>
  <c r="U5" i="174" s="1"/>
  <c r="X591" i="82"/>
  <c r="U5" i="314" s="1"/>
  <c r="X590" i="82"/>
  <c r="U6" i="189" s="1"/>
  <c r="X589" i="82"/>
  <c r="X588" i="82"/>
  <c r="U4" i="307" s="1"/>
  <c r="X587" i="82"/>
  <c r="U6" i="111" s="1"/>
  <c r="X586" i="82"/>
  <c r="U3" i="33" s="1"/>
  <c r="X585" i="82"/>
  <c r="U6" i="178" s="1"/>
  <c r="X584" i="82"/>
  <c r="U6" i="59" s="1"/>
  <c r="X583" i="82"/>
  <c r="U3" i="307" s="1"/>
  <c r="X582" i="82"/>
  <c r="U7" i="193" s="1"/>
  <c r="X581" i="82"/>
  <c r="U5" i="246" s="1"/>
  <c r="X580" i="82"/>
  <c r="U4" i="28" s="1"/>
  <c r="X579" i="82"/>
  <c r="U5" i="214" s="1"/>
  <c r="X578" i="82"/>
  <c r="U6" i="258" s="1"/>
  <c r="X577" i="82"/>
  <c r="U4" i="239" s="1"/>
  <c r="X576" i="82"/>
  <c r="U5" i="238" s="1"/>
  <c r="X575" i="82"/>
  <c r="U5" i="178" s="1"/>
  <c r="X574" i="82"/>
  <c r="U4" i="254" s="1"/>
  <c r="X573" i="82"/>
  <c r="U4" i="249" s="1"/>
  <c r="X572" i="82"/>
  <c r="U5" i="189" s="1"/>
  <c r="X571" i="82"/>
  <c r="U4" i="168" s="1"/>
  <c r="X570" i="82"/>
  <c r="U4" i="196" s="1"/>
  <c r="X569" i="82"/>
  <c r="U4" i="27" s="1"/>
  <c r="X568" i="82"/>
  <c r="U5" i="89" s="1"/>
  <c r="X567" i="82"/>
  <c r="U4" i="243" s="1"/>
  <c r="X566" i="82"/>
  <c r="U5" i="185" s="1"/>
  <c r="X565" i="82"/>
  <c r="U5" i="160" s="1"/>
  <c r="X564" i="82"/>
  <c r="U5" i="194" s="1"/>
  <c r="X563" i="82"/>
  <c r="U4" i="35" s="1"/>
  <c r="X562" i="82"/>
  <c r="U5" i="167" s="1"/>
  <c r="X561" i="82"/>
  <c r="U4" i="241" s="1"/>
  <c r="X560" i="82"/>
  <c r="U4" i="273" s="1"/>
  <c r="X559" i="82"/>
  <c r="U5" i="319" s="1"/>
  <c r="X558" i="82"/>
  <c r="U6" i="56" s="1"/>
  <c r="X557" i="82"/>
  <c r="U4" i="171" s="1"/>
  <c r="X556" i="82"/>
  <c r="U6" i="170" s="1"/>
  <c r="X555" i="82"/>
  <c r="U6" i="68" s="1"/>
  <c r="X554" i="82"/>
  <c r="U7" i="213" s="1"/>
  <c r="X553" i="82"/>
  <c r="U5" i="316" s="1"/>
  <c r="X552" i="82"/>
  <c r="U6" i="84" s="1"/>
  <c r="X551" i="82"/>
  <c r="U3" i="268" s="1"/>
  <c r="X550" i="82"/>
  <c r="U4" i="31" s="1"/>
  <c r="X549" i="82"/>
  <c r="U4" i="104" s="1"/>
  <c r="X548" i="82"/>
  <c r="U6" i="124" s="1"/>
  <c r="X547" i="82"/>
  <c r="U3" i="209" s="1"/>
  <c r="X546" i="82"/>
  <c r="U6" i="213" s="1"/>
  <c r="X545" i="82"/>
  <c r="U4" i="194" s="1"/>
  <c r="X544" i="82"/>
  <c r="U7" i="51" s="1"/>
  <c r="X543" i="82"/>
  <c r="U5" i="158" s="1"/>
  <c r="X542" i="82"/>
  <c r="U3" i="194" s="1"/>
  <c r="X541" i="82"/>
  <c r="U3" i="142" s="1"/>
  <c r="X540" i="82"/>
  <c r="U5" i="94" s="1"/>
  <c r="X539" i="82"/>
  <c r="U5" i="205" s="1"/>
  <c r="X538" i="82"/>
  <c r="U6" i="169" s="1"/>
  <c r="X537" i="82"/>
  <c r="U6" i="275" s="1"/>
  <c r="X536" i="82"/>
  <c r="U6" i="217" s="1"/>
  <c r="X535" i="82"/>
  <c r="U5" i="308" s="1"/>
  <c r="X534" i="82"/>
  <c r="U6" i="144" s="1"/>
  <c r="X533" i="82"/>
  <c r="U6" i="115" s="1"/>
  <c r="X532" i="82"/>
  <c r="U5" i="115" s="1"/>
  <c r="X531" i="82"/>
  <c r="U4" i="178" s="1"/>
  <c r="X530" i="82"/>
  <c r="U5" i="255" s="1"/>
  <c r="X529" i="82"/>
  <c r="U6" i="58" s="1"/>
  <c r="X528" i="82"/>
  <c r="U3" i="203" s="1"/>
  <c r="X527" i="82"/>
  <c r="U6" i="51" s="1"/>
  <c r="X526" i="82"/>
  <c r="U5" i="170" s="1"/>
  <c r="X525" i="82"/>
  <c r="U6" i="181" s="1"/>
  <c r="X524" i="82"/>
  <c r="U5" i="213" s="1"/>
  <c r="X523" i="82"/>
  <c r="U5" i="208" s="1"/>
  <c r="X522" i="82"/>
  <c r="U7" i="192" s="1"/>
  <c r="X521" i="82"/>
  <c r="U4" i="240" s="1"/>
  <c r="X520" i="82"/>
  <c r="U6" i="192" s="1"/>
  <c r="X519" i="82"/>
  <c r="U4" i="148" s="1"/>
  <c r="X518" i="82"/>
  <c r="U4" i="52" s="1"/>
  <c r="X517" i="82"/>
  <c r="U4" i="314" s="1"/>
  <c r="X516" i="82"/>
  <c r="U6" i="90" s="1"/>
  <c r="X515" i="82"/>
  <c r="U6" i="309" s="1"/>
  <c r="X514" i="82"/>
  <c r="U6" i="145" s="1"/>
  <c r="X513" i="82"/>
  <c r="U6" i="256" s="1"/>
  <c r="X512" i="82"/>
  <c r="U5" i="135" s="1"/>
  <c r="X511" i="82"/>
  <c r="U5" i="107" s="1"/>
  <c r="X510" i="82"/>
  <c r="U4" i="265" s="1"/>
  <c r="X509" i="82"/>
  <c r="U6" i="204" s="1"/>
  <c r="X508" i="82"/>
  <c r="U4" i="94" s="1"/>
  <c r="X507" i="82"/>
  <c r="U4" i="247" s="1"/>
  <c r="X506" i="82"/>
  <c r="U5" i="165" s="1"/>
  <c r="X505" i="82"/>
  <c r="U6" i="193" s="1"/>
  <c r="X504" i="82"/>
  <c r="U4" i="158" s="1"/>
  <c r="X503" i="82"/>
  <c r="U5" i="30" s="1"/>
  <c r="X502" i="82"/>
  <c r="U4" i="156" s="1"/>
  <c r="X501" i="82"/>
  <c r="U5" i="65" s="1"/>
  <c r="X500" i="82"/>
  <c r="U5" i="85" s="1"/>
  <c r="X499" i="82"/>
  <c r="U5" i="193" s="1"/>
  <c r="X498" i="82"/>
  <c r="U5" i="309" s="1"/>
  <c r="X497" i="82"/>
  <c r="U7" i="138" s="1"/>
  <c r="X496" i="82"/>
  <c r="U4" i="65" s="1"/>
  <c r="X495" i="82"/>
  <c r="U4" i="214" s="1"/>
  <c r="X494" i="82"/>
  <c r="U7" i="224" s="1"/>
  <c r="X493" i="82"/>
  <c r="U3" i="260" s="1"/>
  <c r="X492" i="82"/>
  <c r="U5" i="155" s="1"/>
  <c r="X491" i="82"/>
  <c r="U5" i="123" s="1"/>
  <c r="X490" i="82"/>
  <c r="U4" i="261" s="1"/>
  <c r="X489" i="82"/>
  <c r="U6" i="201" s="1"/>
  <c r="X488" i="82"/>
  <c r="U5" i="195" s="1"/>
  <c r="X487" i="82"/>
  <c r="U6" i="67" s="1"/>
  <c r="X486" i="82"/>
  <c r="U4" i="316" s="1"/>
  <c r="X485" i="82"/>
  <c r="U5" i="169" s="1"/>
  <c r="X484" i="82"/>
  <c r="U5" i="56" s="1"/>
  <c r="X483" i="82"/>
  <c r="U4" i="255" s="1"/>
  <c r="X482" i="82"/>
  <c r="U3" i="322" s="1"/>
  <c r="X481" i="82"/>
  <c r="U6" i="117" s="1"/>
  <c r="X480" i="82"/>
  <c r="U4" i="143" s="1"/>
  <c r="X479" i="82"/>
  <c r="U5" i="137" s="1"/>
  <c r="X478" i="82"/>
  <c r="X477" i="82"/>
  <c r="U4" i="137" s="1"/>
  <c r="X476" i="82"/>
  <c r="U5" i="54" s="1"/>
  <c r="X475" i="82"/>
  <c r="U4" i="189" s="1"/>
  <c r="X474" i="82"/>
  <c r="U4" i="179" s="1"/>
  <c r="X473" i="82"/>
  <c r="U5" i="83" s="1"/>
  <c r="X472" i="82"/>
  <c r="U4" i="272" s="1"/>
  <c r="X471" i="82"/>
  <c r="U5" i="61" s="1"/>
  <c r="X470" i="82"/>
  <c r="U6" i="120" s="1"/>
  <c r="X469" i="82"/>
  <c r="X468" i="82"/>
  <c r="U5" i="122" s="1"/>
  <c r="X467" i="82"/>
  <c r="U5" i="67" s="1"/>
  <c r="X466" i="82"/>
  <c r="U3" i="28" s="1"/>
  <c r="X465" i="82"/>
  <c r="U3" i="267" s="1"/>
  <c r="X464" i="82"/>
  <c r="U6" i="187" s="1"/>
  <c r="X463" i="82"/>
  <c r="U5" i="252" s="1"/>
  <c r="X462" i="82"/>
  <c r="U6" i="207" s="1"/>
  <c r="X461" i="82"/>
  <c r="U6" i="133" s="1"/>
  <c r="X460" i="82"/>
  <c r="U4" i="55" s="1"/>
  <c r="X459" i="82"/>
  <c r="U5" i="139" s="1"/>
  <c r="X458" i="82"/>
  <c r="U4" i="246" s="1"/>
  <c r="X457" i="82"/>
  <c r="U5" i="88" s="1"/>
  <c r="X456" i="82"/>
  <c r="U5" i="60" s="1"/>
  <c r="X455" i="82"/>
  <c r="U4" i="238" s="1"/>
  <c r="X454" i="82"/>
  <c r="U5" i="66" s="1"/>
  <c r="X453" i="82"/>
  <c r="U3" i="273" s="1"/>
  <c r="X452" i="82"/>
  <c r="U5" i="58" s="1"/>
  <c r="X451" i="82"/>
  <c r="U4" i="128" s="1"/>
  <c r="X450" i="82"/>
  <c r="U4" i="76" s="1"/>
  <c r="X449" i="82"/>
  <c r="U5" i="120" s="1"/>
  <c r="X448" i="82"/>
  <c r="U4" i="107" s="1"/>
  <c r="X447" i="82"/>
  <c r="U4" i="83" s="1"/>
  <c r="X446" i="82"/>
  <c r="U6" i="220" s="1"/>
  <c r="X445" i="82"/>
  <c r="U3" i="172" s="1"/>
  <c r="X444" i="82"/>
  <c r="U5" i="105" s="1"/>
  <c r="X443" i="82"/>
  <c r="U4" i="149" s="1"/>
  <c r="X442" i="82"/>
  <c r="U5" i="68" s="1"/>
  <c r="X441" i="82"/>
  <c r="U3" i="143" s="1"/>
  <c r="X440" i="82"/>
  <c r="U6" i="114" s="1"/>
  <c r="X439" i="82"/>
  <c r="U4" i="321" s="1"/>
  <c r="X438" i="82"/>
  <c r="U6" i="113" s="1"/>
  <c r="X437" i="82"/>
  <c r="U4" i="67" s="1"/>
  <c r="X436" i="82"/>
  <c r="X435" i="82"/>
  <c r="U3" i="65" s="1"/>
  <c r="X434" i="82"/>
  <c r="U4" i="308" s="1"/>
  <c r="X433" i="82"/>
  <c r="U6" i="116" s="1"/>
  <c r="X432" i="82"/>
  <c r="U3" i="238" s="1"/>
  <c r="X431" i="82"/>
  <c r="U5" i="59" s="1"/>
  <c r="X430" i="82"/>
  <c r="U5" i="117" s="1"/>
  <c r="X429" i="82"/>
  <c r="U4" i="61" s="1"/>
  <c r="X428" i="82"/>
  <c r="U6" i="244" s="1"/>
  <c r="X427" i="82"/>
  <c r="U4" i="132" s="1"/>
  <c r="X426" i="82"/>
  <c r="U6" i="108" s="1"/>
  <c r="X425" i="82"/>
  <c r="U5" i="57" s="1"/>
  <c r="X424" i="82"/>
  <c r="U3" i="178" s="1"/>
  <c r="X423" i="82"/>
  <c r="U5" i="124" s="1"/>
  <c r="X422" i="82"/>
  <c r="U4" i="92" s="1"/>
  <c r="X421" i="82"/>
  <c r="U3" i="311" s="1"/>
  <c r="X420" i="82"/>
  <c r="U5" i="134" s="1"/>
  <c r="X419" i="82"/>
  <c r="U4" i="66" s="1"/>
  <c r="X418" i="82"/>
  <c r="U4" i="157" s="1"/>
  <c r="X417" i="82"/>
  <c r="U3" i="249" s="1"/>
  <c r="X416" i="82"/>
  <c r="U4" i="106" s="1"/>
  <c r="X415" i="82"/>
  <c r="U4" i="150" s="1"/>
  <c r="X414" i="82"/>
  <c r="U4" i="85" s="1"/>
  <c r="X413" i="82"/>
  <c r="U4" i="54" s="1"/>
  <c r="X412" i="82"/>
  <c r="U3" i="324" s="1"/>
  <c r="X411" i="82"/>
  <c r="U7" i="136" s="1"/>
  <c r="X410" i="82"/>
  <c r="U5" i="112" s="1"/>
  <c r="X409" i="82"/>
  <c r="X408" i="82"/>
  <c r="U3" i="243" s="1"/>
  <c r="X407" i="82"/>
  <c r="U6" i="130" s="1"/>
  <c r="X406" i="82"/>
  <c r="U5" i="103" s="1"/>
  <c r="X405" i="82"/>
  <c r="U5" i="111" s="1"/>
  <c r="X404" i="82"/>
  <c r="U4" i="252" s="1"/>
  <c r="X403" i="82"/>
  <c r="U4" i="269" s="1"/>
  <c r="X402" i="82"/>
  <c r="U4" i="95" s="1"/>
  <c r="X401" i="82"/>
  <c r="U4" i="259" s="1"/>
  <c r="X400" i="82"/>
  <c r="U5" i="84" s="1"/>
  <c r="X399" i="82"/>
  <c r="U6" i="138" s="1"/>
  <c r="X398" i="82"/>
  <c r="U3" i="265" s="1"/>
  <c r="X397" i="82"/>
  <c r="U3" i="127" s="1"/>
  <c r="X396" i="82"/>
  <c r="U3" i="320" s="1"/>
  <c r="X395" i="82"/>
  <c r="U5" i="187" s="1"/>
  <c r="X394" i="82"/>
  <c r="X393" i="82"/>
  <c r="X392" i="82"/>
  <c r="U5" i="116" s="1"/>
  <c r="X391" i="82"/>
  <c r="U5" i="234" s="1"/>
  <c r="X390" i="82"/>
  <c r="U6" i="219" s="1"/>
  <c r="X389" i="82"/>
  <c r="U5" i="219" s="1"/>
  <c r="X388" i="82"/>
  <c r="U4" i="60" s="1"/>
  <c r="X387" i="82"/>
  <c r="U4" i="160" s="1"/>
  <c r="X386" i="82"/>
  <c r="U4" i="117" s="1"/>
  <c r="X385" i="82"/>
  <c r="U4" i="167" s="1"/>
  <c r="X384" i="82"/>
  <c r="U3" i="312" s="1"/>
  <c r="X383" i="82"/>
  <c r="U5" i="211" s="1"/>
  <c r="X382" i="82"/>
  <c r="U5" i="133" s="1"/>
  <c r="X381" i="82"/>
  <c r="U4" i="87" s="1"/>
  <c r="X380" i="82"/>
  <c r="U5" i="114" s="1"/>
  <c r="X379" i="82"/>
  <c r="U4" i="248" s="1"/>
  <c r="X378" i="82"/>
  <c r="U3" i="149" s="1"/>
  <c r="X377" i="82"/>
  <c r="U5" i="201" s="1"/>
  <c r="X376" i="82"/>
  <c r="U5" i="251" s="1"/>
  <c r="X375" i="82"/>
  <c r="U4" i="135" s="1"/>
  <c r="X374" i="82"/>
  <c r="U4" i="68" s="1"/>
  <c r="X373" i="82"/>
  <c r="U4" i="251" s="1"/>
  <c r="X372" i="82"/>
  <c r="U4" i="30" s="1"/>
  <c r="X371" i="82"/>
  <c r="U6" i="224" s="1"/>
  <c r="X370" i="82"/>
  <c r="U4" i="309" s="1"/>
  <c r="X369" i="82"/>
  <c r="U5" i="138" s="1"/>
  <c r="X368" i="82"/>
  <c r="U5" i="69" s="1"/>
  <c r="X367" i="82"/>
  <c r="U4" i="126" s="1"/>
  <c r="X366" i="82"/>
  <c r="U4" i="191" s="1"/>
  <c r="X365" i="82"/>
  <c r="U4" i="139" s="1"/>
  <c r="X364" i="82"/>
  <c r="U3" i="167" s="1"/>
  <c r="X363" i="82"/>
  <c r="U6" i="235" s="1"/>
  <c r="X362" i="82"/>
  <c r="U3" i="70" s="1"/>
  <c r="X361" i="82"/>
  <c r="U4" i="96" s="1"/>
  <c r="X360" i="82"/>
  <c r="U3" i="272" s="1"/>
  <c r="X359" i="82"/>
  <c r="U4" i="187" s="1"/>
  <c r="X358" i="82"/>
  <c r="U6" i="125" s="1"/>
  <c r="X357" i="82"/>
  <c r="U3" i="189" s="1"/>
  <c r="X356" i="82"/>
  <c r="U4" i="119" s="1"/>
  <c r="X355" i="82"/>
  <c r="U5" i="258" s="1"/>
  <c r="X354" i="82"/>
  <c r="U4" i="319" s="1"/>
  <c r="X353" i="82"/>
  <c r="U4" i="253" s="1"/>
  <c r="X352" i="82"/>
  <c r="U4" i="155" s="1"/>
  <c r="X351" i="82"/>
  <c r="U5" i="118" s="1"/>
  <c r="X350" i="82"/>
  <c r="U3" i="251" s="1"/>
  <c r="X349" i="82"/>
  <c r="U5" i="113" s="1"/>
  <c r="X348" i="82"/>
  <c r="U5" i="154" s="1"/>
  <c r="X347" i="82"/>
  <c r="U5" i="212" s="1"/>
  <c r="X346" i="82"/>
  <c r="U5" i="102" s="1"/>
  <c r="X345" i="82"/>
  <c r="U5" i="181" s="1"/>
  <c r="X344" i="82"/>
  <c r="U4" i="257" s="1"/>
  <c r="X343" i="82"/>
  <c r="U3" i="255" s="1"/>
  <c r="X342" i="82"/>
  <c r="U5" i="130" s="1"/>
  <c r="X341" i="82"/>
  <c r="U5" i="108" s="1"/>
  <c r="X340" i="82"/>
  <c r="U5" i="275" s="1"/>
  <c r="X339" i="82"/>
  <c r="U4" i="93" s="1"/>
  <c r="X338" i="82"/>
  <c r="U3" i="135" s="1"/>
  <c r="X337" i="82"/>
  <c r="U4" i="98" s="1"/>
  <c r="X336" i="82"/>
  <c r="U3" i="318" s="1"/>
  <c r="X335" i="82"/>
  <c r="U4" i="84" s="1"/>
  <c r="X334" i="82"/>
  <c r="U4" i="118" s="1"/>
  <c r="X333" i="82"/>
  <c r="U5" i="166" s="1"/>
  <c r="X332" i="82"/>
  <c r="U3" i="126" s="1"/>
  <c r="X331" i="82"/>
  <c r="U4" i="153" s="1"/>
  <c r="X330" i="82"/>
  <c r="U5" i="224" s="1"/>
  <c r="X329" i="82"/>
  <c r="U3" i="162" s="1"/>
  <c r="X328" i="82"/>
  <c r="U5" i="266" s="1"/>
  <c r="X327" i="82"/>
  <c r="U3" i="317" s="1"/>
  <c r="X326" i="82"/>
  <c r="U4" i="212" s="1"/>
  <c r="X325" i="82"/>
  <c r="U4" i="102" s="1"/>
  <c r="X324" i="82"/>
  <c r="U4" i="266" s="1"/>
  <c r="X323" i="82"/>
  <c r="U4" i="105" s="1"/>
  <c r="X322" i="82"/>
  <c r="U5" i="125" s="1"/>
  <c r="X321" i="82"/>
  <c r="U3" i="239" s="1"/>
  <c r="X320" i="82"/>
  <c r="U5" i="147" s="1"/>
  <c r="X319" i="82"/>
  <c r="U6" i="121" s="1"/>
  <c r="X318" i="82"/>
  <c r="U4" i="154" s="1"/>
  <c r="X317" i="82"/>
  <c r="U4" i="62" s="1"/>
  <c r="X316" i="82"/>
  <c r="U3" i="128" s="1"/>
  <c r="X315" i="82"/>
  <c r="U5" i="63" s="1"/>
  <c r="X314" i="82"/>
  <c r="U4" i="201" s="1"/>
  <c r="X313" i="82"/>
  <c r="U3" i="104" s="1"/>
  <c r="X312" i="82"/>
  <c r="U4" i="173" s="1"/>
  <c r="X311" i="82"/>
  <c r="U3" i="68" s="1"/>
  <c r="X310" i="82"/>
  <c r="U3" i="266" s="1"/>
  <c r="X309" i="82"/>
  <c r="U3" i="67" s="1"/>
  <c r="X308" i="82"/>
  <c r="U3" i="52" s="1"/>
  <c r="X307" i="82"/>
  <c r="U4" i="63" s="1"/>
  <c r="X306" i="82"/>
  <c r="X305" i="82"/>
  <c r="U4" i="274" s="1"/>
  <c r="X304" i="82"/>
  <c r="U3" i="155" s="1"/>
  <c r="X303" i="82"/>
  <c r="U5" i="64" s="1"/>
  <c r="X302" i="82"/>
  <c r="U4" i="114" s="1"/>
  <c r="X301" i="82"/>
  <c r="U5" i="204" s="1"/>
  <c r="X300" i="82"/>
  <c r="U4" i="116" s="1"/>
  <c r="X299" i="82"/>
  <c r="U3" i="31" s="1"/>
  <c r="X298" i="82"/>
  <c r="U4" i="120" s="1"/>
  <c r="X297" i="82"/>
  <c r="U4" i="205" s="1"/>
  <c r="X296" i="82"/>
  <c r="U4" i="152" s="1"/>
  <c r="X295" i="82"/>
  <c r="U4" i="122" s="1"/>
  <c r="X294" i="82"/>
  <c r="U3" i="105" s="1"/>
  <c r="X293" i="82"/>
  <c r="U4" i="69" s="1"/>
  <c r="X292" i="82"/>
  <c r="U4" i="108" s="1"/>
  <c r="X291" i="82"/>
  <c r="U4" i="275" s="1"/>
  <c r="X290" i="82"/>
  <c r="U4" i="188" s="1"/>
  <c r="X289" i="82"/>
  <c r="U3" i="152" s="1"/>
  <c r="X288" i="82"/>
  <c r="U3" i="274" s="1"/>
  <c r="X287" i="82"/>
  <c r="U4" i="125" s="1"/>
  <c r="X286" i="82"/>
  <c r="U4" i="175" s="1"/>
  <c r="X285" i="82"/>
  <c r="U5" i="226" s="1"/>
  <c r="X284" i="82"/>
  <c r="U3" i="315" s="1"/>
  <c r="X283" i="82"/>
  <c r="U4" i="124" s="1"/>
  <c r="X282" i="82"/>
  <c r="U4" i="263" s="1"/>
  <c r="X281" i="82"/>
  <c r="U3" i="117" s="1"/>
  <c r="X280" i="82"/>
  <c r="U3" i="87" s="1"/>
  <c r="X279" i="82"/>
  <c r="U5" i="144" s="1"/>
  <c r="X278" i="82"/>
  <c r="U3" i="83" s="1"/>
  <c r="X277" i="82"/>
  <c r="U3" i="309" s="1"/>
  <c r="X276" i="82"/>
  <c r="U3" i="118" s="1"/>
  <c r="X275" i="82"/>
  <c r="U3" i="191" s="1"/>
  <c r="X274" i="82"/>
  <c r="U3" i="264" s="1"/>
  <c r="X273" i="82"/>
  <c r="U4" i="86" s="1"/>
  <c r="X272" i="82"/>
  <c r="U3" i="108" s="1"/>
  <c r="X271" i="82"/>
  <c r="U3" i="61" s="1"/>
  <c r="X270" i="82"/>
  <c r="U5" i="276" s="1"/>
  <c r="X269" i="82"/>
  <c r="X268" i="82"/>
  <c r="U4" i="234" s="1"/>
  <c r="X267" i="82"/>
  <c r="U3" i="27" s="1"/>
  <c r="X266" i="82"/>
  <c r="U4" i="193" s="1"/>
  <c r="X265" i="82"/>
  <c r="U5" i="146" s="1"/>
  <c r="X264" i="82"/>
  <c r="U4" i="224" s="1"/>
  <c r="X263" i="82"/>
  <c r="U3" i="316" s="1"/>
  <c r="X262" i="82"/>
  <c r="U3" i="94" s="1"/>
  <c r="X261" i="82"/>
  <c r="U5" i="140" s="1"/>
  <c r="X260" i="82"/>
  <c r="U4" i="174" s="1"/>
  <c r="X259" i="82"/>
  <c r="U5" i="90" s="1"/>
  <c r="X258" i="82"/>
  <c r="U3" i="125" s="1"/>
  <c r="X257" i="82"/>
  <c r="U4" i="112" s="1"/>
  <c r="X256" i="82"/>
  <c r="U4" i="144" s="1"/>
  <c r="X255" i="82"/>
  <c r="U4" i="90" s="1"/>
  <c r="X254" i="82"/>
  <c r="U3" i="214" s="1"/>
  <c r="X253" i="82"/>
  <c r="U5" i="110" s="1"/>
  <c r="X252" i="82"/>
  <c r="U3" i="161" s="1"/>
  <c r="X251" i="82"/>
  <c r="U3" i="124" s="1"/>
  <c r="X250" i="82"/>
  <c r="U5" i="202" s="1"/>
  <c r="X249" i="82"/>
  <c r="U3" i="116" s="1"/>
  <c r="X248" i="82"/>
  <c r="U3" i="85" s="1"/>
  <c r="X247" i="82"/>
  <c r="U4" i="123" s="1"/>
  <c r="X246" i="82"/>
  <c r="U4" i="146" s="1"/>
  <c r="X245" i="82"/>
  <c r="U6" i="136" s="1"/>
  <c r="X244" i="82"/>
  <c r="U5" i="51" s="1"/>
  <c r="X243" i="82"/>
  <c r="U5" i="53" s="1"/>
  <c r="X242" i="82"/>
  <c r="U4" i="53" s="1"/>
  <c r="X241" i="82"/>
  <c r="U4" i="202" s="1"/>
  <c r="X240" i="82"/>
  <c r="U4" i="88" s="1"/>
  <c r="X239" i="82"/>
  <c r="U4" i="210" s="1"/>
  <c r="X238" i="82"/>
  <c r="U5" i="100" s="1"/>
  <c r="X237" i="82"/>
  <c r="U5" i="159" s="1"/>
  <c r="X236" i="82"/>
  <c r="U3" i="156" s="1"/>
  <c r="X235" i="82"/>
  <c r="U3" i="92" s="1"/>
  <c r="X234" i="82"/>
  <c r="U4" i="271" s="1"/>
  <c r="X233" i="82"/>
  <c r="U4" i="140" s="1"/>
  <c r="X232" i="82"/>
  <c r="U4" i="181" s="1"/>
  <c r="X231" i="82"/>
  <c r="U4" i="204" s="1"/>
  <c r="X230" i="82"/>
  <c r="U5" i="145" s="1"/>
  <c r="X229" i="82"/>
  <c r="U3" i="173" s="1"/>
  <c r="X228" i="82"/>
  <c r="U4" i="115" s="1"/>
  <c r="X227" i="82"/>
  <c r="U3" i="54" s="1"/>
  <c r="X226" i="82"/>
  <c r="U3" i="76" s="1"/>
  <c r="X225" i="82"/>
  <c r="U3" i="150" s="1"/>
  <c r="X224" i="82"/>
  <c r="U3" i="35" s="1"/>
  <c r="X223" i="82"/>
  <c r="U5" i="218" s="1"/>
  <c r="X222" i="82"/>
  <c r="U3" i="171" s="1"/>
  <c r="X221" i="82"/>
  <c r="U3" i="157" s="1"/>
  <c r="X220" i="82"/>
  <c r="U3" i="163" s="1"/>
  <c r="X219" i="82"/>
  <c r="U4" i="111" s="1"/>
  <c r="X218" i="82"/>
  <c r="U3" i="115" s="1"/>
  <c r="X217" i="82"/>
  <c r="U4" i="211" s="1"/>
  <c r="X216" i="82"/>
  <c r="U3" i="154" s="1"/>
  <c r="X215" i="82"/>
  <c r="U4" i="130" s="1"/>
  <c r="X214" i="82"/>
  <c r="U5" i="256" s="1"/>
  <c r="X213" i="82"/>
  <c r="U5" i="121" s="1"/>
  <c r="X212" i="82"/>
  <c r="U6" i="186" s="1"/>
  <c r="X211" i="82"/>
  <c r="U3" i="123" s="1"/>
  <c r="X210" i="82"/>
  <c r="U4" i="26" s="1"/>
  <c r="X209" i="82"/>
  <c r="U4" i="195" s="1"/>
  <c r="X208" i="82"/>
  <c r="U4" i="57" s="1"/>
  <c r="X207" i="82"/>
  <c r="U3" i="120" s="1"/>
  <c r="X206" i="82"/>
  <c r="U4" i="258" s="1"/>
  <c r="X205" i="82"/>
  <c r="U3" i="158" s="1"/>
  <c r="X204" i="82"/>
  <c r="U4" i="147" s="1"/>
  <c r="X203" i="82"/>
  <c r="U4" i="159" s="1"/>
  <c r="X202" i="82"/>
  <c r="U4" i="59" s="1"/>
  <c r="X201" i="82"/>
  <c r="U3" i="205" s="1"/>
  <c r="X200" i="82"/>
  <c r="U3" i="106" s="1"/>
  <c r="X199" i="82"/>
  <c r="U4" i="134" s="1"/>
  <c r="X198" i="82"/>
  <c r="U3" i="177" s="1"/>
  <c r="X197" i="82"/>
  <c r="U4" i="58" s="1"/>
  <c r="X196" i="82"/>
  <c r="U4" i="113" s="1"/>
  <c r="X195" i="82"/>
  <c r="U3" i="201" s="1"/>
  <c r="X194" i="82"/>
  <c r="U3" i="96" s="1"/>
  <c r="X193" i="82"/>
  <c r="U5" i="136" s="1"/>
  <c r="X192" i="82"/>
  <c r="X191" i="82"/>
  <c r="X190" i="82"/>
  <c r="U3" i="175" s="1"/>
  <c r="X189" i="82"/>
  <c r="X188" i="82"/>
  <c r="U3" i="66" s="1"/>
  <c r="X187" i="82"/>
  <c r="U3" i="159" s="1"/>
  <c r="X186" i="82"/>
  <c r="U3" i="204" s="1"/>
  <c r="X185" i="82"/>
  <c r="U3" i="181" s="1"/>
  <c r="X184" i="82"/>
  <c r="U4" i="145" s="1"/>
  <c r="X183" i="82"/>
  <c r="U4" i="170" s="1"/>
  <c r="X182" i="82"/>
  <c r="U3" i="241" s="1"/>
  <c r="X181" i="82"/>
  <c r="U5" i="233" s="1"/>
  <c r="X180" i="82"/>
  <c r="U3" i="174" s="1"/>
  <c r="X179" i="82"/>
  <c r="U3" i="314" s="1"/>
  <c r="X178" i="82"/>
  <c r="U5" i="235" s="1"/>
  <c r="X177" i="82"/>
  <c r="U4" i="213" s="1"/>
  <c r="X176" i="82"/>
  <c r="U4" i="103" s="1"/>
  <c r="X175" i="82"/>
  <c r="U3" i="179" s="1"/>
  <c r="X174" i="82"/>
  <c r="U4" i="133" s="1"/>
  <c r="X173" i="82"/>
  <c r="U4" i="136" s="1"/>
  <c r="X172" i="82"/>
  <c r="U4" i="166" s="1"/>
  <c r="X171" i="82"/>
  <c r="U3" i="102" s="1"/>
  <c r="X170" i="82"/>
  <c r="U6" i="221" s="1"/>
  <c r="X169" i="82"/>
  <c r="U3" i="134" s="1"/>
  <c r="X168" i="82"/>
  <c r="U5" i="183" s="1"/>
  <c r="X167" i="82"/>
  <c r="U3" i="308" s="1"/>
  <c r="X166" i="82"/>
  <c r="U3" i="111" s="1"/>
  <c r="X165" i="82"/>
  <c r="U4" i="138" s="1"/>
  <c r="X164" i="82"/>
  <c r="U4" i="233" s="1"/>
  <c r="X163" i="82"/>
  <c r="U3" i="321" s="1"/>
  <c r="X162" i="82"/>
  <c r="U3" i="170" s="1"/>
  <c r="X161" i="82"/>
  <c r="U5" i="186" s="1"/>
  <c r="X160" i="82"/>
  <c r="U3" i="62" s="1"/>
  <c r="X159" i="82"/>
  <c r="U5" i="220" s="1"/>
  <c r="X158" i="82"/>
  <c r="U3" i="103" s="1"/>
  <c r="X157" i="82"/>
  <c r="U4" i="242" s="1"/>
  <c r="X156" i="82"/>
  <c r="U3" i="95" s="1"/>
  <c r="X155" i="82"/>
  <c r="U3" i="57" s="1"/>
  <c r="X154" i="82"/>
  <c r="U3" i="93" s="1"/>
  <c r="X153" i="82"/>
  <c r="U3" i="236" s="1"/>
  <c r="X152" i="82"/>
  <c r="U4" i="226" s="1"/>
  <c r="X151" i="82"/>
  <c r="U3" i="139" s="1"/>
  <c r="X150" i="82"/>
  <c r="U3" i="245" s="1"/>
  <c r="X149" i="82"/>
  <c r="U3" i="147" s="1"/>
  <c r="X148" i="82"/>
  <c r="U3" i="275" s="1"/>
  <c r="X147" i="82"/>
  <c r="U3" i="30" s="1"/>
  <c r="X146" i="82"/>
  <c r="U3" i="59" s="1"/>
  <c r="X145" i="82"/>
  <c r="U3" i="271" s="1"/>
  <c r="X144" i="82"/>
  <c r="U4" i="169" s="1"/>
  <c r="X143" i="82"/>
  <c r="U3" i="55" s="1"/>
  <c r="X142" i="82"/>
  <c r="U3" i="259" s="1"/>
  <c r="X141" i="82"/>
  <c r="U3" i="119" s="1"/>
  <c r="X140" i="82"/>
  <c r="U4" i="218" s="1"/>
  <c r="X139" i="82"/>
  <c r="U3" i="114" s="1"/>
  <c r="X138" i="82"/>
  <c r="U3" i="144" s="1"/>
  <c r="X137" i="82"/>
  <c r="U4" i="110" s="1"/>
  <c r="X136" i="82"/>
  <c r="U3" i="202" s="1"/>
  <c r="X135" i="82"/>
  <c r="U3" i="107" s="1"/>
  <c r="X134" i="82"/>
  <c r="U3" i="97" s="1"/>
  <c r="X133" i="82"/>
  <c r="U3" i="160" s="1"/>
  <c r="X132" i="82"/>
  <c r="U5" i="192" s="1"/>
  <c r="X131" i="82"/>
  <c r="U5" i="244" s="1"/>
  <c r="X130" i="82"/>
  <c r="U3" i="145" s="1"/>
  <c r="X129" i="82"/>
  <c r="U3" i="257" s="1"/>
  <c r="X128" i="82"/>
  <c r="U4" i="151" s="1"/>
  <c r="X127" i="82"/>
  <c r="U6" i="91" s="1"/>
  <c r="X126" i="82"/>
  <c r="U3" i="137" s="1"/>
  <c r="X125" i="82"/>
  <c r="U4" i="32" s="1"/>
  <c r="X124" i="82"/>
  <c r="U3" i="169" s="1"/>
  <c r="X123" i="82"/>
  <c r="U4" i="232" s="1"/>
  <c r="X122" i="82"/>
  <c r="U3" i="213" s="1"/>
  <c r="X121" i="82"/>
  <c r="U5" i="207" s="1"/>
  <c r="X120" i="82"/>
  <c r="U3" i="240" s="1"/>
  <c r="X119" i="82"/>
  <c r="U4" i="183" s="1"/>
  <c r="X118" i="82"/>
  <c r="U3" i="319" s="1"/>
  <c r="X117" i="82"/>
  <c r="U3" i="69" s="1"/>
  <c r="X116" i="82"/>
  <c r="U4" i="186" s="1"/>
  <c r="X115" i="82"/>
  <c r="U3" i="53" s="1"/>
  <c r="X114" i="82"/>
  <c r="U5" i="217" s="1"/>
  <c r="X113" i="82"/>
  <c r="U3" i="110" s="1"/>
  <c r="X112" i="82"/>
  <c r="U4" i="185" s="1"/>
  <c r="X111" i="82"/>
  <c r="U3" i="193" s="1"/>
  <c r="X110" i="82"/>
  <c r="U5" i="206" s="1"/>
  <c r="X109" i="82"/>
  <c r="U4" i="219" s="1"/>
  <c r="X108" i="82"/>
  <c r="U4" i="244" s="1"/>
  <c r="X107" i="82"/>
  <c r="U3" i="130" s="1"/>
  <c r="X106" i="82"/>
  <c r="U3" i="113" s="1"/>
  <c r="X105" i="82"/>
  <c r="U3" i="151" s="1"/>
  <c r="X104" i="82"/>
  <c r="U6" i="222" s="1"/>
  <c r="X103" i="82"/>
  <c r="U3" i="58" s="1"/>
  <c r="X102" i="82"/>
  <c r="U3" i="122" s="1"/>
  <c r="X101" i="82"/>
  <c r="U4" i="220" s="1"/>
  <c r="X100" i="82"/>
  <c r="U4" i="217" s="1"/>
  <c r="X99" i="82"/>
  <c r="U4" i="100" s="1"/>
  <c r="X98" i="82"/>
  <c r="U5" i="222" s="1"/>
  <c r="X97" i="82"/>
  <c r="U3" i="138" s="1"/>
  <c r="X96" i="82"/>
  <c r="U3" i="133" s="1"/>
  <c r="X95" i="82"/>
  <c r="U4" i="56" s="1"/>
  <c r="X94" i="82"/>
  <c r="U3" i="217" s="1"/>
  <c r="X93" i="82"/>
  <c r="U3" i="252" s="1"/>
  <c r="X92" i="82"/>
  <c r="U3" i="187" s="1"/>
  <c r="X91" i="82"/>
  <c r="U3" i="184" s="1"/>
  <c r="X90" i="82"/>
  <c r="U4" i="207" s="1"/>
  <c r="X89" i="82"/>
  <c r="U4" i="64" s="1"/>
  <c r="X88" i="82"/>
  <c r="U3" i="211" s="1"/>
  <c r="X87" i="82"/>
  <c r="U3" i="246" s="1"/>
  <c r="X86" i="82"/>
  <c r="U4" i="222" s="1"/>
  <c r="X85" i="82"/>
  <c r="U3" i="146" s="1"/>
  <c r="X84" i="82"/>
  <c r="U3" i="253" s="1"/>
  <c r="X83" i="82"/>
  <c r="U3" i="218" s="1"/>
  <c r="X82" i="82"/>
  <c r="U4" i="276" s="1"/>
  <c r="X81" i="82"/>
  <c r="X80" i="82"/>
  <c r="U3" i="207" s="1"/>
  <c r="X79" i="82"/>
  <c r="U5" i="221" s="1"/>
  <c r="X78" i="82"/>
  <c r="U3" i="153" s="1"/>
  <c r="X77" i="82"/>
  <c r="U4" i="221" s="1"/>
  <c r="X76" i="82"/>
  <c r="U3" i="88" s="1"/>
  <c r="X75" i="82"/>
  <c r="U3" i="269" s="1"/>
  <c r="X74" i="82"/>
  <c r="U4" i="235" s="1"/>
  <c r="X73" i="82"/>
  <c r="U3" i="140" s="1"/>
  <c r="X72" i="82"/>
  <c r="U3" i="210" s="1"/>
  <c r="X71" i="82"/>
  <c r="U3" i="136" s="1"/>
  <c r="X70" i="82"/>
  <c r="U3" i="248" s="1"/>
  <c r="X69" i="82"/>
  <c r="U3" i="235" s="1"/>
  <c r="X68" i="82"/>
  <c r="U3" i="233" s="1"/>
  <c r="X67" i="82"/>
  <c r="U4" i="256" s="1"/>
  <c r="X66" i="82"/>
  <c r="U4" i="192" s="1"/>
  <c r="X65" i="82"/>
  <c r="U3" i="232" s="1"/>
  <c r="X64" i="82"/>
  <c r="U4" i="208" s="1"/>
  <c r="X63" i="82"/>
  <c r="U4" i="206" s="1"/>
  <c r="X62" i="82"/>
  <c r="U3" i="247" s="1"/>
  <c r="X61" i="82"/>
  <c r="U3" i="100" s="1"/>
  <c r="X60" i="82"/>
  <c r="U3" i="226" s="1"/>
  <c r="X59" i="82"/>
  <c r="U3" i="256" s="1"/>
  <c r="X58" i="82"/>
  <c r="U3" i="206" s="1"/>
  <c r="X57" i="82"/>
  <c r="U4" i="121" s="1"/>
  <c r="X56" i="82"/>
  <c r="U3" i="244" s="1"/>
  <c r="X55" i="82"/>
  <c r="U3" i="32" s="1"/>
  <c r="X54" i="82"/>
  <c r="U3" i="64" s="1"/>
  <c r="X53" i="82"/>
  <c r="U3" i="276" s="1"/>
  <c r="X52" i="82"/>
  <c r="U3" i="77" s="1"/>
  <c r="X51" i="82"/>
  <c r="U3" i="261" s="1"/>
  <c r="X50" i="82"/>
  <c r="U3" i="121" s="1"/>
  <c r="X49" i="82"/>
  <c r="U3" i="220" s="1"/>
  <c r="X48" i="82"/>
  <c r="U3" i="219" s="1"/>
  <c r="X47" i="82"/>
  <c r="U5" i="223" s="1"/>
  <c r="X46" i="82"/>
  <c r="U3" i="183" s="1"/>
  <c r="X45" i="82"/>
  <c r="U3" i="222" s="1"/>
  <c r="X44" i="82"/>
  <c r="X43" i="82"/>
  <c r="U4" i="51" s="1"/>
  <c r="X42" i="82"/>
  <c r="U3" i="263" s="1"/>
  <c r="X41" i="82"/>
  <c r="U3" i="258" s="1"/>
  <c r="X40" i="82"/>
  <c r="U3" i="221" s="1"/>
  <c r="X39" i="82"/>
  <c r="U3" i="254" s="1"/>
  <c r="X38" i="82"/>
  <c r="U3" i="84" s="1"/>
  <c r="X37" i="82"/>
  <c r="U3" i="98" s="1"/>
  <c r="X36" i="82"/>
  <c r="U3" i="56" s="1"/>
  <c r="X35" i="82"/>
  <c r="U5" i="91" s="1"/>
  <c r="X34" i="82"/>
  <c r="U4" i="91" s="1"/>
  <c r="X33" i="82"/>
  <c r="U3" i="91" s="1"/>
  <c r="X32" i="82"/>
  <c r="U4" i="223" s="1"/>
  <c r="X31" i="82"/>
  <c r="U3" i="185" s="1"/>
  <c r="X30" i="82"/>
  <c r="U3" i="200" s="1"/>
  <c r="X29" i="82"/>
  <c r="U3" i="212" s="1"/>
  <c r="X28" i="82"/>
  <c r="U3" i="223" s="1"/>
  <c r="X27" i="82"/>
  <c r="U3" i="242" s="1"/>
  <c r="X26" i="82"/>
  <c r="U3" i="196" s="1"/>
  <c r="X25" i="82"/>
  <c r="U3" i="90" s="1"/>
  <c r="X24" i="82"/>
  <c r="U4" i="89" s="1"/>
  <c r="X23" i="82"/>
  <c r="U3" i="234" s="1"/>
  <c r="X22" i="82"/>
  <c r="U3" i="192" s="1"/>
  <c r="X21" i="82"/>
  <c r="U3" i="51" s="1"/>
  <c r="X20" i="82"/>
  <c r="U3" i="166" s="1"/>
  <c r="X19" i="82"/>
  <c r="U3" i="224" s="1"/>
  <c r="X18" i="82"/>
  <c r="U3" i="197" s="1"/>
  <c r="X17" i="82"/>
  <c r="U3" i="188" s="1"/>
  <c r="X16" i="82"/>
  <c r="U4" i="165" s="1"/>
  <c r="X15" i="82"/>
  <c r="U3" i="60" s="1"/>
  <c r="X14" i="82"/>
  <c r="U3" i="208" s="1"/>
  <c r="X13" i="82"/>
  <c r="U3" i="89" s="1"/>
  <c r="X12" i="82"/>
  <c r="U3" i="63" s="1"/>
  <c r="X11" i="82"/>
  <c r="U3" i="195" s="1"/>
  <c r="X10" i="82"/>
  <c r="U3" i="186" s="1"/>
  <c r="X9" i="82"/>
  <c r="U3" i="165" s="1"/>
  <c r="X8" i="82"/>
  <c r="U3" i="148" s="1"/>
  <c r="X7" i="82"/>
  <c r="U3" i="168" s="1"/>
  <c r="X6" i="82"/>
  <c r="U3" i="132" s="1"/>
  <c r="X5" i="82"/>
  <c r="U3" i="112" s="1"/>
  <c r="X4" i="82"/>
  <c r="U3" i="86" s="1"/>
  <c r="B833" i="82"/>
  <c r="C833" i="82"/>
  <c r="D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U3" i="323" l="1"/>
  <c r="U4" i="323"/>
  <c r="U6" i="317"/>
  <c r="U5" i="311"/>
  <c r="V65" i="284"/>
  <c r="V65" i="278"/>
  <c r="V64" i="284"/>
  <c r="U110" i="289"/>
  <c r="T4" i="161" l="1"/>
  <c r="K4" i="161"/>
  <c r="V45" i="283"/>
  <c r="B832" i="82"/>
  <c r="B45" i="283" s="1"/>
  <c r="C832" i="82"/>
  <c r="C45" i="283" s="1"/>
  <c r="D832" i="82"/>
  <c r="E832" i="82"/>
  <c r="W832" i="82" s="1"/>
  <c r="V5" i="28" s="1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U45" i="283" l="1"/>
  <c r="D45" i="283"/>
  <c r="B831" i="82"/>
  <c r="B44" i="283" s="1"/>
  <c r="C831" i="82"/>
  <c r="C44" i="283" s="1"/>
  <c r="D831" i="82"/>
  <c r="E831" i="82"/>
  <c r="W831" i="82" s="1"/>
  <c r="V5" i="33" s="1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V44" i="283" l="1"/>
  <c r="T5" i="30"/>
  <c r="U44" i="283"/>
  <c r="D44" i="283"/>
  <c r="K5" i="30"/>
  <c r="D108" i="80"/>
  <c r="C108" i="80"/>
  <c r="B108" i="80"/>
  <c r="Y20" i="164"/>
  <c r="M108" i="80" l="1"/>
  <c r="T4" i="169" l="1"/>
  <c r="K4" i="169"/>
  <c r="T4" i="177"/>
  <c r="K4" i="177"/>
  <c r="B830" i="82"/>
  <c r="B71" i="284" s="1"/>
  <c r="C830" i="82"/>
  <c r="C71" i="284" s="1"/>
  <c r="D830" i="82"/>
  <c r="E830" i="82"/>
  <c r="W830" i="82" s="1"/>
  <c r="V7" i="93" s="1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V71" i="284" l="1"/>
  <c r="K7" i="93"/>
  <c r="T7" i="93"/>
  <c r="D71" i="284"/>
  <c r="U71" i="284"/>
  <c r="B829" i="82"/>
  <c r="B70" i="284" s="1"/>
  <c r="C829" i="82"/>
  <c r="C70" i="284" s="1"/>
  <c r="D829" i="82"/>
  <c r="E829" i="82"/>
  <c r="W829" i="82" s="1"/>
  <c r="V5" i="97" s="1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U70" i="284" l="1"/>
  <c r="V70" i="284"/>
  <c r="D70" i="284"/>
  <c r="D163" i="82"/>
  <c r="B151" i="72"/>
  <c r="T151" i="72"/>
  <c r="A27" i="50"/>
  <c r="C27" i="50"/>
  <c r="N27" i="50"/>
  <c r="Y27" i="50"/>
  <c r="T6" i="146" l="1"/>
  <c r="K3" i="161"/>
  <c r="K6" i="146"/>
  <c r="T3" i="161"/>
  <c r="T6" i="59" l="1"/>
  <c r="K4" i="321"/>
  <c r="K4" i="76"/>
  <c r="K5" i="53"/>
  <c r="T5" i="54"/>
  <c r="T4" i="321"/>
  <c r="T4" i="76"/>
  <c r="K5" i="54"/>
  <c r="T6" i="53"/>
  <c r="K6" i="59"/>
  <c r="K6" i="53"/>
  <c r="T5" i="53"/>
  <c r="T3" i="321"/>
  <c r="K6" i="321"/>
  <c r="T6" i="321"/>
  <c r="K3" i="321"/>
  <c r="T5" i="321"/>
  <c r="K5" i="321"/>
  <c r="K3" i="60"/>
  <c r="T3" i="60"/>
  <c r="B170" i="81"/>
  <c r="C170" i="81"/>
  <c r="D170" i="81"/>
  <c r="E170" i="81"/>
  <c r="F170" i="81"/>
  <c r="G170" i="81"/>
  <c r="H170" i="81"/>
  <c r="I170" i="81"/>
  <c r="J170" i="81"/>
  <c r="K170" i="81"/>
  <c r="L170" i="81"/>
  <c r="B171" i="81"/>
  <c r="C171" i="81"/>
  <c r="D171" i="81"/>
  <c r="E171" i="81"/>
  <c r="F171" i="81"/>
  <c r="G171" i="81"/>
  <c r="H171" i="81"/>
  <c r="I171" i="81"/>
  <c r="J171" i="81"/>
  <c r="K171" i="81"/>
  <c r="L171" i="81"/>
  <c r="C10" i="225"/>
  <c r="C11" i="225"/>
  <c r="B180" i="72"/>
  <c r="T180" i="72"/>
  <c r="B181" i="72"/>
  <c r="T181" i="72"/>
  <c r="B174" i="80"/>
  <c r="C174" i="80"/>
  <c r="D174" i="80"/>
  <c r="B175" i="80"/>
  <c r="C175" i="80"/>
  <c r="D175" i="80"/>
  <c r="A10" i="225"/>
  <c r="A11" i="225"/>
  <c r="M174" i="80" l="1"/>
  <c r="M175" i="80"/>
  <c r="M171" i="81"/>
  <c r="M170" i="81"/>
  <c r="T3" i="320"/>
  <c r="T6" i="226"/>
  <c r="T3" i="236"/>
  <c r="K6" i="234"/>
  <c r="K3" i="320"/>
  <c r="K6" i="226"/>
  <c r="K3" i="236"/>
  <c r="T6" i="234"/>
  <c r="T3" i="235"/>
  <c r="T4" i="234"/>
  <c r="K4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N64" i="302"/>
  <c r="N65" i="302"/>
  <c r="N66" i="302"/>
  <c r="N67" i="302"/>
  <c r="N69" i="302"/>
  <c r="N70" i="302"/>
  <c r="N71" i="302"/>
  <c r="N72" i="302"/>
  <c r="N73" i="302"/>
  <c r="N75" i="302"/>
  <c r="N76" i="302"/>
  <c r="N77" i="302"/>
  <c r="N78" i="302"/>
  <c r="N79" i="302"/>
  <c r="N63" i="302"/>
  <c r="B97" i="72" l="1"/>
  <c r="T97" i="72"/>
  <c r="K3" i="135" l="1"/>
  <c r="T3" i="135"/>
  <c r="C2" i="302"/>
  <c r="T5" i="194" l="1"/>
  <c r="T6" i="194"/>
  <c r="K5" i="194"/>
  <c r="K6" i="194"/>
  <c r="A40" i="131" l="1"/>
  <c r="C40" i="131"/>
  <c r="Z40" i="131"/>
  <c r="N40" i="131" s="1"/>
  <c r="B113" i="72"/>
  <c r="T113" i="72"/>
  <c r="B32" i="72"/>
  <c r="T32" i="72"/>
  <c r="A22" i="36"/>
  <c r="C22" i="36"/>
  <c r="Z22" i="36"/>
  <c r="A20" i="164"/>
  <c r="Y22" i="36" l="1"/>
  <c r="N22" i="36"/>
  <c r="Y40" i="131"/>
  <c r="D173" i="303"/>
  <c r="E173" i="303"/>
  <c r="F173" i="303"/>
  <c r="G173" i="303"/>
  <c r="H173" i="303"/>
  <c r="I173" i="303"/>
  <c r="J173" i="303"/>
  <c r="K173" i="303"/>
  <c r="L173" i="303"/>
  <c r="M173" i="303"/>
  <c r="N173" i="303"/>
  <c r="O173" i="303"/>
  <c r="D57" i="303"/>
  <c r="D56" i="303"/>
  <c r="D55" i="303"/>
  <c r="D29" i="303"/>
  <c r="E29" i="303" s="1"/>
  <c r="F29" i="303" s="1"/>
  <c r="G29" i="303" s="1"/>
  <c r="H29" i="303" s="1"/>
  <c r="I29" i="303" s="1"/>
  <c r="J29" i="303" s="1"/>
  <c r="K29" i="303" s="1"/>
  <c r="L29" i="303" s="1"/>
  <c r="M29" i="303" s="1"/>
  <c r="N29" i="303" s="1"/>
  <c r="O29" i="303" s="1"/>
  <c r="P173" i="303" l="1"/>
  <c r="T7" i="193" l="1"/>
  <c r="K4" i="54"/>
  <c r="T6" i="319"/>
  <c r="T5" i="197"/>
  <c r="K5" i="197"/>
  <c r="K7" i="193"/>
  <c r="T4" i="54"/>
  <c r="T3" i="174"/>
  <c r="K3" i="197"/>
  <c r="T4" i="197"/>
  <c r="K3" i="174"/>
  <c r="T6" i="179"/>
  <c r="K5" i="319"/>
  <c r="K4" i="197"/>
  <c r="T3" i="197"/>
  <c r="K6" i="179"/>
  <c r="K4" i="319"/>
  <c r="T3" i="319"/>
  <c r="K3" i="319"/>
  <c r="K6" i="319"/>
  <c r="T4" i="319"/>
  <c r="T5" i="319"/>
  <c r="K4" i="179"/>
  <c r="T4" i="179"/>
  <c r="T3" i="179"/>
  <c r="K5" i="179"/>
  <c r="K3" i="179"/>
  <c r="T5" i="179"/>
  <c r="K5" i="169"/>
  <c r="T5" i="169"/>
  <c r="K5" i="318" l="1"/>
  <c r="T4" i="318"/>
  <c r="T5" i="83"/>
  <c r="K3" i="317"/>
  <c r="T5" i="137"/>
  <c r="T5" i="138"/>
  <c r="T4" i="99"/>
  <c r="T5" i="318"/>
  <c r="K4" i="318"/>
  <c r="K5" i="83"/>
  <c r="T4" i="317"/>
  <c r="K4" i="137"/>
  <c r="T6" i="140"/>
  <c r="T4" i="142"/>
  <c r="T3" i="163"/>
  <c r="T3" i="318"/>
  <c r="K3" i="318"/>
  <c r="K6" i="140"/>
  <c r="K3" i="163"/>
  <c r="K4" i="308"/>
  <c r="K5" i="311"/>
  <c r="K5" i="138"/>
  <c r="T4" i="139"/>
  <c r="K4" i="139"/>
  <c r="T3" i="162"/>
  <c r="K3" i="162"/>
  <c r="T4" i="137"/>
  <c r="K4" i="142"/>
  <c r="K5" i="137"/>
  <c r="T3" i="142"/>
  <c r="K3" i="142"/>
  <c r="K4" i="317"/>
  <c r="T3" i="317"/>
  <c r="T5" i="311"/>
  <c r="T4" i="308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828" i="82"/>
  <c r="C828" i="82"/>
  <c r="C109" i="289" s="1"/>
  <c r="B828" i="82"/>
  <c r="B109" i="289" s="1"/>
  <c r="V109" i="289" l="1"/>
  <c r="W828" i="82"/>
  <c r="V6" i="119" s="1"/>
  <c r="D109" i="289"/>
  <c r="B827" i="82"/>
  <c r="B69" i="284" s="1"/>
  <c r="C827" i="82"/>
  <c r="C69" i="284" s="1"/>
  <c r="D827" i="82"/>
  <c r="E827" i="82"/>
  <c r="W827" i="82" s="1"/>
  <c r="V6" i="98" s="1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U109" i="289" l="1"/>
  <c r="V69" i="284"/>
  <c r="T6" i="98"/>
  <c r="D69" i="284"/>
  <c r="K6" i="98"/>
  <c r="U69" i="284"/>
  <c r="B825" i="82"/>
  <c r="B95" i="278" s="1"/>
  <c r="V133" i="285"/>
  <c r="C825" i="82"/>
  <c r="C95" i="278" s="1"/>
  <c r="D825" i="82"/>
  <c r="E825" i="82"/>
  <c r="W825" i="82" s="1"/>
  <c r="V6" i="52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D826" i="82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6" i="82" l="1"/>
  <c r="V6" i="318" s="1"/>
  <c r="D95" i="278"/>
  <c r="U95" i="278"/>
  <c r="V95" i="278"/>
  <c r="V20" i="288"/>
  <c r="B824" i="82"/>
  <c r="B20" i="288" s="1"/>
  <c r="C824" i="82"/>
  <c r="C20" i="288" s="1"/>
  <c r="D824" i="82"/>
  <c r="E824" i="82"/>
  <c r="W824" i="82" s="1"/>
  <c r="V7" i="254" s="1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U133" i="285" l="1"/>
  <c r="K7" i="254"/>
  <c r="T7" i="254"/>
  <c r="U20" i="288"/>
  <c r="D20" i="288"/>
  <c r="B823" i="82"/>
  <c r="B68" i="284" s="1"/>
  <c r="C823" i="82"/>
  <c r="C68" i="284" s="1"/>
  <c r="D823" i="82"/>
  <c r="E823" i="82"/>
  <c r="W823" i="82" s="1"/>
  <c r="V4" i="97" s="1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V68" i="284"/>
  <c r="Y823" i="82"/>
  <c r="U68" i="284" l="1"/>
  <c r="D68" i="284"/>
  <c r="K5" i="97"/>
  <c r="T5" i="97"/>
  <c r="B822" i="82"/>
  <c r="C822" i="82"/>
  <c r="D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T6" i="103" l="1"/>
  <c r="K6" i="103"/>
  <c r="V25" i="290" l="1"/>
  <c r="B821" i="82"/>
  <c r="B25" i="290" s="1"/>
  <c r="C821" i="82"/>
  <c r="C25" i="290" s="1"/>
  <c r="D821" i="82"/>
  <c r="E821" i="82"/>
  <c r="F821" i="82"/>
  <c r="E25" i="290" s="1"/>
  <c r="G821" i="82"/>
  <c r="F25" i="290" s="1"/>
  <c r="H821" i="82"/>
  <c r="G25" i="290" s="1"/>
  <c r="I821" i="82"/>
  <c r="H25" i="290" s="1"/>
  <c r="J821" i="82"/>
  <c r="I25" i="290" s="1"/>
  <c r="K821" i="82"/>
  <c r="J25" i="290" s="1"/>
  <c r="L821" i="82"/>
  <c r="K25" i="290" s="1"/>
  <c r="M821" i="82"/>
  <c r="L25" i="290" s="1"/>
  <c r="N821" i="82"/>
  <c r="M25" i="290" s="1"/>
  <c r="O821" i="82"/>
  <c r="N25" i="290" s="1"/>
  <c r="P821" i="82"/>
  <c r="O25" i="290" s="1"/>
  <c r="Q821" i="82"/>
  <c r="P25" i="290" s="1"/>
  <c r="R821" i="82"/>
  <c r="Q25" i="290" s="1"/>
  <c r="S821" i="82"/>
  <c r="R25" i="290" s="1"/>
  <c r="T821" i="82"/>
  <c r="S25" i="290" s="1"/>
  <c r="U821" i="82"/>
  <c r="T25" i="290" s="1"/>
  <c r="Y821" i="82"/>
  <c r="W821" i="82" l="1"/>
  <c r="V5" i="197" s="1"/>
  <c r="D25" i="290"/>
  <c r="U25" i="290" l="1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820" i="82"/>
  <c r="C820" i="82"/>
  <c r="C63" i="282" s="1"/>
  <c r="B820" i="82"/>
  <c r="B63" i="282" s="1"/>
  <c r="V63" i="282" l="1"/>
  <c r="W820" i="82"/>
  <c r="V6" i="179" s="1"/>
  <c r="D63" i="282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819" i="82"/>
  <c r="C819" i="82"/>
  <c r="C62" i="282" s="1"/>
  <c r="B819" i="82"/>
  <c r="B62" i="282" s="1"/>
  <c r="U63" i="282" l="1"/>
  <c r="V62" i="282"/>
  <c r="T6" i="173"/>
  <c r="K6" i="173"/>
  <c r="W819" i="82"/>
  <c r="V6" i="173" s="1"/>
  <c r="D62" i="2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O33" i="302"/>
  <c r="U62" i="282" l="1"/>
  <c r="T13" i="190" l="1"/>
  <c r="I13" i="190"/>
  <c r="I13" i="262"/>
  <c r="T12" i="225"/>
  <c r="I12" i="225"/>
  <c r="T13" i="216"/>
  <c r="I13" i="216"/>
  <c r="I15" i="250"/>
  <c r="T19" i="237"/>
  <c r="I19" i="237"/>
  <c r="T12" i="182"/>
  <c r="I12" i="182"/>
  <c r="A6" i="270"/>
  <c r="A7" i="270"/>
  <c r="A8" i="270"/>
  <c r="A9" i="270"/>
  <c r="A10" i="270"/>
  <c r="A11" i="270"/>
  <c r="A5" i="270"/>
  <c r="T20" i="199"/>
  <c r="I20" i="199"/>
  <c r="Y11" i="270"/>
  <c r="Y17" i="237"/>
  <c r="T17" i="1"/>
  <c r="I17" i="1"/>
  <c r="C25" i="50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C5" i="50"/>
  <c r="A5" i="50"/>
  <c r="T217" i="72"/>
  <c r="T218" i="72"/>
  <c r="T219" i="72"/>
  <c r="B219" i="72"/>
  <c r="B218" i="72"/>
  <c r="B217" i="72"/>
  <c r="T216" i="72"/>
  <c r="B216" i="72"/>
  <c r="T215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79" i="72"/>
  <c r="B179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6" i="72"/>
  <c r="B116" i="72"/>
  <c r="T115" i="72"/>
  <c r="B115" i="72"/>
  <c r="T114" i="72"/>
  <c r="B114" i="72"/>
  <c r="T112" i="72"/>
  <c r="B112" i="72"/>
  <c r="T111" i="72"/>
  <c r="B111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4" i="72"/>
  <c r="B94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3" i="72"/>
  <c r="B33" i="72"/>
  <c r="T31" i="72"/>
  <c r="B31" i="72"/>
  <c r="T30" i="72"/>
  <c r="B30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C4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B5" i="82"/>
  <c r="C5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B6" i="82"/>
  <c r="C6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B7" i="82"/>
  <c r="C7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B8" i="82"/>
  <c r="C8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B9" i="82"/>
  <c r="C9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B10" i="82"/>
  <c r="C10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B11" i="82"/>
  <c r="C11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B12" i="82"/>
  <c r="C12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B13" i="82"/>
  <c r="C13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B14" i="82"/>
  <c r="C14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B15" i="82"/>
  <c r="C15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B16" i="82"/>
  <c r="C16" i="82"/>
  <c r="D16" i="82"/>
  <c r="E16" i="82"/>
  <c r="W16" i="82" s="1"/>
  <c r="V4" i="165" s="1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B17" i="82"/>
  <c r="C17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B20" i="82"/>
  <c r="C20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B21" i="82"/>
  <c r="C21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B22" i="82"/>
  <c r="C22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B23" i="82"/>
  <c r="C23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B24" i="82"/>
  <c r="C24" i="82"/>
  <c r="D24" i="82"/>
  <c r="E24" i="82"/>
  <c r="W24" i="82" s="1"/>
  <c r="V4" i="89" s="1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B25" i="82"/>
  <c r="C25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B27" i="82"/>
  <c r="C27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B28" i="82"/>
  <c r="C28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B31" i="82"/>
  <c r="C31" i="82"/>
  <c r="D31" i="82"/>
  <c r="E31" i="82"/>
  <c r="W31" i="82" s="1"/>
  <c r="V3" i="185" s="1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B32" i="82"/>
  <c r="C32" i="82"/>
  <c r="D32" i="82"/>
  <c r="E32" i="82"/>
  <c r="W32" i="82" s="1"/>
  <c r="V4" i="223" s="1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B33" i="82"/>
  <c r="C33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B34" i="82"/>
  <c r="C34" i="82"/>
  <c r="D34" i="82"/>
  <c r="E34" i="82"/>
  <c r="W34" i="82" s="1"/>
  <c r="V4" i="91" s="1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B35" i="82"/>
  <c r="C35" i="82"/>
  <c r="D35" i="82"/>
  <c r="E35" i="82"/>
  <c r="W35" i="82" s="1"/>
  <c r="V5" i="91" s="1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B37" i="82"/>
  <c r="C37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B38" i="82"/>
  <c r="C38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B40" i="82"/>
  <c r="C40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B41" i="82"/>
  <c r="C41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B43" i="82"/>
  <c r="C43" i="82"/>
  <c r="D43" i="82"/>
  <c r="E43" i="82"/>
  <c r="W43" i="82" s="1"/>
  <c r="V4" i="51" s="1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C45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B46" i="82"/>
  <c r="C46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B47" i="82"/>
  <c r="C47" i="82"/>
  <c r="D47" i="82"/>
  <c r="E47" i="82"/>
  <c r="W47" i="82" s="1"/>
  <c r="V5" i="223" s="1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B50" i="82"/>
  <c r="C50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B51" i="82"/>
  <c r="C51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B52" i="82"/>
  <c r="C52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B53" i="82"/>
  <c r="C53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B55" i="82"/>
  <c r="C55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B56" i="82"/>
  <c r="C56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B57" i="82"/>
  <c r="C57" i="82"/>
  <c r="D57" i="82"/>
  <c r="E57" i="82"/>
  <c r="W57" i="82" s="1"/>
  <c r="V4" i="121" s="1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B58" i="82"/>
  <c r="C58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B60" i="82"/>
  <c r="C60" i="82"/>
  <c r="D60" i="82"/>
  <c r="E60" i="82"/>
  <c r="W60" i="82" s="1"/>
  <c r="V3" i="226" s="1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B62" i="82"/>
  <c r="C62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B63" i="82"/>
  <c r="C63" i="82"/>
  <c r="D63" i="82"/>
  <c r="E63" i="82"/>
  <c r="W63" i="82" s="1"/>
  <c r="V4" i="206" s="1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B64" i="82"/>
  <c r="C64" i="82"/>
  <c r="D64" i="82"/>
  <c r="E64" i="82"/>
  <c r="W64" i="82" s="1"/>
  <c r="V4" i="208" s="1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B65" i="82"/>
  <c r="C65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B66" i="82"/>
  <c r="C66" i="82"/>
  <c r="D66" i="82"/>
  <c r="E66" i="82"/>
  <c r="W66" i="82" s="1"/>
  <c r="V4" i="192" s="1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B67" i="82"/>
  <c r="C67" i="82"/>
  <c r="D67" i="82"/>
  <c r="E67" i="82"/>
  <c r="W67" i="82" s="1"/>
  <c r="V4" i="256" s="1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B68" i="82"/>
  <c r="C68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B70" i="82"/>
  <c r="C70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B71" i="82"/>
  <c r="C71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B73" i="82"/>
  <c r="C73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B74" i="82"/>
  <c r="C74" i="82"/>
  <c r="D74" i="82"/>
  <c r="E74" i="82"/>
  <c r="W74" i="82" s="1"/>
  <c r="V4" i="235" s="1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B75" i="82"/>
  <c r="C75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B76" i="82"/>
  <c r="C76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B77" i="82"/>
  <c r="C77" i="82"/>
  <c r="D77" i="82"/>
  <c r="E77" i="82"/>
  <c r="W77" i="82" s="1"/>
  <c r="V4" i="221" s="1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B79" i="82"/>
  <c r="C79" i="82"/>
  <c r="D79" i="82"/>
  <c r="E79" i="82"/>
  <c r="W79" i="82" s="1"/>
  <c r="V5" i="221" s="1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B80" i="82"/>
  <c r="C80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B81" i="82"/>
  <c r="C81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C82" i="82"/>
  <c r="D82" i="82"/>
  <c r="E82" i="82"/>
  <c r="W82" i="82" s="1"/>
  <c r="V4" i="276" s="1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B83" i="82"/>
  <c r="C83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B85" i="82"/>
  <c r="C85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B86" i="82"/>
  <c r="C86" i="82"/>
  <c r="D86" i="82"/>
  <c r="E86" i="82"/>
  <c r="W86" i="82" s="1"/>
  <c r="V4" i="222" s="1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B87" i="82"/>
  <c r="C87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B88" i="82"/>
  <c r="C88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B89" i="82"/>
  <c r="C89" i="82"/>
  <c r="D89" i="82"/>
  <c r="E89" i="82"/>
  <c r="W89" i="82" s="1"/>
  <c r="V4" i="64" s="1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B90" i="82"/>
  <c r="C90" i="82"/>
  <c r="D90" i="82"/>
  <c r="E90" i="82"/>
  <c r="W90" i="82" s="1"/>
  <c r="V4" i="207" s="1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B91" i="82"/>
  <c r="C91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B92" i="82"/>
  <c r="C92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B93" i="82"/>
  <c r="C93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B95" i="82"/>
  <c r="C95" i="82"/>
  <c r="D95" i="82"/>
  <c r="E95" i="82"/>
  <c r="W95" i="82" s="1"/>
  <c r="V4" i="56" s="1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B97" i="82"/>
  <c r="C97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B98" i="82"/>
  <c r="C98" i="82"/>
  <c r="D98" i="82"/>
  <c r="E98" i="82"/>
  <c r="W98" i="82" s="1"/>
  <c r="V5" i="222" s="1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B99" i="82"/>
  <c r="C99" i="82"/>
  <c r="D99" i="82"/>
  <c r="E99" i="82"/>
  <c r="W99" i="82" s="1"/>
  <c r="V4" i="100" s="1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B100" i="82"/>
  <c r="C100" i="82"/>
  <c r="D100" i="82"/>
  <c r="E100" i="82"/>
  <c r="W100" i="82" s="1"/>
  <c r="V4" i="217" s="1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B101" i="82"/>
  <c r="C101" i="82"/>
  <c r="D101" i="82"/>
  <c r="E101" i="82"/>
  <c r="W101" i="82" s="1"/>
  <c r="V4" i="220" s="1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B103" i="82"/>
  <c r="C103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B104" i="82"/>
  <c r="C104" i="82"/>
  <c r="D104" i="82"/>
  <c r="E104" i="82"/>
  <c r="W104" i="82" s="1"/>
  <c r="V6" i="222" s="1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B105" i="82"/>
  <c r="C105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B106" i="82"/>
  <c r="C106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B107" i="82"/>
  <c r="C107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B108" i="82"/>
  <c r="C108" i="82"/>
  <c r="D108" i="82"/>
  <c r="E108" i="82"/>
  <c r="W108" i="82" s="1"/>
  <c r="V4" i="244" s="1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B109" i="82"/>
  <c r="C109" i="82"/>
  <c r="D109" i="82"/>
  <c r="E109" i="82"/>
  <c r="W109" i="82" s="1"/>
  <c r="V4" i="219" s="1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B110" i="82"/>
  <c r="C110" i="82"/>
  <c r="D110" i="82"/>
  <c r="E110" i="82"/>
  <c r="W110" i="82" s="1"/>
  <c r="V5" i="206" s="1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B111" i="82"/>
  <c r="C111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B112" i="82"/>
  <c r="C112" i="82"/>
  <c r="D112" i="82"/>
  <c r="E112" i="82"/>
  <c r="W112" i="82" s="1"/>
  <c r="V4" i="185" s="1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B113" i="82"/>
  <c r="C113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B114" i="82"/>
  <c r="C114" i="82"/>
  <c r="D114" i="82"/>
  <c r="E114" i="82"/>
  <c r="W114" i="82" s="1"/>
  <c r="V5" i="217" s="1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B115" i="82"/>
  <c r="C115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B116" i="82"/>
  <c r="C116" i="82"/>
  <c r="D116" i="82"/>
  <c r="E116" i="82"/>
  <c r="W116" i="82" s="1"/>
  <c r="V4" i="186" s="1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B118" i="82"/>
  <c r="C118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B119" i="82"/>
  <c r="C119" i="82"/>
  <c r="D119" i="82"/>
  <c r="E119" i="82"/>
  <c r="W119" i="82" s="1"/>
  <c r="V4" i="183" s="1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B121" i="82"/>
  <c r="C121" i="82"/>
  <c r="D121" i="82"/>
  <c r="E121" i="82"/>
  <c r="W121" i="82" s="1"/>
  <c r="V5" i="207" s="1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B122" i="82"/>
  <c r="C122" i="82"/>
  <c r="D122" i="82"/>
  <c r="E122" i="82"/>
  <c r="W122" i="82" s="1"/>
  <c r="V3" i="213" s="1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B123" i="82"/>
  <c r="C123" i="82"/>
  <c r="D123" i="82"/>
  <c r="E123" i="82"/>
  <c r="W123" i="82" s="1"/>
  <c r="V4" i="232" s="1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B125" i="82"/>
  <c r="C125" i="82"/>
  <c r="D125" i="82"/>
  <c r="E125" i="82"/>
  <c r="W125" i="82" s="1"/>
  <c r="V4" i="32" s="1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B127" i="82"/>
  <c r="C127" i="82"/>
  <c r="D127" i="82"/>
  <c r="E127" i="82"/>
  <c r="W127" i="82" s="1"/>
  <c r="V6" i="91" s="1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B128" i="82"/>
  <c r="C128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B130" i="82"/>
  <c r="C130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B131" i="82"/>
  <c r="C131" i="82"/>
  <c r="D131" i="82"/>
  <c r="E131" i="82"/>
  <c r="W131" i="82" s="1"/>
  <c r="V5" i="244" s="1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B132" i="82"/>
  <c r="C132" i="82"/>
  <c r="D132" i="82"/>
  <c r="E132" i="82"/>
  <c r="W132" i="82" s="1"/>
  <c r="V5" i="192" s="1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B133" i="82"/>
  <c r="C133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B135" i="82"/>
  <c r="C135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B136" i="82"/>
  <c r="C136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B137" i="82"/>
  <c r="C137" i="82"/>
  <c r="D137" i="82"/>
  <c r="E137" i="82"/>
  <c r="W137" i="82" s="1"/>
  <c r="V4" i="110" s="1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B140" i="82"/>
  <c r="C140" i="82"/>
  <c r="D140" i="82"/>
  <c r="E140" i="82"/>
  <c r="W140" i="82" s="1"/>
  <c r="V4" i="218" s="1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B141" i="82"/>
  <c r="C141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B142" i="82"/>
  <c r="C142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B143" i="82"/>
  <c r="C143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B145" i="82"/>
  <c r="C145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B146" i="82"/>
  <c r="C146" i="82"/>
  <c r="D146" i="82"/>
  <c r="E146" i="82"/>
  <c r="W146" i="82" s="1"/>
  <c r="V3" i="59" s="1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B147" i="82"/>
  <c r="C147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B148" i="82"/>
  <c r="C148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B151" i="82"/>
  <c r="C151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B152" i="82"/>
  <c r="C152" i="82"/>
  <c r="D152" i="82"/>
  <c r="E152" i="82"/>
  <c r="W152" i="82" s="1"/>
  <c r="V4" i="226" s="1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B153" i="82"/>
  <c r="C153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B154" i="82"/>
  <c r="C154" i="82"/>
  <c r="D154" i="82"/>
  <c r="E154" i="82"/>
  <c r="W154" i="82" s="1"/>
  <c r="V3" i="93" s="1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B155" i="82"/>
  <c r="C155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B157" i="82"/>
  <c r="C157" i="82"/>
  <c r="D157" i="82"/>
  <c r="E157" i="82"/>
  <c r="W157" i="82" s="1"/>
  <c r="V4" i="242" s="1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B158" i="82"/>
  <c r="C158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B159" i="82"/>
  <c r="C159" i="82"/>
  <c r="D159" i="82"/>
  <c r="E159" i="82"/>
  <c r="W159" i="82" s="1"/>
  <c r="V5" i="220" s="1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B160" i="82"/>
  <c r="C160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B161" i="82"/>
  <c r="C161" i="82"/>
  <c r="D161" i="82"/>
  <c r="E161" i="82"/>
  <c r="W161" i="82" s="1"/>
  <c r="V5" i="186" s="1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B163" i="82"/>
  <c r="C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B164" i="82"/>
  <c r="C164" i="82"/>
  <c r="D164" i="82"/>
  <c r="E164" i="82"/>
  <c r="W164" i="82" s="1"/>
  <c r="V4" i="233" s="1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B165" i="82"/>
  <c r="C165" i="82"/>
  <c r="D165" i="82"/>
  <c r="E165" i="82"/>
  <c r="W165" i="82" s="1"/>
  <c r="V4" i="138" s="1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B167" i="82"/>
  <c r="C167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B168" i="82"/>
  <c r="C168" i="82"/>
  <c r="D168" i="82"/>
  <c r="E168" i="82"/>
  <c r="W168" i="82" s="1"/>
  <c r="V5" i="183" s="1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B170" i="82"/>
  <c r="C170" i="82"/>
  <c r="D170" i="82"/>
  <c r="E170" i="82"/>
  <c r="W170" i="82" s="1"/>
  <c r="V6" i="221" s="1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B171" i="82"/>
  <c r="C171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B172" i="82"/>
  <c r="C172" i="82"/>
  <c r="D172" i="82"/>
  <c r="E172" i="82"/>
  <c r="W172" i="82" s="1"/>
  <c r="V4" i="166" s="1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C173" i="82"/>
  <c r="D173" i="82"/>
  <c r="E173" i="82"/>
  <c r="W173" i="82" s="1"/>
  <c r="V4" i="136" s="1"/>
  <c r="F173" i="82"/>
  <c r="G173" i="82"/>
  <c r="H173" i="82"/>
  <c r="I173" i="82"/>
  <c r="J173" i="82"/>
  <c r="K173" i="82"/>
  <c r="L173" i="82"/>
  <c r="M173" i="82"/>
  <c r="N173" i="82"/>
  <c r="O173" i="82"/>
  <c r="P173" i="82"/>
  <c r="Q173" i="82"/>
  <c r="R173" i="82"/>
  <c r="S173" i="82"/>
  <c r="T173" i="82"/>
  <c r="U173" i="82"/>
  <c r="B174" i="82"/>
  <c r="C174" i="82"/>
  <c r="D174" i="82"/>
  <c r="E174" i="82"/>
  <c r="W174" i="82" s="1"/>
  <c r="V4" i="133" s="1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B175" i="82"/>
  <c r="C175" i="82"/>
  <c r="D175" i="82"/>
  <c r="E175" i="82"/>
  <c r="F175" i="82"/>
  <c r="G175" i="82"/>
  <c r="H175" i="82"/>
  <c r="I175" i="82"/>
  <c r="J175" i="82"/>
  <c r="K175" i="82"/>
  <c r="L175" i="82"/>
  <c r="M175" i="82"/>
  <c r="N175" i="82"/>
  <c r="O175" i="82"/>
  <c r="P175" i="82"/>
  <c r="Q175" i="82"/>
  <c r="R175" i="82"/>
  <c r="S175" i="82"/>
  <c r="T175" i="82"/>
  <c r="U175" i="82"/>
  <c r="B176" i="82"/>
  <c r="C176" i="82"/>
  <c r="D176" i="82"/>
  <c r="E176" i="82"/>
  <c r="W176" i="82" s="1"/>
  <c r="V4" i="103" s="1"/>
  <c r="F176" i="82"/>
  <c r="G176" i="82"/>
  <c r="H176" i="82"/>
  <c r="I176" i="82"/>
  <c r="J176" i="82"/>
  <c r="K176" i="82"/>
  <c r="L176" i="82"/>
  <c r="M176" i="82"/>
  <c r="N176" i="82"/>
  <c r="O176" i="82"/>
  <c r="P176" i="82"/>
  <c r="Q176" i="82"/>
  <c r="R176" i="82"/>
  <c r="S176" i="82"/>
  <c r="T176" i="82"/>
  <c r="U176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B178" i="82"/>
  <c r="C178" i="82"/>
  <c r="D178" i="82"/>
  <c r="E178" i="82"/>
  <c r="W178" i="82" s="1"/>
  <c r="V5" i="235" s="1"/>
  <c r="F178" i="82"/>
  <c r="G178" i="82"/>
  <c r="H178" i="82"/>
  <c r="I178" i="82"/>
  <c r="J178" i="82"/>
  <c r="K178" i="82"/>
  <c r="L178" i="82"/>
  <c r="M178" i="82"/>
  <c r="N178" i="82"/>
  <c r="O178" i="82"/>
  <c r="P178" i="82"/>
  <c r="Q178" i="82"/>
  <c r="R178" i="82"/>
  <c r="S178" i="82"/>
  <c r="T178" i="82"/>
  <c r="U178" i="82"/>
  <c r="B179" i="82"/>
  <c r="C179" i="82"/>
  <c r="D179" i="82"/>
  <c r="E179" i="82"/>
  <c r="F179" i="82"/>
  <c r="G179" i="82"/>
  <c r="H179" i="82"/>
  <c r="I179" i="82"/>
  <c r="J179" i="82"/>
  <c r="K179" i="82"/>
  <c r="L179" i="82"/>
  <c r="M179" i="82"/>
  <c r="N179" i="82"/>
  <c r="O179" i="82"/>
  <c r="P179" i="82"/>
  <c r="Q179" i="82"/>
  <c r="R179" i="82"/>
  <c r="S179" i="82"/>
  <c r="T179" i="82"/>
  <c r="U179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B181" i="82"/>
  <c r="C181" i="82"/>
  <c r="D181" i="82"/>
  <c r="E181" i="82"/>
  <c r="W181" i="82" s="1"/>
  <c r="V5" i="233" s="1"/>
  <c r="F181" i="82"/>
  <c r="G181" i="82"/>
  <c r="H181" i="82"/>
  <c r="I181" i="82"/>
  <c r="J181" i="82"/>
  <c r="K181" i="82"/>
  <c r="L181" i="82"/>
  <c r="M181" i="82"/>
  <c r="N181" i="82"/>
  <c r="O181" i="82"/>
  <c r="P181" i="82"/>
  <c r="Q181" i="82"/>
  <c r="R181" i="82"/>
  <c r="S181" i="82"/>
  <c r="T181" i="82"/>
  <c r="U181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B183" i="82"/>
  <c r="C183" i="82"/>
  <c r="D183" i="82"/>
  <c r="E183" i="82"/>
  <c r="W183" i="82" s="1"/>
  <c r="V4" i="170" s="1"/>
  <c r="F183" i="82"/>
  <c r="G183" i="82"/>
  <c r="H183" i="82"/>
  <c r="I183" i="82"/>
  <c r="J183" i="82"/>
  <c r="K183" i="82"/>
  <c r="L183" i="82"/>
  <c r="M183" i="82"/>
  <c r="N183" i="82"/>
  <c r="O183" i="82"/>
  <c r="P183" i="82"/>
  <c r="Q183" i="82"/>
  <c r="R183" i="82"/>
  <c r="S183" i="82"/>
  <c r="T183" i="82"/>
  <c r="U183" i="82"/>
  <c r="B184" i="82"/>
  <c r="C184" i="82"/>
  <c r="D184" i="82"/>
  <c r="E184" i="82"/>
  <c r="W184" i="82" s="1"/>
  <c r="V4" i="145" s="1"/>
  <c r="F184" i="82"/>
  <c r="G184" i="82"/>
  <c r="H184" i="82"/>
  <c r="I184" i="82"/>
  <c r="J184" i="82"/>
  <c r="K184" i="82"/>
  <c r="L184" i="82"/>
  <c r="M184" i="82"/>
  <c r="N184" i="82"/>
  <c r="O184" i="82"/>
  <c r="P184" i="82"/>
  <c r="Q184" i="82"/>
  <c r="R184" i="82"/>
  <c r="S184" i="82"/>
  <c r="T184" i="82"/>
  <c r="U184" i="82"/>
  <c r="B185" i="82"/>
  <c r="C185" i="82"/>
  <c r="D185" i="82"/>
  <c r="E185" i="82"/>
  <c r="F185" i="82"/>
  <c r="G185" i="82"/>
  <c r="H185" i="82"/>
  <c r="I185" i="82"/>
  <c r="J185" i="82"/>
  <c r="K185" i="82"/>
  <c r="L185" i="82"/>
  <c r="M185" i="82"/>
  <c r="N185" i="82"/>
  <c r="O185" i="82"/>
  <c r="P185" i="82"/>
  <c r="Q185" i="82"/>
  <c r="R185" i="82"/>
  <c r="S185" i="82"/>
  <c r="T185" i="82"/>
  <c r="U185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B188" i="82"/>
  <c r="C188" i="82"/>
  <c r="D188" i="82"/>
  <c r="E188" i="82"/>
  <c r="F188" i="82"/>
  <c r="G188" i="82"/>
  <c r="H188" i="82"/>
  <c r="I188" i="82"/>
  <c r="J188" i="82"/>
  <c r="K188" i="82"/>
  <c r="L188" i="82"/>
  <c r="M188" i="82"/>
  <c r="N188" i="82"/>
  <c r="O188" i="82"/>
  <c r="P188" i="82"/>
  <c r="Q188" i="82"/>
  <c r="R188" i="82"/>
  <c r="S188" i="82"/>
  <c r="T188" i="82"/>
  <c r="U188" i="82"/>
  <c r="B189" i="82"/>
  <c r="C189" i="82"/>
  <c r="D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C190" i="82"/>
  <c r="D190" i="82"/>
  <c r="E190" i="82"/>
  <c r="F190" i="82"/>
  <c r="G190" i="82"/>
  <c r="H190" i="82"/>
  <c r="I190" i="82"/>
  <c r="J190" i="82"/>
  <c r="K190" i="82"/>
  <c r="L190" i="82"/>
  <c r="M190" i="82"/>
  <c r="N190" i="82"/>
  <c r="O190" i="82"/>
  <c r="P190" i="82"/>
  <c r="Q190" i="82"/>
  <c r="R190" i="82"/>
  <c r="S190" i="82"/>
  <c r="T190" i="82"/>
  <c r="U190" i="82"/>
  <c r="B191" i="82"/>
  <c r="C191" i="82"/>
  <c r="D191" i="82"/>
  <c r="E191" i="82"/>
  <c r="W191" i="82" s="1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D192" i="82"/>
  <c r="E192" i="82"/>
  <c r="W192" i="82" s="1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C193" i="82"/>
  <c r="D193" i="82"/>
  <c r="E193" i="82"/>
  <c r="W193" i="82" s="1"/>
  <c r="V5" i="136" s="1"/>
  <c r="F193" i="82"/>
  <c r="G193" i="82"/>
  <c r="H193" i="82"/>
  <c r="I193" i="82"/>
  <c r="J193" i="82"/>
  <c r="K193" i="82"/>
  <c r="L193" i="82"/>
  <c r="M193" i="82"/>
  <c r="N193" i="82"/>
  <c r="O193" i="82"/>
  <c r="P193" i="82"/>
  <c r="Q193" i="82"/>
  <c r="R193" i="82"/>
  <c r="S193" i="82"/>
  <c r="T193" i="82"/>
  <c r="U193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B195" i="82"/>
  <c r="C195" i="82"/>
  <c r="D195" i="82"/>
  <c r="E195" i="82"/>
  <c r="W195" i="82" s="1"/>
  <c r="V3" i="201" s="1"/>
  <c r="F195" i="82"/>
  <c r="G195" i="82"/>
  <c r="H195" i="82"/>
  <c r="I195" i="82"/>
  <c r="J195" i="82"/>
  <c r="K195" i="82"/>
  <c r="L195" i="82"/>
  <c r="M195" i="82"/>
  <c r="N195" i="82"/>
  <c r="O195" i="82"/>
  <c r="P195" i="82"/>
  <c r="Q195" i="82"/>
  <c r="R195" i="82"/>
  <c r="S195" i="82"/>
  <c r="T195" i="82"/>
  <c r="U195" i="82"/>
  <c r="B196" i="82"/>
  <c r="C196" i="82"/>
  <c r="D196" i="82"/>
  <c r="E196" i="82"/>
  <c r="W196" i="82" s="1"/>
  <c r="V4" i="113" s="1"/>
  <c r="F196" i="82"/>
  <c r="G196" i="82"/>
  <c r="H196" i="82"/>
  <c r="I196" i="82"/>
  <c r="J196" i="82"/>
  <c r="K196" i="82"/>
  <c r="L196" i="82"/>
  <c r="M196" i="82"/>
  <c r="N196" i="82"/>
  <c r="O196" i="82"/>
  <c r="P196" i="82"/>
  <c r="Q196" i="82"/>
  <c r="R196" i="82"/>
  <c r="S196" i="82"/>
  <c r="T196" i="82"/>
  <c r="U196" i="82"/>
  <c r="B197" i="82"/>
  <c r="C197" i="82"/>
  <c r="D197" i="82"/>
  <c r="E197" i="82"/>
  <c r="W197" i="82" s="1"/>
  <c r="V4" i="58" s="1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B198" i="82"/>
  <c r="C198" i="82"/>
  <c r="D198" i="82"/>
  <c r="E198" i="82"/>
  <c r="W198" i="82" s="1"/>
  <c r="V3" i="177" s="1"/>
  <c r="F198" i="82"/>
  <c r="G198" i="82"/>
  <c r="H198" i="82"/>
  <c r="I198" i="82"/>
  <c r="J198" i="82"/>
  <c r="K198" i="82"/>
  <c r="L198" i="82"/>
  <c r="M198" i="82"/>
  <c r="N198" i="82"/>
  <c r="O198" i="82"/>
  <c r="P198" i="82"/>
  <c r="Q198" i="82"/>
  <c r="R198" i="82"/>
  <c r="S198" i="82"/>
  <c r="T198" i="82"/>
  <c r="U198" i="82"/>
  <c r="B199" i="82"/>
  <c r="C199" i="82"/>
  <c r="D199" i="82"/>
  <c r="E199" i="82"/>
  <c r="W199" i="82" s="1"/>
  <c r="V4" i="134" s="1"/>
  <c r="F199" i="82"/>
  <c r="G199" i="82"/>
  <c r="H199" i="82"/>
  <c r="I199" i="82"/>
  <c r="J199" i="82"/>
  <c r="K199" i="82"/>
  <c r="L199" i="82"/>
  <c r="M199" i="82"/>
  <c r="N199" i="82"/>
  <c r="O199" i="82"/>
  <c r="P199" i="82"/>
  <c r="Q199" i="82"/>
  <c r="R199" i="82"/>
  <c r="S199" i="82"/>
  <c r="T199" i="82"/>
  <c r="U199" i="82"/>
  <c r="B200" i="82"/>
  <c r="C200" i="82"/>
  <c r="D200" i="82"/>
  <c r="E200" i="82"/>
  <c r="F200" i="82"/>
  <c r="G200" i="82"/>
  <c r="H200" i="82"/>
  <c r="I200" i="82"/>
  <c r="J200" i="82"/>
  <c r="K200" i="82"/>
  <c r="L200" i="82"/>
  <c r="M200" i="82"/>
  <c r="N200" i="82"/>
  <c r="O200" i="82"/>
  <c r="P200" i="82"/>
  <c r="Q200" i="82"/>
  <c r="R200" i="82"/>
  <c r="S200" i="82"/>
  <c r="T200" i="82"/>
  <c r="U200" i="82"/>
  <c r="B201" i="82"/>
  <c r="C201" i="82"/>
  <c r="D201" i="82"/>
  <c r="E201" i="82"/>
  <c r="F201" i="82"/>
  <c r="G201" i="82"/>
  <c r="H201" i="82"/>
  <c r="I201" i="82"/>
  <c r="J201" i="82"/>
  <c r="K201" i="82"/>
  <c r="L201" i="82"/>
  <c r="M201" i="82"/>
  <c r="N201" i="82"/>
  <c r="O201" i="82"/>
  <c r="P201" i="82"/>
  <c r="Q201" i="82"/>
  <c r="R201" i="82"/>
  <c r="S201" i="82"/>
  <c r="T201" i="82"/>
  <c r="U201" i="82"/>
  <c r="B202" i="82"/>
  <c r="C202" i="82"/>
  <c r="D202" i="82"/>
  <c r="E202" i="82"/>
  <c r="W202" i="82" s="1"/>
  <c r="V4" i="59" s="1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B203" i="82"/>
  <c r="C203" i="82"/>
  <c r="D203" i="82"/>
  <c r="E203" i="82"/>
  <c r="W203" i="82" s="1"/>
  <c r="V4" i="159" s="1"/>
  <c r="F203" i="82"/>
  <c r="G203" i="82"/>
  <c r="H203" i="82"/>
  <c r="I203" i="82"/>
  <c r="J203" i="82"/>
  <c r="K203" i="82"/>
  <c r="L203" i="82"/>
  <c r="M203" i="82"/>
  <c r="N203" i="82"/>
  <c r="O203" i="82"/>
  <c r="P203" i="82"/>
  <c r="Q203" i="82"/>
  <c r="R203" i="82"/>
  <c r="S203" i="82"/>
  <c r="T203" i="82"/>
  <c r="U203" i="82"/>
  <c r="B204" i="82"/>
  <c r="C204" i="82"/>
  <c r="D204" i="82"/>
  <c r="E204" i="82"/>
  <c r="W204" i="82" s="1"/>
  <c r="V4" i="147" s="1"/>
  <c r="F204" i="82"/>
  <c r="G204" i="82"/>
  <c r="H204" i="82"/>
  <c r="I204" i="82"/>
  <c r="J204" i="82"/>
  <c r="K204" i="82"/>
  <c r="L204" i="82"/>
  <c r="M204" i="82"/>
  <c r="N204" i="82"/>
  <c r="O204" i="82"/>
  <c r="P204" i="82"/>
  <c r="Q204" i="82"/>
  <c r="R204" i="82"/>
  <c r="S204" i="82"/>
  <c r="T204" i="82"/>
  <c r="U204" i="82"/>
  <c r="B205" i="82"/>
  <c r="C205" i="82"/>
  <c r="D205" i="82"/>
  <c r="E205" i="82"/>
  <c r="F205" i="82"/>
  <c r="G205" i="82"/>
  <c r="H205" i="82"/>
  <c r="I205" i="82"/>
  <c r="J205" i="82"/>
  <c r="K205" i="82"/>
  <c r="L205" i="82"/>
  <c r="M205" i="82"/>
  <c r="N205" i="82"/>
  <c r="O205" i="82"/>
  <c r="P205" i="82"/>
  <c r="Q205" i="82"/>
  <c r="R205" i="82"/>
  <c r="S205" i="82"/>
  <c r="T205" i="82"/>
  <c r="U205" i="82"/>
  <c r="B206" i="82"/>
  <c r="C206" i="82"/>
  <c r="D206" i="82"/>
  <c r="E206" i="82"/>
  <c r="W206" i="82" s="1"/>
  <c r="V4" i="258" s="1"/>
  <c r="F206" i="82"/>
  <c r="G206" i="82"/>
  <c r="H206" i="82"/>
  <c r="I206" i="82"/>
  <c r="J206" i="82"/>
  <c r="K206" i="82"/>
  <c r="L206" i="82"/>
  <c r="M206" i="82"/>
  <c r="N206" i="82"/>
  <c r="O206" i="82"/>
  <c r="P206" i="82"/>
  <c r="Q206" i="82"/>
  <c r="R206" i="82"/>
  <c r="S206" i="82"/>
  <c r="T206" i="82"/>
  <c r="U206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B208" i="82"/>
  <c r="C208" i="82"/>
  <c r="D208" i="82"/>
  <c r="E208" i="82"/>
  <c r="W208" i="82" s="1"/>
  <c r="V4" i="57" s="1"/>
  <c r="F208" i="82"/>
  <c r="G208" i="82"/>
  <c r="H208" i="82"/>
  <c r="I208" i="82"/>
  <c r="J208" i="82"/>
  <c r="K208" i="82"/>
  <c r="L208" i="82"/>
  <c r="M208" i="82"/>
  <c r="N208" i="82"/>
  <c r="O208" i="82"/>
  <c r="P208" i="82"/>
  <c r="Q208" i="82"/>
  <c r="R208" i="82"/>
  <c r="S208" i="82"/>
  <c r="T208" i="82"/>
  <c r="U208" i="82"/>
  <c r="B209" i="82"/>
  <c r="C209" i="82"/>
  <c r="D209" i="82"/>
  <c r="E209" i="82"/>
  <c r="W209" i="82" s="1"/>
  <c r="V4" i="195" s="1"/>
  <c r="F209" i="82"/>
  <c r="G209" i="82"/>
  <c r="H209" i="82"/>
  <c r="I209" i="82"/>
  <c r="J209" i="82"/>
  <c r="K209" i="82"/>
  <c r="L209" i="82"/>
  <c r="M209" i="82"/>
  <c r="N209" i="82"/>
  <c r="O209" i="82"/>
  <c r="P209" i="82"/>
  <c r="Q209" i="82"/>
  <c r="R209" i="82"/>
  <c r="S209" i="82"/>
  <c r="T209" i="82"/>
  <c r="U209" i="82"/>
  <c r="B210" i="82"/>
  <c r="C210" i="82"/>
  <c r="D210" i="82"/>
  <c r="E210" i="82"/>
  <c r="F210" i="82"/>
  <c r="G210" i="82"/>
  <c r="H210" i="82"/>
  <c r="I210" i="82"/>
  <c r="J210" i="82"/>
  <c r="K210" i="82"/>
  <c r="L210" i="82"/>
  <c r="M210" i="82"/>
  <c r="N210" i="82"/>
  <c r="O210" i="82"/>
  <c r="P210" i="82"/>
  <c r="Q210" i="82"/>
  <c r="R210" i="82"/>
  <c r="S210" i="82"/>
  <c r="T210" i="82"/>
  <c r="U210" i="82"/>
  <c r="B211" i="82"/>
  <c r="C211" i="82"/>
  <c r="D211" i="82"/>
  <c r="E211" i="82"/>
  <c r="F211" i="82"/>
  <c r="G211" i="82"/>
  <c r="H211" i="82"/>
  <c r="I211" i="82"/>
  <c r="J211" i="82"/>
  <c r="K211" i="82"/>
  <c r="L211" i="82"/>
  <c r="M211" i="82"/>
  <c r="N211" i="82"/>
  <c r="O211" i="82"/>
  <c r="P211" i="82"/>
  <c r="Q211" i="82"/>
  <c r="R211" i="82"/>
  <c r="S211" i="82"/>
  <c r="T211" i="82"/>
  <c r="U211" i="82"/>
  <c r="B212" i="82"/>
  <c r="C212" i="82"/>
  <c r="D212" i="82"/>
  <c r="E212" i="82"/>
  <c r="W212" i="82" s="1"/>
  <c r="V6" i="186" s="1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B213" i="82"/>
  <c r="C213" i="82"/>
  <c r="D213" i="82"/>
  <c r="E213" i="82"/>
  <c r="W213" i="82" s="1"/>
  <c r="V5" i="121" s="1"/>
  <c r="F213" i="82"/>
  <c r="G213" i="82"/>
  <c r="H213" i="82"/>
  <c r="I213" i="82"/>
  <c r="J213" i="82"/>
  <c r="K213" i="82"/>
  <c r="L213" i="82"/>
  <c r="M213" i="82"/>
  <c r="N213" i="82"/>
  <c r="O213" i="82"/>
  <c r="P213" i="82"/>
  <c r="Q213" i="82"/>
  <c r="R213" i="82"/>
  <c r="S213" i="82"/>
  <c r="T213" i="82"/>
  <c r="U213" i="82"/>
  <c r="B214" i="82"/>
  <c r="C214" i="82"/>
  <c r="D214" i="82"/>
  <c r="E214" i="82"/>
  <c r="W214" i="82" s="1"/>
  <c r="V5" i="256" s="1"/>
  <c r="F214" i="82"/>
  <c r="G214" i="82"/>
  <c r="H214" i="82"/>
  <c r="I214" i="82"/>
  <c r="J214" i="82"/>
  <c r="K214" i="82"/>
  <c r="L214" i="82"/>
  <c r="M214" i="82"/>
  <c r="N214" i="82"/>
  <c r="O214" i="82"/>
  <c r="P214" i="82"/>
  <c r="Q214" i="82"/>
  <c r="R214" i="82"/>
  <c r="S214" i="82"/>
  <c r="T214" i="82"/>
  <c r="U214" i="82"/>
  <c r="B215" i="82"/>
  <c r="C215" i="82"/>
  <c r="D215" i="82"/>
  <c r="E215" i="82"/>
  <c r="W215" i="82" s="1"/>
  <c r="V4" i="130" s="1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B216" i="82"/>
  <c r="C216" i="82"/>
  <c r="D216" i="82"/>
  <c r="E216" i="82"/>
  <c r="F216" i="82"/>
  <c r="G216" i="82"/>
  <c r="H216" i="82"/>
  <c r="I216" i="82"/>
  <c r="J216" i="82"/>
  <c r="K216" i="82"/>
  <c r="L216" i="82"/>
  <c r="M216" i="82"/>
  <c r="N216" i="82"/>
  <c r="O216" i="82"/>
  <c r="P216" i="82"/>
  <c r="Q216" i="82"/>
  <c r="R216" i="82"/>
  <c r="S216" i="82"/>
  <c r="T216" i="82"/>
  <c r="U216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B218" i="82"/>
  <c r="C218" i="82"/>
  <c r="D218" i="82"/>
  <c r="E218" i="82"/>
  <c r="F218" i="82"/>
  <c r="G218" i="82"/>
  <c r="H218" i="82"/>
  <c r="I218" i="82"/>
  <c r="J218" i="82"/>
  <c r="K218" i="82"/>
  <c r="L218" i="82"/>
  <c r="M218" i="82"/>
  <c r="N218" i="82"/>
  <c r="O218" i="82"/>
  <c r="P218" i="82"/>
  <c r="Q218" i="82"/>
  <c r="R218" i="82"/>
  <c r="S218" i="82"/>
  <c r="T218" i="82"/>
  <c r="U218" i="82"/>
  <c r="B219" i="82"/>
  <c r="C219" i="82"/>
  <c r="D219" i="82"/>
  <c r="E219" i="82"/>
  <c r="W219" i="82" s="1"/>
  <c r="V4" i="111" s="1"/>
  <c r="F219" i="82"/>
  <c r="G219" i="82"/>
  <c r="H219" i="82"/>
  <c r="I219" i="82"/>
  <c r="J219" i="82"/>
  <c r="K219" i="82"/>
  <c r="L219" i="82"/>
  <c r="M219" i="82"/>
  <c r="N219" i="82"/>
  <c r="O219" i="82"/>
  <c r="P219" i="82"/>
  <c r="Q219" i="82"/>
  <c r="R219" i="82"/>
  <c r="S219" i="82"/>
  <c r="T219" i="82"/>
  <c r="U219" i="82"/>
  <c r="B220" i="82"/>
  <c r="C220" i="82"/>
  <c r="D220" i="82"/>
  <c r="E220" i="82"/>
  <c r="F220" i="82"/>
  <c r="G220" i="82"/>
  <c r="H220" i="82"/>
  <c r="I220" i="82"/>
  <c r="J220" i="82"/>
  <c r="K220" i="82"/>
  <c r="L220" i="82"/>
  <c r="M220" i="82"/>
  <c r="N220" i="82"/>
  <c r="O220" i="82"/>
  <c r="P220" i="82"/>
  <c r="Q220" i="82"/>
  <c r="R220" i="82"/>
  <c r="S220" i="82"/>
  <c r="T220" i="82"/>
  <c r="U220" i="82"/>
  <c r="B221" i="82"/>
  <c r="C221" i="82"/>
  <c r="D221" i="82"/>
  <c r="E221" i="82"/>
  <c r="F221" i="82"/>
  <c r="G221" i="82"/>
  <c r="H221" i="82"/>
  <c r="I221" i="82"/>
  <c r="J221" i="82"/>
  <c r="K221" i="82"/>
  <c r="L221" i="82"/>
  <c r="M221" i="82"/>
  <c r="N221" i="82"/>
  <c r="O221" i="82"/>
  <c r="P221" i="82"/>
  <c r="Q221" i="82"/>
  <c r="R221" i="82"/>
  <c r="S221" i="82"/>
  <c r="T221" i="82"/>
  <c r="U221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B223" i="82"/>
  <c r="C223" i="82"/>
  <c r="D223" i="82"/>
  <c r="E223" i="82"/>
  <c r="W223" i="82" s="1"/>
  <c r="V5" i="218" s="1"/>
  <c r="F223" i="82"/>
  <c r="G223" i="82"/>
  <c r="H223" i="82"/>
  <c r="I223" i="82"/>
  <c r="J223" i="82"/>
  <c r="K223" i="82"/>
  <c r="L223" i="82"/>
  <c r="M223" i="82"/>
  <c r="N223" i="82"/>
  <c r="O223" i="82"/>
  <c r="P223" i="82"/>
  <c r="Q223" i="82"/>
  <c r="R223" i="82"/>
  <c r="S223" i="82"/>
  <c r="T223" i="82"/>
  <c r="U223" i="82"/>
  <c r="B224" i="82"/>
  <c r="C224" i="82"/>
  <c r="D224" i="82"/>
  <c r="E224" i="82"/>
  <c r="F224" i="82"/>
  <c r="G224" i="82"/>
  <c r="H224" i="82"/>
  <c r="I224" i="82"/>
  <c r="J224" i="82"/>
  <c r="K224" i="82"/>
  <c r="L224" i="82"/>
  <c r="M224" i="82"/>
  <c r="N224" i="82"/>
  <c r="O224" i="82"/>
  <c r="P224" i="82"/>
  <c r="Q224" i="82"/>
  <c r="R224" i="82"/>
  <c r="S224" i="82"/>
  <c r="T224" i="82"/>
  <c r="U224" i="82"/>
  <c r="B225" i="82"/>
  <c r="C225" i="82"/>
  <c r="D225" i="82"/>
  <c r="E225" i="82"/>
  <c r="F225" i="82"/>
  <c r="G225" i="82"/>
  <c r="H225" i="82"/>
  <c r="I225" i="82"/>
  <c r="J225" i="82"/>
  <c r="K225" i="82"/>
  <c r="L225" i="82"/>
  <c r="M225" i="82"/>
  <c r="N225" i="82"/>
  <c r="O225" i="82"/>
  <c r="P225" i="82"/>
  <c r="Q225" i="82"/>
  <c r="R225" i="82"/>
  <c r="S225" i="82"/>
  <c r="T225" i="82"/>
  <c r="U225" i="82"/>
  <c r="B226" i="82"/>
  <c r="C226" i="82"/>
  <c r="D226" i="82"/>
  <c r="E226" i="82"/>
  <c r="F226" i="82"/>
  <c r="G226" i="82"/>
  <c r="H226" i="82"/>
  <c r="I226" i="82"/>
  <c r="J226" i="82"/>
  <c r="K226" i="82"/>
  <c r="L226" i="82"/>
  <c r="M226" i="82"/>
  <c r="N226" i="82"/>
  <c r="O226" i="82"/>
  <c r="P226" i="82"/>
  <c r="Q226" i="82"/>
  <c r="R226" i="82"/>
  <c r="S226" i="82"/>
  <c r="T226" i="82"/>
  <c r="U226" i="82"/>
  <c r="B227" i="82"/>
  <c r="C227" i="82"/>
  <c r="D227" i="82"/>
  <c r="E227" i="82"/>
  <c r="W227" i="82" s="1"/>
  <c r="V3" i="54" s="1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B228" i="82"/>
  <c r="C228" i="82"/>
  <c r="D228" i="82"/>
  <c r="E228" i="82"/>
  <c r="F228" i="82"/>
  <c r="G228" i="82"/>
  <c r="H228" i="82"/>
  <c r="I228" i="82"/>
  <c r="J228" i="82"/>
  <c r="K228" i="82"/>
  <c r="L228" i="82"/>
  <c r="M228" i="82"/>
  <c r="N228" i="82"/>
  <c r="O228" i="82"/>
  <c r="P228" i="82"/>
  <c r="Q228" i="82"/>
  <c r="R228" i="82"/>
  <c r="S228" i="82"/>
  <c r="T228" i="82"/>
  <c r="U228" i="82"/>
  <c r="B229" i="82"/>
  <c r="C229" i="82"/>
  <c r="D229" i="82"/>
  <c r="E229" i="82"/>
  <c r="F229" i="82"/>
  <c r="G229" i="82"/>
  <c r="H229" i="82"/>
  <c r="I229" i="82"/>
  <c r="J229" i="82"/>
  <c r="K229" i="82"/>
  <c r="L229" i="82"/>
  <c r="M229" i="82"/>
  <c r="N229" i="82"/>
  <c r="O229" i="82"/>
  <c r="P229" i="82"/>
  <c r="Q229" i="82"/>
  <c r="R229" i="82"/>
  <c r="S229" i="82"/>
  <c r="T229" i="82"/>
  <c r="U229" i="82"/>
  <c r="B230" i="82"/>
  <c r="C230" i="82"/>
  <c r="D230" i="82"/>
  <c r="E230" i="82"/>
  <c r="W230" i="82" s="1"/>
  <c r="V5" i="145" s="1"/>
  <c r="F230" i="82"/>
  <c r="G230" i="82"/>
  <c r="H230" i="82"/>
  <c r="I230" i="82"/>
  <c r="J230" i="82"/>
  <c r="K230" i="82"/>
  <c r="L230" i="82"/>
  <c r="M230" i="82"/>
  <c r="N230" i="82"/>
  <c r="O230" i="82"/>
  <c r="P230" i="82"/>
  <c r="Q230" i="82"/>
  <c r="R230" i="82"/>
  <c r="S230" i="82"/>
  <c r="T230" i="82"/>
  <c r="U230" i="82"/>
  <c r="B231" i="82"/>
  <c r="C231" i="82"/>
  <c r="D231" i="82"/>
  <c r="E231" i="82"/>
  <c r="W231" i="82" s="1"/>
  <c r="V4" i="204" s="1"/>
  <c r="F231" i="82"/>
  <c r="G231" i="82"/>
  <c r="H231" i="82"/>
  <c r="I231" i="82"/>
  <c r="J231" i="82"/>
  <c r="K231" i="82"/>
  <c r="L231" i="82"/>
  <c r="M231" i="82"/>
  <c r="N231" i="82"/>
  <c r="O231" i="82"/>
  <c r="P231" i="82"/>
  <c r="Q231" i="82"/>
  <c r="R231" i="82"/>
  <c r="S231" i="82"/>
  <c r="T231" i="82"/>
  <c r="U231" i="82"/>
  <c r="B232" i="82"/>
  <c r="C232" i="82"/>
  <c r="D232" i="82"/>
  <c r="E232" i="82"/>
  <c r="W232" i="82" s="1"/>
  <c r="V4" i="181" s="1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B233" i="82"/>
  <c r="C233" i="82"/>
  <c r="D233" i="82"/>
  <c r="E233" i="82"/>
  <c r="W233" i="82" s="1"/>
  <c r="V4" i="140" s="1"/>
  <c r="F233" i="82"/>
  <c r="G233" i="82"/>
  <c r="H233" i="82"/>
  <c r="I233" i="82"/>
  <c r="J233" i="82"/>
  <c r="K233" i="82"/>
  <c r="L233" i="82"/>
  <c r="M233" i="82"/>
  <c r="N233" i="82"/>
  <c r="O233" i="82"/>
  <c r="P233" i="82"/>
  <c r="Q233" i="82"/>
  <c r="R233" i="82"/>
  <c r="S233" i="82"/>
  <c r="T233" i="82"/>
  <c r="U233" i="82"/>
  <c r="B234" i="82"/>
  <c r="C234" i="82"/>
  <c r="D234" i="82"/>
  <c r="E234" i="82"/>
  <c r="F234" i="82"/>
  <c r="G234" i="82"/>
  <c r="H234" i="82"/>
  <c r="I234" i="82"/>
  <c r="J234" i="82"/>
  <c r="K234" i="82"/>
  <c r="L234" i="82"/>
  <c r="M234" i="82"/>
  <c r="N234" i="82"/>
  <c r="O234" i="82"/>
  <c r="P234" i="82"/>
  <c r="Q234" i="82"/>
  <c r="R234" i="82"/>
  <c r="S234" i="82"/>
  <c r="T234" i="82"/>
  <c r="U234" i="82"/>
  <c r="B235" i="82"/>
  <c r="C235" i="82"/>
  <c r="D235" i="82"/>
  <c r="E235" i="82"/>
  <c r="F235" i="82"/>
  <c r="G235" i="82"/>
  <c r="H235" i="82"/>
  <c r="I235" i="82"/>
  <c r="J235" i="82"/>
  <c r="K235" i="82"/>
  <c r="L235" i="82"/>
  <c r="M235" i="82"/>
  <c r="N235" i="82"/>
  <c r="O235" i="82"/>
  <c r="P235" i="82"/>
  <c r="Q235" i="82"/>
  <c r="R235" i="82"/>
  <c r="S235" i="82"/>
  <c r="T235" i="82"/>
  <c r="U235" i="82"/>
  <c r="B236" i="82"/>
  <c r="C236" i="82"/>
  <c r="D236" i="82"/>
  <c r="E236" i="82"/>
  <c r="F236" i="82"/>
  <c r="G236" i="82"/>
  <c r="H236" i="82"/>
  <c r="I236" i="82"/>
  <c r="J236" i="82"/>
  <c r="K236" i="82"/>
  <c r="L236" i="82"/>
  <c r="M236" i="82"/>
  <c r="N236" i="82"/>
  <c r="O236" i="82"/>
  <c r="P236" i="82"/>
  <c r="Q236" i="82"/>
  <c r="R236" i="82"/>
  <c r="S236" i="82"/>
  <c r="T236" i="82"/>
  <c r="U236" i="82"/>
  <c r="B237" i="82"/>
  <c r="C237" i="82"/>
  <c r="D237" i="82"/>
  <c r="E237" i="82"/>
  <c r="W237" i="82" s="1"/>
  <c r="V5" i="159" s="1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B238" i="82"/>
  <c r="C238" i="82"/>
  <c r="D238" i="82"/>
  <c r="E238" i="82"/>
  <c r="W238" i="82" s="1"/>
  <c r="V5" i="100" s="1"/>
  <c r="F238" i="82"/>
  <c r="G238" i="82"/>
  <c r="H238" i="82"/>
  <c r="I238" i="82"/>
  <c r="J238" i="82"/>
  <c r="K238" i="82"/>
  <c r="L238" i="82"/>
  <c r="M238" i="82"/>
  <c r="N238" i="82"/>
  <c r="O238" i="82"/>
  <c r="P238" i="82"/>
  <c r="Q238" i="82"/>
  <c r="R238" i="82"/>
  <c r="S238" i="82"/>
  <c r="T238" i="82"/>
  <c r="U238" i="82"/>
  <c r="B239" i="82"/>
  <c r="C239" i="82"/>
  <c r="D239" i="82"/>
  <c r="E239" i="82"/>
  <c r="W239" i="82" s="1"/>
  <c r="V4" i="210" s="1"/>
  <c r="F239" i="82"/>
  <c r="G239" i="82"/>
  <c r="H239" i="82"/>
  <c r="I239" i="82"/>
  <c r="J239" i="82"/>
  <c r="K239" i="82"/>
  <c r="L239" i="82"/>
  <c r="M239" i="82"/>
  <c r="N239" i="82"/>
  <c r="O239" i="82"/>
  <c r="P239" i="82"/>
  <c r="Q239" i="82"/>
  <c r="R239" i="82"/>
  <c r="S239" i="82"/>
  <c r="T239" i="82"/>
  <c r="U239" i="82"/>
  <c r="B240" i="82"/>
  <c r="C240" i="82"/>
  <c r="D240" i="82"/>
  <c r="E240" i="82"/>
  <c r="F240" i="82"/>
  <c r="G240" i="82"/>
  <c r="H240" i="82"/>
  <c r="I240" i="82"/>
  <c r="J240" i="82"/>
  <c r="K240" i="82"/>
  <c r="L240" i="82"/>
  <c r="M240" i="82"/>
  <c r="N240" i="82"/>
  <c r="O240" i="82"/>
  <c r="P240" i="82"/>
  <c r="Q240" i="82"/>
  <c r="R240" i="82"/>
  <c r="S240" i="82"/>
  <c r="T240" i="82"/>
  <c r="U240" i="82"/>
  <c r="B241" i="82"/>
  <c r="C241" i="82"/>
  <c r="D241" i="82"/>
  <c r="E241" i="82"/>
  <c r="W241" i="82" s="1"/>
  <c r="V4" i="202" s="1"/>
  <c r="F241" i="82"/>
  <c r="G241" i="82"/>
  <c r="H241" i="82"/>
  <c r="I241" i="82"/>
  <c r="J241" i="82"/>
  <c r="K241" i="82"/>
  <c r="L241" i="82"/>
  <c r="M241" i="82"/>
  <c r="N241" i="82"/>
  <c r="O241" i="82"/>
  <c r="P241" i="82"/>
  <c r="Q241" i="82"/>
  <c r="R241" i="82"/>
  <c r="S241" i="82"/>
  <c r="T241" i="82"/>
  <c r="U241" i="82"/>
  <c r="B242" i="82"/>
  <c r="C242" i="82"/>
  <c r="D242" i="82"/>
  <c r="E242" i="82"/>
  <c r="W242" i="82" s="1"/>
  <c r="V4" i="53" s="1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B243" i="82"/>
  <c r="C243" i="82"/>
  <c r="D243" i="82"/>
  <c r="E243" i="82"/>
  <c r="W243" i="82" s="1"/>
  <c r="V5" i="53" s="1"/>
  <c r="F243" i="82"/>
  <c r="G243" i="82"/>
  <c r="H243" i="82"/>
  <c r="I243" i="82"/>
  <c r="J243" i="82"/>
  <c r="K243" i="82"/>
  <c r="L243" i="82"/>
  <c r="M243" i="82"/>
  <c r="N243" i="82"/>
  <c r="O243" i="82"/>
  <c r="P243" i="82"/>
  <c r="Q243" i="82"/>
  <c r="R243" i="82"/>
  <c r="S243" i="82"/>
  <c r="T243" i="82"/>
  <c r="U243" i="82"/>
  <c r="B244" i="82"/>
  <c r="C244" i="82"/>
  <c r="D244" i="82"/>
  <c r="E244" i="82"/>
  <c r="W244" i="82" s="1"/>
  <c r="V5" i="51" s="1"/>
  <c r="F244" i="82"/>
  <c r="G244" i="82"/>
  <c r="H244" i="82"/>
  <c r="I244" i="82"/>
  <c r="J244" i="82"/>
  <c r="K244" i="82"/>
  <c r="L244" i="82"/>
  <c r="M244" i="82"/>
  <c r="N244" i="82"/>
  <c r="O244" i="82"/>
  <c r="P244" i="82"/>
  <c r="Q244" i="82"/>
  <c r="R244" i="82"/>
  <c r="S244" i="82"/>
  <c r="T244" i="82"/>
  <c r="U244" i="82"/>
  <c r="B245" i="82"/>
  <c r="C245" i="82"/>
  <c r="D245" i="82"/>
  <c r="E245" i="82"/>
  <c r="W245" i="82" s="1"/>
  <c r="V6" i="136" s="1"/>
  <c r="F245" i="82"/>
  <c r="G245" i="82"/>
  <c r="H245" i="82"/>
  <c r="I245" i="82"/>
  <c r="J245" i="82"/>
  <c r="K245" i="82"/>
  <c r="L245" i="82"/>
  <c r="M245" i="82"/>
  <c r="N245" i="82"/>
  <c r="O245" i="82"/>
  <c r="P245" i="82"/>
  <c r="Q245" i="82"/>
  <c r="R245" i="82"/>
  <c r="S245" i="82"/>
  <c r="T245" i="82"/>
  <c r="U245" i="82"/>
  <c r="B246" i="82"/>
  <c r="C246" i="82"/>
  <c r="D246" i="82"/>
  <c r="E246" i="82"/>
  <c r="W246" i="82" s="1"/>
  <c r="V4" i="146" s="1"/>
  <c r="F246" i="82"/>
  <c r="G246" i="82"/>
  <c r="H246" i="82"/>
  <c r="I246" i="82"/>
  <c r="J246" i="82"/>
  <c r="K246" i="82"/>
  <c r="L246" i="82"/>
  <c r="M246" i="82"/>
  <c r="N246" i="82"/>
  <c r="O246" i="82"/>
  <c r="P246" i="82"/>
  <c r="Q246" i="82"/>
  <c r="R246" i="82"/>
  <c r="S246" i="82"/>
  <c r="T246" i="82"/>
  <c r="U246" i="82"/>
  <c r="B247" i="82"/>
  <c r="C247" i="82"/>
  <c r="D247" i="82"/>
  <c r="E247" i="82"/>
  <c r="W247" i="82" s="1"/>
  <c r="V4" i="123" s="1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B248" i="82"/>
  <c r="C248" i="82"/>
  <c r="D248" i="82"/>
  <c r="E248" i="82"/>
  <c r="F248" i="82"/>
  <c r="G248" i="82"/>
  <c r="H248" i="82"/>
  <c r="I248" i="82"/>
  <c r="J248" i="82"/>
  <c r="K248" i="82"/>
  <c r="L248" i="82"/>
  <c r="M248" i="82"/>
  <c r="N248" i="82"/>
  <c r="O248" i="82"/>
  <c r="P248" i="82"/>
  <c r="Q248" i="82"/>
  <c r="R248" i="82"/>
  <c r="S248" i="82"/>
  <c r="T248" i="82"/>
  <c r="U248" i="82"/>
  <c r="B249" i="82"/>
  <c r="C249" i="82"/>
  <c r="D249" i="82"/>
  <c r="E249" i="82"/>
  <c r="F249" i="82"/>
  <c r="G249" i="82"/>
  <c r="H249" i="82"/>
  <c r="I249" i="82"/>
  <c r="J249" i="82"/>
  <c r="K249" i="82"/>
  <c r="L249" i="82"/>
  <c r="M249" i="82"/>
  <c r="N249" i="82"/>
  <c r="O249" i="82"/>
  <c r="P249" i="82"/>
  <c r="Q249" i="82"/>
  <c r="R249" i="82"/>
  <c r="S249" i="82"/>
  <c r="T249" i="82"/>
  <c r="U249" i="82"/>
  <c r="B250" i="82"/>
  <c r="C250" i="82"/>
  <c r="D250" i="82"/>
  <c r="E250" i="82"/>
  <c r="W250" i="82" s="1"/>
  <c r="V5" i="202" s="1"/>
  <c r="F250" i="82"/>
  <c r="G250" i="82"/>
  <c r="H250" i="82"/>
  <c r="I250" i="82"/>
  <c r="J250" i="82"/>
  <c r="K250" i="82"/>
  <c r="L250" i="82"/>
  <c r="M250" i="82"/>
  <c r="N250" i="82"/>
  <c r="O250" i="82"/>
  <c r="P250" i="82"/>
  <c r="Q250" i="82"/>
  <c r="R250" i="82"/>
  <c r="S250" i="82"/>
  <c r="T250" i="82"/>
  <c r="U250" i="82"/>
  <c r="B251" i="82"/>
  <c r="C251" i="82"/>
  <c r="D251" i="82"/>
  <c r="E251" i="82"/>
  <c r="F251" i="82"/>
  <c r="G251" i="82"/>
  <c r="H251" i="82"/>
  <c r="I251" i="82"/>
  <c r="J251" i="82"/>
  <c r="K251" i="82"/>
  <c r="L251" i="82"/>
  <c r="M251" i="82"/>
  <c r="N251" i="82"/>
  <c r="O251" i="82"/>
  <c r="P251" i="82"/>
  <c r="Q251" i="82"/>
  <c r="R251" i="82"/>
  <c r="S251" i="82"/>
  <c r="T251" i="82"/>
  <c r="U251" i="82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C253" i="82"/>
  <c r="D253" i="82"/>
  <c r="E253" i="82"/>
  <c r="W253" i="82" s="1"/>
  <c r="V5" i="110" s="1"/>
  <c r="F253" i="82"/>
  <c r="G253" i="82"/>
  <c r="H253" i="82"/>
  <c r="I253" i="82"/>
  <c r="J253" i="82"/>
  <c r="K253" i="82"/>
  <c r="L253" i="82"/>
  <c r="M253" i="82"/>
  <c r="N253" i="82"/>
  <c r="O253" i="82"/>
  <c r="P253" i="82"/>
  <c r="Q253" i="82"/>
  <c r="R253" i="82"/>
  <c r="S253" i="82"/>
  <c r="T253" i="82"/>
  <c r="U253" i="82"/>
  <c r="B254" i="82"/>
  <c r="C254" i="82"/>
  <c r="D254" i="82"/>
  <c r="E254" i="82"/>
  <c r="W254" i="82" s="1"/>
  <c r="V3" i="214" s="1"/>
  <c r="F254" i="82"/>
  <c r="G254" i="82"/>
  <c r="H254" i="82"/>
  <c r="I254" i="82"/>
  <c r="J254" i="82"/>
  <c r="K254" i="82"/>
  <c r="L254" i="82"/>
  <c r="M254" i="82"/>
  <c r="N254" i="82"/>
  <c r="O254" i="82"/>
  <c r="P254" i="82"/>
  <c r="Q254" i="82"/>
  <c r="R254" i="82"/>
  <c r="S254" i="82"/>
  <c r="T254" i="82"/>
  <c r="U254" i="82"/>
  <c r="B255" i="82"/>
  <c r="C255" i="82"/>
  <c r="D255" i="82"/>
  <c r="E255" i="82"/>
  <c r="W255" i="82" s="1"/>
  <c r="V4" i="90" s="1"/>
  <c r="F255" i="82"/>
  <c r="G255" i="82"/>
  <c r="H255" i="82"/>
  <c r="I255" i="82"/>
  <c r="J255" i="82"/>
  <c r="K255" i="82"/>
  <c r="L255" i="82"/>
  <c r="M255" i="82"/>
  <c r="N255" i="82"/>
  <c r="O255" i="82"/>
  <c r="P255" i="82"/>
  <c r="Q255" i="82"/>
  <c r="R255" i="82"/>
  <c r="S255" i="82"/>
  <c r="T255" i="82"/>
  <c r="U255" i="82"/>
  <c r="B256" i="82"/>
  <c r="C256" i="82"/>
  <c r="D256" i="82"/>
  <c r="E256" i="82"/>
  <c r="W256" i="82" s="1"/>
  <c r="V4" i="144" s="1"/>
  <c r="F256" i="82"/>
  <c r="G256" i="82"/>
  <c r="H256" i="82"/>
  <c r="I256" i="82"/>
  <c r="J256" i="82"/>
  <c r="K256" i="82"/>
  <c r="L256" i="82"/>
  <c r="M256" i="82"/>
  <c r="N256" i="82"/>
  <c r="O256" i="82"/>
  <c r="P256" i="82"/>
  <c r="Q256" i="82"/>
  <c r="R256" i="82"/>
  <c r="S256" i="82"/>
  <c r="T256" i="82"/>
  <c r="U256" i="82"/>
  <c r="B257" i="82"/>
  <c r="C257" i="82"/>
  <c r="D257" i="82"/>
  <c r="E257" i="82"/>
  <c r="W257" i="82" s="1"/>
  <c r="V4" i="112" s="1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B258" i="82"/>
  <c r="C258" i="82"/>
  <c r="D258" i="82"/>
  <c r="E258" i="82"/>
  <c r="F258" i="82"/>
  <c r="G258" i="82"/>
  <c r="H258" i="82"/>
  <c r="I258" i="82"/>
  <c r="J258" i="82"/>
  <c r="K258" i="82"/>
  <c r="L258" i="82"/>
  <c r="M258" i="82"/>
  <c r="N258" i="82"/>
  <c r="O258" i="82"/>
  <c r="P258" i="82"/>
  <c r="Q258" i="82"/>
  <c r="R258" i="82"/>
  <c r="S258" i="82"/>
  <c r="T258" i="82"/>
  <c r="U258" i="82"/>
  <c r="B259" i="82"/>
  <c r="C259" i="82"/>
  <c r="D259" i="82"/>
  <c r="E259" i="82"/>
  <c r="W259" i="82" s="1"/>
  <c r="V5" i="90" s="1"/>
  <c r="F259" i="82"/>
  <c r="G259" i="82"/>
  <c r="H259" i="82"/>
  <c r="I259" i="82"/>
  <c r="J259" i="82"/>
  <c r="K259" i="82"/>
  <c r="L259" i="82"/>
  <c r="M259" i="82"/>
  <c r="N259" i="82"/>
  <c r="O259" i="82"/>
  <c r="P259" i="82"/>
  <c r="Q259" i="82"/>
  <c r="R259" i="82"/>
  <c r="S259" i="82"/>
  <c r="T259" i="82"/>
  <c r="U259" i="82"/>
  <c r="B260" i="82"/>
  <c r="C260" i="82"/>
  <c r="D260" i="82"/>
  <c r="E260" i="82"/>
  <c r="F260" i="82"/>
  <c r="G260" i="82"/>
  <c r="H260" i="82"/>
  <c r="I260" i="82"/>
  <c r="J260" i="82"/>
  <c r="K260" i="82"/>
  <c r="L260" i="82"/>
  <c r="M260" i="82"/>
  <c r="N260" i="82"/>
  <c r="O260" i="82"/>
  <c r="P260" i="82"/>
  <c r="Q260" i="82"/>
  <c r="R260" i="82"/>
  <c r="S260" i="82"/>
  <c r="T260" i="82"/>
  <c r="U260" i="82"/>
  <c r="B261" i="82"/>
  <c r="C261" i="82"/>
  <c r="D261" i="82"/>
  <c r="E261" i="82"/>
  <c r="F261" i="82"/>
  <c r="G261" i="82"/>
  <c r="H261" i="82"/>
  <c r="I261" i="82"/>
  <c r="J261" i="82"/>
  <c r="K261" i="82"/>
  <c r="L261" i="82"/>
  <c r="M261" i="82"/>
  <c r="N261" i="82"/>
  <c r="O261" i="82"/>
  <c r="P261" i="82"/>
  <c r="Q261" i="82"/>
  <c r="R261" i="82"/>
  <c r="S261" i="82"/>
  <c r="T261" i="82"/>
  <c r="U261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B263" i="82"/>
  <c r="C263" i="82"/>
  <c r="D263" i="82"/>
  <c r="E263" i="82"/>
  <c r="W263" i="82" s="1"/>
  <c r="V3" i="316" s="1"/>
  <c r="F263" i="82"/>
  <c r="G263" i="82"/>
  <c r="H263" i="82"/>
  <c r="I263" i="82"/>
  <c r="J263" i="82"/>
  <c r="K263" i="82"/>
  <c r="L263" i="82"/>
  <c r="M263" i="82"/>
  <c r="N263" i="82"/>
  <c r="O263" i="82"/>
  <c r="P263" i="82"/>
  <c r="Q263" i="82"/>
  <c r="R263" i="82"/>
  <c r="S263" i="82"/>
  <c r="T263" i="82"/>
  <c r="U263" i="82"/>
  <c r="B264" i="82"/>
  <c r="C264" i="82"/>
  <c r="D264" i="82"/>
  <c r="E264" i="82"/>
  <c r="W264" i="82" s="1"/>
  <c r="V4" i="224" s="1"/>
  <c r="F264" i="82"/>
  <c r="G264" i="82"/>
  <c r="H264" i="82"/>
  <c r="I264" i="82"/>
  <c r="J264" i="82"/>
  <c r="K264" i="82"/>
  <c r="L264" i="82"/>
  <c r="M264" i="82"/>
  <c r="N264" i="82"/>
  <c r="O264" i="82"/>
  <c r="P264" i="82"/>
  <c r="Q264" i="82"/>
  <c r="R264" i="82"/>
  <c r="S264" i="82"/>
  <c r="T264" i="82"/>
  <c r="U264" i="82"/>
  <c r="B265" i="82"/>
  <c r="C265" i="82"/>
  <c r="D265" i="82"/>
  <c r="E265" i="82"/>
  <c r="F265" i="82"/>
  <c r="G265" i="82"/>
  <c r="H265" i="82"/>
  <c r="I265" i="82"/>
  <c r="J265" i="82"/>
  <c r="K265" i="82"/>
  <c r="L265" i="82"/>
  <c r="M265" i="82"/>
  <c r="N265" i="82"/>
  <c r="O265" i="82"/>
  <c r="P265" i="82"/>
  <c r="Q265" i="82"/>
  <c r="R265" i="82"/>
  <c r="S265" i="82"/>
  <c r="T265" i="82"/>
  <c r="U265" i="82"/>
  <c r="B266" i="82"/>
  <c r="C266" i="82"/>
  <c r="D266" i="82"/>
  <c r="E266" i="82"/>
  <c r="W266" i="82" s="1"/>
  <c r="V4" i="193" s="1"/>
  <c r="F266" i="82"/>
  <c r="G266" i="82"/>
  <c r="H266" i="82"/>
  <c r="I266" i="82"/>
  <c r="J266" i="82"/>
  <c r="K266" i="82"/>
  <c r="L266" i="82"/>
  <c r="M266" i="82"/>
  <c r="N266" i="82"/>
  <c r="O266" i="82"/>
  <c r="P266" i="82"/>
  <c r="Q266" i="82"/>
  <c r="R266" i="82"/>
  <c r="S266" i="82"/>
  <c r="T266" i="82"/>
  <c r="U266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B268" i="82"/>
  <c r="C268" i="82"/>
  <c r="D268" i="82"/>
  <c r="E268" i="82"/>
  <c r="F268" i="82"/>
  <c r="G268" i="82"/>
  <c r="H268" i="82"/>
  <c r="I268" i="82"/>
  <c r="J268" i="82"/>
  <c r="K268" i="82"/>
  <c r="L268" i="82"/>
  <c r="M268" i="82"/>
  <c r="N268" i="82"/>
  <c r="O268" i="82"/>
  <c r="P268" i="82"/>
  <c r="Q268" i="82"/>
  <c r="R268" i="82"/>
  <c r="S268" i="82"/>
  <c r="T268" i="82"/>
  <c r="U268" i="82"/>
  <c r="B269" i="82"/>
  <c r="C269" i="82"/>
  <c r="D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C270" i="82"/>
  <c r="D270" i="82"/>
  <c r="E270" i="82"/>
  <c r="W270" i="82" s="1"/>
  <c r="V5" i="276" s="1"/>
  <c r="F270" i="82"/>
  <c r="G270" i="82"/>
  <c r="H270" i="82"/>
  <c r="I270" i="82"/>
  <c r="J270" i="82"/>
  <c r="K270" i="82"/>
  <c r="L270" i="82"/>
  <c r="M270" i="82"/>
  <c r="N270" i="82"/>
  <c r="O270" i="82"/>
  <c r="P270" i="82"/>
  <c r="Q270" i="82"/>
  <c r="R270" i="82"/>
  <c r="S270" i="82"/>
  <c r="T270" i="82"/>
  <c r="U270" i="82"/>
  <c r="B271" i="82"/>
  <c r="C271" i="82"/>
  <c r="D271" i="82"/>
  <c r="E271" i="82"/>
  <c r="F271" i="82"/>
  <c r="G271" i="82"/>
  <c r="H271" i="82"/>
  <c r="I271" i="82"/>
  <c r="J271" i="82"/>
  <c r="K271" i="82"/>
  <c r="L271" i="82"/>
  <c r="M271" i="82"/>
  <c r="N271" i="82"/>
  <c r="O271" i="82"/>
  <c r="P271" i="82"/>
  <c r="Q271" i="82"/>
  <c r="R271" i="82"/>
  <c r="S271" i="82"/>
  <c r="T271" i="82"/>
  <c r="U271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B273" i="82"/>
  <c r="C273" i="82"/>
  <c r="D273" i="82"/>
  <c r="E273" i="82"/>
  <c r="W273" i="82" s="1"/>
  <c r="V4" i="86" s="1"/>
  <c r="F273" i="82"/>
  <c r="G273" i="82"/>
  <c r="H273" i="82"/>
  <c r="I273" i="82"/>
  <c r="J273" i="82"/>
  <c r="K273" i="82"/>
  <c r="L273" i="82"/>
  <c r="M273" i="82"/>
  <c r="N273" i="82"/>
  <c r="O273" i="82"/>
  <c r="P273" i="82"/>
  <c r="Q273" i="82"/>
  <c r="R273" i="82"/>
  <c r="S273" i="82"/>
  <c r="T273" i="82"/>
  <c r="U273" i="82"/>
  <c r="B274" i="82"/>
  <c r="C274" i="82"/>
  <c r="D274" i="82"/>
  <c r="E274" i="82"/>
  <c r="F274" i="82"/>
  <c r="G274" i="82"/>
  <c r="H274" i="82"/>
  <c r="I274" i="82"/>
  <c r="J274" i="82"/>
  <c r="K274" i="82"/>
  <c r="L274" i="82"/>
  <c r="M274" i="82"/>
  <c r="N274" i="82"/>
  <c r="O274" i="82"/>
  <c r="P274" i="82"/>
  <c r="Q274" i="82"/>
  <c r="R274" i="82"/>
  <c r="S274" i="82"/>
  <c r="T274" i="82"/>
  <c r="U274" i="82"/>
  <c r="B275" i="82"/>
  <c r="C275" i="82"/>
  <c r="D275" i="82"/>
  <c r="E275" i="82"/>
  <c r="F275" i="82"/>
  <c r="G275" i="82"/>
  <c r="H275" i="82"/>
  <c r="I275" i="82"/>
  <c r="J275" i="82"/>
  <c r="K275" i="82"/>
  <c r="L275" i="82"/>
  <c r="M275" i="82"/>
  <c r="N275" i="82"/>
  <c r="O275" i="82"/>
  <c r="P275" i="82"/>
  <c r="Q275" i="82"/>
  <c r="R275" i="82"/>
  <c r="S275" i="82"/>
  <c r="T275" i="82"/>
  <c r="U275" i="82"/>
  <c r="B276" i="82"/>
  <c r="C276" i="82"/>
  <c r="D276" i="82"/>
  <c r="E276" i="82"/>
  <c r="F276" i="82"/>
  <c r="G276" i="82"/>
  <c r="H276" i="82"/>
  <c r="I276" i="82"/>
  <c r="J276" i="82"/>
  <c r="K276" i="82"/>
  <c r="L276" i="82"/>
  <c r="M276" i="82"/>
  <c r="N276" i="82"/>
  <c r="O276" i="82"/>
  <c r="P276" i="82"/>
  <c r="Q276" i="82"/>
  <c r="R276" i="82"/>
  <c r="S276" i="82"/>
  <c r="T276" i="82"/>
  <c r="U276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B278" i="82"/>
  <c r="C278" i="82"/>
  <c r="D278" i="82"/>
  <c r="E278" i="82"/>
  <c r="F278" i="82"/>
  <c r="G278" i="82"/>
  <c r="H278" i="82"/>
  <c r="I278" i="82"/>
  <c r="J278" i="82"/>
  <c r="K278" i="82"/>
  <c r="L278" i="82"/>
  <c r="M278" i="82"/>
  <c r="N278" i="82"/>
  <c r="O278" i="82"/>
  <c r="P278" i="82"/>
  <c r="Q278" i="82"/>
  <c r="R278" i="82"/>
  <c r="S278" i="82"/>
  <c r="T278" i="82"/>
  <c r="U278" i="82"/>
  <c r="B279" i="82"/>
  <c r="C279" i="82"/>
  <c r="D279" i="82"/>
  <c r="E279" i="82"/>
  <c r="W279" i="82" s="1"/>
  <c r="V5" i="144" s="1"/>
  <c r="F279" i="82"/>
  <c r="G279" i="82"/>
  <c r="H279" i="82"/>
  <c r="I279" i="82"/>
  <c r="J279" i="82"/>
  <c r="K279" i="82"/>
  <c r="L279" i="82"/>
  <c r="M279" i="82"/>
  <c r="N279" i="82"/>
  <c r="O279" i="82"/>
  <c r="P279" i="82"/>
  <c r="Q279" i="82"/>
  <c r="R279" i="82"/>
  <c r="S279" i="82"/>
  <c r="T279" i="82"/>
  <c r="U279" i="82"/>
  <c r="B280" i="82"/>
  <c r="C280" i="82"/>
  <c r="D280" i="82"/>
  <c r="E280" i="82"/>
  <c r="F280" i="82"/>
  <c r="G280" i="82"/>
  <c r="H280" i="82"/>
  <c r="I280" i="82"/>
  <c r="J280" i="82"/>
  <c r="K280" i="82"/>
  <c r="L280" i="82"/>
  <c r="M280" i="82"/>
  <c r="N280" i="82"/>
  <c r="O280" i="82"/>
  <c r="P280" i="82"/>
  <c r="Q280" i="82"/>
  <c r="R280" i="82"/>
  <c r="S280" i="82"/>
  <c r="T280" i="82"/>
  <c r="U280" i="82"/>
  <c r="B281" i="82"/>
  <c r="C281" i="82"/>
  <c r="D281" i="82"/>
  <c r="E281" i="82"/>
  <c r="F281" i="82"/>
  <c r="G281" i="82"/>
  <c r="H281" i="82"/>
  <c r="I281" i="82"/>
  <c r="J281" i="82"/>
  <c r="K281" i="82"/>
  <c r="L281" i="82"/>
  <c r="M281" i="82"/>
  <c r="N281" i="82"/>
  <c r="O281" i="82"/>
  <c r="P281" i="82"/>
  <c r="Q281" i="82"/>
  <c r="R281" i="82"/>
  <c r="S281" i="82"/>
  <c r="T281" i="82"/>
  <c r="U281" i="82"/>
  <c r="B282" i="82"/>
  <c r="C282" i="82"/>
  <c r="D282" i="82"/>
  <c r="E282" i="82"/>
  <c r="W282" i="82" s="1"/>
  <c r="V4" i="263" s="1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B283" i="82"/>
  <c r="C283" i="82"/>
  <c r="D283" i="82"/>
  <c r="E283" i="82"/>
  <c r="W283" i="82" s="1"/>
  <c r="V4" i="124" s="1"/>
  <c r="F283" i="82"/>
  <c r="G283" i="82"/>
  <c r="H283" i="82"/>
  <c r="I283" i="82"/>
  <c r="J283" i="82"/>
  <c r="K283" i="82"/>
  <c r="L283" i="82"/>
  <c r="M283" i="82"/>
  <c r="N283" i="82"/>
  <c r="O283" i="82"/>
  <c r="P283" i="82"/>
  <c r="Q283" i="82"/>
  <c r="R283" i="82"/>
  <c r="S283" i="82"/>
  <c r="T283" i="82"/>
  <c r="U283" i="82"/>
  <c r="B284" i="82"/>
  <c r="C284" i="82"/>
  <c r="D284" i="82"/>
  <c r="E284" i="82"/>
  <c r="W284" i="82" s="1"/>
  <c r="V3" i="315" s="1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C285" i="82"/>
  <c r="D285" i="82"/>
  <c r="E285" i="82"/>
  <c r="W285" i="82" s="1"/>
  <c r="V5" i="226" s="1"/>
  <c r="F285" i="82"/>
  <c r="G285" i="82"/>
  <c r="H285" i="82"/>
  <c r="I285" i="82"/>
  <c r="J285" i="82"/>
  <c r="K285" i="82"/>
  <c r="L285" i="82"/>
  <c r="M285" i="82"/>
  <c r="N285" i="82"/>
  <c r="O285" i="82"/>
  <c r="P285" i="82"/>
  <c r="Q285" i="82"/>
  <c r="R285" i="82"/>
  <c r="S285" i="82"/>
  <c r="T285" i="82"/>
  <c r="U285" i="82"/>
  <c r="B286" i="82"/>
  <c r="C286" i="82"/>
  <c r="D286" i="82"/>
  <c r="E286" i="82"/>
  <c r="W286" i="82" s="1"/>
  <c r="V4" i="175" s="1"/>
  <c r="F286" i="82"/>
  <c r="G286" i="82"/>
  <c r="H286" i="82"/>
  <c r="I286" i="82"/>
  <c r="J286" i="82"/>
  <c r="K286" i="82"/>
  <c r="L286" i="82"/>
  <c r="M286" i="82"/>
  <c r="N286" i="82"/>
  <c r="O286" i="82"/>
  <c r="P286" i="82"/>
  <c r="Q286" i="82"/>
  <c r="R286" i="82"/>
  <c r="S286" i="82"/>
  <c r="T286" i="82"/>
  <c r="U286" i="82"/>
  <c r="B287" i="82"/>
  <c r="C287" i="82"/>
  <c r="D287" i="82"/>
  <c r="E287" i="82"/>
  <c r="W287" i="82" s="1"/>
  <c r="V4" i="125" s="1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B288" i="82"/>
  <c r="C288" i="82"/>
  <c r="D288" i="82"/>
  <c r="E288" i="82"/>
  <c r="F288" i="82"/>
  <c r="G288" i="82"/>
  <c r="H288" i="82"/>
  <c r="I288" i="82"/>
  <c r="J288" i="82"/>
  <c r="K288" i="82"/>
  <c r="L288" i="82"/>
  <c r="M288" i="82"/>
  <c r="N288" i="82"/>
  <c r="O288" i="82"/>
  <c r="P288" i="82"/>
  <c r="Q288" i="82"/>
  <c r="R288" i="82"/>
  <c r="S288" i="82"/>
  <c r="T288" i="82"/>
  <c r="U288" i="82"/>
  <c r="B289" i="82"/>
  <c r="C289" i="82"/>
  <c r="D289" i="82"/>
  <c r="E289" i="82"/>
  <c r="F289" i="82"/>
  <c r="G289" i="82"/>
  <c r="H289" i="82"/>
  <c r="I289" i="82"/>
  <c r="J289" i="82"/>
  <c r="K289" i="82"/>
  <c r="L289" i="82"/>
  <c r="M289" i="82"/>
  <c r="N289" i="82"/>
  <c r="O289" i="82"/>
  <c r="P289" i="82"/>
  <c r="Q289" i="82"/>
  <c r="R289" i="82"/>
  <c r="S289" i="82"/>
  <c r="T289" i="82"/>
  <c r="U289" i="82"/>
  <c r="B290" i="82"/>
  <c r="C290" i="82"/>
  <c r="D290" i="82"/>
  <c r="E290" i="82"/>
  <c r="W290" i="82" s="1"/>
  <c r="V4" i="188" s="1"/>
  <c r="F290" i="82"/>
  <c r="G290" i="82"/>
  <c r="H290" i="82"/>
  <c r="I290" i="82"/>
  <c r="J290" i="82"/>
  <c r="K290" i="82"/>
  <c r="L290" i="82"/>
  <c r="M290" i="82"/>
  <c r="N290" i="82"/>
  <c r="O290" i="82"/>
  <c r="P290" i="82"/>
  <c r="Q290" i="82"/>
  <c r="R290" i="82"/>
  <c r="S290" i="82"/>
  <c r="T290" i="82"/>
  <c r="U290" i="82"/>
  <c r="B291" i="82"/>
  <c r="C291" i="82"/>
  <c r="D291" i="82"/>
  <c r="E291" i="82"/>
  <c r="W291" i="82" s="1"/>
  <c r="V4" i="275" s="1"/>
  <c r="F291" i="82"/>
  <c r="G291" i="82"/>
  <c r="H291" i="82"/>
  <c r="I291" i="82"/>
  <c r="J291" i="82"/>
  <c r="K291" i="82"/>
  <c r="L291" i="82"/>
  <c r="M291" i="82"/>
  <c r="N291" i="82"/>
  <c r="O291" i="82"/>
  <c r="P291" i="82"/>
  <c r="Q291" i="82"/>
  <c r="R291" i="82"/>
  <c r="S291" i="82"/>
  <c r="T291" i="82"/>
  <c r="U291" i="82"/>
  <c r="B292" i="82"/>
  <c r="C292" i="82"/>
  <c r="D292" i="82"/>
  <c r="E292" i="82"/>
  <c r="W292" i="82" s="1"/>
  <c r="V4" i="108" s="1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B293" i="82"/>
  <c r="C293" i="82"/>
  <c r="D293" i="82"/>
  <c r="E293" i="82"/>
  <c r="W293" i="82" s="1"/>
  <c r="V4" i="69" s="1"/>
  <c r="F293" i="82"/>
  <c r="G293" i="82"/>
  <c r="H293" i="82"/>
  <c r="I293" i="82"/>
  <c r="J293" i="82"/>
  <c r="K293" i="82"/>
  <c r="L293" i="82"/>
  <c r="M293" i="82"/>
  <c r="N293" i="82"/>
  <c r="O293" i="82"/>
  <c r="P293" i="82"/>
  <c r="Q293" i="82"/>
  <c r="R293" i="82"/>
  <c r="S293" i="82"/>
  <c r="T293" i="82"/>
  <c r="U293" i="82"/>
  <c r="B294" i="82"/>
  <c r="C294" i="82"/>
  <c r="D294" i="82"/>
  <c r="E294" i="82"/>
  <c r="F294" i="82"/>
  <c r="G294" i="82"/>
  <c r="H294" i="82"/>
  <c r="I294" i="82"/>
  <c r="J294" i="82"/>
  <c r="K294" i="82"/>
  <c r="L294" i="82"/>
  <c r="M294" i="82"/>
  <c r="N294" i="82"/>
  <c r="O294" i="82"/>
  <c r="P294" i="82"/>
  <c r="Q294" i="82"/>
  <c r="R294" i="82"/>
  <c r="S294" i="82"/>
  <c r="T294" i="82"/>
  <c r="U294" i="82"/>
  <c r="B295" i="82"/>
  <c r="C295" i="82"/>
  <c r="D295" i="82"/>
  <c r="E295" i="82"/>
  <c r="W295" i="82" s="1"/>
  <c r="V4" i="122" s="1"/>
  <c r="F295" i="82"/>
  <c r="G295" i="82"/>
  <c r="H295" i="82"/>
  <c r="I295" i="82"/>
  <c r="J295" i="82"/>
  <c r="K295" i="82"/>
  <c r="L295" i="82"/>
  <c r="M295" i="82"/>
  <c r="N295" i="82"/>
  <c r="O295" i="82"/>
  <c r="P295" i="82"/>
  <c r="Q295" i="82"/>
  <c r="R295" i="82"/>
  <c r="S295" i="82"/>
  <c r="T295" i="82"/>
  <c r="U295" i="82"/>
  <c r="B296" i="82"/>
  <c r="C296" i="82"/>
  <c r="D296" i="82"/>
  <c r="E296" i="82"/>
  <c r="W296" i="82" s="1"/>
  <c r="V4" i="152" s="1"/>
  <c r="F296" i="82"/>
  <c r="G296" i="82"/>
  <c r="H296" i="82"/>
  <c r="I296" i="82"/>
  <c r="J296" i="82"/>
  <c r="K296" i="82"/>
  <c r="L296" i="82"/>
  <c r="M296" i="82"/>
  <c r="N296" i="82"/>
  <c r="O296" i="82"/>
  <c r="P296" i="82"/>
  <c r="Q296" i="82"/>
  <c r="R296" i="82"/>
  <c r="S296" i="82"/>
  <c r="T296" i="82"/>
  <c r="U296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B298" i="82"/>
  <c r="C298" i="82"/>
  <c r="D298" i="82"/>
  <c r="E298" i="82"/>
  <c r="W298" i="82" s="1"/>
  <c r="V4" i="120" s="1"/>
  <c r="F298" i="82"/>
  <c r="G298" i="82"/>
  <c r="H298" i="82"/>
  <c r="I298" i="82"/>
  <c r="J298" i="82"/>
  <c r="K298" i="82"/>
  <c r="L298" i="82"/>
  <c r="M298" i="82"/>
  <c r="N298" i="82"/>
  <c r="O298" i="82"/>
  <c r="P298" i="82"/>
  <c r="Q298" i="82"/>
  <c r="R298" i="82"/>
  <c r="S298" i="82"/>
  <c r="T298" i="82"/>
  <c r="U298" i="82"/>
  <c r="B299" i="82"/>
  <c r="C299" i="82"/>
  <c r="D299" i="82"/>
  <c r="E299" i="82"/>
  <c r="F299" i="82"/>
  <c r="G299" i="82"/>
  <c r="H299" i="82"/>
  <c r="I299" i="82"/>
  <c r="J299" i="82"/>
  <c r="K299" i="82"/>
  <c r="L299" i="82"/>
  <c r="M299" i="82"/>
  <c r="N299" i="82"/>
  <c r="O299" i="82"/>
  <c r="P299" i="82"/>
  <c r="Q299" i="82"/>
  <c r="R299" i="82"/>
  <c r="S299" i="82"/>
  <c r="T299" i="82"/>
  <c r="U299" i="82"/>
  <c r="B300" i="82"/>
  <c r="C300" i="82"/>
  <c r="D300" i="82"/>
  <c r="E300" i="82"/>
  <c r="W300" i="82" s="1"/>
  <c r="V4" i="116" s="1"/>
  <c r="F300" i="82"/>
  <c r="G300" i="82"/>
  <c r="H300" i="82"/>
  <c r="I300" i="82"/>
  <c r="J300" i="82"/>
  <c r="K300" i="82"/>
  <c r="L300" i="82"/>
  <c r="M300" i="82"/>
  <c r="N300" i="82"/>
  <c r="O300" i="82"/>
  <c r="P300" i="82"/>
  <c r="Q300" i="82"/>
  <c r="R300" i="82"/>
  <c r="S300" i="82"/>
  <c r="T300" i="82"/>
  <c r="U300" i="82"/>
  <c r="B301" i="82"/>
  <c r="C301" i="82"/>
  <c r="D301" i="82"/>
  <c r="E301" i="82"/>
  <c r="W301" i="82" s="1"/>
  <c r="V5" i="204" s="1"/>
  <c r="F301" i="82"/>
  <c r="G301" i="82"/>
  <c r="H301" i="82"/>
  <c r="I301" i="82"/>
  <c r="J301" i="82"/>
  <c r="K301" i="82"/>
  <c r="L301" i="82"/>
  <c r="M301" i="82"/>
  <c r="N301" i="82"/>
  <c r="O301" i="82"/>
  <c r="P301" i="82"/>
  <c r="Q301" i="82"/>
  <c r="R301" i="82"/>
  <c r="S301" i="82"/>
  <c r="T301" i="82"/>
  <c r="U301" i="82"/>
  <c r="B302" i="82"/>
  <c r="C302" i="82"/>
  <c r="D302" i="82"/>
  <c r="E302" i="82"/>
  <c r="W302" i="82" s="1"/>
  <c r="V4" i="114" s="1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B303" i="82"/>
  <c r="C303" i="82"/>
  <c r="D303" i="82"/>
  <c r="E303" i="82"/>
  <c r="F303" i="82"/>
  <c r="G303" i="82"/>
  <c r="H303" i="82"/>
  <c r="I303" i="82"/>
  <c r="J303" i="82"/>
  <c r="K303" i="82"/>
  <c r="L303" i="82"/>
  <c r="M303" i="82"/>
  <c r="N303" i="82"/>
  <c r="O303" i="82"/>
  <c r="P303" i="82"/>
  <c r="Q303" i="82"/>
  <c r="R303" i="82"/>
  <c r="S303" i="82"/>
  <c r="T303" i="82"/>
  <c r="U303" i="82"/>
  <c r="B304" i="82"/>
  <c r="C304" i="82"/>
  <c r="D304" i="82"/>
  <c r="E304" i="82"/>
  <c r="F304" i="82"/>
  <c r="G304" i="82"/>
  <c r="H304" i="82"/>
  <c r="I304" i="82"/>
  <c r="J304" i="82"/>
  <c r="K304" i="82"/>
  <c r="L304" i="82"/>
  <c r="M304" i="82"/>
  <c r="N304" i="82"/>
  <c r="O304" i="82"/>
  <c r="P304" i="82"/>
  <c r="Q304" i="82"/>
  <c r="R304" i="82"/>
  <c r="S304" i="82"/>
  <c r="T304" i="82"/>
  <c r="U304" i="82"/>
  <c r="B305" i="82"/>
  <c r="C305" i="82"/>
  <c r="D305" i="82"/>
  <c r="E305" i="82"/>
  <c r="W305" i="82" s="1"/>
  <c r="V4" i="274" s="1"/>
  <c r="F305" i="82"/>
  <c r="G305" i="82"/>
  <c r="H305" i="82"/>
  <c r="I305" i="82"/>
  <c r="J305" i="82"/>
  <c r="K305" i="82"/>
  <c r="L305" i="82"/>
  <c r="M305" i="82"/>
  <c r="N305" i="82"/>
  <c r="O305" i="82"/>
  <c r="P305" i="82"/>
  <c r="Q305" i="82"/>
  <c r="R305" i="82"/>
  <c r="S305" i="82"/>
  <c r="T305" i="82"/>
  <c r="U305" i="82"/>
  <c r="B306" i="82"/>
  <c r="C306" i="82"/>
  <c r="D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C307" i="82"/>
  <c r="D307" i="82"/>
  <c r="E307" i="82"/>
  <c r="W307" i="82" s="1"/>
  <c r="V4" i="63" s="1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B308" i="82"/>
  <c r="C308" i="82"/>
  <c r="D308" i="82"/>
  <c r="E308" i="82"/>
  <c r="W308" i="82" s="1"/>
  <c r="V3" i="52" s="1"/>
  <c r="F308" i="82"/>
  <c r="G308" i="82"/>
  <c r="H308" i="82"/>
  <c r="I308" i="82"/>
  <c r="J308" i="82"/>
  <c r="K308" i="82"/>
  <c r="L308" i="82"/>
  <c r="M308" i="82"/>
  <c r="N308" i="82"/>
  <c r="O308" i="82"/>
  <c r="P308" i="82"/>
  <c r="Q308" i="82"/>
  <c r="R308" i="82"/>
  <c r="S308" i="82"/>
  <c r="T308" i="82"/>
  <c r="U308" i="82"/>
  <c r="B309" i="82"/>
  <c r="C309" i="82"/>
  <c r="D309" i="82"/>
  <c r="E309" i="82"/>
  <c r="F309" i="82"/>
  <c r="G309" i="82"/>
  <c r="H309" i="82"/>
  <c r="I309" i="82"/>
  <c r="J309" i="82"/>
  <c r="K309" i="82"/>
  <c r="L309" i="82"/>
  <c r="M309" i="82"/>
  <c r="N309" i="82"/>
  <c r="O309" i="82"/>
  <c r="P309" i="82"/>
  <c r="Q309" i="82"/>
  <c r="R309" i="82"/>
  <c r="S309" i="82"/>
  <c r="T309" i="82"/>
  <c r="U309" i="82"/>
  <c r="B310" i="82"/>
  <c r="C310" i="82"/>
  <c r="D310" i="82"/>
  <c r="E310" i="82"/>
  <c r="F310" i="82"/>
  <c r="G310" i="82"/>
  <c r="H310" i="82"/>
  <c r="I310" i="82"/>
  <c r="J310" i="82"/>
  <c r="K310" i="82"/>
  <c r="L310" i="82"/>
  <c r="M310" i="82"/>
  <c r="N310" i="82"/>
  <c r="O310" i="82"/>
  <c r="P310" i="82"/>
  <c r="Q310" i="82"/>
  <c r="R310" i="82"/>
  <c r="S310" i="82"/>
  <c r="T310" i="82"/>
  <c r="U310" i="82"/>
  <c r="B311" i="82"/>
  <c r="C311" i="82"/>
  <c r="D311" i="82"/>
  <c r="E311" i="82"/>
  <c r="F311" i="82"/>
  <c r="G311" i="82"/>
  <c r="H311" i="82"/>
  <c r="I311" i="82"/>
  <c r="J311" i="82"/>
  <c r="K311" i="82"/>
  <c r="L311" i="82"/>
  <c r="M311" i="82"/>
  <c r="N311" i="82"/>
  <c r="O311" i="82"/>
  <c r="P311" i="82"/>
  <c r="Q311" i="82"/>
  <c r="R311" i="82"/>
  <c r="S311" i="82"/>
  <c r="T311" i="82"/>
  <c r="U311" i="82"/>
  <c r="B312" i="82"/>
  <c r="C312" i="82"/>
  <c r="D312" i="82"/>
  <c r="E312" i="82"/>
  <c r="W312" i="82" s="1"/>
  <c r="V4" i="173" s="1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B313" i="82"/>
  <c r="C313" i="82"/>
  <c r="D313" i="82"/>
  <c r="E313" i="82"/>
  <c r="F313" i="82"/>
  <c r="G313" i="82"/>
  <c r="H313" i="82"/>
  <c r="I313" i="82"/>
  <c r="J313" i="82"/>
  <c r="K313" i="82"/>
  <c r="L313" i="82"/>
  <c r="M313" i="82"/>
  <c r="N313" i="82"/>
  <c r="O313" i="82"/>
  <c r="P313" i="82"/>
  <c r="Q313" i="82"/>
  <c r="R313" i="82"/>
  <c r="S313" i="82"/>
  <c r="T313" i="82"/>
  <c r="U313" i="82"/>
  <c r="B314" i="82"/>
  <c r="C314" i="82"/>
  <c r="D314" i="82"/>
  <c r="E314" i="82"/>
  <c r="F314" i="82"/>
  <c r="G314" i="82"/>
  <c r="H314" i="82"/>
  <c r="I314" i="82"/>
  <c r="J314" i="82"/>
  <c r="K314" i="82"/>
  <c r="L314" i="82"/>
  <c r="M314" i="82"/>
  <c r="N314" i="82"/>
  <c r="O314" i="82"/>
  <c r="P314" i="82"/>
  <c r="Q314" i="82"/>
  <c r="R314" i="82"/>
  <c r="S314" i="82"/>
  <c r="T314" i="82"/>
  <c r="U314" i="82"/>
  <c r="B315" i="82"/>
  <c r="C315" i="82"/>
  <c r="D315" i="82"/>
  <c r="E315" i="82"/>
  <c r="W315" i="82" s="1"/>
  <c r="V5" i="63" s="1"/>
  <c r="F315" i="82"/>
  <c r="G315" i="82"/>
  <c r="H315" i="82"/>
  <c r="I315" i="82"/>
  <c r="J315" i="82"/>
  <c r="K315" i="82"/>
  <c r="L315" i="82"/>
  <c r="M315" i="82"/>
  <c r="N315" i="82"/>
  <c r="O315" i="82"/>
  <c r="P315" i="82"/>
  <c r="Q315" i="82"/>
  <c r="R315" i="82"/>
  <c r="S315" i="82"/>
  <c r="T315" i="82"/>
  <c r="U315" i="82"/>
  <c r="B316" i="82"/>
  <c r="C316" i="82"/>
  <c r="D316" i="82"/>
  <c r="E316" i="82"/>
  <c r="F316" i="82"/>
  <c r="G316" i="82"/>
  <c r="H316" i="82"/>
  <c r="I316" i="82"/>
  <c r="J316" i="82"/>
  <c r="K316" i="82"/>
  <c r="L316" i="82"/>
  <c r="M316" i="82"/>
  <c r="N316" i="82"/>
  <c r="O316" i="82"/>
  <c r="P316" i="82"/>
  <c r="Q316" i="82"/>
  <c r="R316" i="82"/>
  <c r="S316" i="82"/>
  <c r="T316" i="82"/>
  <c r="U316" i="82"/>
  <c r="B317" i="82"/>
  <c r="C317" i="82"/>
  <c r="D317" i="82"/>
  <c r="E317" i="82"/>
  <c r="W317" i="82" s="1"/>
  <c r="V4" i="62" s="1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B318" i="82"/>
  <c r="C318" i="82"/>
  <c r="D318" i="82"/>
  <c r="E318" i="82"/>
  <c r="W318" i="82" s="1"/>
  <c r="V4" i="154" s="1"/>
  <c r="F318" i="82"/>
  <c r="G318" i="82"/>
  <c r="H318" i="82"/>
  <c r="I318" i="82"/>
  <c r="J318" i="82"/>
  <c r="K318" i="82"/>
  <c r="L318" i="82"/>
  <c r="M318" i="82"/>
  <c r="N318" i="82"/>
  <c r="O318" i="82"/>
  <c r="P318" i="82"/>
  <c r="Q318" i="82"/>
  <c r="R318" i="82"/>
  <c r="S318" i="82"/>
  <c r="T318" i="82"/>
  <c r="U318" i="82"/>
  <c r="B319" i="82"/>
  <c r="C319" i="82"/>
  <c r="D319" i="82"/>
  <c r="E319" i="82"/>
  <c r="W319" i="82" s="1"/>
  <c r="V6" i="121" s="1"/>
  <c r="F319" i="82"/>
  <c r="G319" i="82"/>
  <c r="H319" i="82"/>
  <c r="I319" i="82"/>
  <c r="J319" i="82"/>
  <c r="K319" i="82"/>
  <c r="L319" i="82"/>
  <c r="M319" i="82"/>
  <c r="N319" i="82"/>
  <c r="O319" i="82"/>
  <c r="P319" i="82"/>
  <c r="Q319" i="82"/>
  <c r="R319" i="82"/>
  <c r="S319" i="82"/>
  <c r="T319" i="82"/>
  <c r="U319" i="82"/>
  <c r="B320" i="82"/>
  <c r="C320" i="82"/>
  <c r="D320" i="82"/>
  <c r="E320" i="82"/>
  <c r="W320" i="82" s="1"/>
  <c r="V5" i="147" s="1"/>
  <c r="F320" i="82"/>
  <c r="G320" i="82"/>
  <c r="H320" i="82"/>
  <c r="I320" i="82"/>
  <c r="J320" i="82"/>
  <c r="K320" i="82"/>
  <c r="L320" i="82"/>
  <c r="M320" i="82"/>
  <c r="N320" i="82"/>
  <c r="O320" i="82"/>
  <c r="P320" i="82"/>
  <c r="Q320" i="82"/>
  <c r="R320" i="82"/>
  <c r="S320" i="82"/>
  <c r="T320" i="82"/>
  <c r="U320" i="82"/>
  <c r="B321" i="82"/>
  <c r="C321" i="82"/>
  <c r="D321" i="82"/>
  <c r="E321" i="82"/>
  <c r="F321" i="82"/>
  <c r="G321" i="82"/>
  <c r="H321" i="82"/>
  <c r="I321" i="82"/>
  <c r="J321" i="82"/>
  <c r="K321" i="82"/>
  <c r="L321" i="82"/>
  <c r="M321" i="82"/>
  <c r="N321" i="82"/>
  <c r="O321" i="82"/>
  <c r="P321" i="82"/>
  <c r="Q321" i="82"/>
  <c r="R321" i="82"/>
  <c r="S321" i="82"/>
  <c r="T321" i="82"/>
  <c r="U321" i="82"/>
  <c r="B322" i="82"/>
  <c r="C322" i="82"/>
  <c r="D322" i="82"/>
  <c r="E322" i="82"/>
  <c r="W322" i="82" s="1"/>
  <c r="V5" i="125" s="1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B323" i="82"/>
  <c r="C323" i="82"/>
  <c r="D323" i="82"/>
  <c r="E323" i="82"/>
  <c r="W323" i="82" s="1"/>
  <c r="V4" i="105" s="1"/>
  <c r="F323" i="82"/>
  <c r="G323" i="82"/>
  <c r="H323" i="82"/>
  <c r="I323" i="82"/>
  <c r="J323" i="82"/>
  <c r="K323" i="82"/>
  <c r="L323" i="82"/>
  <c r="M323" i="82"/>
  <c r="N323" i="82"/>
  <c r="O323" i="82"/>
  <c r="P323" i="82"/>
  <c r="Q323" i="82"/>
  <c r="R323" i="82"/>
  <c r="S323" i="82"/>
  <c r="T323" i="82"/>
  <c r="U323" i="82"/>
  <c r="B324" i="82"/>
  <c r="C324" i="82"/>
  <c r="D324" i="82"/>
  <c r="E324" i="82"/>
  <c r="W324" i="82" s="1"/>
  <c r="V4" i="266" s="1"/>
  <c r="F324" i="82"/>
  <c r="G324" i="82"/>
  <c r="H324" i="82"/>
  <c r="I324" i="82"/>
  <c r="J324" i="82"/>
  <c r="K324" i="82"/>
  <c r="L324" i="82"/>
  <c r="M324" i="82"/>
  <c r="N324" i="82"/>
  <c r="O324" i="82"/>
  <c r="P324" i="82"/>
  <c r="Q324" i="82"/>
  <c r="R324" i="82"/>
  <c r="S324" i="82"/>
  <c r="T324" i="82"/>
  <c r="U324" i="82"/>
  <c r="B325" i="82"/>
  <c r="C325" i="82"/>
  <c r="D325" i="82"/>
  <c r="E325" i="82"/>
  <c r="W325" i="82" s="1"/>
  <c r="V4" i="102" s="1"/>
  <c r="F325" i="82"/>
  <c r="G325" i="82"/>
  <c r="H325" i="82"/>
  <c r="I325" i="82"/>
  <c r="J325" i="82"/>
  <c r="K325" i="82"/>
  <c r="L325" i="82"/>
  <c r="M325" i="82"/>
  <c r="N325" i="82"/>
  <c r="O325" i="82"/>
  <c r="P325" i="82"/>
  <c r="Q325" i="82"/>
  <c r="R325" i="82"/>
  <c r="S325" i="82"/>
  <c r="T325" i="82"/>
  <c r="U325" i="82"/>
  <c r="B326" i="82"/>
  <c r="C326" i="82"/>
  <c r="D326" i="82"/>
  <c r="E326" i="82"/>
  <c r="W326" i="82" s="1"/>
  <c r="V4" i="212" s="1"/>
  <c r="F326" i="82"/>
  <c r="G326" i="82"/>
  <c r="H326" i="82"/>
  <c r="I326" i="82"/>
  <c r="J326" i="82"/>
  <c r="K326" i="82"/>
  <c r="L326" i="82"/>
  <c r="M326" i="82"/>
  <c r="N326" i="82"/>
  <c r="O326" i="82"/>
  <c r="P326" i="82"/>
  <c r="Q326" i="82"/>
  <c r="R326" i="82"/>
  <c r="S326" i="82"/>
  <c r="T326" i="82"/>
  <c r="U326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C328" i="82"/>
  <c r="D328" i="82"/>
  <c r="E328" i="82"/>
  <c r="W328" i="82" s="1"/>
  <c r="V5" i="266" s="1"/>
  <c r="F328" i="82"/>
  <c r="G328" i="82"/>
  <c r="H328" i="82"/>
  <c r="I328" i="82"/>
  <c r="J328" i="82"/>
  <c r="K328" i="82"/>
  <c r="L328" i="82"/>
  <c r="M328" i="82"/>
  <c r="N328" i="82"/>
  <c r="O328" i="82"/>
  <c r="P328" i="82"/>
  <c r="Q328" i="82"/>
  <c r="R328" i="82"/>
  <c r="S328" i="82"/>
  <c r="T328" i="82"/>
  <c r="U328" i="82"/>
  <c r="B329" i="82"/>
  <c r="C329" i="82"/>
  <c r="D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C330" i="82"/>
  <c r="D330" i="82"/>
  <c r="E330" i="82"/>
  <c r="W330" i="82" s="1"/>
  <c r="V5" i="224" s="1"/>
  <c r="F330" i="82"/>
  <c r="G330" i="82"/>
  <c r="H330" i="82"/>
  <c r="I330" i="82"/>
  <c r="J330" i="82"/>
  <c r="K330" i="82"/>
  <c r="L330" i="82"/>
  <c r="M330" i="82"/>
  <c r="N330" i="82"/>
  <c r="O330" i="82"/>
  <c r="P330" i="82"/>
  <c r="Q330" i="82"/>
  <c r="R330" i="82"/>
  <c r="S330" i="82"/>
  <c r="T330" i="82"/>
  <c r="U330" i="82"/>
  <c r="B331" i="82"/>
  <c r="C331" i="82"/>
  <c r="D331" i="82"/>
  <c r="E331" i="82"/>
  <c r="W331" i="82" s="1"/>
  <c r="V4" i="153" s="1"/>
  <c r="F331" i="82"/>
  <c r="G331" i="82"/>
  <c r="H331" i="82"/>
  <c r="I331" i="82"/>
  <c r="J331" i="82"/>
  <c r="K331" i="82"/>
  <c r="L331" i="82"/>
  <c r="M331" i="82"/>
  <c r="N331" i="82"/>
  <c r="O331" i="82"/>
  <c r="P331" i="82"/>
  <c r="Q331" i="82"/>
  <c r="R331" i="82"/>
  <c r="S331" i="82"/>
  <c r="T331" i="82"/>
  <c r="U331" i="82"/>
  <c r="B332" i="82"/>
  <c r="C332" i="82"/>
  <c r="D332" i="82"/>
  <c r="E332" i="82"/>
  <c r="F332" i="82"/>
  <c r="G332" i="82"/>
  <c r="H332" i="82"/>
  <c r="I332" i="82"/>
  <c r="J332" i="82"/>
  <c r="K332" i="82"/>
  <c r="L332" i="82"/>
  <c r="M332" i="82"/>
  <c r="N332" i="82"/>
  <c r="O332" i="82"/>
  <c r="P332" i="82"/>
  <c r="Q332" i="82"/>
  <c r="R332" i="82"/>
  <c r="S332" i="82"/>
  <c r="T332" i="82"/>
  <c r="U332" i="82"/>
  <c r="B333" i="82"/>
  <c r="C333" i="82"/>
  <c r="D333" i="82"/>
  <c r="E333" i="82"/>
  <c r="W333" i="82" s="1"/>
  <c r="V5" i="166" s="1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C334" i="82"/>
  <c r="D334" i="82"/>
  <c r="E334" i="82"/>
  <c r="W334" i="82" s="1"/>
  <c r="V4" i="118" s="1"/>
  <c r="F334" i="82"/>
  <c r="G334" i="82"/>
  <c r="H334" i="82"/>
  <c r="I334" i="82"/>
  <c r="J334" i="82"/>
  <c r="K334" i="82"/>
  <c r="L334" i="82"/>
  <c r="M334" i="82"/>
  <c r="N334" i="82"/>
  <c r="O334" i="82"/>
  <c r="P334" i="82"/>
  <c r="Q334" i="82"/>
  <c r="R334" i="82"/>
  <c r="S334" i="82"/>
  <c r="T334" i="82"/>
  <c r="U334" i="82"/>
  <c r="B335" i="82"/>
  <c r="C335" i="82"/>
  <c r="D335" i="82"/>
  <c r="E335" i="82"/>
  <c r="W335" i="82" s="1"/>
  <c r="V4" i="84" s="1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B336" i="82"/>
  <c r="C336" i="82"/>
  <c r="D336" i="82"/>
  <c r="E336" i="82"/>
  <c r="F336" i="82"/>
  <c r="G336" i="82"/>
  <c r="H336" i="82"/>
  <c r="I336" i="82"/>
  <c r="J336" i="82"/>
  <c r="K336" i="82"/>
  <c r="L336" i="82"/>
  <c r="M336" i="82"/>
  <c r="N336" i="82"/>
  <c r="O336" i="82"/>
  <c r="P336" i="82"/>
  <c r="Q336" i="82"/>
  <c r="R336" i="82"/>
  <c r="S336" i="82"/>
  <c r="T336" i="82"/>
  <c r="U336" i="82"/>
  <c r="B337" i="82"/>
  <c r="C337" i="82"/>
  <c r="D337" i="82"/>
  <c r="E337" i="82"/>
  <c r="W337" i="82" s="1"/>
  <c r="V4" i="98" s="1"/>
  <c r="F337" i="82"/>
  <c r="G337" i="82"/>
  <c r="H337" i="82"/>
  <c r="I337" i="82"/>
  <c r="J337" i="82"/>
  <c r="K337" i="82"/>
  <c r="L337" i="82"/>
  <c r="M337" i="82"/>
  <c r="N337" i="82"/>
  <c r="O337" i="82"/>
  <c r="P337" i="82"/>
  <c r="Q337" i="82"/>
  <c r="R337" i="82"/>
  <c r="S337" i="82"/>
  <c r="T337" i="82"/>
  <c r="U337" i="82"/>
  <c r="B338" i="82"/>
  <c r="C338" i="82"/>
  <c r="D338" i="82"/>
  <c r="E338" i="82"/>
  <c r="F338" i="82"/>
  <c r="G338" i="82"/>
  <c r="H338" i="82"/>
  <c r="I338" i="82"/>
  <c r="J338" i="82"/>
  <c r="K338" i="82"/>
  <c r="L338" i="82"/>
  <c r="M338" i="82"/>
  <c r="N338" i="82"/>
  <c r="O338" i="82"/>
  <c r="P338" i="82"/>
  <c r="Q338" i="82"/>
  <c r="R338" i="82"/>
  <c r="S338" i="82"/>
  <c r="T338" i="82"/>
  <c r="U338" i="82"/>
  <c r="B339" i="82"/>
  <c r="C339" i="82"/>
  <c r="D339" i="82"/>
  <c r="E339" i="82"/>
  <c r="F339" i="82"/>
  <c r="G339" i="82"/>
  <c r="H339" i="82"/>
  <c r="I339" i="82"/>
  <c r="J339" i="82"/>
  <c r="K339" i="82"/>
  <c r="L339" i="82"/>
  <c r="M339" i="82"/>
  <c r="N339" i="82"/>
  <c r="O339" i="82"/>
  <c r="P339" i="82"/>
  <c r="Q339" i="82"/>
  <c r="R339" i="82"/>
  <c r="S339" i="82"/>
  <c r="T339" i="82"/>
  <c r="U339" i="82"/>
  <c r="B340" i="82"/>
  <c r="C340" i="82"/>
  <c r="D340" i="82"/>
  <c r="E340" i="82"/>
  <c r="W340" i="82" s="1"/>
  <c r="V5" i="275" s="1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B341" i="82"/>
  <c r="C341" i="82"/>
  <c r="D341" i="82"/>
  <c r="E341" i="82"/>
  <c r="W341" i="82" s="1"/>
  <c r="V5" i="108" s="1"/>
  <c r="F341" i="82"/>
  <c r="G341" i="82"/>
  <c r="H341" i="82"/>
  <c r="I341" i="82"/>
  <c r="J341" i="82"/>
  <c r="K341" i="82"/>
  <c r="L341" i="82"/>
  <c r="M341" i="82"/>
  <c r="N341" i="82"/>
  <c r="O341" i="82"/>
  <c r="P341" i="82"/>
  <c r="Q341" i="82"/>
  <c r="R341" i="82"/>
  <c r="S341" i="82"/>
  <c r="T341" i="82"/>
  <c r="U341" i="82"/>
  <c r="B342" i="82"/>
  <c r="C342" i="82"/>
  <c r="D342" i="82"/>
  <c r="E342" i="82"/>
  <c r="W342" i="82" s="1"/>
  <c r="V5" i="130" s="1"/>
  <c r="F342" i="82"/>
  <c r="G342" i="82"/>
  <c r="H342" i="82"/>
  <c r="I342" i="82"/>
  <c r="J342" i="82"/>
  <c r="K342" i="82"/>
  <c r="L342" i="82"/>
  <c r="M342" i="82"/>
  <c r="N342" i="82"/>
  <c r="O342" i="82"/>
  <c r="P342" i="82"/>
  <c r="Q342" i="82"/>
  <c r="R342" i="82"/>
  <c r="S342" i="82"/>
  <c r="T342" i="82"/>
  <c r="U342" i="82"/>
  <c r="B343" i="82"/>
  <c r="C343" i="82"/>
  <c r="D343" i="82"/>
  <c r="E343" i="82"/>
  <c r="F343" i="82"/>
  <c r="G343" i="82"/>
  <c r="H343" i="82"/>
  <c r="I343" i="82"/>
  <c r="J343" i="82"/>
  <c r="K343" i="82"/>
  <c r="L343" i="82"/>
  <c r="M343" i="82"/>
  <c r="N343" i="82"/>
  <c r="O343" i="82"/>
  <c r="P343" i="82"/>
  <c r="Q343" i="82"/>
  <c r="R343" i="82"/>
  <c r="S343" i="82"/>
  <c r="T343" i="82"/>
  <c r="U343" i="82"/>
  <c r="B344" i="82"/>
  <c r="C344" i="82"/>
  <c r="D344" i="82"/>
  <c r="E344" i="82"/>
  <c r="W344" i="82" s="1"/>
  <c r="V4" i="257" s="1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C345" i="82"/>
  <c r="D345" i="82"/>
  <c r="E345" i="82"/>
  <c r="W345" i="82" s="1"/>
  <c r="V5" i="181" s="1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B346" i="82"/>
  <c r="C346" i="82"/>
  <c r="D346" i="82"/>
  <c r="E346" i="82"/>
  <c r="W346" i="82" s="1"/>
  <c r="V5" i="102" s="1"/>
  <c r="F346" i="82"/>
  <c r="G346" i="82"/>
  <c r="H346" i="82"/>
  <c r="I346" i="82"/>
  <c r="J346" i="82"/>
  <c r="K346" i="82"/>
  <c r="L346" i="82"/>
  <c r="M346" i="82"/>
  <c r="N346" i="82"/>
  <c r="O346" i="82"/>
  <c r="P346" i="82"/>
  <c r="Q346" i="82"/>
  <c r="R346" i="82"/>
  <c r="S346" i="82"/>
  <c r="T346" i="82"/>
  <c r="U346" i="82"/>
  <c r="B347" i="82"/>
  <c r="C347" i="82"/>
  <c r="D347" i="82"/>
  <c r="E347" i="82"/>
  <c r="F347" i="82"/>
  <c r="G347" i="82"/>
  <c r="H347" i="82"/>
  <c r="I347" i="82"/>
  <c r="J347" i="82"/>
  <c r="K347" i="82"/>
  <c r="L347" i="82"/>
  <c r="M347" i="82"/>
  <c r="N347" i="82"/>
  <c r="O347" i="82"/>
  <c r="P347" i="82"/>
  <c r="Q347" i="82"/>
  <c r="R347" i="82"/>
  <c r="S347" i="82"/>
  <c r="T347" i="82"/>
  <c r="U347" i="82"/>
  <c r="B348" i="82"/>
  <c r="C348" i="82"/>
  <c r="D348" i="82"/>
  <c r="E348" i="82"/>
  <c r="W348" i="82" s="1"/>
  <c r="V5" i="154" s="1"/>
  <c r="F348" i="82"/>
  <c r="G348" i="82"/>
  <c r="H348" i="82"/>
  <c r="I348" i="82"/>
  <c r="J348" i="82"/>
  <c r="K348" i="82"/>
  <c r="L348" i="82"/>
  <c r="M348" i="82"/>
  <c r="N348" i="82"/>
  <c r="O348" i="82"/>
  <c r="P348" i="82"/>
  <c r="Q348" i="82"/>
  <c r="R348" i="82"/>
  <c r="S348" i="82"/>
  <c r="T348" i="82"/>
  <c r="U348" i="82"/>
  <c r="B349" i="82"/>
  <c r="C349" i="82"/>
  <c r="D349" i="82"/>
  <c r="E349" i="82"/>
  <c r="W349" i="82" s="1"/>
  <c r="V5" i="113" s="1"/>
  <c r="F349" i="82"/>
  <c r="G349" i="82"/>
  <c r="H349" i="82"/>
  <c r="I349" i="82"/>
  <c r="J349" i="82"/>
  <c r="K349" i="82"/>
  <c r="L349" i="82"/>
  <c r="M349" i="82"/>
  <c r="N349" i="82"/>
  <c r="O349" i="82"/>
  <c r="P349" i="82"/>
  <c r="Q349" i="82"/>
  <c r="R349" i="82"/>
  <c r="S349" i="82"/>
  <c r="T349" i="82"/>
  <c r="U349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B351" i="82"/>
  <c r="C351" i="82"/>
  <c r="D351" i="82"/>
  <c r="E351" i="82"/>
  <c r="W351" i="82" s="1"/>
  <c r="V5" i="118" s="1"/>
  <c r="F351" i="82"/>
  <c r="G351" i="82"/>
  <c r="H351" i="82"/>
  <c r="I351" i="82"/>
  <c r="J351" i="82"/>
  <c r="K351" i="82"/>
  <c r="L351" i="82"/>
  <c r="M351" i="82"/>
  <c r="N351" i="82"/>
  <c r="O351" i="82"/>
  <c r="P351" i="82"/>
  <c r="Q351" i="82"/>
  <c r="R351" i="82"/>
  <c r="S351" i="82"/>
  <c r="T351" i="82"/>
  <c r="U351" i="82"/>
  <c r="B352" i="82"/>
  <c r="C352" i="82"/>
  <c r="D352" i="82"/>
  <c r="E352" i="82"/>
  <c r="W352" i="82" s="1"/>
  <c r="V4" i="155" s="1"/>
  <c r="F352" i="82"/>
  <c r="G352" i="82"/>
  <c r="H352" i="82"/>
  <c r="I352" i="82"/>
  <c r="J352" i="82"/>
  <c r="K352" i="82"/>
  <c r="L352" i="82"/>
  <c r="M352" i="82"/>
  <c r="N352" i="82"/>
  <c r="O352" i="82"/>
  <c r="P352" i="82"/>
  <c r="Q352" i="82"/>
  <c r="R352" i="82"/>
  <c r="S352" i="82"/>
  <c r="T352" i="82"/>
  <c r="U352" i="82"/>
  <c r="B353" i="82"/>
  <c r="C353" i="82"/>
  <c r="D353" i="82"/>
  <c r="E353" i="82"/>
  <c r="F353" i="82"/>
  <c r="G353" i="82"/>
  <c r="H353" i="82"/>
  <c r="I353" i="82"/>
  <c r="J353" i="82"/>
  <c r="K353" i="82"/>
  <c r="L353" i="82"/>
  <c r="M353" i="82"/>
  <c r="N353" i="82"/>
  <c r="O353" i="82"/>
  <c r="P353" i="82"/>
  <c r="Q353" i="82"/>
  <c r="R353" i="82"/>
  <c r="S353" i="82"/>
  <c r="T353" i="82"/>
  <c r="U353" i="82"/>
  <c r="B354" i="82"/>
  <c r="C354" i="82"/>
  <c r="D354" i="82"/>
  <c r="E354" i="82"/>
  <c r="W354" i="82" s="1"/>
  <c r="V4" i="319" s="1"/>
  <c r="F354" i="82"/>
  <c r="G354" i="82"/>
  <c r="H354" i="82"/>
  <c r="I354" i="82"/>
  <c r="J354" i="82"/>
  <c r="K354" i="82"/>
  <c r="L354" i="82"/>
  <c r="M354" i="82"/>
  <c r="N354" i="82"/>
  <c r="O354" i="82"/>
  <c r="P354" i="82"/>
  <c r="Q354" i="82"/>
  <c r="R354" i="82"/>
  <c r="S354" i="82"/>
  <c r="T354" i="82"/>
  <c r="U354" i="82"/>
  <c r="B355" i="82"/>
  <c r="C355" i="82"/>
  <c r="D355" i="82"/>
  <c r="E355" i="82"/>
  <c r="W355" i="82" s="1"/>
  <c r="V5" i="258" s="1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B356" i="82"/>
  <c r="C356" i="82"/>
  <c r="D356" i="82"/>
  <c r="E356" i="82"/>
  <c r="W356" i="82" s="1"/>
  <c r="V4" i="119" s="1"/>
  <c r="F356" i="82"/>
  <c r="G356" i="82"/>
  <c r="H356" i="82"/>
  <c r="I356" i="82"/>
  <c r="J356" i="82"/>
  <c r="K356" i="82"/>
  <c r="L356" i="82"/>
  <c r="M356" i="82"/>
  <c r="N356" i="82"/>
  <c r="O356" i="82"/>
  <c r="P356" i="82"/>
  <c r="Q356" i="82"/>
  <c r="R356" i="82"/>
  <c r="S356" i="82"/>
  <c r="T356" i="82"/>
  <c r="U356" i="82"/>
  <c r="B357" i="82"/>
  <c r="C357" i="82"/>
  <c r="D357" i="82"/>
  <c r="E357" i="82"/>
  <c r="F357" i="82"/>
  <c r="G357" i="82"/>
  <c r="H357" i="82"/>
  <c r="I357" i="82"/>
  <c r="J357" i="82"/>
  <c r="K357" i="82"/>
  <c r="L357" i="82"/>
  <c r="M357" i="82"/>
  <c r="N357" i="82"/>
  <c r="O357" i="82"/>
  <c r="P357" i="82"/>
  <c r="Q357" i="82"/>
  <c r="R357" i="82"/>
  <c r="S357" i="82"/>
  <c r="T357" i="82"/>
  <c r="U357" i="82"/>
  <c r="B358" i="82"/>
  <c r="C358" i="82"/>
  <c r="D358" i="82"/>
  <c r="E358" i="82"/>
  <c r="W358" i="82" s="1"/>
  <c r="V6" i="125" s="1"/>
  <c r="F358" i="82"/>
  <c r="G358" i="82"/>
  <c r="H358" i="82"/>
  <c r="I358" i="82"/>
  <c r="J358" i="82"/>
  <c r="K358" i="82"/>
  <c r="L358" i="82"/>
  <c r="M358" i="82"/>
  <c r="N358" i="82"/>
  <c r="O358" i="82"/>
  <c r="P358" i="82"/>
  <c r="Q358" i="82"/>
  <c r="R358" i="82"/>
  <c r="S358" i="82"/>
  <c r="T358" i="82"/>
  <c r="U358" i="82"/>
  <c r="B359" i="82"/>
  <c r="C359" i="82"/>
  <c r="D359" i="82"/>
  <c r="E359" i="82"/>
  <c r="W359" i="82" s="1"/>
  <c r="V4" i="187" s="1"/>
  <c r="F359" i="82"/>
  <c r="G359" i="82"/>
  <c r="H359" i="82"/>
  <c r="I359" i="82"/>
  <c r="J359" i="82"/>
  <c r="K359" i="82"/>
  <c r="L359" i="82"/>
  <c r="M359" i="82"/>
  <c r="N359" i="82"/>
  <c r="O359" i="82"/>
  <c r="P359" i="82"/>
  <c r="Q359" i="82"/>
  <c r="R359" i="82"/>
  <c r="S359" i="82"/>
  <c r="T359" i="82"/>
  <c r="U359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B361" i="82"/>
  <c r="C361" i="82"/>
  <c r="D361" i="82"/>
  <c r="E361" i="82"/>
  <c r="W361" i="82" s="1"/>
  <c r="V4" i="96" s="1"/>
  <c r="F361" i="82"/>
  <c r="G361" i="82"/>
  <c r="H361" i="82"/>
  <c r="I361" i="82"/>
  <c r="J361" i="82"/>
  <c r="K361" i="82"/>
  <c r="L361" i="82"/>
  <c r="M361" i="82"/>
  <c r="N361" i="82"/>
  <c r="O361" i="82"/>
  <c r="P361" i="82"/>
  <c r="Q361" i="82"/>
  <c r="R361" i="82"/>
  <c r="S361" i="82"/>
  <c r="T361" i="82"/>
  <c r="U361" i="82"/>
  <c r="B362" i="82"/>
  <c r="C362" i="82"/>
  <c r="D362" i="82"/>
  <c r="E362" i="82"/>
  <c r="F362" i="82"/>
  <c r="G362" i="82"/>
  <c r="H362" i="82"/>
  <c r="I362" i="82"/>
  <c r="J362" i="82"/>
  <c r="K362" i="82"/>
  <c r="L362" i="82"/>
  <c r="M362" i="82"/>
  <c r="N362" i="82"/>
  <c r="O362" i="82"/>
  <c r="P362" i="82"/>
  <c r="Q362" i="82"/>
  <c r="R362" i="82"/>
  <c r="S362" i="82"/>
  <c r="T362" i="82"/>
  <c r="U362" i="82"/>
  <c r="B363" i="82"/>
  <c r="C363" i="82"/>
  <c r="D363" i="82"/>
  <c r="E363" i="82"/>
  <c r="F363" i="82"/>
  <c r="G363" i="82"/>
  <c r="H363" i="82"/>
  <c r="I363" i="82"/>
  <c r="J363" i="82"/>
  <c r="K363" i="82"/>
  <c r="L363" i="82"/>
  <c r="M363" i="82"/>
  <c r="N363" i="82"/>
  <c r="O363" i="82"/>
  <c r="P363" i="82"/>
  <c r="Q363" i="82"/>
  <c r="R363" i="82"/>
  <c r="S363" i="82"/>
  <c r="T363" i="82"/>
  <c r="U363" i="82"/>
  <c r="B364" i="82"/>
  <c r="C364" i="82"/>
  <c r="D364" i="82"/>
  <c r="E364" i="82"/>
  <c r="F364" i="82"/>
  <c r="G364" i="82"/>
  <c r="H364" i="82"/>
  <c r="I364" i="82"/>
  <c r="J364" i="82"/>
  <c r="K364" i="82"/>
  <c r="L364" i="82"/>
  <c r="M364" i="82"/>
  <c r="N364" i="82"/>
  <c r="O364" i="82"/>
  <c r="P364" i="82"/>
  <c r="Q364" i="82"/>
  <c r="R364" i="82"/>
  <c r="S364" i="82"/>
  <c r="T364" i="82"/>
  <c r="U364" i="82"/>
  <c r="B365" i="82"/>
  <c r="C365" i="82"/>
  <c r="D365" i="82"/>
  <c r="E365" i="82"/>
  <c r="W365" i="82" s="1"/>
  <c r="V4" i="139" s="1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B366" i="82"/>
  <c r="C366" i="82"/>
  <c r="D366" i="82"/>
  <c r="E366" i="82"/>
  <c r="W366" i="82" s="1"/>
  <c r="V4" i="191" s="1"/>
  <c r="F366" i="82"/>
  <c r="G366" i="82"/>
  <c r="H366" i="82"/>
  <c r="I366" i="82"/>
  <c r="J366" i="82"/>
  <c r="K366" i="82"/>
  <c r="L366" i="82"/>
  <c r="M366" i="82"/>
  <c r="N366" i="82"/>
  <c r="O366" i="82"/>
  <c r="P366" i="82"/>
  <c r="Q366" i="82"/>
  <c r="R366" i="82"/>
  <c r="S366" i="82"/>
  <c r="T366" i="82"/>
  <c r="U366" i="82"/>
  <c r="B367" i="82"/>
  <c r="C367" i="82"/>
  <c r="D367" i="82"/>
  <c r="E367" i="82"/>
  <c r="W367" i="82" s="1"/>
  <c r="V4" i="126" s="1"/>
  <c r="F367" i="82"/>
  <c r="G367" i="82"/>
  <c r="H367" i="82"/>
  <c r="I367" i="82"/>
  <c r="J367" i="82"/>
  <c r="K367" i="82"/>
  <c r="L367" i="82"/>
  <c r="M367" i="82"/>
  <c r="N367" i="82"/>
  <c r="O367" i="82"/>
  <c r="P367" i="82"/>
  <c r="Q367" i="82"/>
  <c r="R367" i="82"/>
  <c r="S367" i="82"/>
  <c r="T367" i="82"/>
  <c r="U367" i="82"/>
  <c r="B368" i="82"/>
  <c r="C368" i="82"/>
  <c r="D368" i="82"/>
  <c r="E368" i="82"/>
  <c r="W368" i="82" s="1"/>
  <c r="V5" i="69" s="1"/>
  <c r="F368" i="82"/>
  <c r="G368" i="82"/>
  <c r="H368" i="82"/>
  <c r="I368" i="82"/>
  <c r="J368" i="82"/>
  <c r="K368" i="82"/>
  <c r="L368" i="82"/>
  <c r="M368" i="82"/>
  <c r="N368" i="82"/>
  <c r="O368" i="82"/>
  <c r="P368" i="82"/>
  <c r="Q368" i="82"/>
  <c r="R368" i="82"/>
  <c r="S368" i="82"/>
  <c r="T368" i="82"/>
  <c r="U368" i="82"/>
  <c r="B369" i="82"/>
  <c r="C369" i="82"/>
  <c r="D369" i="82"/>
  <c r="E369" i="82"/>
  <c r="F369" i="82"/>
  <c r="G369" i="82"/>
  <c r="H369" i="82"/>
  <c r="I369" i="82"/>
  <c r="J369" i="82"/>
  <c r="K369" i="82"/>
  <c r="L369" i="82"/>
  <c r="M369" i="82"/>
  <c r="N369" i="82"/>
  <c r="O369" i="82"/>
  <c r="P369" i="82"/>
  <c r="Q369" i="82"/>
  <c r="R369" i="82"/>
  <c r="S369" i="82"/>
  <c r="T369" i="82"/>
  <c r="U369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B371" i="82"/>
  <c r="C371" i="82"/>
  <c r="D371" i="82"/>
  <c r="E371" i="82"/>
  <c r="W371" i="82" s="1"/>
  <c r="V6" i="224" s="1"/>
  <c r="F371" i="82"/>
  <c r="G371" i="82"/>
  <c r="H371" i="82"/>
  <c r="I371" i="82"/>
  <c r="J371" i="82"/>
  <c r="K371" i="82"/>
  <c r="L371" i="82"/>
  <c r="M371" i="82"/>
  <c r="N371" i="82"/>
  <c r="O371" i="82"/>
  <c r="P371" i="82"/>
  <c r="Q371" i="82"/>
  <c r="R371" i="82"/>
  <c r="S371" i="82"/>
  <c r="T371" i="82"/>
  <c r="U371" i="82"/>
  <c r="B372" i="82"/>
  <c r="C372" i="82"/>
  <c r="D372" i="82"/>
  <c r="E372" i="82"/>
  <c r="W372" i="82" s="1"/>
  <c r="V4" i="30" s="1"/>
  <c r="F372" i="82"/>
  <c r="G372" i="82"/>
  <c r="H372" i="82"/>
  <c r="I372" i="82"/>
  <c r="J372" i="82"/>
  <c r="K372" i="82"/>
  <c r="L372" i="82"/>
  <c r="M372" i="82"/>
  <c r="N372" i="82"/>
  <c r="O372" i="82"/>
  <c r="P372" i="82"/>
  <c r="Q372" i="82"/>
  <c r="R372" i="82"/>
  <c r="S372" i="82"/>
  <c r="T372" i="82"/>
  <c r="U372" i="82"/>
  <c r="B373" i="82"/>
  <c r="C373" i="82"/>
  <c r="D373" i="82"/>
  <c r="E373" i="82"/>
  <c r="W373" i="82" s="1"/>
  <c r="V4" i="251" s="1"/>
  <c r="F373" i="82"/>
  <c r="G373" i="82"/>
  <c r="H373" i="82"/>
  <c r="I373" i="82"/>
  <c r="J373" i="82"/>
  <c r="K373" i="82"/>
  <c r="L373" i="82"/>
  <c r="M373" i="82"/>
  <c r="N373" i="82"/>
  <c r="O373" i="82"/>
  <c r="P373" i="82"/>
  <c r="Q373" i="82"/>
  <c r="R373" i="82"/>
  <c r="S373" i="82"/>
  <c r="T373" i="82"/>
  <c r="U373" i="82"/>
  <c r="B374" i="82"/>
  <c r="C374" i="82"/>
  <c r="D374" i="82"/>
  <c r="E374" i="82"/>
  <c r="W374" i="82" s="1"/>
  <c r="V4" i="68" s="1"/>
  <c r="F374" i="82"/>
  <c r="G374" i="82"/>
  <c r="H374" i="82"/>
  <c r="I374" i="82"/>
  <c r="J374" i="82"/>
  <c r="K374" i="82"/>
  <c r="L374" i="82"/>
  <c r="M374" i="82"/>
  <c r="N374" i="82"/>
  <c r="O374" i="82"/>
  <c r="P374" i="82"/>
  <c r="Q374" i="82"/>
  <c r="R374" i="82"/>
  <c r="S374" i="82"/>
  <c r="T374" i="82"/>
  <c r="U374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B376" i="82"/>
  <c r="C376" i="82"/>
  <c r="D376" i="82"/>
  <c r="E376" i="82"/>
  <c r="W376" i="82" s="1"/>
  <c r="V5" i="251" s="1"/>
  <c r="F376" i="82"/>
  <c r="G376" i="82"/>
  <c r="H376" i="82"/>
  <c r="I376" i="82"/>
  <c r="J376" i="82"/>
  <c r="K376" i="82"/>
  <c r="L376" i="82"/>
  <c r="M376" i="82"/>
  <c r="N376" i="82"/>
  <c r="O376" i="82"/>
  <c r="P376" i="82"/>
  <c r="Q376" i="82"/>
  <c r="R376" i="82"/>
  <c r="S376" i="82"/>
  <c r="T376" i="82"/>
  <c r="U376" i="82"/>
  <c r="B377" i="82"/>
  <c r="C377" i="82"/>
  <c r="D377" i="82"/>
  <c r="E377" i="82"/>
  <c r="W377" i="82" s="1"/>
  <c r="V5" i="201" s="1"/>
  <c r="F377" i="82"/>
  <c r="G377" i="82"/>
  <c r="H377" i="82"/>
  <c r="I377" i="82"/>
  <c r="J377" i="82"/>
  <c r="K377" i="82"/>
  <c r="L377" i="82"/>
  <c r="M377" i="82"/>
  <c r="N377" i="82"/>
  <c r="O377" i="82"/>
  <c r="P377" i="82"/>
  <c r="Q377" i="82"/>
  <c r="R377" i="82"/>
  <c r="S377" i="82"/>
  <c r="T377" i="82"/>
  <c r="U377" i="82"/>
  <c r="B378" i="82"/>
  <c r="C378" i="82"/>
  <c r="D378" i="82"/>
  <c r="E378" i="82"/>
  <c r="W378" i="82" s="1"/>
  <c r="V3" i="149" s="1"/>
  <c r="F378" i="82"/>
  <c r="G378" i="82"/>
  <c r="H378" i="82"/>
  <c r="I378" i="82"/>
  <c r="J378" i="82"/>
  <c r="K378" i="82"/>
  <c r="L378" i="82"/>
  <c r="M378" i="82"/>
  <c r="N378" i="82"/>
  <c r="O378" i="82"/>
  <c r="P378" i="82"/>
  <c r="Q378" i="82"/>
  <c r="R378" i="82"/>
  <c r="S378" i="82"/>
  <c r="T378" i="82"/>
  <c r="U378" i="82"/>
  <c r="B379" i="82"/>
  <c r="C379" i="82"/>
  <c r="D379" i="82"/>
  <c r="E379" i="82"/>
  <c r="W379" i="82" s="1"/>
  <c r="V4" i="248" s="1"/>
  <c r="F379" i="82"/>
  <c r="G379" i="82"/>
  <c r="H379" i="82"/>
  <c r="I379" i="82"/>
  <c r="J379" i="82"/>
  <c r="K379" i="82"/>
  <c r="L379" i="82"/>
  <c r="M379" i="82"/>
  <c r="N379" i="82"/>
  <c r="O379" i="82"/>
  <c r="P379" i="82"/>
  <c r="Q379" i="82"/>
  <c r="R379" i="82"/>
  <c r="S379" i="82"/>
  <c r="T379" i="82"/>
  <c r="U379" i="82"/>
  <c r="B380" i="82"/>
  <c r="C380" i="82"/>
  <c r="D380" i="82"/>
  <c r="E380" i="82"/>
  <c r="W380" i="82" s="1"/>
  <c r="V5" i="114" s="1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B381" i="82"/>
  <c r="C381" i="82"/>
  <c r="D381" i="82"/>
  <c r="E381" i="82"/>
  <c r="W381" i="82" s="1"/>
  <c r="V4" i="87" s="1"/>
  <c r="F381" i="82"/>
  <c r="G381" i="82"/>
  <c r="H381" i="82"/>
  <c r="I381" i="82"/>
  <c r="J381" i="82"/>
  <c r="K381" i="82"/>
  <c r="L381" i="82"/>
  <c r="M381" i="82"/>
  <c r="N381" i="82"/>
  <c r="O381" i="82"/>
  <c r="P381" i="82"/>
  <c r="Q381" i="82"/>
  <c r="R381" i="82"/>
  <c r="S381" i="82"/>
  <c r="T381" i="82"/>
  <c r="U381" i="82"/>
  <c r="B382" i="82"/>
  <c r="C382" i="82"/>
  <c r="D382" i="82"/>
  <c r="E382" i="82"/>
  <c r="W382" i="82" s="1"/>
  <c r="V5" i="133" s="1"/>
  <c r="F382" i="82"/>
  <c r="G382" i="82"/>
  <c r="H382" i="82"/>
  <c r="I382" i="82"/>
  <c r="J382" i="82"/>
  <c r="K382" i="82"/>
  <c r="L382" i="82"/>
  <c r="M382" i="82"/>
  <c r="N382" i="82"/>
  <c r="O382" i="82"/>
  <c r="P382" i="82"/>
  <c r="Q382" i="82"/>
  <c r="R382" i="82"/>
  <c r="S382" i="82"/>
  <c r="T382" i="82"/>
  <c r="U382" i="82"/>
  <c r="B383" i="82"/>
  <c r="C383" i="82"/>
  <c r="D383" i="82"/>
  <c r="E383" i="82"/>
  <c r="W383" i="82" s="1"/>
  <c r="V5" i="211" s="1"/>
  <c r="F383" i="82"/>
  <c r="G383" i="82"/>
  <c r="H383" i="82"/>
  <c r="I383" i="82"/>
  <c r="J383" i="82"/>
  <c r="K383" i="82"/>
  <c r="L383" i="82"/>
  <c r="M383" i="82"/>
  <c r="N383" i="82"/>
  <c r="O383" i="82"/>
  <c r="P383" i="82"/>
  <c r="Q383" i="82"/>
  <c r="R383" i="82"/>
  <c r="S383" i="82"/>
  <c r="T383" i="82"/>
  <c r="U383" i="82"/>
  <c r="B384" i="82"/>
  <c r="C384" i="82"/>
  <c r="D384" i="82"/>
  <c r="E384" i="82"/>
  <c r="F384" i="82"/>
  <c r="G384" i="82"/>
  <c r="H384" i="82"/>
  <c r="I384" i="82"/>
  <c r="J384" i="82"/>
  <c r="K384" i="82"/>
  <c r="L384" i="82"/>
  <c r="M384" i="82"/>
  <c r="N384" i="82"/>
  <c r="O384" i="82"/>
  <c r="P384" i="82"/>
  <c r="Q384" i="82"/>
  <c r="R384" i="82"/>
  <c r="S384" i="82"/>
  <c r="T384" i="82"/>
  <c r="U384" i="82"/>
  <c r="B385" i="82"/>
  <c r="C385" i="82"/>
  <c r="D385" i="82"/>
  <c r="E385" i="82"/>
  <c r="W385" i="82" s="1"/>
  <c r="V4" i="167" s="1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B386" i="82"/>
  <c r="C386" i="82"/>
  <c r="D386" i="82"/>
  <c r="E386" i="82"/>
  <c r="W386" i="82" s="1"/>
  <c r="V4" i="117" s="1"/>
  <c r="F386" i="82"/>
  <c r="G386" i="82"/>
  <c r="H386" i="82"/>
  <c r="I386" i="82"/>
  <c r="J386" i="82"/>
  <c r="K386" i="82"/>
  <c r="L386" i="82"/>
  <c r="M386" i="82"/>
  <c r="N386" i="82"/>
  <c r="O386" i="82"/>
  <c r="P386" i="82"/>
  <c r="Q386" i="82"/>
  <c r="R386" i="82"/>
  <c r="S386" i="82"/>
  <c r="T386" i="82"/>
  <c r="U386" i="82"/>
  <c r="B387" i="82"/>
  <c r="C387" i="82"/>
  <c r="D387" i="82"/>
  <c r="E387" i="82"/>
  <c r="W387" i="82" s="1"/>
  <c r="V4" i="160" s="1"/>
  <c r="F387" i="82"/>
  <c r="G387" i="82"/>
  <c r="H387" i="82"/>
  <c r="I387" i="82"/>
  <c r="J387" i="82"/>
  <c r="K387" i="82"/>
  <c r="L387" i="82"/>
  <c r="M387" i="82"/>
  <c r="N387" i="82"/>
  <c r="O387" i="82"/>
  <c r="P387" i="82"/>
  <c r="Q387" i="82"/>
  <c r="R387" i="82"/>
  <c r="S387" i="82"/>
  <c r="T387" i="82"/>
  <c r="U387" i="82"/>
  <c r="B388" i="82"/>
  <c r="C388" i="82"/>
  <c r="D388" i="82"/>
  <c r="E388" i="82"/>
  <c r="F388" i="82"/>
  <c r="G388" i="82"/>
  <c r="H388" i="82"/>
  <c r="I388" i="82"/>
  <c r="J388" i="82"/>
  <c r="K388" i="82"/>
  <c r="L388" i="82"/>
  <c r="M388" i="82"/>
  <c r="N388" i="82"/>
  <c r="O388" i="82"/>
  <c r="P388" i="82"/>
  <c r="Q388" i="82"/>
  <c r="R388" i="82"/>
  <c r="S388" i="82"/>
  <c r="T388" i="82"/>
  <c r="U388" i="82"/>
  <c r="B389" i="82"/>
  <c r="C389" i="82"/>
  <c r="D389" i="82"/>
  <c r="E389" i="82"/>
  <c r="W389" i="82" s="1"/>
  <c r="V5" i="219" s="1"/>
  <c r="F389" i="82"/>
  <c r="G389" i="82"/>
  <c r="H389" i="82"/>
  <c r="I389" i="82"/>
  <c r="J389" i="82"/>
  <c r="K389" i="82"/>
  <c r="L389" i="82"/>
  <c r="M389" i="82"/>
  <c r="N389" i="82"/>
  <c r="O389" i="82"/>
  <c r="P389" i="82"/>
  <c r="Q389" i="82"/>
  <c r="R389" i="82"/>
  <c r="S389" i="82"/>
  <c r="T389" i="82"/>
  <c r="U389" i="82"/>
  <c r="B390" i="82"/>
  <c r="C390" i="82"/>
  <c r="D390" i="82"/>
  <c r="E390" i="82"/>
  <c r="W390" i="82" s="1"/>
  <c r="V6" i="219" s="1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B391" i="82"/>
  <c r="C391" i="82"/>
  <c r="D391" i="82"/>
  <c r="E391" i="82"/>
  <c r="W391" i="82" s="1"/>
  <c r="V5" i="234" s="1"/>
  <c r="F391" i="82"/>
  <c r="G391" i="82"/>
  <c r="H391" i="82"/>
  <c r="I391" i="82"/>
  <c r="J391" i="82"/>
  <c r="K391" i="82"/>
  <c r="L391" i="82"/>
  <c r="M391" i="82"/>
  <c r="N391" i="82"/>
  <c r="O391" i="82"/>
  <c r="P391" i="82"/>
  <c r="Q391" i="82"/>
  <c r="R391" i="82"/>
  <c r="S391" i="82"/>
  <c r="T391" i="82"/>
  <c r="U391" i="82"/>
  <c r="B392" i="82"/>
  <c r="C392" i="82"/>
  <c r="D392" i="82"/>
  <c r="E392" i="82"/>
  <c r="W392" i="82" s="1"/>
  <c r="V5" i="116" s="1"/>
  <c r="F392" i="82"/>
  <c r="G392" i="82"/>
  <c r="H392" i="82"/>
  <c r="I392" i="82"/>
  <c r="J392" i="82"/>
  <c r="K392" i="82"/>
  <c r="L392" i="82"/>
  <c r="M392" i="82"/>
  <c r="N392" i="82"/>
  <c r="O392" i="82"/>
  <c r="P392" i="82"/>
  <c r="Q392" i="82"/>
  <c r="R392" i="82"/>
  <c r="S392" i="82"/>
  <c r="T392" i="82"/>
  <c r="U392" i="82"/>
  <c r="B393" i="82"/>
  <c r="C393" i="82"/>
  <c r="D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D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C395" i="82"/>
  <c r="D395" i="82"/>
  <c r="E395" i="82"/>
  <c r="W395" i="82" s="1"/>
  <c r="V5" i="187" s="1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B396" i="82"/>
  <c r="C396" i="82"/>
  <c r="D396" i="82"/>
  <c r="E396" i="82"/>
  <c r="F396" i="82"/>
  <c r="G396" i="82"/>
  <c r="E181" i="72" s="1"/>
  <c r="F9" i="225" s="1"/>
  <c r="H396" i="82"/>
  <c r="I396" i="82"/>
  <c r="G181" i="72" s="1"/>
  <c r="H9" i="225" s="1"/>
  <c r="J396" i="82"/>
  <c r="K396" i="82"/>
  <c r="I181" i="72" s="1"/>
  <c r="K9" i="225" s="1"/>
  <c r="L396" i="82"/>
  <c r="M396" i="82"/>
  <c r="N396" i="82"/>
  <c r="O396" i="82"/>
  <c r="M181" i="72" s="1"/>
  <c r="Q9" i="225" s="1"/>
  <c r="P396" i="82"/>
  <c r="Q396" i="82"/>
  <c r="O181" i="72" s="1"/>
  <c r="S9" i="225" s="1"/>
  <c r="R396" i="82"/>
  <c r="S396" i="82"/>
  <c r="Q181" i="72" s="1"/>
  <c r="V9" i="225" s="1"/>
  <c r="T396" i="82"/>
  <c r="U396" i="82"/>
  <c r="B397" i="82"/>
  <c r="C397" i="82"/>
  <c r="D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C398" i="82"/>
  <c r="D398" i="82"/>
  <c r="E398" i="82"/>
  <c r="F398" i="82"/>
  <c r="G398" i="82"/>
  <c r="H398" i="82"/>
  <c r="I398" i="82"/>
  <c r="J398" i="82"/>
  <c r="K398" i="82"/>
  <c r="L398" i="82"/>
  <c r="M398" i="82"/>
  <c r="N398" i="82"/>
  <c r="O398" i="82"/>
  <c r="P398" i="82"/>
  <c r="Q398" i="82"/>
  <c r="R398" i="82"/>
  <c r="S398" i="82"/>
  <c r="T398" i="82"/>
  <c r="U398" i="82"/>
  <c r="B399" i="82"/>
  <c r="C399" i="82"/>
  <c r="D399" i="82"/>
  <c r="E399" i="82"/>
  <c r="W399" i="82" s="1"/>
  <c r="V6" i="138" s="1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C400" i="82"/>
  <c r="D400" i="82"/>
  <c r="E400" i="82"/>
  <c r="W400" i="82" s="1"/>
  <c r="V5" i="84" s="1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B401" i="82"/>
  <c r="C401" i="82"/>
  <c r="D401" i="82"/>
  <c r="E401" i="82"/>
  <c r="W401" i="82" s="1"/>
  <c r="V4" i="259" s="1"/>
  <c r="F401" i="82"/>
  <c r="G401" i="82"/>
  <c r="H401" i="82"/>
  <c r="I401" i="82"/>
  <c r="J401" i="82"/>
  <c r="K401" i="82"/>
  <c r="L401" i="82"/>
  <c r="M401" i="82"/>
  <c r="N401" i="82"/>
  <c r="O401" i="82"/>
  <c r="P401" i="82"/>
  <c r="Q401" i="82"/>
  <c r="R401" i="82"/>
  <c r="S401" i="82"/>
  <c r="T401" i="82"/>
  <c r="U401" i="82"/>
  <c r="B402" i="82"/>
  <c r="C402" i="82"/>
  <c r="D402" i="82"/>
  <c r="E402" i="82"/>
  <c r="W402" i="82" s="1"/>
  <c r="V4" i="95" s="1"/>
  <c r="F402" i="82"/>
  <c r="G402" i="82"/>
  <c r="H402" i="82"/>
  <c r="I402" i="82"/>
  <c r="J402" i="82"/>
  <c r="K402" i="82"/>
  <c r="L402" i="82"/>
  <c r="M402" i="82"/>
  <c r="N402" i="82"/>
  <c r="O402" i="82"/>
  <c r="P402" i="82"/>
  <c r="Q402" i="82"/>
  <c r="R402" i="82"/>
  <c r="S402" i="82"/>
  <c r="T402" i="82"/>
  <c r="U402" i="82"/>
  <c r="B403" i="82"/>
  <c r="C403" i="82"/>
  <c r="D403" i="82"/>
  <c r="E403" i="82"/>
  <c r="W403" i="82" s="1"/>
  <c r="V4" i="269" s="1"/>
  <c r="F403" i="82"/>
  <c r="G403" i="82"/>
  <c r="H403" i="82"/>
  <c r="I403" i="82"/>
  <c r="J403" i="82"/>
  <c r="K403" i="82"/>
  <c r="L403" i="82"/>
  <c r="M403" i="82"/>
  <c r="N403" i="82"/>
  <c r="O403" i="82"/>
  <c r="P403" i="82"/>
  <c r="Q403" i="82"/>
  <c r="R403" i="82"/>
  <c r="S403" i="82"/>
  <c r="T403" i="82"/>
  <c r="U403" i="82"/>
  <c r="B404" i="82"/>
  <c r="C404" i="82"/>
  <c r="D404" i="82"/>
  <c r="E404" i="82"/>
  <c r="W404" i="82" s="1"/>
  <c r="V4" i="252" s="1"/>
  <c r="F404" i="82"/>
  <c r="G404" i="82"/>
  <c r="H404" i="82"/>
  <c r="I404" i="82"/>
  <c r="J404" i="82"/>
  <c r="K404" i="82"/>
  <c r="L404" i="82"/>
  <c r="M404" i="82"/>
  <c r="N404" i="82"/>
  <c r="O404" i="82"/>
  <c r="P404" i="82"/>
  <c r="Q404" i="82"/>
  <c r="R404" i="82"/>
  <c r="S404" i="82"/>
  <c r="T404" i="82"/>
  <c r="U404" i="82"/>
  <c r="B405" i="82"/>
  <c r="C405" i="82"/>
  <c r="D405" i="82"/>
  <c r="E405" i="82"/>
  <c r="W405" i="82" s="1"/>
  <c r="V5" i="111" s="1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B406" i="82"/>
  <c r="C406" i="82"/>
  <c r="D406" i="82"/>
  <c r="E406" i="82"/>
  <c r="W406" i="82" s="1"/>
  <c r="V5" i="103" s="1"/>
  <c r="F406" i="82"/>
  <c r="G406" i="82"/>
  <c r="H406" i="82"/>
  <c r="I406" i="82"/>
  <c r="J406" i="82"/>
  <c r="K406" i="82"/>
  <c r="L406" i="82"/>
  <c r="M406" i="82"/>
  <c r="N406" i="82"/>
  <c r="O406" i="82"/>
  <c r="P406" i="82"/>
  <c r="Q406" i="82"/>
  <c r="R406" i="82"/>
  <c r="S406" i="82"/>
  <c r="T406" i="82"/>
  <c r="U406" i="82"/>
  <c r="B407" i="82"/>
  <c r="C407" i="82"/>
  <c r="D407" i="82"/>
  <c r="E407" i="82"/>
  <c r="W407" i="82" s="1"/>
  <c r="V6" i="130" s="1"/>
  <c r="F407" i="82"/>
  <c r="G407" i="82"/>
  <c r="H407" i="82"/>
  <c r="I407" i="82"/>
  <c r="J407" i="82"/>
  <c r="K407" i="82"/>
  <c r="L407" i="82"/>
  <c r="M407" i="82"/>
  <c r="N407" i="82"/>
  <c r="O407" i="82"/>
  <c r="P407" i="82"/>
  <c r="Q407" i="82"/>
  <c r="R407" i="82"/>
  <c r="S407" i="82"/>
  <c r="T407" i="82"/>
  <c r="U407" i="82"/>
  <c r="B408" i="82"/>
  <c r="C408" i="82"/>
  <c r="D408" i="82"/>
  <c r="E408" i="82"/>
  <c r="F408" i="82"/>
  <c r="G408" i="82"/>
  <c r="H408" i="82"/>
  <c r="I408" i="82"/>
  <c r="J408" i="82"/>
  <c r="K408" i="82"/>
  <c r="L408" i="82"/>
  <c r="M408" i="82"/>
  <c r="N408" i="82"/>
  <c r="O408" i="82"/>
  <c r="P408" i="82"/>
  <c r="Q408" i="82"/>
  <c r="R408" i="82"/>
  <c r="S408" i="82"/>
  <c r="T408" i="82"/>
  <c r="U408" i="82"/>
  <c r="B409" i="82"/>
  <c r="C409" i="82"/>
  <c r="D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C410" i="82"/>
  <c r="D410" i="82"/>
  <c r="E410" i="82"/>
  <c r="W410" i="82" s="1"/>
  <c r="V5" i="112" s="1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B411" i="82"/>
  <c r="C411" i="82"/>
  <c r="D411" i="82"/>
  <c r="E411" i="82"/>
  <c r="W411" i="82" s="1"/>
  <c r="V7" i="136" s="1"/>
  <c r="F411" i="82"/>
  <c r="G411" i="82"/>
  <c r="H411" i="82"/>
  <c r="I411" i="82"/>
  <c r="J411" i="82"/>
  <c r="K411" i="82"/>
  <c r="L411" i="82"/>
  <c r="M411" i="82"/>
  <c r="N411" i="82"/>
  <c r="O411" i="82"/>
  <c r="P411" i="82"/>
  <c r="Q411" i="82"/>
  <c r="R411" i="82"/>
  <c r="S411" i="82"/>
  <c r="T411" i="82"/>
  <c r="U411" i="82"/>
  <c r="B412" i="82"/>
  <c r="C412" i="82"/>
  <c r="D412" i="82"/>
  <c r="E412" i="82"/>
  <c r="F412" i="82"/>
  <c r="D35" i="72" s="1"/>
  <c r="G412" i="82"/>
  <c r="E35" i="72" s="1"/>
  <c r="H412" i="82"/>
  <c r="F35" i="72" s="1"/>
  <c r="I412" i="82"/>
  <c r="G35" i="72" s="1"/>
  <c r="J412" i="82"/>
  <c r="H35" i="72" s="1"/>
  <c r="K412" i="82"/>
  <c r="I35" i="72" s="1"/>
  <c r="L412" i="82"/>
  <c r="J35" i="72" s="1"/>
  <c r="M412" i="82"/>
  <c r="N412" i="82"/>
  <c r="L35" i="72" s="1"/>
  <c r="O412" i="82"/>
  <c r="M35" i="72" s="1"/>
  <c r="P412" i="82"/>
  <c r="N35" i="72" s="1"/>
  <c r="Q412" i="82"/>
  <c r="O35" i="72" s="1"/>
  <c r="R412" i="82"/>
  <c r="P35" i="72" s="1"/>
  <c r="S412" i="82"/>
  <c r="Q35" i="72" s="1"/>
  <c r="T412" i="82"/>
  <c r="R35" i="72" s="1"/>
  <c r="U412" i="82"/>
  <c r="B413" i="82"/>
  <c r="C413" i="82"/>
  <c r="D413" i="82"/>
  <c r="E413" i="82"/>
  <c r="W413" i="82" s="1"/>
  <c r="V4" i="54" s="1"/>
  <c r="F413" i="82"/>
  <c r="G413" i="82"/>
  <c r="H413" i="82"/>
  <c r="I413" i="82"/>
  <c r="J413" i="82"/>
  <c r="K413" i="82"/>
  <c r="L413" i="82"/>
  <c r="M413" i="82"/>
  <c r="N413" i="82"/>
  <c r="O413" i="82"/>
  <c r="P413" i="82"/>
  <c r="Q413" i="82"/>
  <c r="R413" i="82"/>
  <c r="S413" i="82"/>
  <c r="T413" i="82"/>
  <c r="U413" i="82"/>
  <c r="B414" i="82"/>
  <c r="C414" i="82"/>
  <c r="D414" i="82"/>
  <c r="E414" i="82"/>
  <c r="W414" i="82" s="1"/>
  <c r="V4" i="85" s="1"/>
  <c r="F414" i="82"/>
  <c r="G414" i="82"/>
  <c r="H414" i="82"/>
  <c r="I414" i="82"/>
  <c r="J414" i="82"/>
  <c r="K414" i="82"/>
  <c r="L414" i="82"/>
  <c r="M414" i="82"/>
  <c r="N414" i="82"/>
  <c r="O414" i="82"/>
  <c r="P414" i="82"/>
  <c r="Q414" i="82"/>
  <c r="R414" i="82"/>
  <c r="S414" i="82"/>
  <c r="T414" i="82"/>
  <c r="U414" i="82"/>
  <c r="B415" i="82"/>
  <c r="C415" i="82"/>
  <c r="D415" i="82"/>
  <c r="E415" i="82"/>
  <c r="W415" i="82" s="1"/>
  <c r="V4" i="150" s="1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B416" i="82"/>
  <c r="C416" i="82"/>
  <c r="D416" i="82"/>
  <c r="E416" i="82"/>
  <c r="W416" i="82" s="1"/>
  <c r="V4" i="106" s="1"/>
  <c r="F416" i="82"/>
  <c r="G416" i="82"/>
  <c r="H416" i="82"/>
  <c r="I416" i="82"/>
  <c r="J416" i="82"/>
  <c r="K416" i="82"/>
  <c r="L416" i="82"/>
  <c r="M416" i="82"/>
  <c r="N416" i="82"/>
  <c r="O416" i="82"/>
  <c r="P416" i="82"/>
  <c r="Q416" i="82"/>
  <c r="R416" i="82"/>
  <c r="S416" i="82"/>
  <c r="T416" i="82"/>
  <c r="U416" i="82"/>
  <c r="B417" i="82"/>
  <c r="C417" i="82"/>
  <c r="D417" i="82"/>
  <c r="E417" i="82"/>
  <c r="F417" i="82"/>
  <c r="G417" i="82"/>
  <c r="H417" i="82"/>
  <c r="I417" i="82"/>
  <c r="J417" i="82"/>
  <c r="K417" i="82"/>
  <c r="L417" i="82"/>
  <c r="M417" i="82"/>
  <c r="N417" i="82"/>
  <c r="O417" i="82"/>
  <c r="P417" i="82"/>
  <c r="Q417" i="82"/>
  <c r="R417" i="82"/>
  <c r="S417" i="82"/>
  <c r="T417" i="82"/>
  <c r="U417" i="82"/>
  <c r="B418" i="82"/>
  <c r="C418" i="82"/>
  <c r="D418" i="82"/>
  <c r="E418" i="82"/>
  <c r="W418" i="82" s="1"/>
  <c r="V4" i="157" s="1"/>
  <c r="F418" i="82"/>
  <c r="G418" i="82"/>
  <c r="H418" i="82"/>
  <c r="I418" i="82"/>
  <c r="J418" i="82"/>
  <c r="K418" i="82"/>
  <c r="L418" i="82"/>
  <c r="M418" i="82"/>
  <c r="N418" i="82"/>
  <c r="O418" i="82"/>
  <c r="P418" i="82"/>
  <c r="Q418" i="82"/>
  <c r="R418" i="82"/>
  <c r="S418" i="82"/>
  <c r="T418" i="82"/>
  <c r="U418" i="82"/>
  <c r="B419" i="82"/>
  <c r="C419" i="82"/>
  <c r="D419" i="82"/>
  <c r="E419" i="82"/>
  <c r="W419" i="82" s="1"/>
  <c r="V4" i="66" s="1"/>
  <c r="F419" i="82"/>
  <c r="G419" i="82"/>
  <c r="H419" i="82"/>
  <c r="I419" i="82"/>
  <c r="J419" i="82"/>
  <c r="K419" i="82"/>
  <c r="L419" i="82"/>
  <c r="M419" i="82"/>
  <c r="N419" i="82"/>
  <c r="O419" i="82"/>
  <c r="P419" i="82"/>
  <c r="Q419" i="82"/>
  <c r="R419" i="82"/>
  <c r="S419" i="82"/>
  <c r="T419" i="82"/>
  <c r="U419" i="82"/>
  <c r="B420" i="82"/>
  <c r="C420" i="82"/>
  <c r="D420" i="82"/>
  <c r="E420" i="82"/>
  <c r="W420" i="82" s="1"/>
  <c r="V5" i="134" s="1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B421" i="82"/>
  <c r="C421" i="82"/>
  <c r="D421" i="82"/>
  <c r="E421" i="82"/>
  <c r="W421" i="82" s="1"/>
  <c r="V3" i="311" s="1"/>
  <c r="F421" i="82"/>
  <c r="G421" i="82"/>
  <c r="H421" i="82"/>
  <c r="I421" i="82"/>
  <c r="J421" i="82"/>
  <c r="K421" i="82"/>
  <c r="L421" i="82"/>
  <c r="M421" i="82"/>
  <c r="N421" i="82"/>
  <c r="O421" i="82"/>
  <c r="P421" i="82"/>
  <c r="Q421" i="82"/>
  <c r="R421" i="82"/>
  <c r="S421" i="82"/>
  <c r="T421" i="82"/>
  <c r="U421" i="82"/>
  <c r="B422" i="82"/>
  <c r="C422" i="82"/>
  <c r="D422" i="82"/>
  <c r="E422" i="82"/>
  <c r="W422" i="82" s="1"/>
  <c r="V4" i="92" s="1"/>
  <c r="F422" i="82"/>
  <c r="G422" i="82"/>
  <c r="H422" i="82"/>
  <c r="I422" i="82"/>
  <c r="J422" i="82"/>
  <c r="K422" i="82"/>
  <c r="L422" i="82"/>
  <c r="M422" i="82"/>
  <c r="N422" i="82"/>
  <c r="O422" i="82"/>
  <c r="P422" i="82"/>
  <c r="Q422" i="82"/>
  <c r="R422" i="82"/>
  <c r="S422" i="82"/>
  <c r="T422" i="82"/>
  <c r="U422" i="82"/>
  <c r="B423" i="82"/>
  <c r="C423" i="82"/>
  <c r="D423" i="82"/>
  <c r="E423" i="82"/>
  <c r="W423" i="82" s="1"/>
  <c r="V5" i="124" s="1"/>
  <c r="F423" i="82"/>
  <c r="G423" i="82"/>
  <c r="H423" i="82"/>
  <c r="I423" i="82"/>
  <c r="J423" i="82"/>
  <c r="K423" i="82"/>
  <c r="L423" i="82"/>
  <c r="M423" i="82"/>
  <c r="N423" i="82"/>
  <c r="O423" i="82"/>
  <c r="P423" i="82"/>
  <c r="Q423" i="82"/>
  <c r="R423" i="82"/>
  <c r="S423" i="82"/>
  <c r="T423" i="82"/>
  <c r="U423" i="82"/>
  <c r="B424" i="82"/>
  <c r="C424" i="82"/>
  <c r="D424" i="82"/>
  <c r="E424" i="82"/>
  <c r="F424" i="82"/>
  <c r="G424" i="82"/>
  <c r="H424" i="82"/>
  <c r="I424" i="82"/>
  <c r="J424" i="82"/>
  <c r="K424" i="82"/>
  <c r="L424" i="82"/>
  <c r="M424" i="82"/>
  <c r="N424" i="82"/>
  <c r="O424" i="82"/>
  <c r="P424" i="82"/>
  <c r="Q424" i="82"/>
  <c r="R424" i="82"/>
  <c r="S424" i="82"/>
  <c r="T424" i="82"/>
  <c r="U424" i="82"/>
  <c r="B425" i="82"/>
  <c r="C425" i="82"/>
  <c r="D425" i="82"/>
  <c r="E425" i="82"/>
  <c r="W425" i="82" s="1"/>
  <c r="V5" i="57" s="1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B426" i="82"/>
  <c r="C426" i="82"/>
  <c r="D426" i="82"/>
  <c r="E426" i="82"/>
  <c r="W426" i="82" s="1"/>
  <c r="V6" i="108" s="1"/>
  <c r="F426" i="82"/>
  <c r="G426" i="82"/>
  <c r="H426" i="82"/>
  <c r="I426" i="82"/>
  <c r="J426" i="82"/>
  <c r="K426" i="82"/>
  <c r="L426" i="82"/>
  <c r="M426" i="82"/>
  <c r="N426" i="82"/>
  <c r="O426" i="82"/>
  <c r="P426" i="82"/>
  <c r="Q426" i="82"/>
  <c r="R426" i="82"/>
  <c r="S426" i="82"/>
  <c r="T426" i="82"/>
  <c r="U426" i="82"/>
  <c r="B427" i="82"/>
  <c r="C427" i="82"/>
  <c r="D427" i="82"/>
  <c r="E427" i="82"/>
  <c r="W427" i="82" s="1"/>
  <c r="V4" i="132" s="1"/>
  <c r="F427" i="82"/>
  <c r="G427" i="82"/>
  <c r="H427" i="82"/>
  <c r="I427" i="82"/>
  <c r="J427" i="82"/>
  <c r="K427" i="82"/>
  <c r="L427" i="82"/>
  <c r="M427" i="82"/>
  <c r="N427" i="82"/>
  <c r="O427" i="82"/>
  <c r="P427" i="82"/>
  <c r="Q427" i="82"/>
  <c r="R427" i="82"/>
  <c r="S427" i="82"/>
  <c r="T427" i="82"/>
  <c r="U427" i="82"/>
  <c r="B428" i="82"/>
  <c r="C428" i="82"/>
  <c r="D428" i="82"/>
  <c r="E428" i="82"/>
  <c r="W428" i="82" s="1"/>
  <c r="V6" i="244" s="1"/>
  <c r="F428" i="82"/>
  <c r="G428" i="82"/>
  <c r="H428" i="82"/>
  <c r="I428" i="82"/>
  <c r="J428" i="82"/>
  <c r="K428" i="82"/>
  <c r="L428" i="82"/>
  <c r="M428" i="82"/>
  <c r="N428" i="82"/>
  <c r="O428" i="82"/>
  <c r="P428" i="82"/>
  <c r="Q428" i="82"/>
  <c r="R428" i="82"/>
  <c r="S428" i="82"/>
  <c r="T428" i="82"/>
  <c r="U428" i="82"/>
  <c r="B429" i="82"/>
  <c r="C429" i="82"/>
  <c r="D429" i="82"/>
  <c r="E429" i="82"/>
  <c r="W429" i="82" s="1"/>
  <c r="V4" i="61" s="1"/>
  <c r="F429" i="82"/>
  <c r="G429" i="82"/>
  <c r="H429" i="82"/>
  <c r="I429" i="82"/>
  <c r="J429" i="82"/>
  <c r="K429" i="82"/>
  <c r="L429" i="82"/>
  <c r="M429" i="82"/>
  <c r="N429" i="82"/>
  <c r="O429" i="82"/>
  <c r="P429" i="82"/>
  <c r="Q429" i="82"/>
  <c r="R429" i="82"/>
  <c r="S429" i="82"/>
  <c r="T429" i="82"/>
  <c r="U429" i="82"/>
  <c r="B430" i="82"/>
  <c r="C430" i="82"/>
  <c r="D430" i="82"/>
  <c r="E430" i="82"/>
  <c r="W430" i="82" s="1"/>
  <c r="V5" i="117" s="1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B431" i="82"/>
  <c r="C431" i="82"/>
  <c r="D431" i="82"/>
  <c r="E431" i="82"/>
  <c r="W431" i="82" s="1"/>
  <c r="V5" i="59" s="1"/>
  <c r="F431" i="82"/>
  <c r="G431" i="82"/>
  <c r="H431" i="82"/>
  <c r="I431" i="82"/>
  <c r="J431" i="82"/>
  <c r="K431" i="82"/>
  <c r="L431" i="82"/>
  <c r="M431" i="82"/>
  <c r="N431" i="82"/>
  <c r="O431" i="82"/>
  <c r="P431" i="82"/>
  <c r="Q431" i="82"/>
  <c r="R431" i="82"/>
  <c r="S431" i="82"/>
  <c r="T431" i="82"/>
  <c r="U431" i="82"/>
  <c r="B432" i="82"/>
  <c r="C432" i="82"/>
  <c r="D432" i="82"/>
  <c r="E432" i="82"/>
  <c r="F432" i="82"/>
  <c r="G432" i="82"/>
  <c r="H432" i="82"/>
  <c r="I432" i="82"/>
  <c r="J432" i="82"/>
  <c r="K432" i="82"/>
  <c r="L432" i="82"/>
  <c r="M432" i="82"/>
  <c r="N432" i="82"/>
  <c r="O432" i="82"/>
  <c r="P432" i="82"/>
  <c r="Q432" i="82"/>
  <c r="R432" i="82"/>
  <c r="S432" i="82"/>
  <c r="T432" i="82"/>
  <c r="U432" i="82"/>
  <c r="B433" i="82"/>
  <c r="C433" i="82"/>
  <c r="D433" i="82"/>
  <c r="E433" i="82"/>
  <c r="W433" i="82" s="1"/>
  <c r="V6" i="116" s="1"/>
  <c r="F433" i="82"/>
  <c r="G433" i="82"/>
  <c r="H433" i="82"/>
  <c r="I433" i="82"/>
  <c r="J433" i="82"/>
  <c r="K433" i="82"/>
  <c r="L433" i="82"/>
  <c r="M433" i="82"/>
  <c r="N433" i="82"/>
  <c r="O433" i="82"/>
  <c r="P433" i="82"/>
  <c r="Q433" i="82"/>
  <c r="R433" i="82"/>
  <c r="S433" i="82"/>
  <c r="T433" i="82"/>
  <c r="U433" i="82"/>
  <c r="B434" i="82"/>
  <c r="C434" i="82"/>
  <c r="D434" i="82"/>
  <c r="E434" i="82"/>
  <c r="W434" i="82" s="1"/>
  <c r="V4" i="308" s="1"/>
  <c r="F434" i="82"/>
  <c r="G434" i="82"/>
  <c r="H434" i="82"/>
  <c r="I434" i="82"/>
  <c r="J434" i="82"/>
  <c r="K434" i="82"/>
  <c r="L434" i="82"/>
  <c r="M434" i="82"/>
  <c r="N434" i="82"/>
  <c r="O434" i="82"/>
  <c r="P434" i="82"/>
  <c r="Q434" i="82"/>
  <c r="R434" i="82"/>
  <c r="S434" i="82"/>
  <c r="T434" i="82"/>
  <c r="U434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B436" i="82"/>
  <c r="C436" i="82"/>
  <c r="D436" i="82"/>
  <c r="E436" i="82"/>
  <c r="W436" i="82" s="1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C437" i="82"/>
  <c r="D437" i="82"/>
  <c r="E437" i="82"/>
  <c r="W437" i="82" s="1"/>
  <c r="V4" i="67" s="1"/>
  <c r="F437" i="82"/>
  <c r="G437" i="82"/>
  <c r="H437" i="82"/>
  <c r="I437" i="82"/>
  <c r="J437" i="82"/>
  <c r="K437" i="82"/>
  <c r="L437" i="82"/>
  <c r="M437" i="82"/>
  <c r="N437" i="82"/>
  <c r="O437" i="82"/>
  <c r="P437" i="82"/>
  <c r="Q437" i="82"/>
  <c r="R437" i="82"/>
  <c r="S437" i="82"/>
  <c r="T437" i="82"/>
  <c r="U437" i="82"/>
  <c r="B438" i="82"/>
  <c r="C438" i="82"/>
  <c r="D438" i="82"/>
  <c r="E438" i="82"/>
  <c r="W438" i="82" s="1"/>
  <c r="V6" i="113" s="1"/>
  <c r="F438" i="82"/>
  <c r="G438" i="82"/>
  <c r="H438" i="82"/>
  <c r="I438" i="82"/>
  <c r="J438" i="82"/>
  <c r="K438" i="82"/>
  <c r="L438" i="82"/>
  <c r="M438" i="82"/>
  <c r="N438" i="82"/>
  <c r="O438" i="82"/>
  <c r="P438" i="82"/>
  <c r="Q438" i="82"/>
  <c r="R438" i="82"/>
  <c r="S438" i="82"/>
  <c r="T438" i="82"/>
  <c r="U438" i="82"/>
  <c r="B439" i="82"/>
  <c r="C439" i="82"/>
  <c r="D439" i="82"/>
  <c r="E439" i="82"/>
  <c r="W439" i="82" s="1"/>
  <c r="V4" i="321" s="1"/>
  <c r="F439" i="82"/>
  <c r="G439" i="82"/>
  <c r="H439" i="82"/>
  <c r="I439" i="82"/>
  <c r="J439" i="82"/>
  <c r="K439" i="82"/>
  <c r="L439" i="82"/>
  <c r="M439" i="82"/>
  <c r="N439" i="82"/>
  <c r="O439" i="82"/>
  <c r="P439" i="82"/>
  <c r="Q439" i="82"/>
  <c r="R439" i="82"/>
  <c r="S439" i="82"/>
  <c r="T439" i="82"/>
  <c r="U439" i="82"/>
  <c r="B440" i="82"/>
  <c r="C440" i="82"/>
  <c r="D440" i="82"/>
  <c r="E440" i="82"/>
  <c r="W440" i="82" s="1"/>
  <c r="V6" i="114" s="1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B441" i="82"/>
  <c r="C441" i="82"/>
  <c r="D441" i="82"/>
  <c r="E441" i="82"/>
  <c r="W441" i="82" s="1"/>
  <c r="V3" i="143" s="1"/>
  <c r="F441" i="82"/>
  <c r="G441" i="82"/>
  <c r="H441" i="82"/>
  <c r="I441" i="82"/>
  <c r="J441" i="82"/>
  <c r="K441" i="82"/>
  <c r="L441" i="82"/>
  <c r="M441" i="82"/>
  <c r="N441" i="82"/>
  <c r="O441" i="82"/>
  <c r="P441" i="82"/>
  <c r="Q441" i="82"/>
  <c r="R441" i="82"/>
  <c r="S441" i="82"/>
  <c r="T441" i="82"/>
  <c r="U441" i="82"/>
  <c r="B442" i="82"/>
  <c r="C442" i="82"/>
  <c r="D442" i="82"/>
  <c r="E442" i="82"/>
  <c r="W442" i="82" s="1"/>
  <c r="V5" i="68" s="1"/>
  <c r="F442" i="82"/>
  <c r="G442" i="82"/>
  <c r="H442" i="82"/>
  <c r="I442" i="82"/>
  <c r="J442" i="82"/>
  <c r="K442" i="82"/>
  <c r="L442" i="82"/>
  <c r="M442" i="82"/>
  <c r="N442" i="82"/>
  <c r="O442" i="82"/>
  <c r="P442" i="82"/>
  <c r="Q442" i="82"/>
  <c r="R442" i="82"/>
  <c r="S442" i="82"/>
  <c r="T442" i="82"/>
  <c r="U442" i="82"/>
  <c r="B443" i="82"/>
  <c r="C443" i="82"/>
  <c r="D443" i="82"/>
  <c r="E443" i="82"/>
  <c r="W443" i="82" s="1"/>
  <c r="V4" i="149" s="1"/>
  <c r="F443" i="82"/>
  <c r="G443" i="82"/>
  <c r="H443" i="82"/>
  <c r="I443" i="82"/>
  <c r="J443" i="82"/>
  <c r="K443" i="82"/>
  <c r="L443" i="82"/>
  <c r="M443" i="82"/>
  <c r="N443" i="82"/>
  <c r="O443" i="82"/>
  <c r="P443" i="82"/>
  <c r="Q443" i="82"/>
  <c r="R443" i="82"/>
  <c r="S443" i="82"/>
  <c r="T443" i="82"/>
  <c r="U443" i="82"/>
  <c r="B444" i="82"/>
  <c r="C444" i="82"/>
  <c r="D444" i="82"/>
  <c r="E444" i="82"/>
  <c r="W444" i="82" s="1"/>
  <c r="V5" i="105" s="1"/>
  <c r="F444" i="82"/>
  <c r="G444" i="82"/>
  <c r="H444" i="82"/>
  <c r="I444" i="82"/>
  <c r="J444" i="82"/>
  <c r="K444" i="82"/>
  <c r="L444" i="82"/>
  <c r="M444" i="82"/>
  <c r="N444" i="82"/>
  <c r="O444" i="82"/>
  <c r="P444" i="82"/>
  <c r="Q444" i="82"/>
  <c r="R444" i="82"/>
  <c r="S444" i="82"/>
  <c r="T444" i="82"/>
  <c r="U444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B446" i="82"/>
  <c r="C446" i="82"/>
  <c r="D446" i="82"/>
  <c r="E446" i="82"/>
  <c r="W446" i="82" s="1"/>
  <c r="V6" i="220" s="1"/>
  <c r="F446" i="82"/>
  <c r="G446" i="82"/>
  <c r="H446" i="82"/>
  <c r="I446" i="82"/>
  <c r="J446" i="82"/>
  <c r="K446" i="82"/>
  <c r="L446" i="82"/>
  <c r="M446" i="82"/>
  <c r="N446" i="82"/>
  <c r="O446" i="82"/>
  <c r="P446" i="82"/>
  <c r="Q446" i="82"/>
  <c r="R446" i="82"/>
  <c r="S446" i="82"/>
  <c r="T446" i="82"/>
  <c r="U446" i="82"/>
  <c r="B447" i="82"/>
  <c r="C447" i="82"/>
  <c r="D447" i="82"/>
  <c r="E447" i="82"/>
  <c r="W447" i="82" s="1"/>
  <c r="V4" i="83" s="1"/>
  <c r="F447" i="82"/>
  <c r="G447" i="82"/>
  <c r="H447" i="82"/>
  <c r="I447" i="82"/>
  <c r="J447" i="82"/>
  <c r="K447" i="82"/>
  <c r="L447" i="82"/>
  <c r="M447" i="82"/>
  <c r="N447" i="82"/>
  <c r="O447" i="82"/>
  <c r="P447" i="82"/>
  <c r="Q447" i="82"/>
  <c r="R447" i="82"/>
  <c r="S447" i="82"/>
  <c r="T447" i="82"/>
  <c r="U447" i="82"/>
  <c r="B448" i="82"/>
  <c r="C448" i="82"/>
  <c r="D448" i="82"/>
  <c r="E448" i="82"/>
  <c r="W448" i="82" s="1"/>
  <c r="V4" i="107" s="1"/>
  <c r="F448" i="82"/>
  <c r="G448" i="82"/>
  <c r="H448" i="82"/>
  <c r="I448" i="82"/>
  <c r="J448" i="82"/>
  <c r="K448" i="82"/>
  <c r="L448" i="82"/>
  <c r="M448" i="82"/>
  <c r="N448" i="82"/>
  <c r="O448" i="82"/>
  <c r="P448" i="82"/>
  <c r="Q448" i="82"/>
  <c r="R448" i="82"/>
  <c r="S448" i="82"/>
  <c r="T448" i="82"/>
  <c r="U448" i="82"/>
  <c r="B449" i="82"/>
  <c r="C449" i="82"/>
  <c r="D449" i="82"/>
  <c r="E449" i="82"/>
  <c r="W449" i="82" s="1"/>
  <c r="V5" i="120" s="1"/>
  <c r="F449" i="82"/>
  <c r="G449" i="82"/>
  <c r="H449" i="82"/>
  <c r="I449" i="82"/>
  <c r="J449" i="82"/>
  <c r="K449" i="82"/>
  <c r="L449" i="82"/>
  <c r="M449" i="82"/>
  <c r="N449" i="82"/>
  <c r="O449" i="82"/>
  <c r="P449" i="82"/>
  <c r="Q449" i="82"/>
  <c r="R449" i="82"/>
  <c r="S449" i="82"/>
  <c r="T449" i="82"/>
  <c r="U449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B451" i="82"/>
  <c r="C451" i="82"/>
  <c r="D451" i="82"/>
  <c r="E451" i="82"/>
  <c r="W451" i="82" s="1"/>
  <c r="V4" i="128" s="1"/>
  <c r="F451" i="82"/>
  <c r="G451" i="82"/>
  <c r="H451" i="82"/>
  <c r="I451" i="82"/>
  <c r="J451" i="82"/>
  <c r="K451" i="82"/>
  <c r="L451" i="82"/>
  <c r="M451" i="82"/>
  <c r="N451" i="82"/>
  <c r="O451" i="82"/>
  <c r="P451" i="82"/>
  <c r="Q451" i="82"/>
  <c r="R451" i="82"/>
  <c r="S451" i="82"/>
  <c r="T451" i="82"/>
  <c r="U451" i="82"/>
  <c r="B452" i="82"/>
  <c r="C452" i="82"/>
  <c r="D452" i="82"/>
  <c r="E452" i="82"/>
  <c r="W452" i="82" s="1"/>
  <c r="V5" i="58" s="1"/>
  <c r="F452" i="82"/>
  <c r="G452" i="82"/>
  <c r="H452" i="82"/>
  <c r="I452" i="82"/>
  <c r="J452" i="82"/>
  <c r="K452" i="82"/>
  <c r="L452" i="82"/>
  <c r="M452" i="82"/>
  <c r="N452" i="82"/>
  <c r="O452" i="82"/>
  <c r="P452" i="82"/>
  <c r="Q452" i="82"/>
  <c r="R452" i="82"/>
  <c r="S452" i="82"/>
  <c r="T452" i="82"/>
  <c r="U452" i="82"/>
  <c r="B453" i="82"/>
  <c r="C453" i="82"/>
  <c r="D453" i="82"/>
  <c r="E453" i="82"/>
  <c r="F453" i="82"/>
  <c r="G453" i="82"/>
  <c r="H453" i="82"/>
  <c r="I453" i="82"/>
  <c r="J453" i="82"/>
  <c r="K453" i="82"/>
  <c r="L453" i="82"/>
  <c r="M453" i="82"/>
  <c r="N453" i="82"/>
  <c r="O453" i="82"/>
  <c r="P453" i="82"/>
  <c r="Q453" i="82"/>
  <c r="R453" i="82"/>
  <c r="S453" i="82"/>
  <c r="T453" i="82"/>
  <c r="U453" i="82"/>
  <c r="B454" i="82"/>
  <c r="C454" i="82"/>
  <c r="D454" i="82"/>
  <c r="E454" i="82"/>
  <c r="F454" i="82"/>
  <c r="G454" i="82"/>
  <c r="H454" i="82"/>
  <c r="I454" i="82"/>
  <c r="J454" i="82"/>
  <c r="K454" i="82"/>
  <c r="L454" i="82"/>
  <c r="M454" i="82"/>
  <c r="N454" i="82"/>
  <c r="O454" i="82"/>
  <c r="P454" i="82"/>
  <c r="Q454" i="82"/>
  <c r="R454" i="82"/>
  <c r="S454" i="82"/>
  <c r="T454" i="82"/>
  <c r="U454" i="82"/>
  <c r="B455" i="82"/>
  <c r="C455" i="82"/>
  <c r="D455" i="82"/>
  <c r="E455" i="82"/>
  <c r="W455" i="82" s="1"/>
  <c r="V4" i="238" s="1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B456" i="82"/>
  <c r="C456" i="82"/>
  <c r="D456" i="82"/>
  <c r="E456" i="82"/>
  <c r="W456" i="82" s="1"/>
  <c r="V5" i="60" s="1"/>
  <c r="F456" i="82"/>
  <c r="G456" i="82"/>
  <c r="H456" i="82"/>
  <c r="I456" i="82"/>
  <c r="J456" i="82"/>
  <c r="K456" i="82"/>
  <c r="L456" i="82"/>
  <c r="M456" i="82"/>
  <c r="N456" i="82"/>
  <c r="O456" i="82"/>
  <c r="P456" i="82"/>
  <c r="Q456" i="82"/>
  <c r="R456" i="82"/>
  <c r="S456" i="82"/>
  <c r="T456" i="82"/>
  <c r="U456" i="82"/>
  <c r="B457" i="82"/>
  <c r="C457" i="82"/>
  <c r="D457" i="82"/>
  <c r="E457" i="82"/>
  <c r="W457" i="82" s="1"/>
  <c r="V5" i="88" s="1"/>
  <c r="F457" i="82"/>
  <c r="G457" i="82"/>
  <c r="H457" i="82"/>
  <c r="I457" i="82"/>
  <c r="J457" i="82"/>
  <c r="K457" i="82"/>
  <c r="L457" i="82"/>
  <c r="M457" i="82"/>
  <c r="N457" i="82"/>
  <c r="O457" i="82"/>
  <c r="P457" i="82"/>
  <c r="Q457" i="82"/>
  <c r="R457" i="82"/>
  <c r="S457" i="82"/>
  <c r="T457" i="82"/>
  <c r="U457" i="82"/>
  <c r="B458" i="82"/>
  <c r="C458" i="82"/>
  <c r="D458" i="82"/>
  <c r="E458" i="82"/>
  <c r="W458" i="82" s="1"/>
  <c r="V4" i="246" s="1"/>
  <c r="F458" i="82"/>
  <c r="G458" i="82"/>
  <c r="H458" i="82"/>
  <c r="I458" i="82"/>
  <c r="J458" i="82"/>
  <c r="K458" i="82"/>
  <c r="L458" i="82"/>
  <c r="M458" i="82"/>
  <c r="N458" i="82"/>
  <c r="O458" i="82"/>
  <c r="P458" i="82"/>
  <c r="Q458" i="82"/>
  <c r="R458" i="82"/>
  <c r="S458" i="82"/>
  <c r="T458" i="82"/>
  <c r="U458" i="82"/>
  <c r="B459" i="82"/>
  <c r="C459" i="82"/>
  <c r="D459" i="82"/>
  <c r="E459" i="82"/>
  <c r="W459" i="82" s="1"/>
  <c r="V5" i="139" s="1"/>
  <c r="F459" i="82"/>
  <c r="G459" i="82"/>
  <c r="H459" i="82"/>
  <c r="I459" i="82"/>
  <c r="J459" i="82"/>
  <c r="K459" i="82"/>
  <c r="L459" i="82"/>
  <c r="M459" i="82"/>
  <c r="N459" i="82"/>
  <c r="O459" i="82"/>
  <c r="P459" i="82"/>
  <c r="Q459" i="82"/>
  <c r="R459" i="82"/>
  <c r="S459" i="82"/>
  <c r="T459" i="82"/>
  <c r="U459" i="82"/>
  <c r="B460" i="82"/>
  <c r="C460" i="82"/>
  <c r="D460" i="82"/>
  <c r="E460" i="82"/>
  <c r="W460" i="82" s="1"/>
  <c r="V4" i="55" s="1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B461" i="82"/>
  <c r="C461" i="82"/>
  <c r="D461" i="82"/>
  <c r="E461" i="82"/>
  <c r="W461" i="82" s="1"/>
  <c r="V6" i="133" s="1"/>
  <c r="F461" i="82"/>
  <c r="G461" i="82"/>
  <c r="H461" i="82"/>
  <c r="I461" i="82"/>
  <c r="J461" i="82"/>
  <c r="K461" i="82"/>
  <c r="L461" i="82"/>
  <c r="M461" i="82"/>
  <c r="N461" i="82"/>
  <c r="O461" i="82"/>
  <c r="P461" i="82"/>
  <c r="Q461" i="82"/>
  <c r="R461" i="82"/>
  <c r="S461" i="82"/>
  <c r="T461" i="82"/>
  <c r="U461" i="82"/>
  <c r="B462" i="82"/>
  <c r="C462" i="82"/>
  <c r="D462" i="82"/>
  <c r="E462" i="82"/>
  <c r="W462" i="82" s="1"/>
  <c r="V6" i="207" s="1"/>
  <c r="F462" i="82"/>
  <c r="G462" i="82"/>
  <c r="H462" i="82"/>
  <c r="I462" i="82"/>
  <c r="J462" i="82"/>
  <c r="K462" i="82"/>
  <c r="L462" i="82"/>
  <c r="M462" i="82"/>
  <c r="N462" i="82"/>
  <c r="O462" i="82"/>
  <c r="P462" i="82"/>
  <c r="Q462" i="82"/>
  <c r="R462" i="82"/>
  <c r="S462" i="82"/>
  <c r="T462" i="82"/>
  <c r="U462" i="82"/>
  <c r="B463" i="82"/>
  <c r="C463" i="82"/>
  <c r="D463" i="82"/>
  <c r="E463" i="82"/>
  <c r="W463" i="82" s="1"/>
  <c r="V5" i="252" s="1"/>
  <c r="F463" i="82"/>
  <c r="G463" i="82"/>
  <c r="H463" i="82"/>
  <c r="I463" i="82"/>
  <c r="J463" i="82"/>
  <c r="K463" i="82"/>
  <c r="L463" i="82"/>
  <c r="M463" i="82"/>
  <c r="N463" i="82"/>
  <c r="O463" i="82"/>
  <c r="P463" i="82"/>
  <c r="Q463" i="82"/>
  <c r="R463" i="82"/>
  <c r="S463" i="82"/>
  <c r="T463" i="82"/>
  <c r="U463" i="82"/>
  <c r="B464" i="82"/>
  <c r="C464" i="82"/>
  <c r="D464" i="82"/>
  <c r="E464" i="82"/>
  <c r="W464" i="82" s="1"/>
  <c r="V6" i="187" s="1"/>
  <c r="F464" i="82"/>
  <c r="G464" i="82"/>
  <c r="H464" i="82"/>
  <c r="I464" i="82"/>
  <c r="J464" i="82"/>
  <c r="K464" i="82"/>
  <c r="L464" i="82"/>
  <c r="M464" i="82"/>
  <c r="N464" i="82"/>
  <c r="O464" i="82"/>
  <c r="P464" i="82"/>
  <c r="Q464" i="82"/>
  <c r="R464" i="82"/>
  <c r="S464" i="82"/>
  <c r="T464" i="82"/>
  <c r="U464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B466" i="82"/>
  <c r="C466" i="82"/>
  <c r="D466" i="82"/>
  <c r="E466" i="82"/>
  <c r="W466" i="82" s="1"/>
  <c r="V3" i="28" s="1"/>
  <c r="F466" i="82"/>
  <c r="G466" i="82"/>
  <c r="H466" i="82"/>
  <c r="I466" i="82"/>
  <c r="J466" i="82"/>
  <c r="K466" i="82"/>
  <c r="L466" i="82"/>
  <c r="M466" i="82"/>
  <c r="N466" i="82"/>
  <c r="O466" i="82"/>
  <c r="P466" i="82"/>
  <c r="Q466" i="82"/>
  <c r="R466" i="82"/>
  <c r="S466" i="82"/>
  <c r="T466" i="82"/>
  <c r="U466" i="82"/>
  <c r="B467" i="82"/>
  <c r="C467" i="82"/>
  <c r="D467" i="82"/>
  <c r="E467" i="82"/>
  <c r="W467" i="82" s="1"/>
  <c r="V5" i="67" s="1"/>
  <c r="F467" i="82"/>
  <c r="G467" i="82"/>
  <c r="H467" i="82"/>
  <c r="I467" i="82"/>
  <c r="J467" i="82"/>
  <c r="K467" i="82"/>
  <c r="L467" i="82"/>
  <c r="M467" i="82"/>
  <c r="N467" i="82"/>
  <c r="O467" i="82"/>
  <c r="P467" i="82"/>
  <c r="Q467" i="82"/>
  <c r="R467" i="82"/>
  <c r="S467" i="82"/>
  <c r="T467" i="82"/>
  <c r="U467" i="82"/>
  <c r="B468" i="82"/>
  <c r="C468" i="82"/>
  <c r="D468" i="82"/>
  <c r="E468" i="82"/>
  <c r="W468" i="82" s="1"/>
  <c r="V5" i="122" s="1"/>
  <c r="F468" i="82"/>
  <c r="G468" i="82"/>
  <c r="H468" i="82"/>
  <c r="I468" i="82"/>
  <c r="J468" i="82"/>
  <c r="K468" i="82"/>
  <c r="L468" i="82"/>
  <c r="M468" i="82"/>
  <c r="N468" i="82"/>
  <c r="O468" i="82"/>
  <c r="P468" i="82"/>
  <c r="Q468" i="82"/>
  <c r="R468" i="82"/>
  <c r="S468" i="82"/>
  <c r="T468" i="82"/>
  <c r="U468" i="82"/>
  <c r="B469" i="82"/>
  <c r="C469" i="82"/>
  <c r="D469" i="82"/>
  <c r="E469" i="82"/>
  <c r="F469" i="82"/>
  <c r="G469" i="82"/>
  <c r="H469" i="82"/>
  <c r="I469" i="82"/>
  <c r="J469" i="82"/>
  <c r="K469" i="82"/>
  <c r="L469" i="82"/>
  <c r="M469" i="82"/>
  <c r="N469" i="82"/>
  <c r="O469" i="82"/>
  <c r="P469" i="82"/>
  <c r="Q469" i="82"/>
  <c r="R469" i="82"/>
  <c r="S469" i="82"/>
  <c r="T469" i="82"/>
  <c r="U469" i="82"/>
  <c r="B470" i="82"/>
  <c r="C470" i="82"/>
  <c r="D470" i="82"/>
  <c r="E470" i="82"/>
  <c r="W470" i="82" s="1"/>
  <c r="V6" i="120" s="1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B471" i="82"/>
  <c r="C471" i="82"/>
  <c r="D471" i="82"/>
  <c r="E471" i="82"/>
  <c r="W471" i="82" s="1"/>
  <c r="V5" i="61" s="1"/>
  <c r="F471" i="82"/>
  <c r="G471" i="82"/>
  <c r="H471" i="82"/>
  <c r="I471" i="82"/>
  <c r="J471" i="82"/>
  <c r="K471" i="82"/>
  <c r="L471" i="82"/>
  <c r="M471" i="82"/>
  <c r="N471" i="82"/>
  <c r="O471" i="82"/>
  <c r="P471" i="82"/>
  <c r="Q471" i="82"/>
  <c r="R471" i="82"/>
  <c r="S471" i="82"/>
  <c r="T471" i="82"/>
  <c r="U471" i="82"/>
  <c r="B472" i="82"/>
  <c r="C472" i="82"/>
  <c r="D472" i="82"/>
  <c r="E472" i="82"/>
  <c r="W472" i="82" s="1"/>
  <c r="V4" i="272" s="1"/>
  <c r="F472" i="82"/>
  <c r="G472" i="82"/>
  <c r="H472" i="82"/>
  <c r="I472" i="82"/>
  <c r="J472" i="82"/>
  <c r="K472" i="82"/>
  <c r="L472" i="82"/>
  <c r="M472" i="82"/>
  <c r="N472" i="82"/>
  <c r="O472" i="82"/>
  <c r="P472" i="82"/>
  <c r="Q472" i="82"/>
  <c r="R472" i="82"/>
  <c r="S472" i="82"/>
  <c r="T472" i="82"/>
  <c r="U472" i="82"/>
  <c r="B473" i="82"/>
  <c r="C473" i="82"/>
  <c r="D473" i="82"/>
  <c r="E473" i="82"/>
  <c r="W473" i="82" s="1"/>
  <c r="V5" i="83" s="1"/>
  <c r="F473" i="82"/>
  <c r="G473" i="82"/>
  <c r="H473" i="82"/>
  <c r="I473" i="82"/>
  <c r="J473" i="82"/>
  <c r="K473" i="82"/>
  <c r="L473" i="82"/>
  <c r="M473" i="82"/>
  <c r="N473" i="82"/>
  <c r="O473" i="82"/>
  <c r="P473" i="82"/>
  <c r="Q473" i="82"/>
  <c r="R473" i="82"/>
  <c r="S473" i="82"/>
  <c r="T473" i="82"/>
  <c r="U473" i="82"/>
  <c r="B474" i="82"/>
  <c r="C474" i="82"/>
  <c r="D474" i="82"/>
  <c r="E474" i="82"/>
  <c r="W474" i="82" s="1"/>
  <c r="V4" i="179" s="1"/>
  <c r="F474" i="82"/>
  <c r="G474" i="82"/>
  <c r="H474" i="82"/>
  <c r="I474" i="82"/>
  <c r="J474" i="82"/>
  <c r="K474" i="82"/>
  <c r="L474" i="82"/>
  <c r="M474" i="82"/>
  <c r="N474" i="82"/>
  <c r="O474" i="82"/>
  <c r="P474" i="82"/>
  <c r="Q474" i="82"/>
  <c r="R474" i="82"/>
  <c r="S474" i="82"/>
  <c r="T474" i="82"/>
  <c r="U474" i="82"/>
  <c r="B475" i="82"/>
  <c r="C475" i="82"/>
  <c r="D475" i="82"/>
  <c r="E475" i="82"/>
  <c r="W475" i="82" s="1"/>
  <c r="V4" i="189" s="1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B476" i="82"/>
  <c r="C476" i="82"/>
  <c r="D476" i="82"/>
  <c r="E476" i="82"/>
  <c r="W476" i="82" s="1"/>
  <c r="V5" i="54" s="1"/>
  <c r="F476" i="82"/>
  <c r="G476" i="82"/>
  <c r="H476" i="82"/>
  <c r="I476" i="82"/>
  <c r="J476" i="82"/>
  <c r="K476" i="82"/>
  <c r="L476" i="82"/>
  <c r="M476" i="82"/>
  <c r="N476" i="82"/>
  <c r="O476" i="82"/>
  <c r="P476" i="82"/>
  <c r="Q476" i="82"/>
  <c r="R476" i="82"/>
  <c r="S476" i="82"/>
  <c r="T476" i="82"/>
  <c r="U476" i="82"/>
  <c r="B477" i="82"/>
  <c r="C477" i="82"/>
  <c r="D477" i="82"/>
  <c r="E477" i="82"/>
  <c r="W477" i="82" s="1"/>
  <c r="V4" i="137" s="1"/>
  <c r="F477" i="82"/>
  <c r="G477" i="82"/>
  <c r="H477" i="82"/>
  <c r="I477" i="82"/>
  <c r="J477" i="82"/>
  <c r="K477" i="82"/>
  <c r="L477" i="82"/>
  <c r="M477" i="82"/>
  <c r="N477" i="82"/>
  <c r="O477" i="82"/>
  <c r="P477" i="82"/>
  <c r="Q477" i="82"/>
  <c r="R477" i="82"/>
  <c r="S477" i="82"/>
  <c r="T477" i="82"/>
  <c r="U477" i="82"/>
  <c r="B478" i="82"/>
  <c r="C478" i="82"/>
  <c r="D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C479" i="82"/>
  <c r="D479" i="82"/>
  <c r="E479" i="82"/>
  <c r="W479" i="82" s="1"/>
  <c r="V5" i="137" s="1"/>
  <c r="F479" i="82"/>
  <c r="G479" i="82"/>
  <c r="H479" i="82"/>
  <c r="I479" i="82"/>
  <c r="J479" i="82"/>
  <c r="K479" i="82"/>
  <c r="L479" i="82"/>
  <c r="M479" i="82"/>
  <c r="N479" i="82"/>
  <c r="O479" i="82"/>
  <c r="P479" i="82"/>
  <c r="Q479" i="82"/>
  <c r="R479" i="82"/>
  <c r="S479" i="82"/>
  <c r="T479" i="82"/>
  <c r="U479" i="82"/>
  <c r="B480" i="82"/>
  <c r="C480" i="82"/>
  <c r="D480" i="82"/>
  <c r="E480" i="82"/>
  <c r="W480" i="82" s="1"/>
  <c r="V4" i="143" s="1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B481" i="82"/>
  <c r="C481" i="82"/>
  <c r="D481" i="82"/>
  <c r="E481" i="82"/>
  <c r="W481" i="82" s="1"/>
  <c r="V6" i="117" s="1"/>
  <c r="F481" i="82"/>
  <c r="G481" i="82"/>
  <c r="H481" i="82"/>
  <c r="I481" i="82"/>
  <c r="J481" i="82"/>
  <c r="K481" i="82"/>
  <c r="L481" i="82"/>
  <c r="M481" i="82"/>
  <c r="N481" i="82"/>
  <c r="O481" i="82"/>
  <c r="P481" i="82"/>
  <c r="Q481" i="82"/>
  <c r="R481" i="82"/>
  <c r="S481" i="82"/>
  <c r="T481" i="82"/>
  <c r="U481" i="82"/>
  <c r="B482" i="82"/>
  <c r="C482" i="82"/>
  <c r="D482" i="82"/>
  <c r="E482" i="82"/>
  <c r="F482" i="82"/>
  <c r="G482" i="82"/>
  <c r="H482" i="82"/>
  <c r="I482" i="82"/>
  <c r="J482" i="82"/>
  <c r="K482" i="82"/>
  <c r="L482" i="82"/>
  <c r="M482" i="82"/>
  <c r="N482" i="82"/>
  <c r="O482" i="82"/>
  <c r="P482" i="82"/>
  <c r="Q482" i="82"/>
  <c r="R482" i="82"/>
  <c r="S482" i="82"/>
  <c r="T482" i="82"/>
  <c r="U482" i="82"/>
  <c r="B483" i="82"/>
  <c r="C483" i="82"/>
  <c r="D483" i="82"/>
  <c r="E483" i="82"/>
  <c r="W483" i="82" s="1"/>
  <c r="V4" i="255" s="1"/>
  <c r="F483" i="82"/>
  <c r="G483" i="82"/>
  <c r="H483" i="82"/>
  <c r="I483" i="82"/>
  <c r="J483" i="82"/>
  <c r="K483" i="82"/>
  <c r="L483" i="82"/>
  <c r="M483" i="82"/>
  <c r="N483" i="82"/>
  <c r="O483" i="82"/>
  <c r="P483" i="82"/>
  <c r="Q483" i="82"/>
  <c r="R483" i="82"/>
  <c r="S483" i="82"/>
  <c r="T483" i="82"/>
  <c r="U483" i="82"/>
  <c r="B484" i="82"/>
  <c r="C484" i="82"/>
  <c r="D484" i="82"/>
  <c r="E484" i="82"/>
  <c r="W484" i="82" s="1"/>
  <c r="V5" i="56" s="1"/>
  <c r="F484" i="82"/>
  <c r="G484" i="82"/>
  <c r="H484" i="82"/>
  <c r="I484" i="82"/>
  <c r="J484" i="82"/>
  <c r="K484" i="82"/>
  <c r="L484" i="82"/>
  <c r="M484" i="82"/>
  <c r="N484" i="82"/>
  <c r="O484" i="82"/>
  <c r="P484" i="82"/>
  <c r="Q484" i="82"/>
  <c r="R484" i="82"/>
  <c r="S484" i="82"/>
  <c r="T484" i="82"/>
  <c r="U484" i="82"/>
  <c r="B485" i="82"/>
  <c r="C485" i="82"/>
  <c r="D485" i="82"/>
  <c r="E485" i="82"/>
  <c r="W485" i="82" s="1"/>
  <c r="V5" i="169" s="1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B486" i="82"/>
  <c r="C486" i="82"/>
  <c r="D486" i="82"/>
  <c r="E486" i="82"/>
  <c r="W486" i="82" s="1"/>
  <c r="V4" i="316" s="1"/>
  <c r="F486" i="82"/>
  <c r="G486" i="82"/>
  <c r="H486" i="82"/>
  <c r="I486" i="82"/>
  <c r="J486" i="82"/>
  <c r="K486" i="82"/>
  <c r="L486" i="82"/>
  <c r="M486" i="82"/>
  <c r="N486" i="82"/>
  <c r="O486" i="82"/>
  <c r="P486" i="82"/>
  <c r="Q486" i="82"/>
  <c r="R486" i="82"/>
  <c r="S486" i="82"/>
  <c r="T486" i="82"/>
  <c r="U486" i="82"/>
  <c r="B487" i="82"/>
  <c r="C487" i="82"/>
  <c r="D487" i="82"/>
  <c r="E487" i="82"/>
  <c r="W487" i="82" s="1"/>
  <c r="V6" i="67" s="1"/>
  <c r="F487" i="82"/>
  <c r="G487" i="82"/>
  <c r="H487" i="82"/>
  <c r="I487" i="82"/>
  <c r="J487" i="82"/>
  <c r="K487" i="82"/>
  <c r="L487" i="82"/>
  <c r="M487" i="82"/>
  <c r="N487" i="82"/>
  <c r="O487" i="82"/>
  <c r="P487" i="82"/>
  <c r="Q487" i="82"/>
  <c r="R487" i="82"/>
  <c r="S487" i="82"/>
  <c r="T487" i="82"/>
  <c r="U487" i="82"/>
  <c r="B488" i="82"/>
  <c r="C488" i="82"/>
  <c r="D488" i="82"/>
  <c r="E488" i="82"/>
  <c r="W488" i="82" s="1"/>
  <c r="V5" i="195" s="1"/>
  <c r="F488" i="82"/>
  <c r="G488" i="82"/>
  <c r="H488" i="82"/>
  <c r="I488" i="82"/>
  <c r="J488" i="82"/>
  <c r="K488" i="82"/>
  <c r="L488" i="82"/>
  <c r="M488" i="82"/>
  <c r="N488" i="82"/>
  <c r="O488" i="82"/>
  <c r="P488" i="82"/>
  <c r="Q488" i="82"/>
  <c r="R488" i="82"/>
  <c r="S488" i="82"/>
  <c r="T488" i="82"/>
  <c r="U488" i="82"/>
  <c r="B489" i="82"/>
  <c r="C489" i="82"/>
  <c r="D489" i="82"/>
  <c r="E489" i="82"/>
  <c r="W489" i="82" s="1"/>
  <c r="V6" i="201" s="1"/>
  <c r="F489" i="82"/>
  <c r="G489" i="82"/>
  <c r="H489" i="82"/>
  <c r="I489" i="82"/>
  <c r="J489" i="82"/>
  <c r="K489" i="82"/>
  <c r="L489" i="82"/>
  <c r="M489" i="82"/>
  <c r="N489" i="82"/>
  <c r="O489" i="82"/>
  <c r="P489" i="82"/>
  <c r="Q489" i="82"/>
  <c r="R489" i="82"/>
  <c r="S489" i="82"/>
  <c r="T489" i="82"/>
  <c r="U489" i="82"/>
  <c r="B490" i="82"/>
  <c r="C490" i="82"/>
  <c r="D490" i="82"/>
  <c r="E490" i="82"/>
  <c r="F490" i="82"/>
  <c r="G490" i="82"/>
  <c r="H490" i="82"/>
  <c r="I490" i="82"/>
  <c r="J490" i="82"/>
  <c r="K490" i="82"/>
  <c r="L490" i="82"/>
  <c r="M490" i="82"/>
  <c r="N490" i="82"/>
  <c r="O490" i="82"/>
  <c r="P490" i="82"/>
  <c r="Q490" i="82"/>
  <c r="R490" i="82"/>
  <c r="S490" i="82"/>
  <c r="T490" i="82"/>
  <c r="U490" i="82"/>
  <c r="B491" i="82"/>
  <c r="C491" i="82"/>
  <c r="D491" i="82"/>
  <c r="E491" i="82"/>
  <c r="W491" i="82" s="1"/>
  <c r="V5" i="123" s="1"/>
  <c r="F491" i="82"/>
  <c r="G491" i="82"/>
  <c r="H491" i="82"/>
  <c r="I491" i="82"/>
  <c r="J491" i="82"/>
  <c r="K491" i="82"/>
  <c r="L491" i="82"/>
  <c r="M491" i="82"/>
  <c r="N491" i="82"/>
  <c r="O491" i="82"/>
  <c r="P491" i="82"/>
  <c r="Q491" i="82"/>
  <c r="R491" i="82"/>
  <c r="S491" i="82"/>
  <c r="T491" i="82"/>
  <c r="U491" i="82"/>
  <c r="B492" i="82"/>
  <c r="C492" i="82"/>
  <c r="D492" i="82"/>
  <c r="E492" i="82"/>
  <c r="W492" i="82" s="1"/>
  <c r="V5" i="155" s="1"/>
  <c r="F492" i="82"/>
  <c r="G492" i="82"/>
  <c r="H492" i="82"/>
  <c r="I492" i="82"/>
  <c r="J492" i="82"/>
  <c r="K492" i="82"/>
  <c r="L492" i="82"/>
  <c r="M492" i="82"/>
  <c r="N492" i="82"/>
  <c r="O492" i="82"/>
  <c r="P492" i="82"/>
  <c r="Q492" i="82"/>
  <c r="R492" i="82"/>
  <c r="S492" i="82"/>
  <c r="T492" i="82"/>
  <c r="U492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B494" i="82"/>
  <c r="C494" i="82"/>
  <c r="D494" i="82"/>
  <c r="E494" i="82"/>
  <c r="W494" i="82" s="1"/>
  <c r="V7" i="224" s="1"/>
  <c r="F494" i="82"/>
  <c r="G494" i="82"/>
  <c r="H494" i="82"/>
  <c r="I494" i="82"/>
  <c r="J494" i="82"/>
  <c r="K494" i="82"/>
  <c r="L494" i="82"/>
  <c r="M494" i="82"/>
  <c r="N494" i="82"/>
  <c r="O494" i="82"/>
  <c r="P494" i="82"/>
  <c r="Q494" i="82"/>
  <c r="R494" i="82"/>
  <c r="S494" i="82"/>
  <c r="T494" i="82"/>
  <c r="U494" i="82"/>
  <c r="B495" i="82"/>
  <c r="C495" i="82"/>
  <c r="D495" i="82"/>
  <c r="E495" i="82"/>
  <c r="W495" i="82" s="1"/>
  <c r="V4" i="214" s="1"/>
  <c r="F495" i="82"/>
  <c r="G495" i="82"/>
  <c r="H495" i="82"/>
  <c r="I495" i="82"/>
  <c r="J495" i="82"/>
  <c r="K495" i="82"/>
  <c r="L495" i="82"/>
  <c r="M495" i="82"/>
  <c r="N495" i="82"/>
  <c r="O495" i="82"/>
  <c r="P495" i="82"/>
  <c r="Q495" i="82"/>
  <c r="R495" i="82"/>
  <c r="S495" i="82"/>
  <c r="T495" i="82"/>
  <c r="U495" i="82"/>
  <c r="B496" i="82"/>
  <c r="C496" i="82"/>
  <c r="D496" i="82"/>
  <c r="E496" i="82"/>
  <c r="W496" i="82" s="1"/>
  <c r="V4" i="65" s="1"/>
  <c r="F496" i="82"/>
  <c r="G496" i="82"/>
  <c r="H496" i="82"/>
  <c r="I496" i="82"/>
  <c r="J496" i="82"/>
  <c r="K496" i="82"/>
  <c r="L496" i="82"/>
  <c r="M496" i="82"/>
  <c r="N496" i="82"/>
  <c r="O496" i="82"/>
  <c r="P496" i="82"/>
  <c r="Q496" i="82"/>
  <c r="R496" i="82"/>
  <c r="S496" i="82"/>
  <c r="T496" i="82"/>
  <c r="U496" i="82"/>
  <c r="B497" i="82"/>
  <c r="C497" i="82"/>
  <c r="D497" i="82"/>
  <c r="E497" i="82"/>
  <c r="W497" i="82" s="1"/>
  <c r="V7" i="138" s="1"/>
  <c r="F497" i="82"/>
  <c r="G497" i="82"/>
  <c r="H497" i="82"/>
  <c r="I497" i="82"/>
  <c r="J497" i="82"/>
  <c r="K497" i="82"/>
  <c r="L497" i="82"/>
  <c r="M497" i="82"/>
  <c r="N497" i="82"/>
  <c r="O497" i="82"/>
  <c r="P497" i="82"/>
  <c r="Q497" i="82"/>
  <c r="R497" i="82"/>
  <c r="S497" i="82"/>
  <c r="T497" i="82"/>
  <c r="U497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B499" i="82"/>
  <c r="C499" i="82"/>
  <c r="D499" i="82"/>
  <c r="E499" i="82"/>
  <c r="W499" i="82" s="1"/>
  <c r="V5" i="193" s="1"/>
  <c r="F499" i="82"/>
  <c r="G499" i="82"/>
  <c r="H499" i="82"/>
  <c r="I499" i="82"/>
  <c r="J499" i="82"/>
  <c r="K499" i="82"/>
  <c r="L499" i="82"/>
  <c r="M499" i="82"/>
  <c r="N499" i="82"/>
  <c r="O499" i="82"/>
  <c r="P499" i="82"/>
  <c r="Q499" i="82"/>
  <c r="R499" i="82"/>
  <c r="S499" i="82"/>
  <c r="T499" i="82"/>
  <c r="U499" i="82"/>
  <c r="B500" i="82"/>
  <c r="C500" i="82"/>
  <c r="D500" i="82"/>
  <c r="E500" i="82"/>
  <c r="W500" i="82" s="1"/>
  <c r="V5" i="85" s="1"/>
  <c r="F500" i="82"/>
  <c r="G500" i="82"/>
  <c r="H500" i="82"/>
  <c r="I500" i="82"/>
  <c r="J500" i="82"/>
  <c r="K500" i="82"/>
  <c r="L500" i="82"/>
  <c r="M500" i="82"/>
  <c r="N500" i="82"/>
  <c r="O500" i="82"/>
  <c r="P500" i="82"/>
  <c r="Q500" i="82"/>
  <c r="R500" i="82"/>
  <c r="S500" i="82"/>
  <c r="T500" i="82"/>
  <c r="U500" i="82"/>
  <c r="B501" i="82"/>
  <c r="C501" i="82"/>
  <c r="D501" i="82"/>
  <c r="E501" i="82"/>
  <c r="W501" i="82" s="1"/>
  <c r="V5" i="65" s="1"/>
  <c r="F501" i="82"/>
  <c r="G501" i="82"/>
  <c r="H501" i="82"/>
  <c r="I501" i="82"/>
  <c r="J501" i="82"/>
  <c r="K501" i="82"/>
  <c r="L501" i="82"/>
  <c r="M501" i="82"/>
  <c r="N501" i="82"/>
  <c r="O501" i="82"/>
  <c r="P501" i="82"/>
  <c r="Q501" i="82"/>
  <c r="R501" i="82"/>
  <c r="S501" i="82"/>
  <c r="T501" i="82"/>
  <c r="U501" i="82"/>
  <c r="B502" i="82"/>
  <c r="C502" i="82"/>
  <c r="D502" i="82"/>
  <c r="E502" i="82"/>
  <c r="W502" i="82" s="1"/>
  <c r="V4" i="156" s="1"/>
  <c r="F502" i="82"/>
  <c r="G502" i="82"/>
  <c r="H502" i="82"/>
  <c r="I502" i="82"/>
  <c r="J502" i="82"/>
  <c r="K502" i="82"/>
  <c r="L502" i="82"/>
  <c r="M502" i="82"/>
  <c r="N502" i="82"/>
  <c r="O502" i="82"/>
  <c r="P502" i="82"/>
  <c r="Q502" i="82"/>
  <c r="R502" i="82"/>
  <c r="S502" i="82"/>
  <c r="T502" i="82"/>
  <c r="U502" i="82"/>
  <c r="B503" i="82"/>
  <c r="C503" i="82"/>
  <c r="D503" i="82"/>
  <c r="E503" i="82"/>
  <c r="W503" i="82" s="1"/>
  <c r="V5" i="30" s="1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B504" i="82"/>
  <c r="C504" i="82"/>
  <c r="D504" i="82"/>
  <c r="E504" i="82"/>
  <c r="W504" i="82" s="1"/>
  <c r="V4" i="158" s="1"/>
  <c r="F504" i="82"/>
  <c r="G504" i="82"/>
  <c r="H504" i="82"/>
  <c r="I504" i="82"/>
  <c r="J504" i="82"/>
  <c r="K504" i="82"/>
  <c r="L504" i="82"/>
  <c r="M504" i="82"/>
  <c r="N504" i="82"/>
  <c r="O504" i="82"/>
  <c r="P504" i="82"/>
  <c r="Q504" i="82"/>
  <c r="R504" i="82"/>
  <c r="S504" i="82"/>
  <c r="T504" i="82"/>
  <c r="U504" i="82"/>
  <c r="B505" i="82"/>
  <c r="C505" i="82"/>
  <c r="D505" i="82"/>
  <c r="E505" i="82"/>
  <c r="W505" i="82" s="1"/>
  <c r="V6" i="193" s="1"/>
  <c r="F505" i="82"/>
  <c r="G505" i="82"/>
  <c r="H505" i="82"/>
  <c r="I505" i="82"/>
  <c r="J505" i="82"/>
  <c r="K505" i="82"/>
  <c r="L505" i="82"/>
  <c r="M505" i="82"/>
  <c r="N505" i="82"/>
  <c r="O505" i="82"/>
  <c r="P505" i="82"/>
  <c r="Q505" i="82"/>
  <c r="R505" i="82"/>
  <c r="S505" i="82"/>
  <c r="T505" i="82"/>
  <c r="U505" i="82"/>
  <c r="B506" i="82"/>
  <c r="C506" i="82"/>
  <c r="D506" i="82"/>
  <c r="E506" i="82"/>
  <c r="W506" i="82" s="1"/>
  <c r="V5" i="165" s="1"/>
  <c r="F506" i="82"/>
  <c r="G506" i="82"/>
  <c r="H506" i="82"/>
  <c r="I506" i="82"/>
  <c r="J506" i="82"/>
  <c r="K506" i="82"/>
  <c r="L506" i="82"/>
  <c r="M506" i="82"/>
  <c r="N506" i="82"/>
  <c r="O506" i="82"/>
  <c r="P506" i="82"/>
  <c r="Q506" i="82"/>
  <c r="R506" i="82"/>
  <c r="S506" i="82"/>
  <c r="T506" i="82"/>
  <c r="U506" i="82"/>
  <c r="B507" i="82"/>
  <c r="C507" i="82"/>
  <c r="D507" i="82"/>
  <c r="E507" i="82"/>
  <c r="W507" i="82" s="1"/>
  <c r="V4" i="247" s="1"/>
  <c r="F507" i="82"/>
  <c r="G507" i="82"/>
  <c r="H507" i="82"/>
  <c r="I507" i="82"/>
  <c r="J507" i="82"/>
  <c r="K507" i="82"/>
  <c r="L507" i="82"/>
  <c r="M507" i="82"/>
  <c r="N507" i="82"/>
  <c r="O507" i="82"/>
  <c r="P507" i="82"/>
  <c r="Q507" i="82"/>
  <c r="R507" i="82"/>
  <c r="S507" i="82"/>
  <c r="T507" i="82"/>
  <c r="U507" i="82"/>
  <c r="B508" i="82"/>
  <c r="C508" i="82"/>
  <c r="D508" i="82"/>
  <c r="E508" i="82"/>
  <c r="W508" i="82" s="1"/>
  <c r="V4" i="94" s="1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B509" i="82"/>
  <c r="C509" i="82"/>
  <c r="D509" i="82"/>
  <c r="E509" i="82"/>
  <c r="W509" i="82" s="1"/>
  <c r="V6" i="204" s="1"/>
  <c r="F509" i="82"/>
  <c r="G509" i="82"/>
  <c r="H509" i="82"/>
  <c r="I509" i="82"/>
  <c r="J509" i="82"/>
  <c r="K509" i="82"/>
  <c r="L509" i="82"/>
  <c r="M509" i="82"/>
  <c r="N509" i="82"/>
  <c r="O509" i="82"/>
  <c r="P509" i="82"/>
  <c r="Q509" i="82"/>
  <c r="R509" i="82"/>
  <c r="S509" i="82"/>
  <c r="T509" i="82"/>
  <c r="U509" i="82"/>
  <c r="B510" i="82"/>
  <c r="C510" i="82"/>
  <c r="D510" i="82"/>
  <c r="E510" i="82"/>
  <c r="W510" i="82" s="1"/>
  <c r="V4" i="265" s="1"/>
  <c r="F510" i="82"/>
  <c r="G510" i="82"/>
  <c r="H510" i="82"/>
  <c r="I510" i="82"/>
  <c r="J510" i="82"/>
  <c r="K510" i="82"/>
  <c r="L510" i="82"/>
  <c r="M510" i="82"/>
  <c r="N510" i="82"/>
  <c r="O510" i="82"/>
  <c r="P510" i="82"/>
  <c r="Q510" i="82"/>
  <c r="R510" i="82"/>
  <c r="S510" i="82"/>
  <c r="T510" i="82"/>
  <c r="U510" i="82"/>
  <c r="B511" i="82"/>
  <c r="C511" i="82"/>
  <c r="D511" i="82"/>
  <c r="E511" i="82"/>
  <c r="W511" i="82" s="1"/>
  <c r="V5" i="107" s="1"/>
  <c r="F511" i="82"/>
  <c r="G511" i="82"/>
  <c r="H511" i="82"/>
  <c r="I511" i="82"/>
  <c r="J511" i="82"/>
  <c r="K511" i="82"/>
  <c r="L511" i="82"/>
  <c r="M511" i="82"/>
  <c r="N511" i="82"/>
  <c r="O511" i="82"/>
  <c r="P511" i="82"/>
  <c r="Q511" i="82"/>
  <c r="R511" i="82"/>
  <c r="S511" i="82"/>
  <c r="T511" i="82"/>
  <c r="U511" i="82"/>
  <c r="B512" i="82"/>
  <c r="C512" i="82"/>
  <c r="D512" i="82"/>
  <c r="E512" i="82"/>
  <c r="W512" i="82" s="1"/>
  <c r="V5" i="135" s="1"/>
  <c r="F512" i="82"/>
  <c r="G512" i="82"/>
  <c r="H512" i="82"/>
  <c r="I512" i="82"/>
  <c r="J512" i="82"/>
  <c r="K512" i="82"/>
  <c r="L512" i="82"/>
  <c r="M512" i="82"/>
  <c r="N512" i="82"/>
  <c r="O512" i="82"/>
  <c r="P512" i="82"/>
  <c r="Q512" i="82"/>
  <c r="R512" i="82"/>
  <c r="S512" i="82"/>
  <c r="T512" i="82"/>
  <c r="U512" i="82"/>
  <c r="B513" i="82"/>
  <c r="C513" i="82"/>
  <c r="D513" i="82"/>
  <c r="E513" i="82"/>
  <c r="W513" i="82" s="1"/>
  <c r="V6" i="256" s="1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B514" i="82"/>
  <c r="C514" i="82"/>
  <c r="D514" i="82"/>
  <c r="E514" i="82"/>
  <c r="W514" i="82" s="1"/>
  <c r="V6" i="145" s="1"/>
  <c r="F514" i="82"/>
  <c r="G514" i="82"/>
  <c r="H514" i="82"/>
  <c r="I514" i="82"/>
  <c r="J514" i="82"/>
  <c r="K514" i="82"/>
  <c r="L514" i="82"/>
  <c r="M514" i="82"/>
  <c r="N514" i="82"/>
  <c r="O514" i="82"/>
  <c r="P514" i="82"/>
  <c r="Q514" i="82"/>
  <c r="R514" i="82"/>
  <c r="S514" i="82"/>
  <c r="T514" i="82"/>
  <c r="U514" i="82"/>
  <c r="B515" i="82"/>
  <c r="C515" i="82"/>
  <c r="D515" i="82"/>
  <c r="E515" i="82"/>
  <c r="F515" i="82"/>
  <c r="G515" i="82"/>
  <c r="H515" i="82"/>
  <c r="I515" i="82"/>
  <c r="J515" i="82"/>
  <c r="K515" i="82"/>
  <c r="L515" i="82"/>
  <c r="M515" i="82"/>
  <c r="N515" i="82"/>
  <c r="O515" i="82"/>
  <c r="P515" i="82"/>
  <c r="Q515" i="82"/>
  <c r="R515" i="82"/>
  <c r="S515" i="82"/>
  <c r="T515" i="82"/>
  <c r="U515" i="82"/>
  <c r="B516" i="82"/>
  <c r="C516" i="82"/>
  <c r="D516" i="82"/>
  <c r="E516" i="82"/>
  <c r="W516" i="82" s="1"/>
  <c r="V6" i="90" s="1"/>
  <c r="F516" i="82"/>
  <c r="G516" i="82"/>
  <c r="H516" i="82"/>
  <c r="I516" i="82"/>
  <c r="J516" i="82"/>
  <c r="K516" i="82"/>
  <c r="L516" i="82"/>
  <c r="M516" i="82"/>
  <c r="N516" i="82"/>
  <c r="O516" i="82"/>
  <c r="P516" i="82"/>
  <c r="Q516" i="82"/>
  <c r="R516" i="82"/>
  <c r="S516" i="82"/>
  <c r="T516" i="82"/>
  <c r="U516" i="82"/>
  <c r="B517" i="82"/>
  <c r="C517" i="82"/>
  <c r="D517" i="82"/>
  <c r="E517" i="82"/>
  <c r="W517" i="82" s="1"/>
  <c r="V4" i="314" s="1"/>
  <c r="F517" i="82"/>
  <c r="G517" i="82"/>
  <c r="H517" i="82"/>
  <c r="I517" i="82"/>
  <c r="J517" i="82"/>
  <c r="K517" i="82"/>
  <c r="L517" i="82"/>
  <c r="M517" i="82"/>
  <c r="N517" i="82"/>
  <c r="O517" i="82"/>
  <c r="P517" i="82"/>
  <c r="Q517" i="82"/>
  <c r="R517" i="82"/>
  <c r="S517" i="82"/>
  <c r="T517" i="82"/>
  <c r="U517" i="82"/>
  <c r="B518" i="82"/>
  <c r="C518" i="82"/>
  <c r="D518" i="82"/>
  <c r="E518" i="82"/>
  <c r="W518" i="82" s="1"/>
  <c r="V4" i="52" s="1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B519" i="82"/>
  <c r="C519" i="82"/>
  <c r="D519" i="82"/>
  <c r="E519" i="82"/>
  <c r="W519" i="82" s="1"/>
  <c r="V4" i="148" s="1"/>
  <c r="F519" i="82"/>
  <c r="G519" i="82"/>
  <c r="H519" i="82"/>
  <c r="I519" i="82"/>
  <c r="J519" i="82"/>
  <c r="K519" i="82"/>
  <c r="L519" i="82"/>
  <c r="M519" i="82"/>
  <c r="N519" i="82"/>
  <c r="O519" i="82"/>
  <c r="P519" i="82"/>
  <c r="Q519" i="82"/>
  <c r="R519" i="82"/>
  <c r="S519" i="82"/>
  <c r="T519" i="82"/>
  <c r="U519" i="82"/>
  <c r="B520" i="82"/>
  <c r="C520" i="82"/>
  <c r="D520" i="82"/>
  <c r="E520" i="82"/>
  <c r="W520" i="82" s="1"/>
  <c r="V6" i="192" s="1"/>
  <c r="F520" i="82"/>
  <c r="G520" i="82"/>
  <c r="H520" i="82"/>
  <c r="I520" i="82"/>
  <c r="J520" i="82"/>
  <c r="K520" i="82"/>
  <c r="L520" i="82"/>
  <c r="M520" i="82"/>
  <c r="N520" i="82"/>
  <c r="O520" i="82"/>
  <c r="P520" i="82"/>
  <c r="Q520" i="82"/>
  <c r="R520" i="82"/>
  <c r="S520" i="82"/>
  <c r="T520" i="82"/>
  <c r="U520" i="82"/>
  <c r="B521" i="82"/>
  <c r="C521" i="82"/>
  <c r="D521" i="82"/>
  <c r="E521" i="82"/>
  <c r="W521" i="82" s="1"/>
  <c r="V4" i="240" s="1"/>
  <c r="F521" i="82"/>
  <c r="G521" i="82"/>
  <c r="H521" i="82"/>
  <c r="I521" i="82"/>
  <c r="J521" i="82"/>
  <c r="K521" i="82"/>
  <c r="L521" i="82"/>
  <c r="M521" i="82"/>
  <c r="N521" i="82"/>
  <c r="O521" i="82"/>
  <c r="P521" i="82"/>
  <c r="Q521" i="82"/>
  <c r="R521" i="82"/>
  <c r="S521" i="82"/>
  <c r="T521" i="82"/>
  <c r="U521" i="82"/>
  <c r="B522" i="82"/>
  <c r="C522" i="82"/>
  <c r="D522" i="82"/>
  <c r="E522" i="82"/>
  <c r="W522" i="82" s="1"/>
  <c r="V7" i="192" s="1"/>
  <c r="F522" i="82"/>
  <c r="G522" i="82"/>
  <c r="H522" i="82"/>
  <c r="I522" i="82"/>
  <c r="J522" i="82"/>
  <c r="K522" i="82"/>
  <c r="L522" i="82"/>
  <c r="M522" i="82"/>
  <c r="N522" i="82"/>
  <c r="O522" i="82"/>
  <c r="P522" i="82"/>
  <c r="Q522" i="82"/>
  <c r="R522" i="82"/>
  <c r="S522" i="82"/>
  <c r="T522" i="82"/>
  <c r="U522" i="82"/>
  <c r="B523" i="82"/>
  <c r="C523" i="82"/>
  <c r="D523" i="82"/>
  <c r="E523" i="82"/>
  <c r="W523" i="82" s="1"/>
  <c r="V5" i="208" s="1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B524" i="82"/>
  <c r="C524" i="82"/>
  <c r="D524" i="82"/>
  <c r="E524" i="82"/>
  <c r="W524" i="82" s="1"/>
  <c r="V5" i="213" s="1"/>
  <c r="F524" i="82"/>
  <c r="G524" i="82"/>
  <c r="H524" i="82"/>
  <c r="I524" i="82"/>
  <c r="J524" i="82"/>
  <c r="K524" i="82"/>
  <c r="L524" i="82"/>
  <c r="M524" i="82"/>
  <c r="N524" i="82"/>
  <c r="O524" i="82"/>
  <c r="P524" i="82"/>
  <c r="Q524" i="82"/>
  <c r="R524" i="82"/>
  <c r="S524" i="82"/>
  <c r="T524" i="82"/>
  <c r="U524" i="82"/>
  <c r="B525" i="82"/>
  <c r="C525" i="82"/>
  <c r="D525" i="82"/>
  <c r="E525" i="82"/>
  <c r="W525" i="82" s="1"/>
  <c r="V6" i="181" s="1"/>
  <c r="F525" i="82"/>
  <c r="G525" i="82"/>
  <c r="H525" i="82"/>
  <c r="I525" i="82"/>
  <c r="J525" i="82"/>
  <c r="K525" i="82"/>
  <c r="L525" i="82"/>
  <c r="M525" i="82"/>
  <c r="N525" i="82"/>
  <c r="O525" i="82"/>
  <c r="P525" i="82"/>
  <c r="Q525" i="82"/>
  <c r="R525" i="82"/>
  <c r="S525" i="82"/>
  <c r="T525" i="82"/>
  <c r="U525" i="82"/>
  <c r="B526" i="82"/>
  <c r="C526" i="82"/>
  <c r="D526" i="82"/>
  <c r="E526" i="82"/>
  <c r="W526" i="82" s="1"/>
  <c r="V5" i="170" s="1"/>
  <c r="F526" i="82"/>
  <c r="G526" i="82"/>
  <c r="H526" i="82"/>
  <c r="I526" i="82"/>
  <c r="J526" i="82"/>
  <c r="K526" i="82"/>
  <c r="L526" i="82"/>
  <c r="M526" i="82"/>
  <c r="N526" i="82"/>
  <c r="O526" i="82"/>
  <c r="P526" i="82"/>
  <c r="Q526" i="82"/>
  <c r="R526" i="82"/>
  <c r="S526" i="82"/>
  <c r="T526" i="82"/>
  <c r="U526" i="82"/>
  <c r="B527" i="82"/>
  <c r="B65" i="278" s="1"/>
  <c r="C527" i="82"/>
  <c r="C65" i="278" s="1"/>
  <c r="D527" i="82"/>
  <c r="E527" i="82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B529" i="82"/>
  <c r="C529" i="82"/>
  <c r="D529" i="82"/>
  <c r="E529" i="82"/>
  <c r="W529" i="82" s="1"/>
  <c r="V6" i="58" s="1"/>
  <c r="F529" i="82"/>
  <c r="G529" i="82"/>
  <c r="H529" i="82"/>
  <c r="I529" i="82"/>
  <c r="J529" i="82"/>
  <c r="K529" i="82"/>
  <c r="L529" i="82"/>
  <c r="M529" i="82"/>
  <c r="N529" i="82"/>
  <c r="O529" i="82"/>
  <c r="P529" i="82"/>
  <c r="Q529" i="82"/>
  <c r="R529" i="82"/>
  <c r="S529" i="82"/>
  <c r="T529" i="82"/>
  <c r="U529" i="82"/>
  <c r="B530" i="82"/>
  <c r="C530" i="82"/>
  <c r="D530" i="82"/>
  <c r="E530" i="82"/>
  <c r="W530" i="82" s="1"/>
  <c r="V5" i="255" s="1"/>
  <c r="F530" i="82"/>
  <c r="G530" i="82"/>
  <c r="H530" i="82"/>
  <c r="I530" i="82"/>
  <c r="J530" i="82"/>
  <c r="K530" i="82"/>
  <c r="L530" i="82"/>
  <c r="M530" i="82"/>
  <c r="N530" i="82"/>
  <c r="O530" i="82"/>
  <c r="P530" i="82"/>
  <c r="Q530" i="82"/>
  <c r="R530" i="82"/>
  <c r="S530" i="82"/>
  <c r="T530" i="82"/>
  <c r="U530" i="82"/>
  <c r="B531" i="82"/>
  <c r="C531" i="82"/>
  <c r="D531" i="82"/>
  <c r="E531" i="82"/>
  <c r="W531" i="82" s="1"/>
  <c r="V4" i="178" s="1"/>
  <c r="F531" i="82"/>
  <c r="G531" i="82"/>
  <c r="H531" i="82"/>
  <c r="I531" i="82"/>
  <c r="J531" i="82"/>
  <c r="K531" i="82"/>
  <c r="L531" i="82"/>
  <c r="M531" i="82"/>
  <c r="N531" i="82"/>
  <c r="O531" i="82"/>
  <c r="P531" i="82"/>
  <c r="Q531" i="82"/>
  <c r="R531" i="82"/>
  <c r="S531" i="82"/>
  <c r="T531" i="82"/>
  <c r="U531" i="82"/>
  <c r="B532" i="82"/>
  <c r="C532" i="82"/>
  <c r="D532" i="82"/>
  <c r="E532" i="82"/>
  <c r="W532" i="82" s="1"/>
  <c r="V5" i="115" s="1"/>
  <c r="F532" i="82"/>
  <c r="G532" i="82"/>
  <c r="H532" i="82"/>
  <c r="I532" i="82"/>
  <c r="J532" i="82"/>
  <c r="K532" i="82"/>
  <c r="L532" i="82"/>
  <c r="M532" i="82"/>
  <c r="N532" i="82"/>
  <c r="O532" i="82"/>
  <c r="P532" i="82"/>
  <c r="Q532" i="82"/>
  <c r="R532" i="82"/>
  <c r="S532" i="82"/>
  <c r="T532" i="82"/>
  <c r="U532" i="82"/>
  <c r="B533" i="82"/>
  <c r="C533" i="82"/>
  <c r="D533" i="82"/>
  <c r="E533" i="82"/>
  <c r="W533" i="82" s="1"/>
  <c r="V6" i="115" s="1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B534" i="82"/>
  <c r="C534" i="82"/>
  <c r="D534" i="82"/>
  <c r="E534" i="82"/>
  <c r="W534" i="82" s="1"/>
  <c r="V6" i="144" s="1"/>
  <c r="F534" i="82"/>
  <c r="G534" i="82"/>
  <c r="H534" i="82"/>
  <c r="I534" i="82"/>
  <c r="J534" i="82"/>
  <c r="K534" i="82"/>
  <c r="L534" i="82"/>
  <c r="M534" i="82"/>
  <c r="N534" i="82"/>
  <c r="O534" i="82"/>
  <c r="P534" i="82"/>
  <c r="Q534" i="82"/>
  <c r="R534" i="82"/>
  <c r="S534" i="82"/>
  <c r="T534" i="82"/>
  <c r="U534" i="82"/>
  <c r="B535" i="82"/>
  <c r="C535" i="82"/>
  <c r="D535" i="82"/>
  <c r="E535" i="82"/>
  <c r="W535" i="82" s="1"/>
  <c r="V5" i="308" s="1"/>
  <c r="F535" i="82"/>
  <c r="G535" i="82"/>
  <c r="H535" i="82"/>
  <c r="I535" i="82"/>
  <c r="J535" i="82"/>
  <c r="K535" i="82"/>
  <c r="L535" i="82"/>
  <c r="M535" i="82"/>
  <c r="N535" i="82"/>
  <c r="O535" i="82"/>
  <c r="P535" i="82"/>
  <c r="Q535" i="82"/>
  <c r="R535" i="82"/>
  <c r="S535" i="82"/>
  <c r="T535" i="82"/>
  <c r="U535" i="82"/>
  <c r="B536" i="82"/>
  <c r="C536" i="82"/>
  <c r="D536" i="82"/>
  <c r="E536" i="82"/>
  <c r="F536" i="82"/>
  <c r="G536" i="82"/>
  <c r="H536" i="82"/>
  <c r="I536" i="82"/>
  <c r="J536" i="82"/>
  <c r="K536" i="82"/>
  <c r="L536" i="82"/>
  <c r="M536" i="82"/>
  <c r="N536" i="82"/>
  <c r="O536" i="82"/>
  <c r="P536" i="82"/>
  <c r="Q536" i="82"/>
  <c r="R536" i="82"/>
  <c r="S536" i="82"/>
  <c r="T536" i="82"/>
  <c r="U536" i="82"/>
  <c r="B537" i="82"/>
  <c r="C537" i="82"/>
  <c r="D537" i="82"/>
  <c r="E537" i="82"/>
  <c r="W537" i="82" s="1"/>
  <c r="V6" i="275" s="1"/>
  <c r="F537" i="82"/>
  <c r="G537" i="82"/>
  <c r="H537" i="82"/>
  <c r="I537" i="82"/>
  <c r="J537" i="82"/>
  <c r="K537" i="82"/>
  <c r="L537" i="82"/>
  <c r="M537" i="82"/>
  <c r="N537" i="82"/>
  <c r="O537" i="82"/>
  <c r="P537" i="82"/>
  <c r="Q537" i="82"/>
  <c r="R537" i="82"/>
  <c r="S537" i="82"/>
  <c r="T537" i="82"/>
  <c r="U537" i="82"/>
  <c r="B538" i="82"/>
  <c r="C538" i="82"/>
  <c r="D538" i="82"/>
  <c r="E538" i="82"/>
  <c r="W538" i="82" s="1"/>
  <c r="V6" i="169" s="1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B539" i="82"/>
  <c r="C539" i="82"/>
  <c r="D539" i="82"/>
  <c r="E539" i="82"/>
  <c r="W539" i="82" s="1"/>
  <c r="V5" i="205" s="1"/>
  <c r="F539" i="82"/>
  <c r="G539" i="82"/>
  <c r="H539" i="82"/>
  <c r="I539" i="82"/>
  <c r="J539" i="82"/>
  <c r="K539" i="82"/>
  <c r="L539" i="82"/>
  <c r="M539" i="82"/>
  <c r="N539" i="82"/>
  <c r="O539" i="82"/>
  <c r="P539" i="82"/>
  <c r="Q539" i="82"/>
  <c r="R539" i="82"/>
  <c r="S539" i="82"/>
  <c r="T539" i="82"/>
  <c r="U539" i="82"/>
  <c r="B540" i="82"/>
  <c r="C540" i="82"/>
  <c r="D540" i="82"/>
  <c r="E540" i="82"/>
  <c r="W540" i="82" s="1"/>
  <c r="V5" i="94" s="1"/>
  <c r="F540" i="82"/>
  <c r="G540" i="82"/>
  <c r="H540" i="82"/>
  <c r="I540" i="82"/>
  <c r="J540" i="82"/>
  <c r="K540" i="82"/>
  <c r="L540" i="82"/>
  <c r="M540" i="82"/>
  <c r="N540" i="82"/>
  <c r="O540" i="82"/>
  <c r="P540" i="82"/>
  <c r="Q540" i="82"/>
  <c r="R540" i="82"/>
  <c r="S540" i="82"/>
  <c r="T540" i="82"/>
  <c r="U540" i="82"/>
  <c r="B541" i="82"/>
  <c r="C541" i="82"/>
  <c r="D541" i="82"/>
  <c r="E541" i="82"/>
  <c r="W541" i="82" s="1"/>
  <c r="V3" i="142" s="1"/>
  <c r="F541" i="82"/>
  <c r="G541" i="82"/>
  <c r="H541" i="82"/>
  <c r="I541" i="82"/>
  <c r="J541" i="82"/>
  <c r="K541" i="82"/>
  <c r="L541" i="82"/>
  <c r="M541" i="82"/>
  <c r="N541" i="82"/>
  <c r="O541" i="82"/>
  <c r="P541" i="82"/>
  <c r="Q541" i="82"/>
  <c r="R541" i="82"/>
  <c r="S541" i="82"/>
  <c r="T541" i="82"/>
  <c r="U541" i="82"/>
  <c r="B542" i="82"/>
  <c r="C542" i="82"/>
  <c r="D542" i="82"/>
  <c r="E542" i="82"/>
  <c r="F542" i="82"/>
  <c r="G542" i="82"/>
  <c r="H542" i="82"/>
  <c r="I542" i="82"/>
  <c r="J542" i="82"/>
  <c r="K542" i="82"/>
  <c r="L542" i="82"/>
  <c r="M542" i="82"/>
  <c r="N542" i="82"/>
  <c r="O542" i="82"/>
  <c r="P542" i="82"/>
  <c r="Q542" i="82"/>
  <c r="R542" i="82"/>
  <c r="S542" i="82"/>
  <c r="T542" i="82"/>
  <c r="U542" i="82"/>
  <c r="B543" i="82"/>
  <c r="C543" i="82"/>
  <c r="D543" i="82"/>
  <c r="E543" i="82"/>
  <c r="W543" i="82" s="1"/>
  <c r="V5" i="158" s="1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B544" i="82"/>
  <c r="C544" i="82"/>
  <c r="D544" i="82"/>
  <c r="E544" i="82"/>
  <c r="W544" i="82" s="1"/>
  <c r="V7" i="51" s="1"/>
  <c r="F544" i="82"/>
  <c r="G544" i="82"/>
  <c r="H544" i="82"/>
  <c r="I544" i="82"/>
  <c r="J544" i="82"/>
  <c r="K544" i="82"/>
  <c r="L544" i="82"/>
  <c r="M544" i="82"/>
  <c r="N544" i="82"/>
  <c r="O544" i="82"/>
  <c r="P544" i="82"/>
  <c r="Q544" i="82"/>
  <c r="R544" i="82"/>
  <c r="S544" i="82"/>
  <c r="T544" i="82"/>
  <c r="U544" i="82"/>
  <c r="B545" i="82"/>
  <c r="C545" i="82"/>
  <c r="D545" i="82"/>
  <c r="E545" i="82"/>
  <c r="W545" i="82" s="1"/>
  <c r="V4" i="194" s="1"/>
  <c r="F545" i="82"/>
  <c r="G545" i="82"/>
  <c r="H545" i="82"/>
  <c r="I545" i="82"/>
  <c r="J545" i="82"/>
  <c r="K545" i="82"/>
  <c r="L545" i="82"/>
  <c r="M545" i="82"/>
  <c r="N545" i="82"/>
  <c r="O545" i="82"/>
  <c r="P545" i="82"/>
  <c r="Q545" i="82"/>
  <c r="R545" i="82"/>
  <c r="S545" i="82"/>
  <c r="T545" i="82"/>
  <c r="U545" i="82"/>
  <c r="B546" i="82"/>
  <c r="C546" i="82"/>
  <c r="D546" i="82"/>
  <c r="E546" i="82"/>
  <c r="W546" i="82" s="1"/>
  <c r="V6" i="213" s="1"/>
  <c r="F546" i="82"/>
  <c r="G546" i="82"/>
  <c r="H546" i="82"/>
  <c r="I546" i="82"/>
  <c r="J546" i="82"/>
  <c r="K546" i="82"/>
  <c r="L546" i="82"/>
  <c r="M546" i="82"/>
  <c r="N546" i="82"/>
  <c r="O546" i="82"/>
  <c r="P546" i="82"/>
  <c r="Q546" i="82"/>
  <c r="R546" i="82"/>
  <c r="S546" i="82"/>
  <c r="T546" i="82"/>
  <c r="U546" i="82"/>
  <c r="B547" i="82"/>
  <c r="C547" i="82"/>
  <c r="D547" i="82"/>
  <c r="E547" i="82"/>
  <c r="W547" i="82" s="1"/>
  <c r="V3" i="209" s="1"/>
  <c r="F547" i="82"/>
  <c r="G547" i="82"/>
  <c r="H547" i="82"/>
  <c r="I547" i="82"/>
  <c r="J547" i="82"/>
  <c r="K547" i="82"/>
  <c r="L547" i="82"/>
  <c r="M547" i="82"/>
  <c r="N547" i="82"/>
  <c r="O547" i="82"/>
  <c r="P547" i="82"/>
  <c r="Q547" i="82"/>
  <c r="R547" i="82"/>
  <c r="S547" i="82"/>
  <c r="T547" i="82"/>
  <c r="U547" i="82"/>
  <c r="B548" i="82"/>
  <c r="C548" i="82"/>
  <c r="D548" i="82"/>
  <c r="E548" i="82"/>
  <c r="W548" i="82" s="1"/>
  <c r="V6" i="124" s="1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B549" i="82"/>
  <c r="C549" i="82"/>
  <c r="D549" i="82"/>
  <c r="E549" i="82"/>
  <c r="W549" i="82" s="1"/>
  <c r="V4" i="104" s="1"/>
  <c r="F549" i="82"/>
  <c r="G549" i="82"/>
  <c r="H549" i="82"/>
  <c r="I549" i="82"/>
  <c r="J549" i="82"/>
  <c r="K549" i="82"/>
  <c r="L549" i="82"/>
  <c r="M549" i="82"/>
  <c r="N549" i="82"/>
  <c r="O549" i="82"/>
  <c r="P549" i="82"/>
  <c r="Q549" i="82"/>
  <c r="R549" i="82"/>
  <c r="S549" i="82"/>
  <c r="T549" i="82"/>
  <c r="U549" i="82"/>
  <c r="B550" i="82"/>
  <c r="C550" i="82"/>
  <c r="D550" i="82"/>
  <c r="E550" i="82"/>
  <c r="W550" i="82" s="1"/>
  <c r="V4" i="31" s="1"/>
  <c r="F550" i="82"/>
  <c r="G550" i="82"/>
  <c r="H550" i="82"/>
  <c r="I550" i="82"/>
  <c r="J550" i="82"/>
  <c r="K550" i="82"/>
  <c r="L550" i="82"/>
  <c r="M550" i="82"/>
  <c r="N550" i="82"/>
  <c r="O550" i="82"/>
  <c r="P550" i="82"/>
  <c r="Q550" i="82"/>
  <c r="R550" i="82"/>
  <c r="S550" i="82"/>
  <c r="T550" i="82"/>
  <c r="U550" i="82"/>
  <c r="B551" i="82"/>
  <c r="C551" i="82"/>
  <c r="D551" i="82"/>
  <c r="E551" i="82"/>
  <c r="F551" i="82"/>
  <c r="G551" i="82"/>
  <c r="H551" i="82"/>
  <c r="I551" i="82"/>
  <c r="J551" i="82"/>
  <c r="K551" i="82"/>
  <c r="L551" i="82"/>
  <c r="M551" i="82"/>
  <c r="N551" i="82"/>
  <c r="O551" i="82"/>
  <c r="P551" i="82"/>
  <c r="Q551" i="82"/>
  <c r="R551" i="82"/>
  <c r="S551" i="82"/>
  <c r="T551" i="82"/>
  <c r="U551" i="82"/>
  <c r="B552" i="82"/>
  <c r="C552" i="82"/>
  <c r="D552" i="82"/>
  <c r="E552" i="82"/>
  <c r="W552" i="82" s="1"/>
  <c r="V6" i="84" s="1"/>
  <c r="F552" i="82"/>
  <c r="G552" i="82"/>
  <c r="H552" i="82"/>
  <c r="I552" i="82"/>
  <c r="J552" i="82"/>
  <c r="K552" i="82"/>
  <c r="L552" i="82"/>
  <c r="M552" i="82"/>
  <c r="N552" i="82"/>
  <c r="O552" i="82"/>
  <c r="P552" i="82"/>
  <c r="Q552" i="82"/>
  <c r="R552" i="82"/>
  <c r="S552" i="82"/>
  <c r="T552" i="82"/>
  <c r="U552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B554" i="82"/>
  <c r="C554" i="82"/>
  <c r="D554" i="82"/>
  <c r="E554" i="82"/>
  <c r="W554" i="82" s="1"/>
  <c r="V7" i="213" s="1"/>
  <c r="F554" i="82"/>
  <c r="G554" i="82"/>
  <c r="H554" i="82"/>
  <c r="I554" i="82"/>
  <c r="J554" i="82"/>
  <c r="K554" i="82"/>
  <c r="L554" i="82"/>
  <c r="M554" i="82"/>
  <c r="N554" i="82"/>
  <c r="O554" i="82"/>
  <c r="P554" i="82"/>
  <c r="Q554" i="82"/>
  <c r="R554" i="82"/>
  <c r="S554" i="82"/>
  <c r="T554" i="82"/>
  <c r="U554" i="82"/>
  <c r="B555" i="82"/>
  <c r="C555" i="82"/>
  <c r="D555" i="82"/>
  <c r="E555" i="82"/>
  <c r="W555" i="82" s="1"/>
  <c r="V6" i="68" s="1"/>
  <c r="F555" i="82"/>
  <c r="G555" i="82"/>
  <c r="H555" i="82"/>
  <c r="I555" i="82"/>
  <c r="J555" i="82"/>
  <c r="K555" i="82"/>
  <c r="L555" i="82"/>
  <c r="M555" i="82"/>
  <c r="N555" i="82"/>
  <c r="O555" i="82"/>
  <c r="P555" i="82"/>
  <c r="Q555" i="82"/>
  <c r="R555" i="82"/>
  <c r="S555" i="82"/>
  <c r="T555" i="82"/>
  <c r="U555" i="82"/>
  <c r="B556" i="82"/>
  <c r="C556" i="82"/>
  <c r="D556" i="82"/>
  <c r="E556" i="82"/>
  <c r="W556" i="82" s="1"/>
  <c r="V6" i="170" s="1"/>
  <c r="F556" i="82"/>
  <c r="G556" i="82"/>
  <c r="H556" i="82"/>
  <c r="I556" i="82"/>
  <c r="J556" i="82"/>
  <c r="K556" i="82"/>
  <c r="L556" i="82"/>
  <c r="M556" i="82"/>
  <c r="N556" i="82"/>
  <c r="O556" i="82"/>
  <c r="P556" i="82"/>
  <c r="Q556" i="82"/>
  <c r="R556" i="82"/>
  <c r="S556" i="82"/>
  <c r="T556" i="82"/>
  <c r="U556" i="82"/>
  <c r="B557" i="82"/>
  <c r="C557" i="82"/>
  <c r="D557" i="82"/>
  <c r="E557" i="82"/>
  <c r="W557" i="82" s="1"/>
  <c r="V4" i="171" s="1"/>
  <c r="F557" i="82"/>
  <c r="G557" i="82"/>
  <c r="H557" i="82"/>
  <c r="I557" i="82"/>
  <c r="J557" i="82"/>
  <c r="K557" i="82"/>
  <c r="L557" i="82"/>
  <c r="M557" i="82"/>
  <c r="N557" i="82"/>
  <c r="O557" i="82"/>
  <c r="P557" i="82"/>
  <c r="Q557" i="82"/>
  <c r="R557" i="82"/>
  <c r="S557" i="82"/>
  <c r="T557" i="82"/>
  <c r="U557" i="82"/>
  <c r="B558" i="82"/>
  <c r="C558" i="82"/>
  <c r="D558" i="82"/>
  <c r="E558" i="82"/>
  <c r="W558" i="82" s="1"/>
  <c r="V6" i="56" s="1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B559" i="82"/>
  <c r="C559" i="82"/>
  <c r="D559" i="82"/>
  <c r="E559" i="82"/>
  <c r="W559" i="82" s="1"/>
  <c r="V5" i="319" s="1"/>
  <c r="F559" i="82"/>
  <c r="G559" i="82"/>
  <c r="H559" i="82"/>
  <c r="I559" i="82"/>
  <c r="J559" i="82"/>
  <c r="K559" i="82"/>
  <c r="L559" i="82"/>
  <c r="M559" i="82"/>
  <c r="N559" i="82"/>
  <c r="O559" i="82"/>
  <c r="P559" i="82"/>
  <c r="Q559" i="82"/>
  <c r="R559" i="82"/>
  <c r="S559" i="82"/>
  <c r="T559" i="82"/>
  <c r="U559" i="82"/>
  <c r="B560" i="82"/>
  <c r="C560" i="82"/>
  <c r="D560" i="82"/>
  <c r="E560" i="82"/>
  <c r="W560" i="82" s="1"/>
  <c r="V4" i="273" s="1"/>
  <c r="F560" i="82"/>
  <c r="G560" i="82"/>
  <c r="H560" i="82"/>
  <c r="I560" i="82"/>
  <c r="J560" i="82"/>
  <c r="K560" i="82"/>
  <c r="L560" i="82"/>
  <c r="M560" i="82"/>
  <c r="N560" i="82"/>
  <c r="O560" i="82"/>
  <c r="P560" i="82"/>
  <c r="Q560" i="82"/>
  <c r="R560" i="82"/>
  <c r="S560" i="82"/>
  <c r="T560" i="82"/>
  <c r="U560" i="82"/>
  <c r="B561" i="82"/>
  <c r="C561" i="82"/>
  <c r="D561" i="82"/>
  <c r="E561" i="82"/>
  <c r="F561" i="82"/>
  <c r="G561" i="82"/>
  <c r="H561" i="82"/>
  <c r="I561" i="82"/>
  <c r="J561" i="82"/>
  <c r="K561" i="82"/>
  <c r="L561" i="82"/>
  <c r="M561" i="82"/>
  <c r="N561" i="82"/>
  <c r="O561" i="82"/>
  <c r="P561" i="82"/>
  <c r="Q561" i="82"/>
  <c r="R561" i="82"/>
  <c r="S561" i="82"/>
  <c r="T561" i="82"/>
  <c r="U561" i="82"/>
  <c r="B562" i="82"/>
  <c r="C562" i="82"/>
  <c r="D562" i="82"/>
  <c r="E562" i="82"/>
  <c r="W562" i="82" s="1"/>
  <c r="V5" i="167" s="1"/>
  <c r="F562" i="82"/>
  <c r="G562" i="82"/>
  <c r="H562" i="82"/>
  <c r="I562" i="82"/>
  <c r="J562" i="82"/>
  <c r="K562" i="82"/>
  <c r="L562" i="82"/>
  <c r="M562" i="82"/>
  <c r="N562" i="82"/>
  <c r="O562" i="82"/>
  <c r="P562" i="82"/>
  <c r="Q562" i="82"/>
  <c r="R562" i="82"/>
  <c r="S562" i="82"/>
  <c r="T562" i="82"/>
  <c r="U562" i="82"/>
  <c r="B563" i="82"/>
  <c r="C563" i="82"/>
  <c r="D563" i="82"/>
  <c r="E563" i="82"/>
  <c r="W563" i="82" s="1"/>
  <c r="V4" i="35" s="1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B564" i="82"/>
  <c r="C564" i="82"/>
  <c r="D564" i="82"/>
  <c r="E564" i="82"/>
  <c r="W564" i="82" s="1"/>
  <c r="V5" i="194" s="1"/>
  <c r="F564" i="82"/>
  <c r="G564" i="82"/>
  <c r="H564" i="82"/>
  <c r="I564" i="82"/>
  <c r="J564" i="82"/>
  <c r="K564" i="82"/>
  <c r="L564" i="82"/>
  <c r="M564" i="82"/>
  <c r="N564" i="82"/>
  <c r="O564" i="82"/>
  <c r="P564" i="82"/>
  <c r="Q564" i="82"/>
  <c r="R564" i="82"/>
  <c r="S564" i="82"/>
  <c r="T564" i="82"/>
  <c r="U564" i="82"/>
  <c r="B565" i="82"/>
  <c r="C565" i="82"/>
  <c r="D565" i="82"/>
  <c r="E565" i="82"/>
  <c r="W565" i="82" s="1"/>
  <c r="V5" i="160" s="1"/>
  <c r="F565" i="82"/>
  <c r="G565" i="82"/>
  <c r="H565" i="82"/>
  <c r="I565" i="82"/>
  <c r="J565" i="82"/>
  <c r="K565" i="82"/>
  <c r="L565" i="82"/>
  <c r="M565" i="82"/>
  <c r="N565" i="82"/>
  <c r="O565" i="82"/>
  <c r="P565" i="82"/>
  <c r="Q565" i="82"/>
  <c r="R565" i="82"/>
  <c r="S565" i="82"/>
  <c r="T565" i="82"/>
  <c r="U565" i="82"/>
  <c r="B566" i="82"/>
  <c r="C566" i="82"/>
  <c r="D566" i="82"/>
  <c r="E566" i="82"/>
  <c r="W566" i="82" s="1"/>
  <c r="V5" i="185" s="1"/>
  <c r="F566" i="82"/>
  <c r="G566" i="82"/>
  <c r="H566" i="82"/>
  <c r="I566" i="82"/>
  <c r="J566" i="82"/>
  <c r="K566" i="82"/>
  <c r="L566" i="82"/>
  <c r="M566" i="82"/>
  <c r="N566" i="82"/>
  <c r="O566" i="82"/>
  <c r="P566" i="82"/>
  <c r="Q566" i="82"/>
  <c r="R566" i="82"/>
  <c r="S566" i="82"/>
  <c r="T566" i="82"/>
  <c r="U566" i="82"/>
  <c r="B567" i="82"/>
  <c r="C567" i="82"/>
  <c r="D567" i="82"/>
  <c r="E567" i="82"/>
  <c r="W567" i="82" s="1"/>
  <c r="V4" i="243" s="1"/>
  <c r="F567" i="82"/>
  <c r="G567" i="82"/>
  <c r="H567" i="82"/>
  <c r="I567" i="82"/>
  <c r="J567" i="82"/>
  <c r="K567" i="82"/>
  <c r="L567" i="82"/>
  <c r="M567" i="82"/>
  <c r="N567" i="82"/>
  <c r="O567" i="82"/>
  <c r="P567" i="82"/>
  <c r="Q567" i="82"/>
  <c r="R567" i="82"/>
  <c r="S567" i="82"/>
  <c r="T567" i="82"/>
  <c r="U567" i="82"/>
  <c r="B568" i="82"/>
  <c r="C568" i="82"/>
  <c r="D568" i="82"/>
  <c r="E568" i="82"/>
  <c r="W568" i="82" s="1"/>
  <c r="V5" i="89" s="1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B569" i="82"/>
  <c r="C569" i="82"/>
  <c r="D569" i="82"/>
  <c r="E569" i="82"/>
  <c r="W569" i="82" s="1"/>
  <c r="V4" i="27" s="1"/>
  <c r="F569" i="82"/>
  <c r="G569" i="82"/>
  <c r="H569" i="82"/>
  <c r="I569" i="82"/>
  <c r="J569" i="82"/>
  <c r="K569" i="82"/>
  <c r="L569" i="82"/>
  <c r="M569" i="82"/>
  <c r="N569" i="82"/>
  <c r="O569" i="82"/>
  <c r="P569" i="82"/>
  <c r="Q569" i="82"/>
  <c r="R569" i="82"/>
  <c r="S569" i="82"/>
  <c r="T569" i="82"/>
  <c r="U569" i="82"/>
  <c r="B570" i="82"/>
  <c r="C570" i="82"/>
  <c r="D570" i="82"/>
  <c r="E570" i="82"/>
  <c r="W570" i="82" s="1"/>
  <c r="V4" i="196" s="1"/>
  <c r="F570" i="82"/>
  <c r="G570" i="82"/>
  <c r="H570" i="82"/>
  <c r="I570" i="82"/>
  <c r="J570" i="82"/>
  <c r="K570" i="82"/>
  <c r="L570" i="82"/>
  <c r="M570" i="82"/>
  <c r="N570" i="82"/>
  <c r="O570" i="82"/>
  <c r="P570" i="82"/>
  <c r="Q570" i="82"/>
  <c r="R570" i="82"/>
  <c r="S570" i="82"/>
  <c r="T570" i="82"/>
  <c r="U570" i="82"/>
  <c r="B571" i="82"/>
  <c r="C571" i="82"/>
  <c r="D571" i="82"/>
  <c r="E571" i="82"/>
  <c r="W571" i="82" s="1"/>
  <c r="V4" i="168" s="1"/>
  <c r="F571" i="82"/>
  <c r="G571" i="82"/>
  <c r="H571" i="82"/>
  <c r="I571" i="82"/>
  <c r="J571" i="82"/>
  <c r="K571" i="82"/>
  <c r="L571" i="82"/>
  <c r="M571" i="82"/>
  <c r="N571" i="82"/>
  <c r="O571" i="82"/>
  <c r="P571" i="82"/>
  <c r="Q571" i="82"/>
  <c r="R571" i="82"/>
  <c r="S571" i="82"/>
  <c r="T571" i="82"/>
  <c r="U571" i="82"/>
  <c r="B572" i="82"/>
  <c r="C572" i="82"/>
  <c r="D572" i="82"/>
  <c r="E572" i="82"/>
  <c r="W572" i="82" s="1"/>
  <c r="V5" i="189" s="1"/>
  <c r="F572" i="82"/>
  <c r="G572" i="82"/>
  <c r="H572" i="82"/>
  <c r="I572" i="82"/>
  <c r="J572" i="82"/>
  <c r="K572" i="82"/>
  <c r="L572" i="82"/>
  <c r="M572" i="82"/>
  <c r="N572" i="82"/>
  <c r="O572" i="82"/>
  <c r="P572" i="82"/>
  <c r="Q572" i="82"/>
  <c r="R572" i="82"/>
  <c r="S572" i="82"/>
  <c r="T572" i="82"/>
  <c r="U572" i="82"/>
  <c r="B573" i="82"/>
  <c r="C573" i="82"/>
  <c r="D573" i="82"/>
  <c r="E573" i="82"/>
  <c r="W573" i="82" s="1"/>
  <c r="V4" i="249" s="1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B574" i="82"/>
  <c r="C574" i="82"/>
  <c r="D574" i="82"/>
  <c r="E574" i="82"/>
  <c r="W574" i="82" s="1"/>
  <c r="V4" i="254" s="1"/>
  <c r="F574" i="82"/>
  <c r="G574" i="82"/>
  <c r="H574" i="82"/>
  <c r="I574" i="82"/>
  <c r="J574" i="82"/>
  <c r="K574" i="82"/>
  <c r="L574" i="82"/>
  <c r="M574" i="82"/>
  <c r="N574" i="82"/>
  <c r="O574" i="82"/>
  <c r="P574" i="82"/>
  <c r="Q574" i="82"/>
  <c r="R574" i="82"/>
  <c r="S574" i="82"/>
  <c r="T574" i="82"/>
  <c r="U574" i="82"/>
  <c r="B575" i="82"/>
  <c r="C575" i="82"/>
  <c r="D575" i="82"/>
  <c r="E575" i="82"/>
  <c r="W575" i="82" s="1"/>
  <c r="V5" i="178" s="1"/>
  <c r="F575" i="82"/>
  <c r="G575" i="82"/>
  <c r="H575" i="82"/>
  <c r="I575" i="82"/>
  <c r="J575" i="82"/>
  <c r="K575" i="82"/>
  <c r="L575" i="82"/>
  <c r="M575" i="82"/>
  <c r="N575" i="82"/>
  <c r="O575" i="82"/>
  <c r="P575" i="82"/>
  <c r="Q575" i="82"/>
  <c r="R575" i="82"/>
  <c r="S575" i="82"/>
  <c r="T575" i="82"/>
  <c r="U575" i="82"/>
  <c r="B576" i="82"/>
  <c r="C576" i="82"/>
  <c r="D576" i="82"/>
  <c r="E576" i="82"/>
  <c r="W576" i="82" s="1"/>
  <c r="V5" i="238" s="1"/>
  <c r="F576" i="82"/>
  <c r="G576" i="82"/>
  <c r="H576" i="82"/>
  <c r="I576" i="82"/>
  <c r="J576" i="82"/>
  <c r="K576" i="82"/>
  <c r="L576" i="82"/>
  <c r="M576" i="82"/>
  <c r="N576" i="82"/>
  <c r="O576" i="82"/>
  <c r="P576" i="82"/>
  <c r="Q576" i="82"/>
  <c r="R576" i="82"/>
  <c r="S576" i="82"/>
  <c r="T576" i="82"/>
  <c r="U576" i="82"/>
  <c r="B577" i="82"/>
  <c r="C577" i="82"/>
  <c r="D577" i="82"/>
  <c r="E577" i="82"/>
  <c r="W577" i="82" s="1"/>
  <c r="V4" i="239" s="1"/>
  <c r="F577" i="82"/>
  <c r="G577" i="82"/>
  <c r="H577" i="82"/>
  <c r="I577" i="82"/>
  <c r="J577" i="82"/>
  <c r="K577" i="82"/>
  <c r="L577" i="82"/>
  <c r="M577" i="82"/>
  <c r="N577" i="82"/>
  <c r="O577" i="82"/>
  <c r="P577" i="82"/>
  <c r="Q577" i="82"/>
  <c r="R577" i="82"/>
  <c r="S577" i="82"/>
  <c r="T577" i="82"/>
  <c r="U577" i="82"/>
  <c r="B578" i="82"/>
  <c r="C578" i="82"/>
  <c r="D578" i="82"/>
  <c r="E578" i="82"/>
  <c r="W578" i="82" s="1"/>
  <c r="V6" i="258" s="1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B579" i="82"/>
  <c r="C579" i="82"/>
  <c r="D579" i="82"/>
  <c r="E579" i="82"/>
  <c r="W579" i="82" s="1"/>
  <c r="V5" i="214" s="1"/>
  <c r="F579" i="82"/>
  <c r="G579" i="82"/>
  <c r="H579" i="82"/>
  <c r="I579" i="82"/>
  <c r="J579" i="82"/>
  <c r="K579" i="82"/>
  <c r="L579" i="82"/>
  <c r="M579" i="82"/>
  <c r="N579" i="82"/>
  <c r="O579" i="82"/>
  <c r="P579" i="82"/>
  <c r="Q579" i="82"/>
  <c r="R579" i="82"/>
  <c r="S579" i="82"/>
  <c r="T579" i="82"/>
  <c r="U579" i="82"/>
  <c r="B580" i="82"/>
  <c r="C580" i="82"/>
  <c r="D580" i="82"/>
  <c r="E580" i="82"/>
  <c r="W580" i="82" s="1"/>
  <c r="V4" i="28" s="1"/>
  <c r="F580" i="82"/>
  <c r="G580" i="82"/>
  <c r="H580" i="82"/>
  <c r="I580" i="82"/>
  <c r="J580" i="82"/>
  <c r="K580" i="82"/>
  <c r="L580" i="82"/>
  <c r="M580" i="82"/>
  <c r="N580" i="82"/>
  <c r="O580" i="82"/>
  <c r="P580" i="82"/>
  <c r="Q580" i="82"/>
  <c r="R580" i="82"/>
  <c r="S580" i="82"/>
  <c r="T580" i="82"/>
  <c r="U580" i="82"/>
  <c r="B581" i="82"/>
  <c r="C581" i="82"/>
  <c r="D581" i="82"/>
  <c r="E581" i="82"/>
  <c r="W581" i="82" s="1"/>
  <c r="V5" i="246" s="1"/>
  <c r="F581" i="82"/>
  <c r="G581" i="82"/>
  <c r="H581" i="82"/>
  <c r="I581" i="82"/>
  <c r="J581" i="82"/>
  <c r="K581" i="82"/>
  <c r="L581" i="82"/>
  <c r="M581" i="82"/>
  <c r="N581" i="82"/>
  <c r="O581" i="82"/>
  <c r="P581" i="82"/>
  <c r="Q581" i="82"/>
  <c r="R581" i="82"/>
  <c r="S581" i="82"/>
  <c r="T581" i="82"/>
  <c r="U581" i="82"/>
  <c r="B582" i="82"/>
  <c r="C582" i="82"/>
  <c r="D582" i="82"/>
  <c r="E582" i="82"/>
  <c r="F582" i="82"/>
  <c r="G582" i="82"/>
  <c r="H582" i="82"/>
  <c r="I582" i="82"/>
  <c r="J582" i="82"/>
  <c r="K582" i="82"/>
  <c r="L582" i="82"/>
  <c r="M582" i="82"/>
  <c r="N582" i="82"/>
  <c r="O582" i="82"/>
  <c r="P582" i="82"/>
  <c r="Q582" i="82"/>
  <c r="R582" i="82"/>
  <c r="S582" i="82"/>
  <c r="T582" i="82"/>
  <c r="U582" i="82"/>
  <c r="B583" i="82"/>
  <c r="C583" i="82"/>
  <c r="D583" i="82"/>
  <c r="E583" i="82"/>
  <c r="W583" i="82" s="1"/>
  <c r="V3" i="307" s="1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B584" i="82"/>
  <c r="C584" i="82"/>
  <c r="D584" i="82"/>
  <c r="E584" i="82"/>
  <c r="W584" i="82" s="1"/>
  <c r="V6" i="59" s="1"/>
  <c r="F584" i="82"/>
  <c r="G584" i="82"/>
  <c r="H584" i="82"/>
  <c r="I584" i="82"/>
  <c r="J584" i="82"/>
  <c r="K584" i="82"/>
  <c r="L584" i="82"/>
  <c r="M584" i="82"/>
  <c r="N584" i="82"/>
  <c r="O584" i="82"/>
  <c r="P584" i="82"/>
  <c r="Q584" i="82"/>
  <c r="R584" i="82"/>
  <c r="S584" i="82"/>
  <c r="T584" i="82"/>
  <c r="U584" i="82"/>
  <c r="B585" i="82"/>
  <c r="C585" i="82"/>
  <c r="D585" i="82"/>
  <c r="E585" i="82"/>
  <c r="W585" i="82" s="1"/>
  <c r="V6" i="178" s="1"/>
  <c r="F585" i="82"/>
  <c r="G585" i="82"/>
  <c r="H585" i="82"/>
  <c r="I585" i="82"/>
  <c r="J585" i="82"/>
  <c r="K585" i="82"/>
  <c r="L585" i="82"/>
  <c r="M585" i="82"/>
  <c r="N585" i="82"/>
  <c r="O585" i="82"/>
  <c r="P585" i="82"/>
  <c r="Q585" i="82"/>
  <c r="R585" i="82"/>
  <c r="S585" i="82"/>
  <c r="T585" i="82"/>
  <c r="U585" i="82"/>
  <c r="B586" i="82"/>
  <c r="C586" i="82"/>
  <c r="D586" i="82"/>
  <c r="E586" i="82"/>
  <c r="W586" i="82" s="1"/>
  <c r="V3" i="33" s="1"/>
  <c r="F586" i="82"/>
  <c r="G586" i="82"/>
  <c r="H586" i="82"/>
  <c r="I586" i="82"/>
  <c r="J586" i="82"/>
  <c r="K586" i="82"/>
  <c r="L586" i="82"/>
  <c r="M586" i="82"/>
  <c r="N586" i="82"/>
  <c r="O586" i="82"/>
  <c r="P586" i="82"/>
  <c r="Q586" i="82"/>
  <c r="R586" i="82"/>
  <c r="S586" i="82"/>
  <c r="T586" i="82"/>
  <c r="U586" i="82"/>
  <c r="B587" i="82"/>
  <c r="C587" i="82"/>
  <c r="D587" i="82"/>
  <c r="E587" i="82"/>
  <c r="W587" i="82" s="1"/>
  <c r="V6" i="111" s="1"/>
  <c r="F587" i="82"/>
  <c r="G587" i="82"/>
  <c r="H587" i="82"/>
  <c r="I587" i="82"/>
  <c r="J587" i="82"/>
  <c r="K587" i="82"/>
  <c r="L587" i="82"/>
  <c r="M587" i="82"/>
  <c r="N587" i="82"/>
  <c r="O587" i="82"/>
  <c r="P587" i="82"/>
  <c r="Q587" i="82"/>
  <c r="R587" i="82"/>
  <c r="S587" i="82"/>
  <c r="T587" i="82"/>
  <c r="U587" i="82"/>
  <c r="B588" i="82"/>
  <c r="C588" i="82"/>
  <c r="D588" i="82"/>
  <c r="E588" i="82"/>
  <c r="W588" i="82" s="1"/>
  <c r="V4" i="307" s="1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B589" i="82"/>
  <c r="C589" i="82"/>
  <c r="D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C590" i="82"/>
  <c r="D590" i="82"/>
  <c r="E590" i="82"/>
  <c r="W590" i="82" s="1"/>
  <c r="V6" i="189" s="1"/>
  <c r="F590" i="82"/>
  <c r="G590" i="82"/>
  <c r="H590" i="82"/>
  <c r="I590" i="82"/>
  <c r="J590" i="82"/>
  <c r="K590" i="82"/>
  <c r="L590" i="82"/>
  <c r="M590" i="82"/>
  <c r="N590" i="82"/>
  <c r="O590" i="82"/>
  <c r="P590" i="82"/>
  <c r="Q590" i="82"/>
  <c r="R590" i="82"/>
  <c r="S590" i="82"/>
  <c r="T590" i="82"/>
  <c r="U590" i="82"/>
  <c r="B591" i="82"/>
  <c r="C591" i="82"/>
  <c r="D591" i="82"/>
  <c r="E591" i="82"/>
  <c r="W591" i="82" s="1"/>
  <c r="V5" i="314" s="1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C592" i="82"/>
  <c r="D592" i="82"/>
  <c r="E592" i="82"/>
  <c r="W592" i="82" s="1"/>
  <c r="V5" i="174" s="1"/>
  <c r="F592" i="82"/>
  <c r="G592" i="82"/>
  <c r="H592" i="82"/>
  <c r="I592" i="82"/>
  <c r="J592" i="82"/>
  <c r="K592" i="82"/>
  <c r="L592" i="82"/>
  <c r="M592" i="82"/>
  <c r="N592" i="82"/>
  <c r="O592" i="82"/>
  <c r="P592" i="82"/>
  <c r="Q592" i="82"/>
  <c r="R592" i="82"/>
  <c r="S592" i="82"/>
  <c r="T592" i="82"/>
  <c r="U592" i="82"/>
  <c r="B593" i="82"/>
  <c r="C593" i="82"/>
  <c r="D593" i="82"/>
  <c r="E593" i="82"/>
  <c r="W593" i="82" s="1"/>
  <c r="V5" i="157" s="1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B594" i="82"/>
  <c r="C594" i="82"/>
  <c r="D594" i="82"/>
  <c r="E594" i="82"/>
  <c r="W594" i="82" s="1"/>
  <c r="V6" i="159" s="1"/>
  <c r="F594" i="82"/>
  <c r="G594" i="82"/>
  <c r="H594" i="82"/>
  <c r="I594" i="82"/>
  <c r="J594" i="82"/>
  <c r="K594" i="82"/>
  <c r="L594" i="82"/>
  <c r="M594" i="82"/>
  <c r="N594" i="82"/>
  <c r="O594" i="82"/>
  <c r="P594" i="82"/>
  <c r="Q594" i="82"/>
  <c r="R594" i="82"/>
  <c r="S594" i="82"/>
  <c r="T594" i="82"/>
  <c r="U594" i="82"/>
  <c r="B595" i="82"/>
  <c r="C595" i="82"/>
  <c r="D595" i="82"/>
  <c r="E595" i="82"/>
  <c r="W595" i="82" s="1"/>
  <c r="V5" i="248" s="1"/>
  <c r="F595" i="82"/>
  <c r="G595" i="82"/>
  <c r="H595" i="82"/>
  <c r="I595" i="82"/>
  <c r="J595" i="82"/>
  <c r="K595" i="82"/>
  <c r="L595" i="82"/>
  <c r="M595" i="82"/>
  <c r="N595" i="82"/>
  <c r="O595" i="82"/>
  <c r="P595" i="82"/>
  <c r="Q595" i="82"/>
  <c r="R595" i="82"/>
  <c r="S595" i="82"/>
  <c r="T595" i="82"/>
  <c r="U595" i="82"/>
  <c r="B596" i="82"/>
  <c r="C596" i="82"/>
  <c r="D596" i="82"/>
  <c r="E596" i="82"/>
  <c r="W596" i="82" s="1"/>
  <c r="V5" i="27" s="1"/>
  <c r="F596" i="82"/>
  <c r="G596" i="82"/>
  <c r="H596" i="82"/>
  <c r="I596" i="82"/>
  <c r="J596" i="82"/>
  <c r="K596" i="82"/>
  <c r="L596" i="82"/>
  <c r="M596" i="82"/>
  <c r="N596" i="82"/>
  <c r="O596" i="82"/>
  <c r="P596" i="82"/>
  <c r="Q596" i="82"/>
  <c r="R596" i="82"/>
  <c r="S596" i="82"/>
  <c r="T596" i="82"/>
  <c r="U596" i="82"/>
  <c r="B597" i="82"/>
  <c r="C597" i="82"/>
  <c r="D597" i="82"/>
  <c r="E597" i="82"/>
  <c r="W597" i="82" s="1"/>
  <c r="V6" i="102" s="1"/>
  <c r="F597" i="82"/>
  <c r="G597" i="82"/>
  <c r="H597" i="82"/>
  <c r="I597" i="82"/>
  <c r="J597" i="82"/>
  <c r="K597" i="82"/>
  <c r="L597" i="82"/>
  <c r="M597" i="82"/>
  <c r="N597" i="82"/>
  <c r="O597" i="82"/>
  <c r="P597" i="82"/>
  <c r="Q597" i="82"/>
  <c r="R597" i="82"/>
  <c r="S597" i="82"/>
  <c r="T597" i="82"/>
  <c r="U597" i="82"/>
  <c r="B598" i="82"/>
  <c r="C598" i="82"/>
  <c r="D598" i="82"/>
  <c r="E598" i="82"/>
  <c r="W598" i="82" s="1"/>
  <c r="V6" i="139" s="1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B599" i="82"/>
  <c r="C599" i="82"/>
  <c r="D599" i="82"/>
  <c r="E599" i="82"/>
  <c r="W599" i="82" s="1"/>
  <c r="V6" i="65" s="1"/>
  <c r="F599" i="82"/>
  <c r="G599" i="82"/>
  <c r="H599" i="82"/>
  <c r="I599" i="82"/>
  <c r="J599" i="82"/>
  <c r="K599" i="82"/>
  <c r="L599" i="82"/>
  <c r="M599" i="82"/>
  <c r="N599" i="82"/>
  <c r="O599" i="82"/>
  <c r="P599" i="82"/>
  <c r="Q599" i="82"/>
  <c r="R599" i="82"/>
  <c r="S599" i="82"/>
  <c r="T599" i="82"/>
  <c r="U599" i="82"/>
  <c r="B600" i="82"/>
  <c r="C600" i="82"/>
  <c r="D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C601" i="82"/>
  <c r="D601" i="82"/>
  <c r="E601" i="82"/>
  <c r="W601" i="82" s="1"/>
  <c r="V4" i="162" s="1"/>
  <c r="F601" i="82"/>
  <c r="G601" i="82"/>
  <c r="H601" i="82"/>
  <c r="I601" i="82"/>
  <c r="J601" i="82"/>
  <c r="K601" i="82"/>
  <c r="L601" i="82"/>
  <c r="M601" i="82"/>
  <c r="N601" i="82"/>
  <c r="O601" i="82"/>
  <c r="P601" i="82"/>
  <c r="Q601" i="82"/>
  <c r="R601" i="82"/>
  <c r="S601" i="82"/>
  <c r="T601" i="82"/>
  <c r="U601" i="82"/>
  <c r="B602" i="82"/>
  <c r="C602" i="82"/>
  <c r="D602" i="82"/>
  <c r="E602" i="82"/>
  <c r="W602" i="82" s="1"/>
  <c r="V5" i="153" s="1"/>
  <c r="F602" i="82"/>
  <c r="G602" i="82"/>
  <c r="H602" i="82"/>
  <c r="I602" i="82"/>
  <c r="J602" i="82"/>
  <c r="K602" i="82"/>
  <c r="L602" i="82"/>
  <c r="M602" i="82"/>
  <c r="N602" i="82"/>
  <c r="O602" i="82"/>
  <c r="P602" i="82"/>
  <c r="Q602" i="82"/>
  <c r="R602" i="82"/>
  <c r="S602" i="82"/>
  <c r="T602" i="82"/>
  <c r="U602" i="82"/>
  <c r="B603" i="82"/>
  <c r="C603" i="82"/>
  <c r="D603" i="82"/>
  <c r="E603" i="82"/>
  <c r="W603" i="82" s="1"/>
  <c r="V5" i="175" s="1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B604" i="82"/>
  <c r="C604" i="82"/>
  <c r="D604" i="82"/>
  <c r="E604" i="82"/>
  <c r="W604" i="82" s="1"/>
  <c r="V5" i="173" s="1"/>
  <c r="F604" i="82"/>
  <c r="G604" i="82"/>
  <c r="H604" i="82"/>
  <c r="I604" i="82"/>
  <c r="J604" i="82"/>
  <c r="K604" i="82"/>
  <c r="L604" i="82"/>
  <c r="M604" i="82"/>
  <c r="N604" i="82"/>
  <c r="O604" i="82"/>
  <c r="P604" i="82"/>
  <c r="Q604" i="82"/>
  <c r="R604" i="82"/>
  <c r="S604" i="82"/>
  <c r="T604" i="82"/>
  <c r="U604" i="82"/>
  <c r="B605" i="82"/>
  <c r="C605" i="82"/>
  <c r="D605" i="82"/>
  <c r="E605" i="82"/>
  <c r="W605" i="82" s="1"/>
  <c r="V5" i="232" s="1"/>
  <c r="F605" i="82"/>
  <c r="G605" i="82"/>
  <c r="H605" i="82"/>
  <c r="I605" i="82"/>
  <c r="J605" i="82"/>
  <c r="K605" i="82"/>
  <c r="L605" i="82"/>
  <c r="M605" i="82"/>
  <c r="N605" i="82"/>
  <c r="O605" i="82"/>
  <c r="P605" i="82"/>
  <c r="Q605" i="82"/>
  <c r="R605" i="82"/>
  <c r="S605" i="82"/>
  <c r="T605" i="82"/>
  <c r="U605" i="82"/>
  <c r="B606" i="82"/>
  <c r="C606" i="82"/>
  <c r="D606" i="82"/>
  <c r="E606" i="82"/>
  <c r="W606" i="82" s="1"/>
  <c r="V4" i="318" s="1"/>
  <c r="F606" i="82"/>
  <c r="G606" i="82"/>
  <c r="H606" i="82"/>
  <c r="I606" i="82"/>
  <c r="J606" i="82"/>
  <c r="K606" i="82"/>
  <c r="L606" i="82"/>
  <c r="M606" i="82"/>
  <c r="N606" i="82"/>
  <c r="O606" i="82"/>
  <c r="P606" i="82"/>
  <c r="Q606" i="82"/>
  <c r="R606" i="82"/>
  <c r="S606" i="82"/>
  <c r="T606" i="82"/>
  <c r="U606" i="82"/>
  <c r="B607" i="82"/>
  <c r="C607" i="82"/>
  <c r="D607" i="82"/>
  <c r="E607" i="82"/>
  <c r="W607" i="82" s="1"/>
  <c r="V5" i="104" s="1"/>
  <c r="F607" i="82"/>
  <c r="G607" i="82"/>
  <c r="H607" i="82"/>
  <c r="I607" i="82"/>
  <c r="J607" i="82"/>
  <c r="K607" i="82"/>
  <c r="L607" i="82"/>
  <c r="M607" i="82"/>
  <c r="N607" i="82"/>
  <c r="O607" i="82"/>
  <c r="P607" i="82"/>
  <c r="Q607" i="82"/>
  <c r="R607" i="82"/>
  <c r="S607" i="82"/>
  <c r="T607" i="82"/>
  <c r="U607" i="82"/>
  <c r="B608" i="82"/>
  <c r="C608" i="82"/>
  <c r="D608" i="82"/>
  <c r="E608" i="82"/>
  <c r="W608" i="82" s="1"/>
  <c r="V5" i="76" s="1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B609" i="82"/>
  <c r="C609" i="82"/>
  <c r="D609" i="82"/>
  <c r="E609" i="82"/>
  <c r="W609" i="82" s="1"/>
  <c r="V6" i="226" s="1"/>
  <c r="F609" i="82"/>
  <c r="G609" i="82"/>
  <c r="H609" i="82"/>
  <c r="I609" i="82"/>
  <c r="J609" i="82"/>
  <c r="K609" i="82"/>
  <c r="L609" i="82"/>
  <c r="M609" i="82"/>
  <c r="N609" i="82"/>
  <c r="O609" i="82"/>
  <c r="P609" i="82"/>
  <c r="Q609" i="82"/>
  <c r="R609" i="82"/>
  <c r="S609" i="82"/>
  <c r="T609" i="82"/>
  <c r="U609" i="82"/>
  <c r="B610" i="82"/>
  <c r="C610" i="82"/>
  <c r="D610" i="82"/>
  <c r="E610" i="82"/>
  <c r="W610" i="82" s="1"/>
  <c r="V5" i="240" s="1"/>
  <c r="F610" i="82"/>
  <c r="G610" i="82"/>
  <c r="H610" i="82"/>
  <c r="I610" i="82"/>
  <c r="J610" i="82"/>
  <c r="K610" i="82"/>
  <c r="L610" i="82"/>
  <c r="M610" i="82"/>
  <c r="N610" i="82"/>
  <c r="O610" i="82"/>
  <c r="P610" i="82"/>
  <c r="Q610" i="82"/>
  <c r="R610" i="82"/>
  <c r="S610" i="82"/>
  <c r="T610" i="82"/>
  <c r="U610" i="82"/>
  <c r="B611" i="82"/>
  <c r="C611" i="82"/>
  <c r="D611" i="82"/>
  <c r="E611" i="82"/>
  <c r="W611" i="82" s="1"/>
  <c r="V6" i="246" s="1"/>
  <c r="F611" i="82"/>
  <c r="G611" i="82"/>
  <c r="H611" i="82"/>
  <c r="I611" i="82"/>
  <c r="J611" i="82"/>
  <c r="K611" i="82"/>
  <c r="L611" i="82"/>
  <c r="M611" i="82"/>
  <c r="N611" i="82"/>
  <c r="O611" i="82"/>
  <c r="P611" i="82"/>
  <c r="Q611" i="82"/>
  <c r="R611" i="82"/>
  <c r="S611" i="82"/>
  <c r="T611" i="82"/>
  <c r="U611" i="82"/>
  <c r="B612" i="82"/>
  <c r="C612" i="82"/>
  <c r="D612" i="82"/>
  <c r="E612" i="82"/>
  <c r="W612" i="82" s="1"/>
  <c r="V5" i="95" s="1"/>
  <c r="F612" i="82"/>
  <c r="G612" i="82"/>
  <c r="H612" i="82"/>
  <c r="I612" i="82"/>
  <c r="J612" i="82"/>
  <c r="K612" i="82"/>
  <c r="L612" i="82"/>
  <c r="M612" i="82"/>
  <c r="N612" i="82"/>
  <c r="O612" i="82"/>
  <c r="P612" i="82"/>
  <c r="Q612" i="82"/>
  <c r="R612" i="82"/>
  <c r="S612" i="82"/>
  <c r="T612" i="82"/>
  <c r="U612" i="82"/>
  <c r="B613" i="82"/>
  <c r="C613" i="82"/>
  <c r="D613" i="82"/>
  <c r="E613" i="82"/>
  <c r="W613" i="82" s="1"/>
  <c r="V5" i="151" s="1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B614" i="82"/>
  <c r="C614" i="82"/>
  <c r="D614" i="82"/>
  <c r="E614" i="82"/>
  <c r="W614" i="82" s="1"/>
  <c r="V4" i="236" s="1"/>
  <c r="F614" i="82"/>
  <c r="G614" i="82"/>
  <c r="H614" i="82"/>
  <c r="I614" i="82"/>
  <c r="J614" i="82"/>
  <c r="K614" i="82"/>
  <c r="L614" i="82"/>
  <c r="M614" i="82"/>
  <c r="N614" i="82"/>
  <c r="O614" i="82"/>
  <c r="P614" i="82"/>
  <c r="Q614" i="82"/>
  <c r="R614" i="82"/>
  <c r="S614" i="82"/>
  <c r="T614" i="82"/>
  <c r="U614" i="82"/>
  <c r="B615" i="82"/>
  <c r="C615" i="82"/>
  <c r="D615" i="82"/>
  <c r="E615" i="82"/>
  <c r="W615" i="82" s="1"/>
  <c r="V5" i="150" s="1"/>
  <c r="F615" i="82"/>
  <c r="G615" i="82"/>
  <c r="H615" i="82"/>
  <c r="I615" i="82"/>
  <c r="J615" i="82"/>
  <c r="K615" i="82"/>
  <c r="L615" i="82"/>
  <c r="M615" i="82"/>
  <c r="N615" i="82"/>
  <c r="O615" i="82"/>
  <c r="P615" i="82"/>
  <c r="Q615" i="82"/>
  <c r="R615" i="82"/>
  <c r="S615" i="82"/>
  <c r="T615" i="82"/>
  <c r="U615" i="82"/>
  <c r="B616" i="82"/>
  <c r="C616" i="82"/>
  <c r="D616" i="82"/>
  <c r="E616" i="82"/>
  <c r="W616" i="82" s="1"/>
  <c r="V6" i="76" s="1"/>
  <c r="F616" i="82"/>
  <c r="G616" i="82"/>
  <c r="H616" i="82"/>
  <c r="I616" i="82"/>
  <c r="J616" i="82"/>
  <c r="K616" i="82"/>
  <c r="L616" i="82"/>
  <c r="M616" i="82"/>
  <c r="N616" i="82"/>
  <c r="O616" i="82"/>
  <c r="P616" i="82"/>
  <c r="Q616" i="82"/>
  <c r="R616" i="82"/>
  <c r="S616" i="82"/>
  <c r="T616" i="82"/>
  <c r="U616" i="82"/>
  <c r="B617" i="82"/>
  <c r="C617" i="82"/>
  <c r="D617" i="82"/>
  <c r="E617" i="82"/>
  <c r="W617" i="82" s="1"/>
  <c r="V3" i="99" s="1"/>
  <c r="F617" i="82"/>
  <c r="G617" i="82"/>
  <c r="H617" i="82"/>
  <c r="I617" i="82"/>
  <c r="J617" i="82"/>
  <c r="K617" i="82"/>
  <c r="L617" i="82"/>
  <c r="M617" i="82"/>
  <c r="N617" i="82"/>
  <c r="O617" i="82"/>
  <c r="P617" i="82"/>
  <c r="Q617" i="82"/>
  <c r="R617" i="82"/>
  <c r="S617" i="82"/>
  <c r="T617" i="82"/>
  <c r="U617" i="82"/>
  <c r="B618" i="82"/>
  <c r="C618" i="82"/>
  <c r="D618" i="82"/>
  <c r="E618" i="82"/>
  <c r="W618" i="82" s="1"/>
  <c r="V6" i="54" s="1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B619" i="82"/>
  <c r="C619" i="82"/>
  <c r="D619" i="82"/>
  <c r="E619" i="82"/>
  <c r="F619" i="82"/>
  <c r="G619" i="82"/>
  <c r="H619" i="82"/>
  <c r="I619" i="82"/>
  <c r="J619" i="82"/>
  <c r="K619" i="82"/>
  <c r="L619" i="82"/>
  <c r="M619" i="82"/>
  <c r="N619" i="82"/>
  <c r="O619" i="82"/>
  <c r="P619" i="82"/>
  <c r="Q619" i="82"/>
  <c r="R619" i="82"/>
  <c r="S619" i="82"/>
  <c r="T619" i="82"/>
  <c r="U619" i="82"/>
  <c r="B620" i="82"/>
  <c r="C620" i="82"/>
  <c r="D620" i="82"/>
  <c r="E620" i="82"/>
  <c r="W620" i="82" s="1"/>
  <c r="V6" i="140" s="1"/>
  <c r="F620" i="82"/>
  <c r="G620" i="82"/>
  <c r="H620" i="82"/>
  <c r="I620" i="82"/>
  <c r="J620" i="82"/>
  <c r="K620" i="82"/>
  <c r="L620" i="82"/>
  <c r="M620" i="82"/>
  <c r="N620" i="82"/>
  <c r="O620" i="82"/>
  <c r="P620" i="82"/>
  <c r="Q620" i="82"/>
  <c r="R620" i="82"/>
  <c r="S620" i="82"/>
  <c r="T620" i="82"/>
  <c r="U620" i="82"/>
  <c r="B621" i="82"/>
  <c r="C621" i="82"/>
  <c r="D621" i="82"/>
  <c r="E621" i="82"/>
  <c r="W621" i="82" s="1"/>
  <c r="V5" i="62" s="1"/>
  <c r="F621" i="82"/>
  <c r="G621" i="82"/>
  <c r="H621" i="82"/>
  <c r="I621" i="82"/>
  <c r="J621" i="82"/>
  <c r="K621" i="82"/>
  <c r="L621" i="82"/>
  <c r="M621" i="82"/>
  <c r="N621" i="82"/>
  <c r="O621" i="82"/>
  <c r="P621" i="82"/>
  <c r="Q621" i="82"/>
  <c r="R621" i="82"/>
  <c r="S621" i="82"/>
  <c r="T621" i="82"/>
  <c r="U621" i="82"/>
  <c r="B622" i="82"/>
  <c r="C622" i="82"/>
  <c r="D622" i="82"/>
  <c r="E622" i="82"/>
  <c r="W622" i="82" s="1"/>
  <c r="V5" i="253" s="1"/>
  <c r="F622" i="82"/>
  <c r="G622" i="82"/>
  <c r="H622" i="82"/>
  <c r="I622" i="82"/>
  <c r="J622" i="82"/>
  <c r="K622" i="82"/>
  <c r="L622" i="82"/>
  <c r="M622" i="82"/>
  <c r="N622" i="82"/>
  <c r="O622" i="82"/>
  <c r="P622" i="82"/>
  <c r="Q622" i="82"/>
  <c r="R622" i="82"/>
  <c r="S622" i="82"/>
  <c r="T622" i="82"/>
  <c r="U622" i="82"/>
  <c r="B623" i="82"/>
  <c r="C623" i="82"/>
  <c r="D623" i="82"/>
  <c r="E623" i="82"/>
  <c r="W623" i="82" s="1"/>
  <c r="V5" i="247" s="1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B624" i="82"/>
  <c r="C624" i="82"/>
  <c r="D624" i="82"/>
  <c r="E624" i="82"/>
  <c r="W624" i="82" s="1"/>
  <c r="V5" i="149" s="1"/>
  <c r="F624" i="82"/>
  <c r="G624" i="82"/>
  <c r="H624" i="82"/>
  <c r="I624" i="82"/>
  <c r="J624" i="82"/>
  <c r="K624" i="82"/>
  <c r="L624" i="82"/>
  <c r="M624" i="82"/>
  <c r="N624" i="82"/>
  <c r="O624" i="82"/>
  <c r="P624" i="82"/>
  <c r="Q624" i="82"/>
  <c r="R624" i="82"/>
  <c r="S624" i="82"/>
  <c r="T624" i="82"/>
  <c r="U624" i="82"/>
  <c r="B625" i="82"/>
  <c r="C625" i="82"/>
  <c r="D625" i="82"/>
  <c r="E625" i="82"/>
  <c r="W625" i="82" s="1"/>
  <c r="V3" i="29" s="1"/>
  <c r="F625" i="82"/>
  <c r="G625" i="82"/>
  <c r="H625" i="82"/>
  <c r="I625" i="82"/>
  <c r="J625" i="82"/>
  <c r="K625" i="82"/>
  <c r="L625" i="82"/>
  <c r="M625" i="82"/>
  <c r="N625" i="82"/>
  <c r="O625" i="82"/>
  <c r="P625" i="82"/>
  <c r="Q625" i="82"/>
  <c r="R625" i="82"/>
  <c r="S625" i="82"/>
  <c r="T625" i="82"/>
  <c r="U625" i="82"/>
  <c r="B626" i="82"/>
  <c r="C626" i="82"/>
  <c r="D626" i="82"/>
  <c r="E626" i="82"/>
  <c r="W626" i="82" s="1"/>
  <c r="V5" i="196" s="1"/>
  <c r="F626" i="82"/>
  <c r="G626" i="82"/>
  <c r="H626" i="82"/>
  <c r="I626" i="82"/>
  <c r="J626" i="82"/>
  <c r="K626" i="82"/>
  <c r="L626" i="82"/>
  <c r="M626" i="82"/>
  <c r="N626" i="82"/>
  <c r="O626" i="82"/>
  <c r="P626" i="82"/>
  <c r="Q626" i="82"/>
  <c r="R626" i="82"/>
  <c r="S626" i="82"/>
  <c r="T626" i="82"/>
  <c r="U626" i="82"/>
  <c r="B627" i="82"/>
  <c r="C627" i="82"/>
  <c r="D627" i="82"/>
  <c r="E627" i="82"/>
  <c r="W627" i="82" s="1"/>
  <c r="V6" i="153" s="1"/>
  <c r="F627" i="82"/>
  <c r="G627" i="82"/>
  <c r="H627" i="82"/>
  <c r="I627" i="82"/>
  <c r="J627" i="82"/>
  <c r="K627" i="82"/>
  <c r="L627" i="82"/>
  <c r="M627" i="82"/>
  <c r="N627" i="82"/>
  <c r="O627" i="82"/>
  <c r="P627" i="82"/>
  <c r="Q627" i="82"/>
  <c r="R627" i="82"/>
  <c r="S627" i="82"/>
  <c r="T627" i="82"/>
  <c r="U627" i="82"/>
  <c r="B628" i="82"/>
  <c r="C628" i="82"/>
  <c r="D628" i="82"/>
  <c r="E628" i="82"/>
  <c r="W628" i="82" s="1"/>
  <c r="V5" i="249" s="1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B629" i="82"/>
  <c r="C629" i="82"/>
  <c r="D629" i="82"/>
  <c r="E629" i="82"/>
  <c r="W629" i="82" s="1"/>
  <c r="V4" i="322" s="1"/>
  <c r="F629" i="82"/>
  <c r="G629" i="82"/>
  <c r="H629" i="82"/>
  <c r="I629" i="82"/>
  <c r="J629" i="82"/>
  <c r="K629" i="82"/>
  <c r="L629" i="82"/>
  <c r="M629" i="82"/>
  <c r="N629" i="82"/>
  <c r="O629" i="82"/>
  <c r="P629" i="82"/>
  <c r="Q629" i="82"/>
  <c r="R629" i="82"/>
  <c r="S629" i="82"/>
  <c r="T629" i="82"/>
  <c r="U629" i="82"/>
  <c r="B630" i="82"/>
  <c r="C630" i="82"/>
  <c r="D630" i="82"/>
  <c r="E630" i="82"/>
  <c r="W630" i="82" s="1"/>
  <c r="V5" i="254" s="1"/>
  <c r="F630" i="82"/>
  <c r="G630" i="82"/>
  <c r="H630" i="82"/>
  <c r="I630" i="82"/>
  <c r="J630" i="82"/>
  <c r="K630" i="82"/>
  <c r="L630" i="82"/>
  <c r="M630" i="82"/>
  <c r="N630" i="82"/>
  <c r="O630" i="82"/>
  <c r="P630" i="82"/>
  <c r="Q630" i="82"/>
  <c r="R630" i="82"/>
  <c r="S630" i="82"/>
  <c r="T630" i="82"/>
  <c r="U630" i="82"/>
  <c r="B631" i="82"/>
  <c r="C631" i="82"/>
  <c r="D631" i="82"/>
  <c r="E631" i="82"/>
  <c r="W631" i="82" s="1"/>
  <c r="V6" i="276" s="1"/>
  <c r="F631" i="82"/>
  <c r="G631" i="82"/>
  <c r="H631" i="82"/>
  <c r="I631" i="82"/>
  <c r="J631" i="82"/>
  <c r="K631" i="82"/>
  <c r="L631" i="82"/>
  <c r="M631" i="82"/>
  <c r="N631" i="82"/>
  <c r="O631" i="82"/>
  <c r="P631" i="82"/>
  <c r="Q631" i="82"/>
  <c r="R631" i="82"/>
  <c r="S631" i="82"/>
  <c r="T631" i="82"/>
  <c r="U631" i="82"/>
  <c r="B632" i="82"/>
  <c r="C632" i="82"/>
  <c r="D632" i="82"/>
  <c r="E632" i="82"/>
  <c r="W632" i="82" s="1"/>
  <c r="V4" i="184" s="1"/>
  <c r="F632" i="82"/>
  <c r="G632" i="82"/>
  <c r="H632" i="82"/>
  <c r="I632" i="82"/>
  <c r="J632" i="82"/>
  <c r="K632" i="82"/>
  <c r="L632" i="82"/>
  <c r="M632" i="82"/>
  <c r="N632" i="82"/>
  <c r="O632" i="82"/>
  <c r="P632" i="82"/>
  <c r="Q632" i="82"/>
  <c r="R632" i="82"/>
  <c r="S632" i="82"/>
  <c r="T632" i="82"/>
  <c r="U632" i="82"/>
  <c r="B633" i="82"/>
  <c r="C633" i="82"/>
  <c r="D633" i="82"/>
  <c r="E633" i="82"/>
  <c r="W633" i="82" s="1"/>
  <c r="V4" i="142" s="1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B634" i="82"/>
  <c r="C634" i="82"/>
  <c r="D634" i="82"/>
  <c r="E634" i="82"/>
  <c r="W634" i="82" s="1"/>
  <c r="V5" i="271" s="1"/>
  <c r="F634" i="82"/>
  <c r="G634" i="82"/>
  <c r="H634" i="82"/>
  <c r="I634" i="82"/>
  <c r="J634" i="82"/>
  <c r="K634" i="82"/>
  <c r="L634" i="82"/>
  <c r="M634" i="82"/>
  <c r="N634" i="82"/>
  <c r="O634" i="82"/>
  <c r="P634" i="82"/>
  <c r="Q634" i="82"/>
  <c r="R634" i="82"/>
  <c r="S634" i="82"/>
  <c r="T634" i="82"/>
  <c r="U634" i="82"/>
  <c r="B635" i="82"/>
  <c r="C635" i="82"/>
  <c r="D635" i="82"/>
  <c r="E635" i="82"/>
  <c r="W635" i="82" s="1"/>
  <c r="V5" i="163" s="1"/>
  <c r="F635" i="82"/>
  <c r="G635" i="82"/>
  <c r="H635" i="82"/>
  <c r="I635" i="82"/>
  <c r="J635" i="82"/>
  <c r="K635" i="82"/>
  <c r="L635" i="82"/>
  <c r="M635" i="82"/>
  <c r="N635" i="82"/>
  <c r="O635" i="82"/>
  <c r="P635" i="82"/>
  <c r="Q635" i="82"/>
  <c r="R635" i="82"/>
  <c r="S635" i="82"/>
  <c r="T635" i="82"/>
  <c r="U635" i="82"/>
  <c r="B636" i="82"/>
  <c r="C636" i="82"/>
  <c r="D636" i="82"/>
  <c r="E636" i="82"/>
  <c r="F636" i="82"/>
  <c r="G636" i="82"/>
  <c r="H636" i="82"/>
  <c r="I636" i="82"/>
  <c r="J636" i="82"/>
  <c r="K636" i="82"/>
  <c r="L636" i="82"/>
  <c r="M636" i="82"/>
  <c r="N636" i="82"/>
  <c r="O636" i="82"/>
  <c r="P636" i="82"/>
  <c r="Q636" i="82"/>
  <c r="R636" i="82"/>
  <c r="S636" i="82"/>
  <c r="T636" i="82"/>
  <c r="U636" i="82"/>
  <c r="B637" i="82"/>
  <c r="C637" i="82"/>
  <c r="D637" i="82"/>
  <c r="E637" i="82"/>
  <c r="F637" i="82"/>
  <c r="G637" i="82"/>
  <c r="H637" i="82"/>
  <c r="I637" i="82"/>
  <c r="J637" i="82"/>
  <c r="K637" i="82"/>
  <c r="L637" i="82"/>
  <c r="M637" i="82"/>
  <c r="N637" i="82"/>
  <c r="O637" i="82"/>
  <c r="P637" i="82"/>
  <c r="Q637" i="82"/>
  <c r="R637" i="82"/>
  <c r="S637" i="82"/>
  <c r="T637" i="82"/>
  <c r="U637" i="82"/>
  <c r="B638" i="82"/>
  <c r="C638" i="82"/>
  <c r="D638" i="82"/>
  <c r="E638" i="82"/>
  <c r="W638" i="82" s="1"/>
  <c r="V6" i="60" s="1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B639" i="82"/>
  <c r="C639" i="82"/>
  <c r="D639" i="82"/>
  <c r="E639" i="82"/>
  <c r="W639" i="82" s="1"/>
  <c r="V4" i="268" s="1"/>
  <c r="F639" i="82"/>
  <c r="G639" i="82"/>
  <c r="H639" i="82"/>
  <c r="I639" i="82"/>
  <c r="J639" i="82"/>
  <c r="K639" i="82"/>
  <c r="L639" i="82"/>
  <c r="M639" i="82"/>
  <c r="N639" i="82"/>
  <c r="O639" i="82"/>
  <c r="P639" i="82"/>
  <c r="Q639" i="82"/>
  <c r="R639" i="82"/>
  <c r="S639" i="82"/>
  <c r="T639" i="82"/>
  <c r="U639" i="82"/>
  <c r="B640" i="82"/>
  <c r="C640" i="82"/>
  <c r="D640" i="82"/>
  <c r="E640" i="82"/>
  <c r="W640" i="82" s="1"/>
  <c r="V5" i="321" s="1"/>
  <c r="F640" i="82"/>
  <c r="G640" i="82"/>
  <c r="H640" i="82"/>
  <c r="I640" i="82"/>
  <c r="J640" i="82"/>
  <c r="K640" i="82"/>
  <c r="L640" i="82"/>
  <c r="M640" i="82"/>
  <c r="N640" i="82"/>
  <c r="O640" i="82"/>
  <c r="P640" i="82"/>
  <c r="Q640" i="82"/>
  <c r="R640" i="82"/>
  <c r="S640" i="82"/>
  <c r="T640" i="82"/>
  <c r="U640" i="82"/>
  <c r="B641" i="82"/>
  <c r="C641" i="82"/>
  <c r="D641" i="82"/>
  <c r="E641" i="82"/>
  <c r="W641" i="82" s="1"/>
  <c r="V6" i="150" s="1"/>
  <c r="F641" i="82"/>
  <c r="G641" i="82"/>
  <c r="H641" i="82"/>
  <c r="I641" i="82"/>
  <c r="J641" i="82"/>
  <c r="K641" i="82"/>
  <c r="L641" i="82"/>
  <c r="M641" i="82"/>
  <c r="N641" i="82"/>
  <c r="O641" i="82"/>
  <c r="P641" i="82"/>
  <c r="Q641" i="82"/>
  <c r="R641" i="82"/>
  <c r="S641" i="82"/>
  <c r="T641" i="82"/>
  <c r="U641" i="82"/>
  <c r="B642" i="82"/>
  <c r="C642" i="82"/>
  <c r="D642" i="82"/>
  <c r="E642" i="82"/>
  <c r="W642" i="82" s="1"/>
  <c r="V6" i="166" s="1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C643" i="82"/>
  <c r="D643" i="82"/>
  <c r="E643" i="82"/>
  <c r="W643" i="82" s="1"/>
  <c r="V8" i="51" s="1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B644" i="82"/>
  <c r="C644" i="82"/>
  <c r="D644" i="82"/>
  <c r="E644" i="82"/>
  <c r="W644" i="82" s="1"/>
  <c r="V6" i="223" s="1"/>
  <c r="F644" i="82"/>
  <c r="G644" i="82"/>
  <c r="H644" i="82"/>
  <c r="I644" i="82"/>
  <c r="J644" i="82"/>
  <c r="K644" i="82"/>
  <c r="L644" i="82"/>
  <c r="M644" i="82"/>
  <c r="N644" i="82"/>
  <c r="O644" i="82"/>
  <c r="P644" i="82"/>
  <c r="Q644" i="82"/>
  <c r="R644" i="82"/>
  <c r="S644" i="82"/>
  <c r="T644" i="82"/>
  <c r="U644" i="82"/>
  <c r="B645" i="82"/>
  <c r="C645" i="82"/>
  <c r="D645" i="82"/>
  <c r="E645" i="82"/>
  <c r="W645" i="82" s="1"/>
  <c r="V4" i="127" s="1"/>
  <c r="F645" i="82"/>
  <c r="G645" i="82"/>
  <c r="H645" i="82"/>
  <c r="I645" i="82"/>
  <c r="J645" i="82"/>
  <c r="K645" i="82"/>
  <c r="L645" i="82"/>
  <c r="M645" i="82"/>
  <c r="N645" i="82"/>
  <c r="O645" i="82"/>
  <c r="P645" i="82"/>
  <c r="Q645" i="82"/>
  <c r="R645" i="82"/>
  <c r="S645" i="82"/>
  <c r="T645" i="82"/>
  <c r="U645" i="82"/>
  <c r="B646" i="82"/>
  <c r="C646" i="82"/>
  <c r="D646" i="82"/>
  <c r="E646" i="82"/>
  <c r="W646" i="82" s="1"/>
  <c r="V6" i="175" s="1"/>
  <c r="F646" i="82"/>
  <c r="G646" i="82"/>
  <c r="H646" i="82"/>
  <c r="I646" i="82"/>
  <c r="J646" i="82"/>
  <c r="K646" i="82"/>
  <c r="L646" i="82"/>
  <c r="M646" i="82"/>
  <c r="N646" i="82"/>
  <c r="O646" i="82"/>
  <c r="P646" i="82"/>
  <c r="Q646" i="82"/>
  <c r="R646" i="82"/>
  <c r="S646" i="82"/>
  <c r="T646" i="82"/>
  <c r="U646" i="82"/>
  <c r="B647" i="82"/>
  <c r="C647" i="82"/>
  <c r="D647" i="82"/>
  <c r="E647" i="82"/>
  <c r="F647" i="82"/>
  <c r="G647" i="82"/>
  <c r="H647" i="82"/>
  <c r="I647" i="82"/>
  <c r="J647" i="82"/>
  <c r="K647" i="82"/>
  <c r="L647" i="82"/>
  <c r="M647" i="82"/>
  <c r="N647" i="82"/>
  <c r="O647" i="82"/>
  <c r="P647" i="82"/>
  <c r="Q647" i="82"/>
  <c r="R647" i="82"/>
  <c r="S647" i="82"/>
  <c r="T647" i="82"/>
  <c r="U647" i="82"/>
  <c r="B648" i="82"/>
  <c r="C648" i="82"/>
  <c r="D648" i="82"/>
  <c r="E648" i="82"/>
  <c r="W648" i="82" s="1"/>
  <c r="V6" i="185" s="1"/>
  <c r="F648" i="82"/>
  <c r="G648" i="82"/>
  <c r="H648" i="82"/>
  <c r="I648" i="82"/>
  <c r="J648" i="82"/>
  <c r="K648" i="82"/>
  <c r="L648" i="82"/>
  <c r="M648" i="82"/>
  <c r="N648" i="82"/>
  <c r="O648" i="82"/>
  <c r="P648" i="82"/>
  <c r="Q648" i="82"/>
  <c r="R648" i="82"/>
  <c r="S648" i="82"/>
  <c r="T648" i="82"/>
  <c r="U648" i="82"/>
  <c r="B649" i="82"/>
  <c r="C649" i="82"/>
  <c r="D649" i="82"/>
  <c r="E649" i="82"/>
  <c r="W649" i="82" s="1"/>
  <c r="V5" i="171" s="1"/>
  <c r="F649" i="82"/>
  <c r="G649" i="82"/>
  <c r="H649" i="82"/>
  <c r="I649" i="82"/>
  <c r="J649" i="82"/>
  <c r="K649" i="82"/>
  <c r="L649" i="82"/>
  <c r="M649" i="82"/>
  <c r="N649" i="82"/>
  <c r="O649" i="82"/>
  <c r="P649" i="82"/>
  <c r="Q649" i="82"/>
  <c r="R649" i="82"/>
  <c r="S649" i="82"/>
  <c r="T649" i="82"/>
  <c r="U649" i="82"/>
  <c r="B650" i="82"/>
  <c r="C650" i="82"/>
  <c r="D650" i="82"/>
  <c r="E650" i="82"/>
  <c r="W650" i="82" s="1"/>
  <c r="V5" i="236" s="1"/>
  <c r="F650" i="82"/>
  <c r="G650" i="82"/>
  <c r="H650" i="82"/>
  <c r="I650" i="82"/>
  <c r="J650" i="82"/>
  <c r="K650" i="82"/>
  <c r="L650" i="82"/>
  <c r="M650" i="82"/>
  <c r="N650" i="82"/>
  <c r="O650" i="82"/>
  <c r="P650" i="82"/>
  <c r="Q650" i="82"/>
  <c r="R650" i="82"/>
  <c r="S650" i="82"/>
  <c r="T650" i="82"/>
  <c r="U650" i="82"/>
  <c r="B651" i="82"/>
  <c r="C651" i="82"/>
  <c r="D651" i="82"/>
  <c r="E651" i="82"/>
  <c r="W651" i="82" s="1"/>
  <c r="V5" i="307" s="1"/>
  <c r="F651" i="82"/>
  <c r="G651" i="82"/>
  <c r="H651" i="82"/>
  <c r="I651" i="82"/>
  <c r="J651" i="82"/>
  <c r="K651" i="82"/>
  <c r="L651" i="82"/>
  <c r="M651" i="82"/>
  <c r="N651" i="82"/>
  <c r="O651" i="82"/>
  <c r="P651" i="82"/>
  <c r="Q651" i="82"/>
  <c r="R651" i="82"/>
  <c r="S651" i="82"/>
  <c r="T651" i="82"/>
  <c r="U651" i="82"/>
  <c r="B652" i="82"/>
  <c r="C652" i="82"/>
  <c r="D652" i="82"/>
  <c r="E652" i="82"/>
  <c r="W652" i="82" s="1"/>
  <c r="V4" i="197" s="1"/>
  <c r="F652" i="82"/>
  <c r="G652" i="82"/>
  <c r="H652" i="82"/>
  <c r="I652" i="82"/>
  <c r="J652" i="82"/>
  <c r="K652" i="82"/>
  <c r="L652" i="82"/>
  <c r="M652" i="82"/>
  <c r="N652" i="82"/>
  <c r="O652" i="82"/>
  <c r="P652" i="82"/>
  <c r="Q652" i="82"/>
  <c r="R652" i="82"/>
  <c r="S652" i="82"/>
  <c r="T652" i="82"/>
  <c r="U652" i="82"/>
  <c r="B653" i="82"/>
  <c r="C653" i="82"/>
  <c r="D653" i="82"/>
  <c r="E653" i="82"/>
  <c r="W653" i="82" s="1"/>
  <c r="V7" i="140" s="1"/>
  <c r="F653" i="82"/>
  <c r="G653" i="82"/>
  <c r="H653" i="82"/>
  <c r="I653" i="82"/>
  <c r="J653" i="82"/>
  <c r="K653" i="82"/>
  <c r="L653" i="82"/>
  <c r="M653" i="82"/>
  <c r="N653" i="82"/>
  <c r="O653" i="82"/>
  <c r="P653" i="82"/>
  <c r="Q653" i="82"/>
  <c r="R653" i="82"/>
  <c r="S653" i="82"/>
  <c r="T653" i="82"/>
  <c r="U653" i="82"/>
  <c r="B654" i="82"/>
  <c r="C654" i="82"/>
  <c r="D654" i="82"/>
  <c r="E654" i="82"/>
  <c r="W654" i="82" s="1"/>
  <c r="V6" i="171" s="1"/>
  <c r="F654" i="82"/>
  <c r="G654" i="82"/>
  <c r="H654" i="82"/>
  <c r="I654" i="82"/>
  <c r="J654" i="82"/>
  <c r="K654" i="82"/>
  <c r="L654" i="82"/>
  <c r="M654" i="82"/>
  <c r="N654" i="82"/>
  <c r="O654" i="82"/>
  <c r="P654" i="82"/>
  <c r="Q654" i="82"/>
  <c r="R654" i="82"/>
  <c r="S654" i="82"/>
  <c r="T654" i="82"/>
  <c r="U654" i="82"/>
  <c r="B655" i="82"/>
  <c r="C655" i="82"/>
  <c r="D655" i="82"/>
  <c r="E655" i="82"/>
  <c r="W655" i="82" s="1"/>
  <c r="V3" i="141" s="1"/>
  <c r="F655" i="82"/>
  <c r="G655" i="82"/>
  <c r="H655" i="82"/>
  <c r="I655" i="82"/>
  <c r="J655" i="82"/>
  <c r="K655" i="82"/>
  <c r="L655" i="82"/>
  <c r="M655" i="82"/>
  <c r="N655" i="82"/>
  <c r="O655" i="82"/>
  <c r="P655" i="82"/>
  <c r="Q655" i="82"/>
  <c r="R655" i="82"/>
  <c r="S655" i="82"/>
  <c r="T655" i="82"/>
  <c r="U655" i="82"/>
  <c r="B656" i="82"/>
  <c r="C656" i="82"/>
  <c r="D656" i="82"/>
  <c r="E656" i="82"/>
  <c r="W656" i="82" s="1"/>
  <c r="V6" i="157" s="1"/>
  <c r="F656" i="82"/>
  <c r="G656" i="82"/>
  <c r="H656" i="82"/>
  <c r="I656" i="82"/>
  <c r="J656" i="82"/>
  <c r="K656" i="82"/>
  <c r="L656" i="82"/>
  <c r="M656" i="82"/>
  <c r="N656" i="82"/>
  <c r="O656" i="82"/>
  <c r="P656" i="82"/>
  <c r="Q656" i="82"/>
  <c r="R656" i="82"/>
  <c r="S656" i="82"/>
  <c r="T656" i="82"/>
  <c r="U656" i="82"/>
  <c r="B657" i="82"/>
  <c r="C657" i="82"/>
  <c r="D657" i="82"/>
  <c r="E657" i="82"/>
  <c r="W657" i="82" s="1"/>
  <c r="V6" i="307" s="1"/>
  <c r="F657" i="82"/>
  <c r="G657" i="82"/>
  <c r="H657" i="82"/>
  <c r="I657" i="82"/>
  <c r="J657" i="82"/>
  <c r="K657" i="82"/>
  <c r="L657" i="82"/>
  <c r="M657" i="82"/>
  <c r="N657" i="82"/>
  <c r="O657" i="82"/>
  <c r="P657" i="82"/>
  <c r="Q657" i="82"/>
  <c r="R657" i="82"/>
  <c r="S657" i="82"/>
  <c r="T657" i="82"/>
  <c r="U657" i="82"/>
  <c r="B658" i="82"/>
  <c r="C658" i="82"/>
  <c r="D658" i="82"/>
  <c r="E658" i="82"/>
  <c r="F658" i="82"/>
  <c r="G658" i="82"/>
  <c r="H658" i="82"/>
  <c r="I658" i="82"/>
  <c r="J658" i="82"/>
  <c r="K658" i="82"/>
  <c r="L658" i="82"/>
  <c r="M658" i="82"/>
  <c r="N658" i="82"/>
  <c r="O658" i="82"/>
  <c r="P658" i="82"/>
  <c r="Q658" i="82"/>
  <c r="R658" i="82"/>
  <c r="S658" i="82"/>
  <c r="T658" i="82"/>
  <c r="U658" i="82"/>
  <c r="B659" i="82"/>
  <c r="C659" i="82"/>
  <c r="D659" i="82"/>
  <c r="E659" i="82"/>
  <c r="W659" i="82" s="1"/>
  <c r="V5" i="245" s="1"/>
  <c r="F659" i="82"/>
  <c r="G659" i="82"/>
  <c r="H659" i="82"/>
  <c r="I659" i="82"/>
  <c r="J659" i="82"/>
  <c r="K659" i="82"/>
  <c r="L659" i="82"/>
  <c r="M659" i="82"/>
  <c r="N659" i="82"/>
  <c r="O659" i="82"/>
  <c r="P659" i="82"/>
  <c r="Q659" i="82"/>
  <c r="R659" i="82"/>
  <c r="S659" i="82"/>
  <c r="T659" i="82"/>
  <c r="U659" i="82"/>
  <c r="B660" i="82"/>
  <c r="C660" i="82"/>
  <c r="D660" i="82"/>
  <c r="E660" i="82"/>
  <c r="W660" i="82" s="1"/>
  <c r="V4" i="70" s="1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C661" i="82"/>
  <c r="D661" i="82"/>
  <c r="E661" i="82"/>
  <c r="W661" i="82" s="1"/>
  <c r="V4" i="203" s="1"/>
  <c r="F661" i="82"/>
  <c r="G661" i="82"/>
  <c r="H661" i="82"/>
  <c r="I661" i="82"/>
  <c r="J661" i="82"/>
  <c r="K661" i="82"/>
  <c r="L661" i="82"/>
  <c r="M661" i="82"/>
  <c r="N661" i="82"/>
  <c r="O661" i="82"/>
  <c r="P661" i="82"/>
  <c r="Q661" i="82"/>
  <c r="R661" i="82"/>
  <c r="S661" i="82"/>
  <c r="T661" i="82"/>
  <c r="U661" i="82"/>
  <c r="B662" i="82"/>
  <c r="C662" i="82"/>
  <c r="D662" i="82"/>
  <c r="E662" i="82"/>
  <c r="W662" i="82" s="1"/>
  <c r="V5" i="70" s="1"/>
  <c r="F662" i="82"/>
  <c r="G662" i="82"/>
  <c r="H662" i="82"/>
  <c r="I662" i="82"/>
  <c r="J662" i="82"/>
  <c r="K662" i="82"/>
  <c r="L662" i="82"/>
  <c r="M662" i="82"/>
  <c r="N662" i="82"/>
  <c r="O662" i="82"/>
  <c r="P662" i="82"/>
  <c r="Q662" i="82"/>
  <c r="R662" i="82"/>
  <c r="S662" i="82"/>
  <c r="T662" i="82"/>
  <c r="U662" i="82"/>
  <c r="B663" i="82"/>
  <c r="C663" i="82"/>
  <c r="D663" i="82"/>
  <c r="E663" i="82"/>
  <c r="W663" i="82" s="1"/>
  <c r="V6" i="211" s="1"/>
  <c r="F663" i="82"/>
  <c r="G663" i="82"/>
  <c r="H663" i="82"/>
  <c r="I663" i="82"/>
  <c r="J663" i="82"/>
  <c r="K663" i="82"/>
  <c r="L663" i="82"/>
  <c r="M663" i="82"/>
  <c r="N663" i="82"/>
  <c r="O663" i="82"/>
  <c r="P663" i="82"/>
  <c r="Q663" i="82"/>
  <c r="R663" i="82"/>
  <c r="S663" i="82"/>
  <c r="T663" i="82"/>
  <c r="U663" i="82"/>
  <c r="B664" i="82"/>
  <c r="C664" i="82"/>
  <c r="D664" i="82"/>
  <c r="E664" i="82"/>
  <c r="W664" i="82" s="1"/>
  <c r="V5" i="322" s="1"/>
  <c r="F664" i="82"/>
  <c r="G664" i="82"/>
  <c r="H664" i="82"/>
  <c r="I664" i="82"/>
  <c r="J664" i="82"/>
  <c r="K664" i="82"/>
  <c r="L664" i="82"/>
  <c r="M664" i="82"/>
  <c r="N664" i="82"/>
  <c r="O664" i="82"/>
  <c r="P664" i="82"/>
  <c r="Q664" i="82"/>
  <c r="R664" i="82"/>
  <c r="S664" i="82"/>
  <c r="T664" i="82"/>
  <c r="U664" i="82"/>
  <c r="B665" i="82"/>
  <c r="C665" i="82"/>
  <c r="D665" i="82"/>
  <c r="E665" i="82"/>
  <c r="W665" i="82" s="1"/>
  <c r="V4" i="99" s="1"/>
  <c r="F665" i="82"/>
  <c r="G665" i="82"/>
  <c r="H665" i="82"/>
  <c r="I665" i="82"/>
  <c r="J665" i="82"/>
  <c r="K665" i="82"/>
  <c r="L665" i="82"/>
  <c r="M665" i="82"/>
  <c r="N665" i="82"/>
  <c r="O665" i="82"/>
  <c r="P665" i="82"/>
  <c r="Q665" i="82"/>
  <c r="R665" i="82"/>
  <c r="S665" i="82"/>
  <c r="T665" i="82"/>
  <c r="U665" i="82"/>
  <c r="B666" i="82"/>
  <c r="C666" i="82"/>
  <c r="D666" i="82"/>
  <c r="E666" i="82"/>
  <c r="W666" i="82" s="1"/>
  <c r="V5" i="177" s="1"/>
  <c r="F666" i="82"/>
  <c r="G666" i="82"/>
  <c r="H666" i="82"/>
  <c r="I666" i="82"/>
  <c r="J666" i="82"/>
  <c r="K666" i="82"/>
  <c r="L666" i="82"/>
  <c r="M666" i="82"/>
  <c r="N666" i="82"/>
  <c r="O666" i="82"/>
  <c r="P666" i="82"/>
  <c r="Q666" i="82"/>
  <c r="R666" i="82"/>
  <c r="S666" i="82"/>
  <c r="T666" i="82"/>
  <c r="U666" i="82"/>
  <c r="B667" i="82"/>
  <c r="C667" i="82"/>
  <c r="D667" i="82"/>
  <c r="E667" i="82"/>
  <c r="W667" i="82" s="1"/>
  <c r="V5" i="35" s="1"/>
  <c r="F667" i="82"/>
  <c r="G667" i="82"/>
  <c r="H667" i="82"/>
  <c r="I667" i="82"/>
  <c r="J667" i="82"/>
  <c r="K667" i="82"/>
  <c r="L667" i="82"/>
  <c r="M667" i="82"/>
  <c r="N667" i="82"/>
  <c r="O667" i="82"/>
  <c r="P667" i="82"/>
  <c r="Q667" i="82"/>
  <c r="R667" i="82"/>
  <c r="S667" i="82"/>
  <c r="T667" i="82"/>
  <c r="U667" i="82"/>
  <c r="B668" i="82"/>
  <c r="C668" i="82"/>
  <c r="D668" i="82"/>
  <c r="E668" i="82"/>
  <c r="W668" i="82" s="1"/>
  <c r="V5" i="152" s="1"/>
  <c r="F668" i="82"/>
  <c r="G668" i="82"/>
  <c r="H668" i="82"/>
  <c r="I668" i="82"/>
  <c r="J668" i="82"/>
  <c r="K668" i="82"/>
  <c r="L668" i="82"/>
  <c r="M668" i="82"/>
  <c r="N668" i="82"/>
  <c r="O668" i="82"/>
  <c r="P668" i="82"/>
  <c r="Q668" i="82"/>
  <c r="R668" i="82"/>
  <c r="S668" i="82"/>
  <c r="T668" i="82"/>
  <c r="U668" i="82"/>
  <c r="B669" i="82"/>
  <c r="C669" i="82"/>
  <c r="D669" i="82"/>
  <c r="E669" i="82"/>
  <c r="W669" i="82" s="1"/>
  <c r="V5" i="87" s="1"/>
  <c r="F669" i="82"/>
  <c r="G669" i="82"/>
  <c r="H669" i="82"/>
  <c r="I669" i="82"/>
  <c r="J669" i="82"/>
  <c r="K669" i="82"/>
  <c r="L669" i="82"/>
  <c r="M669" i="82"/>
  <c r="N669" i="82"/>
  <c r="O669" i="82"/>
  <c r="P669" i="82"/>
  <c r="Q669" i="82"/>
  <c r="R669" i="82"/>
  <c r="S669" i="82"/>
  <c r="T669" i="82"/>
  <c r="U669" i="82"/>
  <c r="B670" i="82"/>
  <c r="C670" i="82"/>
  <c r="D670" i="82"/>
  <c r="E670" i="82"/>
  <c r="W670" i="82" s="1"/>
  <c r="V5" i="98" s="1"/>
  <c r="F670" i="82"/>
  <c r="G670" i="82"/>
  <c r="H670" i="82"/>
  <c r="I670" i="82"/>
  <c r="J670" i="82"/>
  <c r="K670" i="82"/>
  <c r="L670" i="82"/>
  <c r="M670" i="82"/>
  <c r="N670" i="82"/>
  <c r="O670" i="82"/>
  <c r="P670" i="82"/>
  <c r="Q670" i="82"/>
  <c r="R670" i="82"/>
  <c r="S670" i="82"/>
  <c r="T670" i="82"/>
  <c r="U670" i="82"/>
  <c r="B671" i="82"/>
  <c r="C671" i="82"/>
  <c r="D671" i="82"/>
  <c r="E671" i="82"/>
  <c r="W671" i="82" s="1"/>
  <c r="V5" i="210" s="1"/>
  <c r="F671" i="82"/>
  <c r="G671" i="82"/>
  <c r="H671" i="82"/>
  <c r="I671" i="82"/>
  <c r="J671" i="82"/>
  <c r="K671" i="82"/>
  <c r="L671" i="82"/>
  <c r="M671" i="82"/>
  <c r="N671" i="82"/>
  <c r="O671" i="82"/>
  <c r="P671" i="82"/>
  <c r="Q671" i="82"/>
  <c r="R671" i="82"/>
  <c r="S671" i="82"/>
  <c r="T671" i="82"/>
  <c r="U671" i="82"/>
  <c r="B672" i="82"/>
  <c r="C672" i="82"/>
  <c r="D672" i="82"/>
  <c r="E672" i="82"/>
  <c r="W672" i="82" s="1"/>
  <c r="V5" i="263" s="1"/>
  <c r="F672" i="82"/>
  <c r="G672" i="82"/>
  <c r="H672" i="82"/>
  <c r="I672" i="82"/>
  <c r="J672" i="82"/>
  <c r="K672" i="82"/>
  <c r="L672" i="82"/>
  <c r="M672" i="82"/>
  <c r="N672" i="82"/>
  <c r="O672" i="82"/>
  <c r="P672" i="82"/>
  <c r="Q672" i="82"/>
  <c r="R672" i="82"/>
  <c r="S672" i="82"/>
  <c r="T672" i="82"/>
  <c r="U672" i="82"/>
  <c r="B673" i="82"/>
  <c r="C673" i="82"/>
  <c r="D673" i="82"/>
  <c r="E673" i="82"/>
  <c r="W673" i="82" s="1"/>
  <c r="V5" i="273" s="1"/>
  <c r="F673" i="82"/>
  <c r="G673" i="82"/>
  <c r="H673" i="82"/>
  <c r="I673" i="82"/>
  <c r="J673" i="82"/>
  <c r="K673" i="82"/>
  <c r="L673" i="82"/>
  <c r="M673" i="82"/>
  <c r="N673" i="82"/>
  <c r="O673" i="82"/>
  <c r="P673" i="82"/>
  <c r="Q673" i="82"/>
  <c r="R673" i="82"/>
  <c r="S673" i="82"/>
  <c r="T673" i="82"/>
  <c r="U673" i="82"/>
  <c r="B674" i="82"/>
  <c r="C674" i="82"/>
  <c r="D674" i="82"/>
  <c r="E674" i="82"/>
  <c r="W674" i="82" s="1"/>
  <c r="V6" i="63" s="1"/>
  <c r="F674" i="82"/>
  <c r="G674" i="82"/>
  <c r="H674" i="82"/>
  <c r="I674" i="82"/>
  <c r="J674" i="82"/>
  <c r="K674" i="82"/>
  <c r="L674" i="82"/>
  <c r="M674" i="82"/>
  <c r="N674" i="82"/>
  <c r="O674" i="82"/>
  <c r="P674" i="82"/>
  <c r="Q674" i="82"/>
  <c r="R674" i="82"/>
  <c r="S674" i="82"/>
  <c r="T674" i="82"/>
  <c r="U674" i="82"/>
  <c r="B675" i="82"/>
  <c r="C675" i="82"/>
  <c r="D675" i="82"/>
  <c r="E675" i="82"/>
  <c r="W675" i="82" s="1"/>
  <c r="V6" i="94" s="1"/>
  <c r="F675" i="82"/>
  <c r="G675" i="82"/>
  <c r="H675" i="82"/>
  <c r="I675" i="82"/>
  <c r="J675" i="82"/>
  <c r="K675" i="82"/>
  <c r="L675" i="82"/>
  <c r="M675" i="82"/>
  <c r="N675" i="82"/>
  <c r="O675" i="82"/>
  <c r="P675" i="82"/>
  <c r="Q675" i="82"/>
  <c r="R675" i="82"/>
  <c r="S675" i="82"/>
  <c r="T675" i="82"/>
  <c r="U675" i="82"/>
  <c r="B676" i="82"/>
  <c r="C676" i="82"/>
  <c r="D676" i="82"/>
  <c r="E676" i="82"/>
  <c r="W676" i="82" s="1"/>
  <c r="V7" i="187" s="1"/>
  <c r="F676" i="82"/>
  <c r="G676" i="82"/>
  <c r="H676" i="82"/>
  <c r="I676" i="82"/>
  <c r="J676" i="82"/>
  <c r="K676" i="82"/>
  <c r="L676" i="82"/>
  <c r="M676" i="82"/>
  <c r="N676" i="82"/>
  <c r="O676" i="82"/>
  <c r="P676" i="82"/>
  <c r="Q676" i="82"/>
  <c r="R676" i="82"/>
  <c r="S676" i="82"/>
  <c r="T676" i="82"/>
  <c r="U676" i="82"/>
  <c r="B677" i="82"/>
  <c r="C677" i="82"/>
  <c r="D677" i="82"/>
  <c r="E677" i="82"/>
  <c r="W677" i="82" s="1"/>
  <c r="V6" i="254" s="1"/>
  <c r="F677" i="82"/>
  <c r="G677" i="82"/>
  <c r="H677" i="82"/>
  <c r="I677" i="82"/>
  <c r="J677" i="82"/>
  <c r="K677" i="82"/>
  <c r="L677" i="82"/>
  <c r="M677" i="82"/>
  <c r="N677" i="82"/>
  <c r="O677" i="82"/>
  <c r="P677" i="82"/>
  <c r="Q677" i="82"/>
  <c r="R677" i="82"/>
  <c r="S677" i="82"/>
  <c r="T677" i="82"/>
  <c r="U677" i="82"/>
  <c r="B678" i="82"/>
  <c r="C678" i="82"/>
  <c r="D678" i="82"/>
  <c r="E678" i="82"/>
  <c r="W678" i="82" s="1"/>
  <c r="V4" i="172" s="1"/>
  <c r="F678" i="82"/>
  <c r="G678" i="82"/>
  <c r="H678" i="82"/>
  <c r="I678" i="82"/>
  <c r="J678" i="82"/>
  <c r="K678" i="82"/>
  <c r="L678" i="82"/>
  <c r="M678" i="82"/>
  <c r="N678" i="82"/>
  <c r="O678" i="82"/>
  <c r="P678" i="82"/>
  <c r="Q678" i="82"/>
  <c r="R678" i="82"/>
  <c r="S678" i="82"/>
  <c r="T678" i="82"/>
  <c r="U678" i="82"/>
  <c r="B679" i="82"/>
  <c r="C679" i="82"/>
  <c r="D679" i="82"/>
  <c r="E679" i="82"/>
  <c r="W679" i="82" s="1"/>
  <c r="V3" i="129" s="1"/>
  <c r="F679" i="82"/>
  <c r="G679" i="82"/>
  <c r="H679" i="82"/>
  <c r="I679" i="82"/>
  <c r="J679" i="82"/>
  <c r="K679" i="82"/>
  <c r="L679" i="82"/>
  <c r="M679" i="82"/>
  <c r="N679" i="82"/>
  <c r="O679" i="82"/>
  <c r="P679" i="82"/>
  <c r="Q679" i="82"/>
  <c r="R679" i="82"/>
  <c r="S679" i="82"/>
  <c r="T679" i="82"/>
  <c r="U679" i="82"/>
  <c r="B680" i="82"/>
  <c r="C680" i="82"/>
  <c r="D680" i="82"/>
  <c r="E680" i="82"/>
  <c r="W680" i="82" s="1"/>
  <c r="V6" i="57" s="1"/>
  <c r="F680" i="82"/>
  <c r="G680" i="82"/>
  <c r="H680" i="82"/>
  <c r="I680" i="82"/>
  <c r="J680" i="82"/>
  <c r="K680" i="82"/>
  <c r="L680" i="82"/>
  <c r="M680" i="82"/>
  <c r="N680" i="82"/>
  <c r="O680" i="82"/>
  <c r="P680" i="82"/>
  <c r="Q680" i="82"/>
  <c r="R680" i="82"/>
  <c r="S680" i="82"/>
  <c r="T680" i="82"/>
  <c r="U680" i="82"/>
  <c r="B681" i="82"/>
  <c r="C681" i="82"/>
  <c r="D681" i="82"/>
  <c r="E681" i="82"/>
  <c r="W681" i="82" s="1"/>
  <c r="V5" i="126" s="1"/>
  <c r="F681" i="82"/>
  <c r="G681" i="82"/>
  <c r="H681" i="82"/>
  <c r="I681" i="82"/>
  <c r="J681" i="82"/>
  <c r="K681" i="82"/>
  <c r="L681" i="82"/>
  <c r="M681" i="82"/>
  <c r="N681" i="82"/>
  <c r="O681" i="82"/>
  <c r="P681" i="82"/>
  <c r="Q681" i="82"/>
  <c r="R681" i="82"/>
  <c r="S681" i="82"/>
  <c r="T681" i="82"/>
  <c r="U681" i="82"/>
  <c r="B682" i="82"/>
  <c r="C682" i="82"/>
  <c r="D682" i="82"/>
  <c r="E682" i="82"/>
  <c r="W682" i="82" s="1"/>
  <c r="V5" i="52" s="1"/>
  <c r="F682" i="82"/>
  <c r="G682" i="82"/>
  <c r="H682" i="82"/>
  <c r="I682" i="82"/>
  <c r="J682" i="82"/>
  <c r="K682" i="82"/>
  <c r="L682" i="82"/>
  <c r="M682" i="82"/>
  <c r="N682" i="82"/>
  <c r="O682" i="82"/>
  <c r="P682" i="82"/>
  <c r="Q682" i="82"/>
  <c r="R682" i="82"/>
  <c r="S682" i="82"/>
  <c r="T682" i="82"/>
  <c r="U682" i="82"/>
  <c r="B683" i="82"/>
  <c r="C683" i="82"/>
  <c r="D683" i="82"/>
  <c r="E683" i="82"/>
  <c r="W683" i="82" s="1"/>
  <c r="V6" i="152" s="1"/>
  <c r="F683" i="82"/>
  <c r="G683" i="82"/>
  <c r="H683" i="82"/>
  <c r="I683" i="82"/>
  <c r="J683" i="82"/>
  <c r="K683" i="82"/>
  <c r="L683" i="82"/>
  <c r="M683" i="82"/>
  <c r="N683" i="82"/>
  <c r="O683" i="82"/>
  <c r="P683" i="82"/>
  <c r="Q683" i="82"/>
  <c r="R683" i="82"/>
  <c r="S683" i="82"/>
  <c r="T683" i="82"/>
  <c r="U683" i="82"/>
  <c r="B684" i="82"/>
  <c r="C684" i="82"/>
  <c r="D684" i="82"/>
  <c r="E684" i="82"/>
  <c r="W684" i="82" s="1"/>
  <c r="V5" i="156" s="1"/>
  <c r="F684" i="82"/>
  <c r="G684" i="82"/>
  <c r="H684" i="82"/>
  <c r="I684" i="82"/>
  <c r="J684" i="82"/>
  <c r="K684" i="82"/>
  <c r="L684" i="82"/>
  <c r="M684" i="82"/>
  <c r="N684" i="82"/>
  <c r="O684" i="82"/>
  <c r="P684" i="82"/>
  <c r="Q684" i="82"/>
  <c r="R684" i="82"/>
  <c r="S684" i="82"/>
  <c r="T684" i="82"/>
  <c r="U684" i="82"/>
  <c r="B685" i="82"/>
  <c r="C685" i="82"/>
  <c r="D685" i="82"/>
  <c r="E685" i="82"/>
  <c r="W685" i="82" s="1"/>
  <c r="V5" i="261" s="1"/>
  <c r="F685" i="82"/>
  <c r="G685" i="82"/>
  <c r="H685" i="82"/>
  <c r="I685" i="82"/>
  <c r="J685" i="82"/>
  <c r="K685" i="82"/>
  <c r="L685" i="82"/>
  <c r="M685" i="82"/>
  <c r="N685" i="82"/>
  <c r="O685" i="82"/>
  <c r="P685" i="82"/>
  <c r="Q685" i="82"/>
  <c r="R685" i="82"/>
  <c r="S685" i="82"/>
  <c r="T685" i="82"/>
  <c r="U685" i="82"/>
  <c r="B686" i="82"/>
  <c r="C686" i="82"/>
  <c r="D686" i="82"/>
  <c r="E686" i="82"/>
  <c r="W686" i="82" s="1"/>
  <c r="V6" i="212" s="1"/>
  <c r="F686" i="82"/>
  <c r="G686" i="82"/>
  <c r="H686" i="82"/>
  <c r="I686" i="82"/>
  <c r="J686" i="82"/>
  <c r="K686" i="82"/>
  <c r="L686" i="82"/>
  <c r="M686" i="82"/>
  <c r="N686" i="82"/>
  <c r="O686" i="82"/>
  <c r="P686" i="82"/>
  <c r="Q686" i="82"/>
  <c r="R686" i="82"/>
  <c r="S686" i="82"/>
  <c r="T686" i="82"/>
  <c r="U686" i="82"/>
  <c r="B687" i="82"/>
  <c r="C687" i="82"/>
  <c r="D687" i="82"/>
  <c r="E687" i="82"/>
  <c r="W687" i="82" s="1"/>
  <c r="V4" i="129" s="1"/>
  <c r="F687" i="82"/>
  <c r="G687" i="82"/>
  <c r="H687" i="82"/>
  <c r="I687" i="82"/>
  <c r="J687" i="82"/>
  <c r="K687" i="82"/>
  <c r="L687" i="82"/>
  <c r="M687" i="82"/>
  <c r="N687" i="82"/>
  <c r="O687" i="82"/>
  <c r="P687" i="82"/>
  <c r="Q687" i="82"/>
  <c r="R687" i="82"/>
  <c r="S687" i="82"/>
  <c r="T687" i="82"/>
  <c r="U687" i="82"/>
  <c r="B688" i="82"/>
  <c r="C688" i="82"/>
  <c r="D688" i="82"/>
  <c r="E688" i="82"/>
  <c r="W688" i="82" s="1"/>
  <c r="V7" i="181" s="1"/>
  <c r="F688" i="82"/>
  <c r="G688" i="82"/>
  <c r="H688" i="82"/>
  <c r="I688" i="82"/>
  <c r="J688" i="82"/>
  <c r="K688" i="82"/>
  <c r="L688" i="82"/>
  <c r="M688" i="82"/>
  <c r="N688" i="82"/>
  <c r="O688" i="82"/>
  <c r="P688" i="82"/>
  <c r="Q688" i="82"/>
  <c r="R688" i="82"/>
  <c r="S688" i="82"/>
  <c r="T688" i="82"/>
  <c r="U688" i="82"/>
  <c r="B689" i="82"/>
  <c r="C689" i="82"/>
  <c r="D689" i="82"/>
  <c r="E689" i="82"/>
  <c r="W689" i="82" s="1"/>
  <c r="V5" i="257" s="1"/>
  <c r="F689" i="82"/>
  <c r="G689" i="82"/>
  <c r="H689" i="82"/>
  <c r="I689" i="82"/>
  <c r="J689" i="82"/>
  <c r="K689" i="82"/>
  <c r="L689" i="82"/>
  <c r="M689" i="82"/>
  <c r="N689" i="82"/>
  <c r="O689" i="82"/>
  <c r="P689" i="82"/>
  <c r="Q689" i="82"/>
  <c r="R689" i="82"/>
  <c r="S689" i="82"/>
  <c r="T689" i="82"/>
  <c r="U689" i="82"/>
  <c r="B690" i="82"/>
  <c r="C690" i="82"/>
  <c r="D690" i="82"/>
  <c r="E690" i="82"/>
  <c r="W690" i="82" s="1"/>
  <c r="V7" i="185" s="1"/>
  <c r="F690" i="82"/>
  <c r="G690" i="82"/>
  <c r="H690" i="82"/>
  <c r="I690" i="82"/>
  <c r="J690" i="82"/>
  <c r="K690" i="82"/>
  <c r="L690" i="82"/>
  <c r="M690" i="82"/>
  <c r="N690" i="82"/>
  <c r="O690" i="82"/>
  <c r="P690" i="82"/>
  <c r="Q690" i="82"/>
  <c r="R690" i="82"/>
  <c r="S690" i="82"/>
  <c r="T690" i="82"/>
  <c r="U690" i="82"/>
  <c r="B691" i="82"/>
  <c r="C691" i="82"/>
  <c r="D691" i="82"/>
  <c r="E691" i="82"/>
  <c r="W691" i="82" s="1"/>
  <c r="V4" i="264" s="1"/>
  <c r="F691" i="82"/>
  <c r="G691" i="82"/>
  <c r="H691" i="82"/>
  <c r="I691" i="82"/>
  <c r="J691" i="82"/>
  <c r="K691" i="82"/>
  <c r="L691" i="82"/>
  <c r="M691" i="82"/>
  <c r="N691" i="82"/>
  <c r="O691" i="82"/>
  <c r="P691" i="82"/>
  <c r="Q691" i="82"/>
  <c r="R691" i="82"/>
  <c r="S691" i="82"/>
  <c r="T691" i="82"/>
  <c r="U691" i="82"/>
  <c r="B692" i="82"/>
  <c r="C692" i="82"/>
  <c r="D692" i="82"/>
  <c r="E692" i="82"/>
  <c r="W692" i="82" s="1"/>
  <c r="V6" i="322" s="1"/>
  <c r="F692" i="82"/>
  <c r="G692" i="82"/>
  <c r="H692" i="82"/>
  <c r="I692" i="82"/>
  <c r="J692" i="82"/>
  <c r="K692" i="82"/>
  <c r="L692" i="82"/>
  <c r="M692" i="82"/>
  <c r="N692" i="82"/>
  <c r="O692" i="82"/>
  <c r="P692" i="82"/>
  <c r="Q692" i="82"/>
  <c r="R692" i="82"/>
  <c r="S692" i="82"/>
  <c r="T692" i="82"/>
  <c r="U692" i="82"/>
  <c r="B693" i="82"/>
  <c r="C693" i="82"/>
  <c r="D693" i="82"/>
  <c r="E693" i="82"/>
  <c r="W693" i="82" s="1"/>
  <c r="V6" i="321" s="1"/>
  <c r="F693" i="82"/>
  <c r="G693" i="82"/>
  <c r="H693" i="82"/>
  <c r="I693" i="82"/>
  <c r="J693" i="82"/>
  <c r="K693" i="82"/>
  <c r="L693" i="82"/>
  <c r="M693" i="82"/>
  <c r="N693" i="82"/>
  <c r="O693" i="82"/>
  <c r="P693" i="82"/>
  <c r="Q693" i="82"/>
  <c r="R693" i="82"/>
  <c r="S693" i="82"/>
  <c r="T693" i="82"/>
  <c r="U693" i="82"/>
  <c r="B694" i="82"/>
  <c r="C694" i="82"/>
  <c r="D694" i="82"/>
  <c r="E694" i="82"/>
  <c r="W694" i="82" s="1"/>
  <c r="V6" i="61" s="1"/>
  <c r="F694" i="82"/>
  <c r="G694" i="82"/>
  <c r="H694" i="82"/>
  <c r="I694" i="82"/>
  <c r="J694" i="82"/>
  <c r="K694" i="82"/>
  <c r="L694" i="82"/>
  <c r="M694" i="82"/>
  <c r="N694" i="82"/>
  <c r="O694" i="82"/>
  <c r="P694" i="82"/>
  <c r="Q694" i="82"/>
  <c r="R694" i="82"/>
  <c r="S694" i="82"/>
  <c r="T694" i="82"/>
  <c r="U694" i="82"/>
  <c r="B695" i="82"/>
  <c r="C695" i="82"/>
  <c r="D695" i="82"/>
  <c r="E695" i="82"/>
  <c r="W695" i="82" s="1"/>
  <c r="V4" i="161" s="1"/>
  <c r="F695" i="82"/>
  <c r="G695" i="82"/>
  <c r="H695" i="82"/>
  <c r="I695" i="82"/>
  <c r="J695" i="82"/>
  <c r="K695" i="82"/>
  <c r="L695" i="82"/>
  <c r="M695" i="82"/>
  <c r="N695" i="82"/>
  <c r="O695" i="82"/>
  <c r="P695" i="82"/>
  <c r="Q695" i="82"/>
  <c r="R695" i="82"/>
  <c r="S695" i="82"/>
  <c r="T695" i="82"/>
  <c r="U695" i="82"/>
  <c r="B696" i="82"/>
  <c r="C696" i="82"/>
  <c r="D696" i="82"/>
  <c r="E696" i="82"/>
  <c r="W696" i="82" s="1"/>
  <c r="V6" i="266" s="1"/>
  <c r="F696" i="82"/>
  <c r="G696" i="82"/>
  <c r="H696" i="82"/>
  <c r="I696" i="82"/>
  <c r="J696" i="82"/>
  <c r="K696" i="82"/>
  <c r="L696" i="82"/>
  <c r="M696" i="82"/>
  <c r="N696" i="82"/>
  <c r="O696" i="82"/>
  <c r="P696" i="82"/>
  <c r="Q696" i="82"/>
  <c r="R696" i="82"/>
  <c r="S696" i="82"/>
  <c r="T696" i="82"/>
  <c r="U696" i="82"/>
  <c r="B697" i="82"/>
  <c r="C697" i="82"/>
  <c r="D697" i="82"/>
  <c r="E697" i="82"/>
  <c r="W697" i="82" s="1"/>
  <c r="V6" i="122" s="1"/>
  <c r="F697" i="82"/>
  <c r="G697" i="82"/>
  <c r="H697" i="82"/>
  <c r="I697" i="82"/>
  <c r="J697" i="82"/>
  <c r="K697" i="82"/>
  <c r="L697" i="82"/>
  <c r="M697" i="82"/>
  <c r="N697" i="82"/>
  <c r="O697" i="82"/>
  <c r="P697" i="82"/>
  <c r="Q697" i="82"/>
  <c r="R697" i="82"/>
  <c r="S697" i="82"/>
  <c r="T697" i="82"/>
  <c r="U697" i="82"/>
  <c r="B698" i="82"/>
  <c r="C698" i="82"/>
  <c r="D698" i="82"/>
  <c r="E698" i="82"/>
  <c r="W698" i="82" s="1"/>
  <c r="V5" i="203" s="1"/>
  <c r="F698" i="82"/>
  <c r="G698" i="82"/>
  <c r="H698" i="82"/>
  <c r="I698" i="82"/>
  <c r="J698" i="82"/>
  <c r="K698" i="82"/>
  <c r="L698" i="82"/>
  <c r="M698" i="82"/>
  <c r="N698" i="82"/>
  <c r="O698" i="82"/>
  <c r="P698" i="82"/>
  <c r="Q698" i="82"/>
  <c r="R698" i="82"/>
  <c r="S698" i="82"/>
  <c r="T698" i="82"/>
  <c r="U698" i="82"/>
  <c r="B699" i="82"/>
  <c r="C699" i="82"/>
  <c r="D699" i="82"/>
  <c r="E699" i="82"/>
  <c r="W699" i="82" s="1"/>
  <c r="V5" i="242" s="1"/>
  <c r="F699" i="82"/>
  <c r="G699" i="82"/>
  <c r="H699" i="82"/>
  <c r="I699" i="82"/>
  <c r="J699" i="82"/>
  <c r="K699" i="82"/>
  <c r="L699" i="82"/>
  <c r="M699" i="82"/>
  <c r="N699" i="82"/>
  <c r="O699" i="82"/>
  <c r="P699" i="82"/>
  <c r="Q699" i="82"/>
  <c r="R699" i="82"/>
  <c r="S699" i="82"/>
  <c r="T699" i="82"/>
  <c r="U699" i="82"/>
  <c r="B700" i="82"/>
  <c r="C700" i="82"/>
  <c r="D700" i="82"/>
  <c r="E700" i="82"/>
  <c r="W700" i="82" s="1"/>
  <c r="V6" i="66" s="1"/>
  <c r="F700" i="82"/>
  <c r="G700" i="82"/>
  <c r="H700" i="82"/>
  <c r="I700" i="82"/>
  <c r="J700" i="82"/>
  <c r="K700" i="82"/>
  <c r="L700" i="82"/>
  <c r="M700" i="82"/>
  <c r="N700" i="82"/>
  <c r="O700" i="82"/>
  <c r="P700" i="82"/>
  <c r="Q700" i="82"/>
  <c r="R700" i="82"/>
  <c r="S700" i="82"/>
  <c r="T700" i="82"/>
  <c r="U700" i="82"/>
  <c r="B701" i="82"/>
  <c r="C701" i="82"/>
  <c r="D701" i="82"/>
  <c r="E701" i="82"/>
  <c r="W701" i="82" s="1"/>
  <c r="V7" i="258" s="1"/>
  <c r="F701" i="82"/>
  <c r="G701" i="82"/>
  <c r="H701" i="82"/>
  <c r="I701" i="82"/>
  <c r="J701" i="82"/>
  <c r="K701" i="82"/>
  <c r="L701" i="82"/>
  <c r="M701" i="82"/>
  <c r="N701" i="82"/>
  <c r="O701" i="82"/>
  <c r="P701" i="82"/>
  <c r="Q701" i="82"/>
  <c r="R701" i="82"/>
  <c r="S701" i="82"/>
  <c r="T701" i="82"/>
  <c r="U701" i="82"/>
  <c r="B702" i="82"/>
  <c r="C702" i="82"/>
  <c r="D702" i="82"/>
  <c r="E702" i="82"/>
  <c r="W702" i="82" s="1"/>
  <c r="V7" i="65" s="1"/>
  <c r="F702" i="82"/>
  <c r="G702" i="82"/>
  <c r="H702" i="82"/>
  <c r="I702" i="82"/>
  <c r="J702" i="82"/>
  <c r="K702" i="82"/>
  <c r="L702" i="82"/>
  <c r="M702" i="82"/>
  <c r="N702" i="82"/>
  <c r="O702" i="82"/>
  <c r="P702" i="82"/>
  <c r="Q702" i="82"/>
  <c r="R702" i="82"/>
  <c r="S702" i="82"/>
  <c r="T702" i="82"/>
  <c r="U702" i="82"/>
  <c r="B703" i="82"/>
  <c r="C703" i="82"/>
  <c r="D703" i="82"/>
  <c r="E703" i="82"/>
  <c r="W703" i="82" s="1"/>
  <c r="V6" i="163" s="1"/>
  <c r="F703" i="82"/>
  <c r="G703" i="82"/>
  <c r="H703" i="82"/>
  <c r="I703" i="82"/>
  <c r="J703" i="82"/>
  <c r="K703" i="82"/>
  <c r="L703" i="82"/>
  <c r="M703" i="82"/>
  <c r="N703" i="82"/>
  <c r="O703" i="82"/>
  <c r="P703" i="82"/>
  <c r="Q703" i="82"/>
  <c r="R703" i="82"/>
  <c r="S703" i="82"/>
  <c r="T703" i="82"/>
  <c r="U703" i="82"/>
  <c r="B704" i="82"/>
  <c r="C704" i="82"/>
  <c r="D704" i="82"/>
  <c r="E704" i="82"/>
  <c r="W704" i="82" s="1"/>
  <c r="V4" i="200" s="1"/>
  <c r="F704" i="82"/>
  <c r="G704" i="82"/>
  <c r="H704" i="82"/>
  <c r="I704" i="82"/>
  <c r="J704" i="82"/>
  <c r="K704" i="82"/>
  <c r="L704" i="82"/>
  <c r="M704" i="82"/>
  <c r="N704" i="82"/>
  <c r="O704" i="82"/>
  <c r="P704" i="82"/>
  <c r="Q704" i="82"/>
  <c r="R704" i="82"/>
  <c r="S704" i="82"/>
  <c r="T704" i="82"/>
  <c r="U704" i="82"/>
  <c r="B705" i="82"/>
  <c r="C705" i="82"/>
  <c r="D705" i="82"/>
  <c r="E705" i="82"/>
  <c r="W705" i="82" s="1"/>
  <c r="V4" i="267" s="1"/>
  <c r="F705" i="82"/>
  <c r="G705" i="82"/>
  <c r="H705" i="82"/>
  <c r="I705" i="82"/>
  <c r="J705" i="82"/>
  <c r="K705" i="82"/>
  <c r="L705" i="82"/>
  <c r="M705" i="82"/>
  <c r="N705" i="82"/>
  <c r="O705" i="82"/>
  <c r="P705" i="82"/>
  <c r="Q705" i="82"/>
  <c r="R705" i="82"/>
  <c r="S705" i="82"/>
  <c r="T705" i="82"/>
  <c r="U705" i="82"/>
  <c r="B706" i="82"/>
  <c r="C706" i="82"/>
  <c r="D706" i="82"/>
  <c r="E706" i="82"/>
  <c r="W706" i="82" s="1"/>
  <c r="V7" i="67" s="1"/>
  <c r="F706" i="82"/>
  <c r="G706" i="82"/>
  <c r="H706" i="82"/>
  <c r="I706" i="82"/>
  <c r="J706" i="82"/>
  <c r="K706" i="82"/>
  <c r="L706" i="82"/>
  <c r="M706" i="82"/>
  <c r="N706" i="82"/>
  <c r="O706" i="82"/>
  <c r="P706" i="82"/>
  <c r="Q706" i="82"/>
  <c r="R706" i="82"/>
  <c r="S706" i="82"/>
  <c r="T706" i="82"/>
  <c r="U706" i="82"/>
  <c r="B707" i="82"/>
  <c r="C707" i="82"/>
  <c r="D707" i="82"/>
  <c r="E707" i="82"/>
  <c r="W707" i="82" s="1"/>
  <c r="V6" i="123" s="1"/>
  <c r="F707" i="82"/>
  <c r="G707" i="82"/>
  <c r="H707" i="82"/>
  <c r="I707" i="82"/>
  <c r="J707" i="82"/>
  <c r="K707" i="82"/>
  <c r="L707" i="82"/>
  <c r="M707" i="82"/>
  <c r="N707" i="82"/>
  <c r="O707" i="82"/>
  <c r="P707" i="82"/>
  <c r="Q707" i="82"/>
  <c r="R707" i="82"/>
  <c r="S707" i="82"/>
  <c r="T707" i="82"/>
  <c r="U707" i="82"/>
  <c r="B708" i="82"/>
  <c r="C708" i="82"/>
  <c r="D708" i="82"/>
  <c r="E708" i="82"/>
  <c r="W708" i="82" s="1"/>
  <c r="V6" i="247" s="1"/>
  <c r="F708" i="82"/>
  <c r="G708" i="82"/>
  <c r="H708" i="82"/>
  <c r="I708" i="82"/>
  <c r="J708" i="82"/>
  <c r="K708" i="82"/>
  <c r="L708" i="82"/>
  <c r="M708" i="82"/>
  <c r="N708" i="82"/>
  <c r="O708" i="82"/>
  <c r="P708" i="82"/>
  <c r="Q708" i="82"/>
  <c r="R708" i="82"/>
  <c r="S708" i="82"/>
  <c r="T708" i="82"/>
  <c r="U708" i="82"/>
  <c r="B709" i="82"/>
  <c r="C709" i="82"/>
  <c r="D709" i="82"/>
  <c r="E709" i="82"/>
  <c r="W709" i="82" s="1"/>
  <c r="V5" i="265" s="1"/>
  <c r="F709" i="82"/>
  <c r="G709" i="82"/>
  <c r="H709" i="82"/>
  <c r="I709" i="82"/>
  <c r="J709" i="82"/>
  <c r="K709" i="82"/>
  <c r="L709" i="82"/>
  <c r="M709" i="82"/>
  <c r="N709" i="82"/>
  <c r="O709" i="82"/>
  <c r="P709" i="82"/>
  <c r="Q709" i="82"/>
  <c r="R709" i="82"/>
  <c r="S709" i="82"/>
  <c r="T709" i="82"/>
  <c r="U709" i="82"/>
  <c r="B710" i="82"/>
  <c r="C710" i="82"/>
  <c r="D710" i="82"/>
  <c r="E710" i="82"/>
  <c r="W710" i="82" s="1"/>
  <c r="V6" i="89" s="1"/>
  <c r="F710" i="82"/>
  <c r="G710" i="82"/>
  <c r="H710" i="82"/>
  <c r="I710" i="82"/>
  <c r="J710" i="82"/>
  <c r="K710" i="82"/>
  <c r="L710" i="82"/>
  <c r="M710" i="82"/>
  <c r="N710" i="82"/>
  <c r="O710" i="82"/>
  <c r="P710" i="82"/>
  <c r="Q710" i="82"/>
  <c r="R710" i="82"/>
  <c r="S710" i="82"/>
  <c r="T710" i="82"/>
  <c r="U710" i="82"/>
  <c r="B711" i="82"/>
  <c r="C711" i="82"/>
  <c r="D711" i="82"/>
  <c r="E711" i="82"/>
  <c r="W711" i="82" s="1"/>
  <c r="V5" i="184" s="1"/>
  <c r="F711" i="82"/>
  <c r="G711" i="82"/>
  <c r="H711" i="82"/>
  <c r="I711" i="82"/>
  <c r="J711" i="82"/>
  <c r="K711" i="82"/>
  <c r="L711" i="82"/>
  <c r="M711" i="82"/>
  <c r="N711" i="82"/>
  <c r="O711" i="82"/>
  <c r="P711" i="82"/>
  <c r="Q711" i="82"/>
  <c r="R711" i="82"/>
  <c r="S711" i="82"/>
  <c r="T711" i="82"/>
  <c r="U711" i="82"/>
  <c r="B712" i="82"/>
  <c r="C712" i="82"/>
  <c r="D712" i="82"/>
  <c r="C96" i="13" s="1"/>
  <c r="E712" i="82"/>
  <c r="W712" i="82" s="1"/>
  <c r="V5" i="200" s="1"/>
  <c r="F712" i="82"/>
  <c r="G712" i="82"/>
  <c r="H712" i="82"/>
  <c r="I712" i="82"/>
  <c r="J712" i="82"/>
  <c r="K712" i="82"/>
  <c r="L712" i="82"/>
  <c r="M712" i="82"/>
  <c r="N712" i="82"/>
  <c r="O712" i="82"/>
  <c r="P712" i="82"/>
  <c r="Q712" i="82"/>
  <c r="R712" i="82"/>
  <c r="S712" i="82"/>
  <c r="T712" i="82"/>
  <c r="U712" i="82"/>
  <c r="B713" i="82"/>
  <c r="C713" i="82"/>
  <c r="D713" i="82"/>
  <c r="E713" i="82"/>
  <c r="W713" i="82" s="1"/>
  <c r="V6" i="253" s="1"/>
  <c r="F713" i="82"/>
  <c r="G713" i="82"/>
  <c r="H713" i="82"/>
  <c r="I713" i="82"/>
  <c r="J713" i="82"/>
  <c r="K713" i="82"/>
  <c r="L713" i="82"/>
  <c r="M713" i="82"/>
  <c r="N713" i="82"/>
  <c r="O713" i="82"/>
  <c r="P713" i="82"/>
  <c r="Q713" i="82"/>
  <c r="R713" i="82"/>
  <c r="S713" i="82"/>
  <c r="T713" i="82"/>
  <c r="U713" i="82"/>
  <c r="B714" i="82"/>
  <c r="C714" i="82"/>
  <c r="D714" i="82"/>
  <c r="E714" i="82"/>
  <c r="W714" i="82" s="1"/>
  <c r="V4" i="33" s="1"/>
  <c r="F714" i="82"/>
  <c r="G714" i="82"/>
  <c r="H714" i="82"/>
  <c r="I714" i="82"/>
  <c r="J714" i="82"/>
  <c r="K714" i="82"/>
  <c r="L714" i="82"/>
  <c r="M714" i="82"/>
  <c r="N714" i="82"/>
  <c r="O714" i="82"/>
  <c r="P714" i="82"/>
  <c r="Q714" i="82"/>
  <c r="R714" i="82"/>
  <c r="S714" i="82"/>
  <c r="T714" i="82"/>
  <c r="U714" i="82"/>
  <c r="B715" i="82"/>
  <c r="C715" i="82"/>
  <c r="D715" i="82"/>
  <c r="E715" i="82"/>
  <c r="W715" i="82" s="1"/>
  <c r="V7" i="276" s="1"/>
  <c r="F715" i="82"/>
  <c r="G715" i="82"/>
  <c r="H715" i="82"/>
  <c r="I715" i="82"/>
  <c r="J715" i="82"/>
  <c r="K715" i="82"/>
  <c r="L715" i="82"/>
  <c r="M715" i="82"/>
  <c r="N715" i="82"/>
  <c r="O715" i="82"/>
  <c r="P715" i="82"/>
  <c r="Q715" i="82"/>
  <c r="R715" i="82"/>
  <c r="S715" i="82"/>
  <c r="T715" i="82"/>
  <c r="U715" i="82"/>
  <c r="B716" i="82"/>
  <c r="C716" i="82"/>
  <c r="D716" i="82"/>
  <c r="E716" i="82"/>
  <c r="W716" i="82" s="1"/>
  <c r="V7" i="186" s="1"/>
  <c r="F716" i="82"/>
  <c r="G716" i="82"/>
  <c r="H716" i="82"/>
  <c r="I716" i="82"/>
  <c r="J716" i="82"/>
  <c r="K716" i="82"/>
  <c r="L716" i="82"/>
  <c r="M716" i="82"/>
  <c r="N716" i="82"/>
  <c r="O716" i="82"/>
  <c r="P716" i="82"/>
  <c r="Q716" i="82"/>
  <c r="R716" i="82"/>
  <c r="S716" i="82"/>
  <c r="T716" i="82"/>
  <c r="U716" i="82"/>
  <c r="B717" i="82"/>
  <c r="C717" i="82"/>
  <c r="D717" i="82"/>
  <c r="E717" i="82"/>
  <c r="W717" i="82" s="1"/>
  <c r="V6" i="158" s="1"/>
  <c r="F717" i="82"/>
  <c r="G717" i="82"/>
  <c r="H717" i="82"/>
  <c r="I717" i="82"/>
  <c r="J717" i="82"/>
  <c r="K717" i="82"/>
  <c r="L717" i="82"/>
  <c r="M717" i="82"/>
  <c r="N717" i="82"/>
  <c r="O717" i="82"/>
  <c r="P717" i="82"/>
  <c r="Q717" i="82"/>
  <c r="R717" i="82"/>
  <c r="S717" i="82"/>
  <c r="T717" i="82"/>
  <c r="U717" i="82"/>
  <c r="B718" i="82"/>
  <c r="C718" i="82"/>
  <c r="D718" i="82"/>
  <c r="E718" i="82"/>
  <c r="W718" i="82" s="1"/>
  <c r="V5" i="96" s="1"/>
  <c r="F718" i="82"/>
  <c r="G718" i="82"/>
  <c r="H718" i="82"/>
  <c r="I718" i="82"/>
  <c r="J718" i="82"/>
  <c r="K718" i="82"/>
  <c r="L718" i="82"/>
  <c r="M718" i="82"/>
  <c r="N718" i="82"/>
  <c r="O718" i="82"/>
  <c r="P718" i="82"/>
  <c r="Q718" i="82"/>
  <c r="R718" i="82"/>
  <c r="S718" i="82"/>
  <c r="T718" i="82"/>
  <c r="U718" i="82"/>
  <c r="B719" i="82"/>
  <c r="C719" i="82"/>
  <c r="D719" i="82"/>
  <c r="E719" i="82"/>
  <c r="F719" i="82"/>
  <c r="G719" i="82"/>
  <c r="H719" i="82"/>
  <c r="I719" i="82"/>
  <c r="J719" i="82"/>
  <c r="K719" i="82"/>
  <c r="L719" i="82"/>
  <c r="M719" i="82"/>
  <c r="N719" i="82"/>
  <c r="O719" i="82"/>
  <c r="P719" i="82"/>
  <c r="Q719" i="82"/>
  <c r="R719" i="82"/>
  <c r="S719" i="82"/>
  <c r="T719" i="82"/>
  <c r="U719" i="82"/>
  <c r="B720" i="82"/>
  <c r="C720" i="82"/>
  <c r="D720" i="82"/>
  <c r="E720" i="82"/>
  <c r="W720" i="82" s="1"/>
  <c r="V6" i="30" s="1"/>
  <c r="F720" i="82"/>
  <c r="G720" i="82"/>
  <c r="H720" i="82"/>
  <c r="I720" i="82"/>
  <c r="J720" i="82"/>
  <c r="K720" i="82"/>
  <c r="L720" i="82"/>
  <c r="M720" i="82"/>
  <c r="N720" i="82"/>
  <c r="O720" i="82"/>
  <c r="P720" i="82"/>
  <c r="Q720" i="82"/>
  <c r="R720" i="82"/>
  <c r="S720" i="82"/>
  <c r="T720" i="82"/>
  <c r="U720" i="82"/>
  <c r="B721" i="82"/>
  <c r="C721" i="82"/>
  <c r="D721" i="82"/>
  <c r="E721" i="82"/>
  <c r="W721" i="82" s="1"/>
  <c r="V7" i="144" s="1"/>
  <c r="F721" i="82"/>
  <c r="G721" i="82"/>
  <c r="H721" i="82"/>
  <c r="I721" i="82"/>
  <c r="J721" i="82"/>
  <c r="K721" i="82"/>
  <c r="L721" i="82"/>
  <c r="M721" i="82"/>
  <c r="N721" i="82"/>
  <c r="O721" i="82"/>
  <c r="P721" i="82"/>
  <c r="Q721" i="82"/>
  <c r="R721" i="82"/>
  <c r="S721" i="82"/>
  <c r="T721" i="82"/>
  <c r="U721" i="82"/>
  <c r="B722" i="82"/>
  <c r="C722" i="82"/>
  <c r="D722" i="82"/>
  <c r="E722" i="82"/>
  <c r="W722" i="82" s="1"/>
  <c r="V6" i="194" s="1"/>
  <c r="F722" i="82"/>
  <c r="G722" i="82"/>
  <c r="H722" i="82"/>
  <c r="I722" i="82"/>
  <c r="J722" i="82"/>
  <c r="K722" i="82"/>
  <c r="L722" i="82"/>
  <c r="M722" i="82"/>
  <c r="N722" i="82"/>
  <c r="O722" i="82"/>
  <c r="P722" i="82"/>
  <c r="Q722" i="82"/>
  <c r="R722" i="82"/>
  <c r="S722" i="82"/>
  <c r="T722" i="82"/>
  <c r="U722" i="82"/>
  <c r="B723" i="82"/>
  <c r="C723" i="82"/>
  <c r="D723" i="82"/>
  <c r="E723" i="82"/>
  <c r="W723" i="82" s="1"/>
  <c r="V7" i="60" s="1"/>
  <c r="F723" i="82"/>
  <c r="G723" i="82"/>
  <c r="H723" i="82"/>
  <c r="I723" i="82"/>
  <c r="J723" i="82"/>
  <c r="K723" i="82"/>
  <c r="L723" i="82"/>
  <c r="M723" i="82"/>
  <c r="N723" i="82"/>
  <c r="O723" i="82"/>
  <c r="P723" i="82"/>
  <c r="Q723" i="82"/>
  <c r="R723" i="82"/>
  <c r="S723" i="82"/>
  <c r="T723" i="82"/>
  <c r="U723" i="82"/>
  <c r="B724" i="82"/>
  <c r="C724" i="82"/>
  <c r="D724" i="82"/>
  <c r="E724" i="82"/>
  <c r="W724" i="82" s="1"/>
  <c r="V4" i="311" s="1"/>
  <c r="F724" i="82"/>
  <c r="G724" i="82"/>
  <c r="H724" i="82"/>
  <c r="I724" i="82"/>
  <c r="J724" i="82"/>
  <c r="K724" i="82"/>
  <c r="L724" i="82"/>
  <c r="M724" i="82"/>
  <c r="N724" i="82"/>
  <c r="O724" i="82"/>
  <c r="P724" i="82"/>
  <c r="Q724" i="82"/>
  <c r="R724" i="82"/>
  <c r="S724" i="82"/>
  <c r="T724" i="82"/>
  <c r="U724" i="82"/>
  <c r="B725" i="82"/>
  <c r="C725" i="82"/>
  <c r="D725" i="82"/>
  <c r="E725" i="82"/>
  <c r="W725" i="82" s="1"/>
  <c r="V6" i="107" s="1"/>
  <c r="F725" i="82"/>
  <c r="G725" i="82"/>
  <c r="H725" i="82"/>
  <c r="I725" i="82"/>
  <c r="J725" i="82"/>
  <c r="K725" i="82"/>
  <c r="L725" i="82"/>
  <c r="M725" i="82"/>
  <c r="N725" i="82"/>
  <c r="O725" i="82"/>
  <c r="P725" i="82"/>
  <c r="Q725" i="82"/>
  <c r="R725" i="82"/>
  <c r="S725" i="82"/>
  <c r="T725" i="82"/>
  <c r="U725" i="82"/>
  <c r="B726" i="82"/>
  <c r="C726" i="82"/>
  <c r="D726" i="82"/>
  <c r="E726" i="82"/>
  <c r="W726" i="82" s="1"/>
  <c r="V5" i="148" s="1"/>
  <c r="F726" i="82"/>
  <c r="G726" i="82"/>
  <c r="H726" i="82"/>
  <c r="I726" i="82"/>
  <c r="J726" i="82"/>
  <c r="K726" i="82"/>
  <c r="L726" i="82"/>
  <c r="M726" i="82"/>
  <c r="N726" i="82"/>
  <c r="O726" i="82"/>
  <c r="P726" i="82"/>
  <c r="Q726" i="82"/>
  <c r="R726" i="82"/>
  <c r="S726" i="82"/>
  <c r="T726" i="82"/>
  <c r="U726" i="82"/>
  <c r="B727" i="82"/>
  <c r="C727" i="82"/>
  <c r="D727" i="82"/>
  <c r="E727" i="82"/>
  <c r="W727" i="82" s="1"/>
  <c r="V6" i="205" s="1"/>
  <c r="F727" i="82"/>
  <c r="G727" i="82"/>
  <c r="H727" i="82"/>
  <c r="I727" i="82"/>
  <c r="J727" i="82"/>
  <c r="K727" i="82"/>
  <c r="L727" i="82"/>
  <c r="M727" i="82"/>
  <c r="N727" i="82"/>
  <c r="O727" i="82"/>
  <c r="P727" i="82"/>
  <c r="Q727" i="82"/>
  <c r="R727" i="82"/>
  <c r="S727" i="82"/>
  <c r="T727" i="82"/>
  <c r="U727" i="82"/>
  <c r="B728" i="82"/>
  <c r="C728" i="82"/>
  <c r="D728" i="82"/>
  <c r="C97" i="13" s="1"/>
  <c r="E728" i="82"/>
  <c r="W728" i="82" s="1"/>
  <c r="V6" i="69" s="1"/>
  <c r="F728" i="82"/>
  <c r="G728" i="82"/>
  <c r="H728" i="82"/>
  <c r="I728" i="82"/>
  <c r="J728" i="82"/>
  <c r="K728" i="82"/>
  <c r="L728" i="82"/>
  <c r="M728" i="82"/>
  <c r="N728" i="82"/>
  <c r="O728" i="82"/>
  <c r="P728" i="82"/>
  <c r="Q728" i="82"/>
  <c r="R728" i="82"/>
  <c r="S728" i="82"/>
  <c r="T728" i="82"/>
  <c r="U728" i="82"/>
  <c r="B729" i="82"/>
  <c r="C729" i="82"/>
  <c r="D729" i="82"/>
  <c r="E729" i="82"/>
  <c r="W729" i="82" s="1"/>
  <c r="V6" i="200" s="1"/>
  <c r="F729" i="82"/>
  <c r="G729" i="82"/>
  <c r="H729" i="82"/>
  <c r="I729" i="82"/>
  <c r="J729" i="82"/>
  <c r="K729" i="82"/>
  <c r="L729" i="82"/>
  <c r="M729" i="82"/>
  <c r="N729" i="82"/>
  <c r="O729" i="82"/>
  <c r="P729" i="82"/>
  <c r="Q729" i="82"/>
  <c r="R729" i="82"/>
  <c r="S729" i="82"/>
  <c r="T729" i="82"/>
  <c r="U729" i="82"/>
  <c r="B730" i="82"/>
  <c r="C730" i="82"/>
  <c r="D730" i="82"/>
  <c r="E730" i="82"/>
  <c r="W730" i="82" s="1"/>
  <c r="V4" i="209" s="1"/>
  <c r="F730" i="82"/>
  <c r="G730" i="82"/>
  <c r="H730" i="82"/>
  <c r="I730" i="82"/>
  <c r="J730" i="82"/>
  <c r="K730" i="82"/>
  <c r="L730" i="82"/>
  <c r="M730" i="82"/>
  <c r="N730" i="82"/>
  <c r="O730" i="82"/>
  <c r="P730" i="82"/>
  <c r="Q730" i="82"/>
  <c r="R730" i="82"/>
  <c r="S730" i="82"/>
  <c r="T730" i="82"/>
  <c r="U730" i="82"/>
  <c r="B731" i="82"/>
  <c r="C731" i="82"/>
  <c r="D731" i="82"/>
  <c r="E731" i="82"/>
  <c r="W731" i="82" s="1"/>
  <c r="V5" i="317" s="1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C732" i="82"/>
  <c r="D732" i="82"/>
  <c r="C98" i="13" s="1"/>
  <c r="E732" i="82"/>
  <c r="W732" i="82" s="1"/>
  <c r="V5" i="269" s="1"/>
  <c r="F732" i="82"/>
  <c r="G732" i="82"/>
  <c r="H732" i="82"/>
  <c r="I732" i="82"/>
  <c r="J732" i="82"/>
  <c r="K732" i="82"/>
  <c r="L732" i="82"/>
  <c r="M732" i="82"/>
  <c r="N732" i="82"/>
  <c r="O732" i="82"/>
  <c r="P732" i="82"/>
  <c r="Q732" i="82"/>
  <c r="R732" i="82"/>
  <c r="S732" i="82"/>
  <c r="T732" i="82"/>
  <c r="U732" i="82"/>
  <c r="B733" i="82"/>
  <c r="C733" i="82"/>
  <c r="D733" i="82"/>
  <c r="E733" i="82"/>
  <c r="W733" i="82" s="1"/>
  <c r="V4" i="176" s="1"/>
  <c r="F733" i="82"/>
  <c r="G733" i="82"/>
  <c r="H733" i="82"/>
  <c r="I733" i="82"/>
  <c r="J733" i="82"/>
  <c r="K733" i="82"/>
  <c r="L733" i="82"/>
  <c r="M733" i="82"/>
  <c r="N733" i="82"/>
  <c r="O733" i="82"/>
  <c r="P733" i="82"/>
  <c r="Q733" i="82"/>
  <c r="R733" i="82"/>
  <c r="S733" i="82"/>
  <c r="T733" i="82"/>
  <c r="U733" i="82"/>
  <c r="B734" i="82"/>
  <c r="C734" i="82"/>
  <c r="D734" i="82"/>
  <c r="E734" i="82"/>
  <c r="W734" i="82" s="1"/>
  <c r="V6" i="70" s="1"/>
  <c r="F734" i="82"/>
  <c r="G734" i="82"/>
  <c r="H734" i="82"/>
  <c r="I734" i="82"/>
  <c r="J734" i="82"/>
  <c r="K734" i="82"/>
  <c r="L734" i="82"/>
  <c r="M734" i="82"/>
  <c r="N734" i="82"/>
  <c r="O734" i="82"/>
  <c r="P734" i="82"/>
  <c r="Q734" i="82"/>
  <c r="R734" i="82"/>
  <c r="S734" i="82"/>
  <c r="T734" i="82"/>
  <c r="U734" i="82"/>
  <c r="B735" i="82"/>
  <c r="C735" i="82"/>
  <c r="D735" i="82"/>
  <c r="C99" i="13" s="1"/>
  <c r="E735" i="82"/>
  <c r="W735" i="82" s="1"/>
  <c r="V6" i="319" s="1"/>
  <c r="F735" i="82"/>
  <c r="G735" i="82"/>
  <c r="H735" i="82"/>
  <c r="I735" i="82"/>
  <c r="J735" i="82"/>
  <c r="K735" i="82"/>
  <c r="L735" i="82"/>
  <c r="M735" i="82"/>
  <c r="N735" i="82"/>
  <c r="O735" i="82"/>
  <c r="P735" i="82"/>
  <c r="Q735" i="82"/>
  <c r="R735" i="82"/>
  <c r="S735" i="82"/>
  <c r="T735" i="82"/>
  <c r="U735" i="82"/>
  <c r="B736" i="82"/>
  <c r="C736" i="82"/>
  <c r="D736" i="82"/>
  <c r="E736" i="82"/>
  <c r="W736" i="82" s="1"/>
  <c r="V6" i="62" s="1"/>
  <c r="F736" i="82"/>
  <c r="G736" i="82"/>
  <c r="H736" i="82"/>
  <c r="I736" i="82"/>
  <c r="J736" i="82"/>
  <c r="K736" i="82"/>
  <c r="L736" i="82"/>
  <c r="M736" i="82"/>
  <c r="N736" i="82"/>
  <c r="O736" i="82"/>
  <c r="P736" i="82"/>
  <c r="Q736" i="82"/>
  <c r="R736" i="82"/>
  <c r="S736" i="82"/>
  <c r="T736" i="82"/>
  <c r="U736" i="82"/>
  <c r="B737" i="82"/>
  <c r="C737" i="82"/>
  <c r="D737" i="82"/>
  <c r="E737" i="82"/>
  <c r="W737" i="82" s="1"/>
  <c r="V5" i="31" s="1"/>
  <c r="F737" i="82"/>
  <c r="G737" i="82"/>
  <c r="H737" i="82"/>
  <c r="I737" i="82"/>
  <c r="J737" i="82"/>
  <c r="K737" i="82"/>
  <c r="L737" i="82"/>
  <c r="M737" i="82"/>
  <c r="N737" i="82"/>
  <c r="O737" i="82"/>
  <c r="P737" i="82"/>
  <c r="Q737" i="82"/>
  <c r="R737" i="82"/>
  <c r="S737" i="82"/>
  <c r="T737" i="82"/>
  <c r="U737" i="82"/>
  <c r="B738" i="82"/>
  <c r="C738" i="82"/>
  <c r="D738" i="82"/>
  <c r="E738" i="82"/>
  <c r="W738" i="82" s="1"/>
  <c r="V5" i="172" s="1"/>
  <c r="F738" i="82"/>
  <c r="G738" i="82"/>
  <c r="H738" i="82"/>
  <c r="I738" i="82"/>
  <c r="J738" i="82"/>
  <c r="K738" i="82"/>
  <c r="L738" i="82"/>
  <c r="M738" i="82"/>
  <c r="N738" i="82"/>
  <c r="O738" i="82"/>
  <c r="P738" i="82"/>
  <c r="Q738" i="82"/>
  <c r="R738" i="82"/>
  <c r="S738" i="82"/>
  <c r="T738" i="82"/>
  <c r="U738" i="82"/>
  <c r="B739" i="82"/>
  <c r="C739" i="82"/>
  <c r="D739" i="82"/>
  <c r="E739" i="82"/>
  <c r="W739" i="82" s="1"/>
  <c r="V6" i="104" s="1"/>
  <c r="F739" i="82"/>
  <c r="G739" i="82"/>
  <c r="H739" i="82"/>
  <c r="I739" i="82"/>
  <c r="J739" i="82"/>
  <c r="K739" i="82"/>
  <c r="L739" i="82"/>
  <c r="M739" i="82"/>
  <c r="N739" i="82"/>
  <c r="O739" i="82"/>
  <c r="P739" i="82"/>
  <c r="Q739" i="82"/>
  <c r="R739" i="82"/>
  <c r="S739" i="82"/>
  <c r="T739" i="82"/>
  <c r="U739" i="82"/>
  <c r="B740" i="82"/>
  <c r="C740" i="82"/>
  <c r="D740" i="82"/>
  <c r="E740" i="82"/>
  <c r="W740" i="82" s="1"/>
  <c r="V5" i="142" s="1"/>
  <c r="F740" i="82"/>
  <c r="G740" i="82"/>
  <c r="H740" i="82"/>
  <c r="I740" i="82"/>
  <c r="J740" i="82"/>
  <c r="K740" i="82"/>
  <c r="L740" i="82"/>
  <c r="M740" i="82"/>
  <c r="N740" i="82"/>
  <c r="O740" i="82"/>
  <c r="P740" i="82"/>
  <c r="Q740" i="82"/>
  <c r="R740" i="82"/>
  <c r="S740" i="82"/>
  <c r="T740" i="82"/>
  <c r="U740" i="82"/>
  <c r="B741" i="82"/>
  <c r="C741" i="82"/>
  <c r="D741" i="82"/>
  <c r="C100" i="13" s="1"/>
  <c r="E741" i="82"/>
  <c r="W741" i="82" s="1"/>
  <c r="V6" i="214" s="1"/>
  <c r="F741" i="82"/>
  <c r="G741" i="82"/>
  <c r="H741" i="82"/>
  <c r="I741" i="82"/>
  <c r="J741" i="82"/>
  <c r="K741" i="82"/>
  <c r="L741" i="82"/>
  <c r="M741" i="82"/>
  <c r="N741" i="82"/>
  <c r="O741" i="82"/>
  <c r="P741" i="82"/>
  <c r="Q741" i="82"/>
  <c r="R741" i="82"/>
  <c r="S741" i="82"/>
  <c r="T741" i="82"/>
  <c r="U741" i="82"/>
  <c r="B742" i="82"/>
  <c r="C742" i="82"/>
  <c r="D742" i="82"/>
  <c r="E742" i="82"/>
  <c r="W742" i="82" s="1"/>
  <c r="V6" i="146" s="1"/>
  <c r="F742" i="82"/>
  <c r="G742" i="82"/>
  <c r="H742" i="82"/>
  <c r="I742" i="82"/>
  <c r="J742" i="82"/>
  <c r="K742" i="82"/>
  <c r="L742" i="82"/>
  <c r="M742" i="82"/>
  <c r="N742" i="82"/>
  <c r="O742" i="82"/>
  <c r="P742" i="82"/>
  <c r="Q742" i="82"/>
  <c r="R742" i="82"/>
  <c r="S742" i="82"/>
  <c r="T742" i="82"/>
  <c r="U742" i="82"/>
  <c r="B743" i="82"/>
  <c r="C743" i="82"/>
  <c r="D743" i="82"/>
  <c r="E743" i="82"/>
  <c r="W743" i="82" s="1"/>
  <c r="V5" i="191" s="1"/>
  <c r="F743" i="82"/>
  <c r="G743" i="82"/>
  <c r="H743" i="82"/>
  <c r="I743" i="82"/>
  <c r="J743" i="82"/>
  <c r="K743" i="82"/>
  <c r="L743" i="82"/>
  <c r="M743" i="82"/>
  <c r="N743" i="82"/>
  <c r="O743" i="82"/>
  <c r="P743" i="82"/>
  <c r="Q743" i="82"/>
  <c r="R743" i="82"/>
  <c r="S743" i="82"/>
  <c r="T743" i="82"/>
  <c r="U743" i="82"/>
  <c r="B744" i="82"/>
  <c r="C744" i="82"/>
  <c r="D744" i="82"/>
  <c r="C101" i="13" s="1"/>
  <c r="E744" i="82"/>
  <c r="W744" i="82" s="1"/>
  <c r="V6" i="238" s="1"/>
  <c r="F744" i="82"/>
  <c r="G744" i="82"/>
  <c r="H744" i="82"/>
  <c r="I744" i="82"/>
  <c r="J744" i="82"/>
  <c r="K744" i="82"/>
  <c r="L744" i="82"/>
  <c r="M744" i="82"/>
  <c r="N744" i="82"/>
  <c r="O744" i="82"/>
  <c r="P744" i="82"/>
  <c r="Q744" i="82"/>
  <c r="R744" i="82"/>
  <c r="S744" i="82"/>
  <c r="T744" i="82"/>
  <c r="U744" i="82"/>
  <c r="B745" i="82"/>
  <c r="C745" i="82"/>
  <c r="D745" i="82"/>
  <c r="E745" i="82"/>
  <c r="W745" i="82" s="1"/>
  <c r="V5" i="106" s="1"/>
  <c r="F745" i="82"/>
  <c r="G745" i="82"/>
  <c r="H745" i="82"/>
  <c r="I745" i="82"/>
  <c r="J745" i="82"/>
  <c r="K745" i="82"/>
  <c r="L745" i="82"/>
  <c r="M745" i="82"/>
  <c r="N745" i="82"/>
  <c r="O745" i="82"/>
  <c r="P745" i="82"/>
  <c r="Q745" i="82"/>
  <c r="R745" i="82"/>
  <c r="S745" i="82"/>
  <c r="T745" i="82"/>
  <c r="U745" i="82"/>
  <c r="B746" i="82"/>
  <c r="C746" i="82"/>
  <c r="D746" i="82"/>
  <c r="C102" i="13" s="1"/>
  <c r="E746" i="82"/>
  <c r="W746" i="82" s="1"/>
  <c r="V6" i="263" s="1"/>
  <c r="F746" i="82"/>
  <c r="G746" i="82"/>
  <c r="H746" i="82"/>
  <c r="I746" i="82"/>
  <c r="J746" i="82"/>
  <c r="K746" i="82"/>
  <c r="L746" i="82"/>
  <c r="M746" i="82"/>
  <c r="N746" i="82"/>
  <c r="O746" i="82"/>
  <c r="P746" i="82"/>
  <c r="Q746" i="82"/>
  <c r="R746" i="82"/>
  <c r="S746" i="82"/>
  <c r="T746" i="82"/>
  <c r="U746" i="82"/>
  <c r="B747" i="82"/>
  <c r="C747" i="82"/>
  <c r="D747" i="82"/>
  <c r="E747" i="82"/>
  <c r="W747" i="82" s="1"/>
  <c r="V5" i="241" s="1"/>
  <c r="F747" i="82"/>
  <c r="G747" i="82"/>
  <c r="H747" i="82"/>
  <c r="I747" i="82"/>
  <c r="J747" i="82"/>
  <c r="K747" i="82"/>
  <c r="L747" i="82"/>
  <c r="M747" i="82"/>
  <c r="N747" i="82"/>
  <c r="O747" i="82"/>
  <c r="P747" i="82"/>
  <c r="Q747" i="82"/>
  <c r="R747" i="82"/>
  <c r="S747" i="82"/>
  <c r="T747" i="82"/>
  <c r="U747" i="82"/>
  <c r="B748" i="82"/>
  <c r="C748" i="82"/>
  <c r="D748" i="82"/>
  <c r="E748" i="82"/>
  <c r="W748" i="82" s="1"/>
  <c r="V6" i="240" s="1"/>
  <c r="F748" i="82"/>
  <c r="G748" i="82"/>
  <c r="H748" i="82"/>
  <c r="I748" i="82"/>
  <c r="J748" i="82"/>
  <c r="K748" i="82"/>
  <c r="L748" i="82"/>
  <c r="M748" i="82"/>
  <c r="N748" i="82"/>
  <c r="O748" i="82"/>
  <c r="P748" i="82"/>
  <c r="Q748" i="82"/>
  <c r="R748" i="82"/>
  <c r="S748" i="82"/>
  <c r="T748" i="82"/>
  <c r="U748" i="82"/>
  <c r="B749" i="82"/>
  <c r="C749" i="82"/>
  <c r="D749" i="82"/>
  <c r="E749" i="82"/>
  <c r="W749" i="82" s="1"/>
  <c r="V6" i="85" s="1"/>
  <c r="F749" i="82"/>
  <c r="G749" i="82"/>
  <c r="H749" i="82"/>
  <c r="I749" i="82"/>
  <c r="J749" i="82"/>
  <c r="K749" i="82"/>
  <c r="L749" i="82"/>
  <c r="M749" i="82"/>
  <c r="N749" i="82"/>
  <c r="O749" i="82"/>
  <c r="P749" i="82"/>
  <c r="Q749" i="82"/>
  <c r="R749" i="82"/>
  <c r="S749" i="82"/>
  <c r="T749" i="82"/>
  <c r="U749" i="82"/>
  <c r="B750" i="82"/>
  <c r="C750" i="82"/>
  <c r="D750" i="82"/>
  <c r="E750" i="82"/>
  <c r="W750" i="82" s="1"/>
  <c r="V4" i="141" s="1"/>
  <c r="F750" i="82"/>
  <c r="G750" i="82"/>
  <c r="H750" i="82"/>
  <c r="I750" i="82"/>
  <c r="J750" i="82"/>
  <c r="K750" i="82"/>
  <c r="L750" i="82"/>
  <c r="M750" i="82"/>
  <c r="N750" i="82"/>
  <c r="O750" i="82"/>
  <c r="P750" i="82"/>
  <c r="Q750" i="82"/>
  <c r="R750" i="82"/>
  <c r="S750" i="82"/>
  <c r="T750" i="82"/>
  <c r="U750" i="82"/>
  <c r="B751" i="82"/>
  <c r="C751" i="82"/>
  <c r="D751" i="82"/>
  <c r="E751" i="82"/>
  <c r="W751" i="82" s="1"/>
  <c r="V5" i="141" s="1"/>
  <c r="F751" i="82"/>
  <c r="G751" i="82"/>
  <c r="H751" i="82"/>
  <c r="I751" i="82"/>
  <c r="J751" i="82"/>
  <c r="K751" i="82"/>
  <c r="L751" i="82"/>
  <c r="M751" i="82"/>
  <c r="N751" i="82"/>
  <c r="O751" i="82"/>
  <c r="P751" i="82"/>
  <c r="Q751" i="82"/>
  <c r="R751" i="82"/>
  <c r="S751" i="82"/>
  <c r="T751" i="82"/>
  <c r="U751" i="82"/>
  <c r="B752" i="82"/>
  <c r="C752" i="82"/>
  <c r="D752" i="82"/>
  <c r="E752" i="82"/>
  <c r="W752" i="82" s="1"/>
  <c r="V5" i="209" s="1"/>
  <c r="F752" i="82"/>
  <c r="G752" i="82"/>
  <c r="H752" i="82"/>
  <c r="I752" i="82"/>
  <c r="J752" i="82"/>
  <c r="K752" i="82"/>
  <c r="L752" i="82"/>
  <c r="M752" i="82"/>
  <c r="N752" i="82"/>
  <c r="O752" i="82"/>
  <c r="P752" i="82"/>
  <c r="Q752" i="82"/>
  <c r="R752" i="82"/>
  <c r="S752" i="82"/>
  <c r="T752" i="82"/>
  <c r="U752" i="82"/>
  <c r="B753" i="82"/>
  <c r="C753" i="82"/>
  <c r="D753" i="82"/>
  <c r="E753" i="82"/>
  <c r="W753" i="82" s="1"/>
  <c r="V6" i="118" s="1"/>
  <c r="F753" i="82"/>
  <c r="G753" i="82"/>
  <c r="H753" i="82"/>
  <c r="I753" i="82"/>
  <c r="J753" i="82"/>
  <c r="K753" i="82"/>
  <c r="L753" i="82"/>
  <c r="M753" i="82"/>
  <c r="N753" i="82"/>
  <c r="O753" i="82"/>
  <c r="P753" i="82"/>
  <c r="Q753" i="82"/>
  <c r="R753" i="82"/>
  <c r="S753" i="82"/>
  <c r="T753" i="82"/>
  <c r="U753" i="82"/>
  <c r="B754" i="82"/>
  <c r="C754" i="82"/>
  <c r="D754" i="82"/>
  <c r="E754" i="82"/>
  <c r="W754" i="82" s="1"/>
  <c r="V5" i="239" s="1"/>
  <c r="F754" i="82"/>
  <c r="G754" i="82"/>
  <c r="H754" i="82"/>
  <c r="I754" i="82"/>
  <c r="J754" i="82"/>
  <c r="K754" i="82"/>
  <c r="L754" i="82"/>
  <c r="M754" i="82"/>
  <c r="N754" i="82"/>
  <c r="O754" i="82"/>
  <c r="P754" i="82"/>
  <c r="Q754" i="82"/>
  <c r="R754" i="82"/>
  <c r="S754" i="82"/>
  <c r="T754" i="82"/>
  <c r="U754" i="82"/>
  <c r="B755" i="82"/>
  <c r="C755" i="82"/>
  <c r="D755" i="82"/>
  <c r="E755" i="82"/>
  <c r="W755" i="82" s="1"/>
  <c r="V7" i="70" s="1"/>
  <c r="F755" i="82"/>
  <c r="G755" i="82"/>
  <c r="H755" i="82"/>
  <c r="I755" i="82"/>
  <c r="J755" i="82"/>
  <c r="K755" i="82"/>
  <c r="L755" i="82"/>
  <c r="M755" i="82"/>
  <c r="N755" i="82"/>
  <c r="O755" i="82"/>
  <c r="P755" i="82"/>
  <c r="Q755" i="82"/>
  <c r="R755" i="82"/>
  <c r="S755" i="82"/>
  <c r="T755" i="82"/>
  <c r="U755" i="82"/>
  <c r="B756" i="82"/>
  <c r="C756" i="82"/>
  <c r="D756" i="82"/>
  <c r="E756" i="82"/>
  <c r="W756" i="82" s="1"/>
  <c r="V6" i="242" s="1"/>
  <c r="F756" i="82"/>
  <c r="G756" i="82"/>
  <c r="H756" i="82"/>
  <c r="I756" i="82"/>
  <c r="J756" i="82"/>
  <c r="K756" i="82"/>
  <c r="L756" i="82"/>
  <c r="M756" i="82"/>
  <c r="N756" i="82"/>
  <c r="O756" i="82"/>
  <c r="P756" i="82"/>
  <c r="Q756" i="82"/>
  <c r="R756" i="82"/>
  <c r="S756" i="82"/>
  <c r="T756" i="82"/>
  <c r="U756" i="82"/>
  <c r="B757" i="82"/>
  <c r="C757" i="82"/>
  <c r="D757" i="82"/>
  <c r="E757" i="82"/>
  <c r="W757" i="82" s="1"/>
  <c r="V6" i="209" s="1"/>
  <c r="F757" i="82"/>
  <c r="G757" i="82"/>
  <c r="H757" i="82"/>
  <c r="I757" i="82"/>
  <c r="J757" i="82"/>
  <c r="K757" i="82"/>
  <c r="L757" i="82"/>
  <c r="M757" i="82"/>
  <c r="N757" i="82"/>
  <c r="O757" i="82"/>
  <c r="P757" i="82"/>
  <c r="Q757" i="82"/>
  <c r="R757" i="82"/>
  <c r="S757" i="82"/>
  <c r="T757" i="82"/>
  <c r="U757" i="82"/>
  <c r="B758" i="82"/>
  <c r="C758" i="82"/>
  <c r="D758" i="82"/>
  <c r="E758" i="82"/>
  <c r="W758" i="82" s="1"/>
  <c r="V6" i="241" s="1"/>
  <c r="F758" i="82"/>
  <c r="G758" i="82"/>
  <c r="H758" i="82"/>
  <c r="I758" i="82"/>
  <c r="J758" i="82"/>
  <c r="K758" i="82"/>
  <c r="L758" i="82"/>
  <c r="M758" i="82"/>
  <c r="N758" i="82"/>
  <c r="O758" i="82"/>
  <c r="P758" i="82"/>
  <c r="Q758" i="82"/>
  <c r="R758" i="82"/>
  <c r="S758" i="82"/>
  <c r="T758" i="82"/>
  <c r="U758" i="82"/>
  <c r="B759" i="82"/>
  <c r="C759" i="82"/>
  <c r="D759" i="82"/>
  <c r="C103" i="13" s="1"/>
  <c r="E759" i="82"/>
  <c r="W759" i="82" s="1"/>
  <c r="V5" i="26" s="1"/>
  <c r="F759" i="82"/>
  <c r="G759" i="82"/>
  <c r="H759" i="82"/>
  <c r="I759" i="82"/>
  <c r="J759" i="82"/>
  <c r="K759" i="82"/>
  <c r="L759" i="82"/>
  <c r="M759" i="82"/>
  <c r="N759" i="82"/>
  <c r="O759" i="82"/>
  <c r="P759" i="82"/>
  <c r="Q759" i="82"/>
  <c r="R759" i="82"/>
  <c r="S759" i="82"/>
  <c r="T759" i="82"/>
  <c r="U759" i="82"/>
  <c r="B760" i="82"/>
  <c r="C760" i="82"/>
  <c r="D760" i="82"/>
  <c r="E760" i="82"/>
  <c r="W760" i="82" s="1"/>
  <c r="V6" i="210" s="1"/>
  <c r="F760" i="82"/>
  <c r="G760" i="82"/>
  <c r="H760" i="82"/>
  <c r="I760" i="82"/>
  <c r="J760" i="82"/>
  <c r="K760" i="82"/>
  <c r="L760" i="82"/>
  <c r="M760" i="82"/>
  <c r="N760" i="82"/>
  <c r="O760" i="82"/>
  <c r="P760" i="82"/>
  <c r="Q760" i="82"/>
  <c r="R760" i="82"/>
  <c r="S760" i="82"/>
  <c r="T760" i="82"/>
  <c r="U760" i="82"/>
  <c r="B761" i="82"/>
  <c r="C761" i="82"/>
  <c r="D761" i="82"/>
  <c r="E761" i="82"/>
  <c r="W761" i="82" s="1"/>
  <c r="V5" i="243" s="1"/>
  <c r="F761" i="82"/>
  <c r="G761" i="82"/>
  <c r="H761" i="82"/>
  <c r="I761" i="82"/>
  <c r="J761" i="82"/>
  <c r="K761" i="82"/>
  <c r="L761" i="82"/>
  <c r="M761" i="82"/>
  <c r="N761" i="82"/>
  <c r="O761" i="82"/>
  <c r="P761" i="82"/>
  <c r="Q761" i="82"/>
  <c r="R761" i="82"/>
  <c r="S761" i="82"/>
  <c r="T761" i="82"/>
  <c r="U761" i="82"/>
  <c r="B762" i="82"/>
  <c r="C762" i="82"/>
  <c r="D762" i="82"/>
  <c r="E762" i="82"/>
  <c r="W762" i="82" s="1"/>
  <c r="V6" i="232" s="1"/>
  <c r="F762" i="82"/>
  <c r="G762" i="82"/>
  <c r="H762" i="82"/>
  <c r="I762" i="82"/>
  <c r="J762" i="82"/>
  <c r="K762" i="82"/>
  <c r="L762" i="82"/>
  <c r="M762" i="82"/>
  <c r="N762" i="82"/>
  <c r="O762" i="82"/>
  <c r="P762" i="82"/>
  <c r="Q762" i="82"/>
  <c r="R762" i="82"/>
  <c r="S762" i="82"/>
  <c r="T762" i="82"/>
  <c r="U762" i="82"/>
  <c r="B763" i="82"/>
  <c r="C763" i="82"/>
  <c r="D763" i="82"/>
  <c r="E763" i="82"/>
  <c r="W763" i="82" s="1"/>
  <c r="V6" i="265" s="1"/>
  <c r="F763" i="82"/>
  <c r="G763" i="82"/>
  <c r="H763" i="82"/>
  <c r="I763" i="82"/>
  <c r="J763" i="82"/>
  <c r="K763" i="82"/>
  <c r="L763" i="82"/>
  <c r="M763" i="82"/>
  <c r="N763" i="82"/>
  <c r="O763" i="82"/>
  <c r="P763" i="82"/>
  <c r="Q763" i="82"/>
  <c r="R763" i="82"/>
  <c r="S763" i="82"/>
  <c r="T763" i="82"/>
  <c r="U763" i="82"/>
  <c r="B764" i="82"/>
  <c r="C764" i="82"/>
  <c r="D764" i="82"/>
  <c r="E764" i="82"/>
  <c r="W764" i="82" s="1"/>
  <c r="V5" i="92" s="1"/>
  <c r="F764" i="82"/>
  <c r="G764" i="82"/>
  <c r="H764" i="82"/>
  <c r="I764" i="82"/>
  <c r="J764" i="82"/>
  <c r="K764" i="82"/>
  <c r="L764" i="82"/>
  <c r="M764" i="82"/>
  <c r="N764" i="82"/>
  <c r="O764" i="82"/>
  <c r="P764" i="82"/>
  <c r="Q764" i="82"/>
  <c r="R764" i="82"/>
  <c r="S764" i="82"/>
  <c r="T764" i="82"/>
  <c r="U764" i="82"/>
  <c r="B765" i="82"/>
  <c r="C765" i="82"/>
  <c r="D765" i="82"/>
  <c r="E765" i="82"/>
  <c r="W765" i="82" s="1"/>
  <c r="V5" i="143" s="1"/>
  <c r="F765" i="82"/>
  <c r="G765" i="82"/>
  <c r="H765" i="82"/>
  <c r="I765" i="82"/>
  <c r="J765" i="82"/>
  <c r="K765" i="82"/>
  <c r="L765" i="82"/>
  <c r="M765" i="82"/>
  <c r="N765" i="82"/>
  <c r="O765" i="82"/>
  <c r="P765" i="82"/>
  <c r="Q765" i="82"/>
  <c r="R765" i="82"/>
  <c r="S765" i="82"/>
  <c r="T765" i="82"/>
  <c r="U765" i="82"/>
  <c r="B766" i="82"/>
  <c r="C766" i="82"/>
  <c r="D766" i="82"/>
  <c r="E766" i="82"/>
  <c r="F766" i="82"/>
  <c r="G766" i="82"/>
  <c r="H766" i="82"/>
  <c r="I766" i="82"/>
  <c r="J766" i="82"/>
  <c r="K766" i="82"/>
  <c r="L766" i="82"/>
  <c r="M766" i="82"/>
  <c r="N766" i="82"/>
  <c r="O766" i="82"/>
  <c r="P766" i="82"/>
  <c r="Q766" i="82"/>
  <c r="R766" i="82"/>
  <c r="S766" i="82"/>
  <c r="T766" i="82"/>
  <c r="U766" i="82"/>
  <c r="B767" i="82"/>
  <c r="C767" i="82"/>
  <c r="D767" i="82"/>
  <c r="C104" i="13" s="1"/>
  <c r="E767" i="82"/>
  <c r="W767" i="82" s="1"/>
  <c r="V6" i="202" s="1"/>
  <c r="F767" i="82"/>
  <c r="G767" i="82"/>
  <c r="H767" i="82"/>
  <c r="I767" i="82"/>
  <c r="J767" i="82"/>
  <c r="K767" i="82"/>
  <c r="L767" i="82"/>
  <c r="M767" i="82"/>
  <c r="N767" i="82"/>
  <c r="O767" i="82"/>
  <c r="P767" i="82"/>
  <c r="Q767" i="82"/>
  <c r="R767" i="82"/>
  <c r="S767" i="82"/>
  <c r="T767" i="82"/>
  <c r="U767" i="82"/>
  <c r="B768" i="82"/>
  <c r="C768" i="82"/>
  <c r="D768" i="82"/>
  <c r="E768" i="82"/>
  <c r="W768" i="82" s="1"/>
  <c r="V5" i="168" s="1"/>
  <c r="F768" i="82"/>
  <c r="G768" i="82"/>
  <c r="H768" i="82"/>
  <c r="I768" i="82"/>
  <c r="J768" i="82"/>
  <c r="K768" i="82"/>
  <c r="L768" i="82"/>
  <c r="M768" i="82"/>
  <c r="N768" i="82"/>
  <c r="O768" i="82"/>
  <c r="P768" i="82"/>
  <c r="Q768" i="82"/>
  <c r="R768" i="82"/>
  <c r="S768" i="82"/>
  <c r="T768" i="82"/>
  <c r="U768" i="82"/>
  <c r="B769" i="82"/>
  <c r="C769" i="82"/>
  <c r="D769" i="82"/>
  <c r="E769" i="82"/>
  <c r="W769" i="82" s="1"/>
  <c r="V5" i="274" s="1"/>
  <c r="F769" i="82"/>
  <c r="G769" i="82"/>
  <c r="H769" i="82"/>
  <c r="I769" i="82"/>
  <c r="J769" i="82"/>
  <c r="K769" i="82"/>
  <c r="L769" i="82"/>
  <c r="M769" i="82"/>
  <c r="N769" i="82"/>
  <c r="O769" i="82"/>
  <c r="P769" i="82"/>
  <c r="Q769" i="82"/>
  <c r="R769" i="82"/>
  <c r="S769" i="82"/>
  <c r="T769" i="82"/>
  <c r="U769" i="82"/>
  <c r="B770" i="82"/>
  <c r="C770" i="82"/>
  <c r="D770" i="82"/>
  <c r="E770" i="82"/>
  <c r="W770" i="82" s="1"/>
  <c r="V5" i="86" s="1"/>
  <c r="F770" i="82"/>
  <c r="G770" i="82"/>
  <c r="H770" i="82"/>
  <c r="I770" i="82"/>
  <c r="J770" i="82"/>
  <c r="K770" i="82"/>
  <c r="L770" i="82"/>
  <c r="M770" i="82"/>
  <c r="N770" i="82"/>
  <c r="O770" i="82"/>
  <c r="P770" i="82"/>
  <c r="Q770" i="82"/>
  <c r="R770" i="82"/>
  <c r="S770" i="82"/>
  <c r="T770" i="82"/>
  <c r="U770" i="82"/>
  <c r="B771" i="82"/>
  <c r="C771" i="82"/>
  <c r="D771" i="82"/>
  <c r="E771" i="82"/>
  <c r="W771" i="82" s="1"/>
  <c r="V6" i="143" s="1"/>
  <c r="F771" i="82"/>
  <c r="G771" i="82"/>
  <c r="H771" i="82"/>
  <c r="I771" i="82"/>
  <c r="J771" i="82"/>
  <c r="K771" i="82"/>
  <c r="L771" i="82"/>
  <c r="M771" i="82"/>
  <c r="N771" i="82"/>
  <c r="O771" i="82"/>
  <c r="P771" i="82"/>
  <c r="Q771" i="82"/>
  <c r="R771" i="82"/>
  <c r="S771" i="82"/>
  <c r="T771" i="82"/>
  <c r="U771" i="82"/>
  <c r="B772" i="82"/>
  <c r="C772" i="82"/>
  <c r="D772" i="82"/>
  <c r="E772" i="82"/>
  <c r="W772" i="82" s="1"/>
  <c r="V6" i="26" s="1"/>
  <c r="F772" i="82"/>
  <c r="G772" i="82"/>
  <c r="H772" i="82"/>
  <c r="I772" i="82"/>
  <c r="J772" i="82"/>
  <c r="K772" i="82"/>
  <c r="L772" i="82"/>
  <c r="M772" i="82"/>
  <c r="N772" i="82"/>
  <c r="O772" i="82"/>
  <c r="P772" i="82"/>
  <c r="Q772" i="82"/>
  <c r="R772" i="82"/>
  <c r="S772" i="82"/>
  <c r="T772" i="82"/>
  <c r="U772" i="82"/>
  <c r="B773" i="82"/>
  <c r="C773" i="82"/>
  <c r="D773" i="82"/>
  <c r="E773" i="82"/>
  <c r="W773" i="82" s="1"/>
  <c r="V6" i="88" s="1"/>
  <c r="F773" i="82"/>
  <c r="G773" i="82"/>
  <c r="H773" i="82"/>
  <c r="I773" i="82"/>
  <c r="J773" i="82"/>
  <c r="K773" i="82"/>
  <c r="L773" i="82"/>
  <c r="M773" i="82"/>
  <c r="N773" i="82"/>
  <c r="O773" i="82"/>
  <c r="P773" i="82"/>
  <c r="Q773" i="82"/>
  <c r="R773" i="82"/>
  <c r="S773" i="82"/>
  <c r="T773" i="82"/>
  <c r="U773" i="82"/>
  <c r="B774" i="82"/>
  <c r="C774" i="82"/>
  <c r="D774" i="82"/>
  <c r="E774" i="82"/>
  <c r="W774" i="82" s="1"/>
  <c r="V6" i="165" s="1"/>
  <c r="F774" i="82"/>
  <c r="G774" i="82"/>
  <c r="H774" i="82"/>
  <c r="I774" i="82"/>
  <c r="J774" i="82"/>
  <c r="K774" i="82"/>
  <c r="L774" i="82"/>
  <c r="M774" i="82"/>
  <c r="N774" i="82"/>
  <c r="O774" i="82"/>
  <c r="P774" i="82"/>
  <c r="Q774" i="82"/>
  <c r="R774" i="82"/>
  <c r="S774" i="82"/>
  <c r="T774" i="82"/>
  <c r="U774" i="82"/>
  <c r="B775" i="82"/>
  <c r="C775" i="82"/>
  <c r="D775" i="82"/>
  <c r="C105" i="13" s="1"/>
  <c r="E775" i="82"/>
  <c r="W775" i="82" s="1"/>
  <c r="F775" i="82"/>
  <c r="G775" i="82"/>
  <c r="H775" i="82"/>
  <c r="I775" i="82"/>
  <c r="J775" i="82"/>
  <c r="K775" i="82"/>
  <c r="L775" i="82"/>
  <c r="M775" i="82"/>
  <c r="N775" i="82"/>
  <c r="O775" i="82"/>
  <c r="P775" i="82"/>
  <c r="Q775" i="82"/>
  <c r="R775" i="82"/>
  <c r="S775" i="82"/>
  <c r="T775" i="82"/>
  <c r="U775" i="82"/>
  <c r="B776" i="82"/>
  <c r="C776" i="82"/>
  <c r="D776" i="82"/>
  <c r="C106" i="13" s="1"/>
  <c r="E776" i="82"/>
  <c r="W776" i="82" s="1"/>
  <c r="V5" i="267" s="1"/>
  <c r="F776" i="82"/>
  <c r="G776" i="82"/>
  <c r="H776" i="82"/>
  <c r="I776" i="82"/>
  <c r="J776" i="82"/>
  <c r="K776" i="82"/>
  <c r="L776" i="82"/>
  <c r="M776" i="82"/>
  <c r="N776" i="82"/>
  <c r="O776" i="82"/>
  <c r="P776" i="82"/>
  <c r="Q776" i="82"/>
  <c r="R776" i="82"/>
  <c r="S776" i="82"/>
  <c r="T776" i="82"/>
  <c r="U776" i="82"/>
  <c r="B777" i="82"/>
  <c r="C777" i="82"/>
  <c r="D777" i="82"/>
  <c r="E777" i="82"/>
  <c r="W777" i="82" s="1"/>
  <c r="V6" i="191" s="1"/>
  <c r="F777" i="82"/>
  <c r="G777" i="82"/>
  <c r="H777" i="82"/>
  <c r="I777" i="82"/>
  <c r="J777" i="82"/>
  <c r="K777" i="82"/>
  <c r="L777" i="82"/>
  <c r="M777" i="82"/>
  <c r="N777" i="82"/>
  <c r="O777" i="82"/>
  <c r="P777" i="82"/>
  <c r="Q777" i="82"/>
  <c r="R777" i="82"/>
  <c r="S777" i="82"/>
  <c r="T777" i="82"/>
  <c r="U777" i="82"/>
  <c r="B778" i="82"/>
  <c r="C778" i="82"/>
  <c r="D778" i="82"/>
  <c r="E778" i="82"/>
  <c r="W778" i="82" s="1"/>
  <c r="V7" i="150" s="1"/>
  <c r="F778" i="82"/>
  <c r="G778" i="82"/>
  <c r="H778" i="82"/>
  <c r="I778" i="82"/>
  <c r="J778" i="82"/>
  <c r="K778" i="82"/>
  <c r="L778" i="82"/>
  <c r="M778" i="82"/>
  <c r="N778" i="82"/>
  <c r="O778" i="82"/>
  <c r="P778" i="82"/>
  <c r="Q778" i="82"/>
  <c r="R778" i="82"/>
  <c r="S778" i="82"/>
  <c r="T778" i="82"/>
  <c r="U778" i="82"/>
  <c r="B779" i="82"/>
  <c r="C779" i="82"/>
  <c r="D779" i="82"/>
  <c r="E779" i="82"/>
  <c r="W779" i="82" s="1"/>
  <c r="V5" i="132" s="1"/>
  <c r="F779" i="82"/>
  <c r="G779" i="82"/>
  <c r="H779" i="82"/>
  <c r="I779" i="82"/>
  <c r="J779" i="82"/>
  <c r="K779" i="82"/>
  <c r="L779" i="82"/>
  <c r="M779" i="82"/>
  <c r="N779" i="82"/>
  <c r="O779" i="82"/>
  <c r="P779" i="82"/>
  <c r="Q779" i="82"/>
  <c r="R779" i="82"/>
  <c r="S779" i="82"/>
  <c r="T779" i="82"/>
  <c r="U779" i="82"/>
  <c r="B780" i="82"/>
  <c r="C780" i="82"/>
  <c r="D780" i="82"/>
  <c r="C107" i="13" s="1"/>
  <c r="E780" i="82"/>
  <c r="W780" i="82" s="1"/>
  <c r="V5" i="318" s="1"/>
  <c r="F780" i="82"/>
  <c r="G780" i="82"/>
  <c r="H780" i="82"/>
  <c r="I780" i="82"/>
  <c r="J780" i="82"/>
  <c r="K780" i="82"/>
  <c r="L780" i="82"/>
  <c r="M780" i="82"/>
  <c r="N780" i="82"/>
  <c r="O780" i="82"/>
  <c r="P780" i="82"/>
  <c r="Q780" i="82"/>
  <c r="R780" i="82"/>
  <c r="S780" i="82"/>
  <c r="T780" i="82"/>
  <c r="U780" i="82"/>
  <c r="B781" i="82"/>
  <c r="C781" i="82"/>
  <c r="D781" i="82"/>
  <c r="E781" i="82"/>
  <c r="W781" i="82" s="1"/>
  <c r="V6" i="106" s="1"/>
  <c r="F781" i="82"/>
  <c r="G781" i="82"/>
  <c r="H781" i="82"/>
  <c r="I781" i="82"/>
  <c r="J781" i="82"/>
  <c r="K781" i="82"/>
  <c r="L781" i="82"/>
  <c r="M781" i="82"/>
  <c r="N781" i="82"/>
  <c r="O781" i="82"/>
  <c r="P781" i="82"/>
  <c r="Q781" i="82"/>
  <c r="R781" i="82"/>
  <c r="S781" i="82"/>
  <c r="T781" i="82"/>
  <c r="U781" i="82"/>
  <c r="B782" i="82"/>
  <c r="C782" i="82"/>
  <c r="D782" i="82"/>
  <c r="E782" i="82"/>
  <c r="W782" i="82" s="1"/>
  <c r="V7" i="163" s="1"/>
  <c r="F782" i="82"/>
  <c r="G782" i="82"/>
  <c r="H782" i="82"/>
  <c r="I782" i="82"/>
  <c r="J782" i="82"/>
  <c r="K782" i="82"/>
  <c r="L782" i="82"/>
  <c r="M782" i="82"/>
  <c r="N782" i="82"/>
  <c r="O782" i="82"/>
  <c r="P782" i="82"/>
  <c r="Q782" i="82"/>
  <c r="R782" i="82"/>
  <c r="S782" i="82"/>
  <c r="T782" i="82"/>
  <c r="U782" i="82"/>
  <c r="B783" i="82"/>
  <c r="C783" i="82"/>
  <c r="D783" i="82"/>
  <c r="E783" i="82"/>
  <c r="W783" i="82" s="1"/>
  <c r="V6" i="174" s="1"/>
  <c r="F783" i="82"/>
  <c r="G783" i="82"/>
  <c r="H783" i="82"/>
  <c r="I783" i="82"/>
  <c r="J783" i="82"/>
  <c r="K783" i="82"/>
  <c r="L783" i="82"/>
  <c r="M783" i="82"/>
  <c r="N783" i="82"/>
  <c r="O783" i="82"/>
  <c r="P783" i="82"/>
  <c r="Q783" i="82"/>
  <c r="R783" i="82"/>
  <c r="S783" i="82"/>
  <c r="T783" i="82"/>
  <c r="U783" i="82"/>
  <c r="B784" i="82"/>
  <c r="C784" i="82"/>
  <c r="D784" i="82"/>
  <c r="E784" i="82"/>
  <c r="W784" i="82" s="1"/>
  <c r="V6" i="236" s="1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C785" i="82"/>
  <c r="D785" i="82"/>
  <c r="E785" i="82"/>
  <c r="W785" i="82" s="1"/>
  <c r="V6" i="274" s="1"/>
  <c r="F785" i="82"/>
  <c r="G785" i="82"/>
  <c r="H785" i="82"/>
  <c r="I785" i="82"/>
  <c r="J785" i="82"/>
  <c r="K785" i="82"/>
  <c r="L785" i="82"/>
  <c r="M785" i="82"/>
  <c r="N785" i="82"/>
  <c r="O785" i="82"/>
  <c r="P785" i="82"/>
  <c r="Q785" i="82"/>
  <c r="R785" i="82"/>
  <c r="S785" i="82"/>
  <c r="T785" i="82"/>
  <c r="U785" i="82"/>
  <c r="B786" i="82"/>
  <c r="C786" i="82"/>
  <c r="D786" i="82"/>
  <c r="E786" i="82"/>
  <c r="W786" i="82" s="1"/>
  <c r="V6" i="137" s="1"/>
  <c r="F786" i="82"/>
  <c r="G786" i="82"/>
  <c r="H786" i="82"/>
  <c r="I786" i="82"/>
  <c r="J786" i="82"/>
  <c r="K786" i="82"/>
  <c r="L786" i="82"/>
  <c r="M786" i="82"/>
  <c r="N786" i="82"/>
  <c r="O786" i="82"/>
  <c r="P786" i="82"/>
  <c r="Q786" i="82"/>
  <c r="R786" i="82"/>
  <c r="S786" i="82"/>
  <c r="T786" i="82"/>
  <c r="U786" i="82"/>
  <c r="B787" i="82"/>
  <c r="C787" i="82"/>
  <c r="D787" i="82"/>
  <c r="E787" i="82"/>
  <c r="W787" i="82" s="1"/>
  <c r="V5" i="93" s="1"/>
  <c r="F787" i="82"/>
  <c r="G787" i="82"/>
  <c r="H787" i="82"/>
  <c r="I787" i="82"/>
  <c r="J787" i="82"/>
  <c r="K787" i="82"/>
  <c r="L787" i="82"/>
  <c r="M787" i="82"/>
  <c r="N787" i="82"/>
  <c r="O787" i="82"/>
  <c r="P787" i="82"/>
  <c r="Q787" i="82"/>
  <c r="R787" i="82"/>
  <c r="S787" i="82"/>
  <c r="T787" i="82"/>
  <c r="U787" i="82"/>
  <c r="B788" i="82"/>
  <c r="C788" i="82"/>
  <c r="D788" i="82"/>
  <c r="E788" i="82"/>
  <c r="W788" i="82" s="1"/>
  <c r="V6" i="206" s="1"/>
  <c r="F788" i="82"/>
  <c r="G788" i="82"/>
  <c r="H788" i="82"/>
  <c r="I788" i="82"/>
  <c r="J788" i="82"/>
  <c r="K788" i="82"/>
  <c r="L788" i="82"/>
  <c r="M788" i="82"/>
  <c r="N788" i="82"/>
  <c r="O788" i="82"/>
  <c r="P788" i="82"/>
  <c r="Q788" i="82"/>
  <c r="R788" i="82"/>
  <c r="S788" i="82"/>
  <c r="T788" i="82"/>
  <c r="U788" i="82"/>
  <c r="B789" i="82"/>
  <c r="C789" i="82"/>
  <c r="D789" i="82"/>
  <c r="E789" i="82"/>
  <c r="W789" i="82" s="1"/>
  <c r="V4" i="34" s="1"/>
  <c r="F789" i="82"/>
  <c r="G789" i="82"/>
  <c r="H789" i="82"/>
  <c r="I789" i="82"/>
  <c r="J789" i="82"/>
  <c r="K789" i="82"/>
  <c r="L789" i="82"/>
  <c r="M789" i="82"/>
  <c r="N789" i="82"/>
  <c r="O789" i="82"/>
  <c r="P789" i="82"/>
  <c r="Q789" i="82"/>
  <c r="R789" i="82"/>
  <c r="S789" i="82"/>
  <c r="T789" i="82"/>
  <c r="U789" i="82"/>
  <c r="B790" i="82"/>
  <c r="C790" i="82"/>
  <c r="D790" i="82"/>
  <c r="E790" i="82"/>
  <c r="W790" i="82" s="1"/>
  <c r="V7" i="274" s="1"/>
  <c r="F790" i="82"/>
  <c r="G790" i="82"/>
  <c r="H790" i="82"/>
  <c r="I790" i="82"/>
  <c r="J790" i="82"/>
  <c r="K790" i="82"/>
  <c r="L790" i="82"/>
  <c r="M790" i="82"/>
  <c r="N790" i="82"/>
  <c r="O790" i="82"/>
  <c r="P790" i="82"/>
  <c r="Q790" i="82"/>
  <c r="R790" i="82"/>
  <c r="S790" i="82"/>
  <c r="T790" i="82"/>
  <c r="U790" i="82"/>
  <c r="B791" i="82"/>
  <c r="C791" i="82"/>
  <c r="D791" i="82"/>
  <c r="E791" i="82"/>
  <c r="W791" i="82" s="1"/>
  <c r="V5" i="176" s="1"/>
  <c r="F791" i="82"/>
  <c r="G791" i="82"/>
  <c r="H791" i="82"/>
  <c r="I791" i="82"/>
  <c r="J791" i="82"/>
  <c r="K791" i="82"/>
  <c r="L791" i="82"/>
  <c r="M791" i="82"/>
  <c r="N791" i="82"/>
  <c r="O791" i="82"/>
  <c r="P791" i="82"/>
  <c r="Q791" i="82"/>
  <c r="R791" i="82"/>
  <c r="S791" i="82"/>
  <c r="T791" i="82"/>
  <c r="U791" i="82"/>
  <c r="B792" i="82"/>
  <c r="C792" i="82"/>
  <c r="D792" i="82"/>
  <c r="E792" i="82"/>
  <c r="W792" i="82" s="1"/>
  <c r="V6" i="252" s="1"/>
  <c r="F792" i="82"/>
  <c r="G792" i="82"/>
  <c r="H792" i="82"/>
  <c r="I792" i="82"/>
  <c r="J792" i="82"/>
  <c r="K792" i="82"/>
  <c r="L792" i="82"/>
  <c r="M792" i="82"/>
  <c r="N792" i="82"/>
  <c r="O792" i="82"/>
  <c r="P792" i="82"/>
  <c r="Q792" i="82"/>
  <c r="R792" i="82"/>
  <c r="S792" i="82"/>
  <c r="T792" i="82"/>
  <c r="U792" i="82"/>
  <c r="B793" i="82"/>
  <c r="C793" i="82"/>
  <c r="D793" i="82"/>
  <c r="E793" i="82"/>
  <c r="W793" i="82" s="1"/>
  <c r="V6" i="251" s="1"/>
  <c r="F793" i="82"/>
  <c r="G793" i="82"/>
  <c r="H793" i="82"/>
  <c r="I793" i="82"/>
  <c r="J793" i="82"/>
  <c r="K793" i="82"/>
  <c r="L793" i="82"/>
  <c r="M793" i="82"/>
  <c r="N793" i="82"/>
  <c r="O793" i="82"/>
  <c r="P793" i="82"/>
  <c r="Q793" i="82"/>
  <c r="R793" i="82"/>
  <c r="S793" i="82"/>
  <c r="T793" i="82"/>
  <c r="U793" i="82"/>
  <c r="B794" i="82"/>
  <c r="C794" i="82"/>
  <c r="D794" i="82"/>
  <c r="E794" i="82"/>
  <c r="W794" i="82" s="1"/>
  <c r="V6" i="95" s="1"/>
  <c r="F794" i="82"/>
  <c r="G794" i="82"/>
  <c r="H794" i="82"/>
  <c r="I794" i="82"/>
  <c r="J794" i="82"/>
  <c r="K794" i="82"/>
  <c r="L794" i="82"/>
  <c r="M794" i="82"/>
  <c r="N794" i="82"/>
  <c r="O794" i="82"/>
  <c r="P794" i="82"/>
  <c r="Q794" i="82"/>
  <c r="R794" i="82"/>
  <c r="S794" i="82"/>
  <c r="T794" i="82"/>
  <c r="U794" i="82"/>
  <c r="B795" i="82"/>
  <c r="C795" i="82"/>
  <c r="D795" i="82"/>
  <c r="E795" i="82"/>
  <c r="W795" i="82" s="1"/>
  <c r="V7" i="275" s="1"/>
  <c r="F795" i="82"/>
  <c r="G795" i="82"/>
  <c r="H795" i="82"/>
  <c r="I795" i="82"/>
  <c r="J795" i="82"/>
  <c r="K795" i="82"/>
  <c r="L795" i="82"/>
  <c r="M795" i="82"/>
  <c r="N795" i="82"/>
  <c r="O795" i="82"/>
  <c r="P795" i="82"/>
  <c r="Q795" i="82"/>
  <c r="R795" i="82"/>
  <c r="S795" i="82"/>
  <c r="T795" i="82"/>
  <c r="U795" i="82"/>
  <c r="B796" i="82"/>
  <c r="C796" i="82"/>
  <c r="D796" i="82"/>
  <c r="E796" i="82"/>
  <c r="W796" i="82" s="1"/>
  <c r="V6" i="147" s="1"/>
  <c r="F796" i="82"/>
  <c r="G796" i="82"/>
  <c r="H796" i="82"/>
  <c r="I796" i="82"/>
  <c r="J796" i="82"/>
  <c r="K796" i="82"/>
  <c r="L796" i="82"/>
  <c r="M796" i="82"/>
  <c r="N796" i="82"/>
  <c r="O796" i="82"/>
  <c r="P796" i="82"/>
  <c r="Q796" i="82"/>
  <c r="R796" i="82"/>
  <c r="S796" i="82"/>
  <c r="T796" i="82"/>
  <c r="U796" i="82"/>
  <c r="B797" i="82"/>
  <c r="C797" i="82"/>
  <c r="D797" i="82"/>
  <c r="E797" i="82"/>
  <c r="W797" i="82" s="1"/>
  <c r="V6" i="273" s="1"/>
  <c r="F797" i="82"/>
  <c r="G797" i="82"/>
  <c r="H797" i="82"/>
  <c r="I797" i="82"/>
  <c r="J797" i="82"/>
  <c r="K797" i="82"/>
  <c r="L797" i="82"/>
  <c r="M797" i="82"/>
  <c r="N797" i="82"/>
  <c r="O797" i="82"/>
  <c r="P797" i="82"/>
  <c r="Q797" i="82"/>
  <c r="R797" i="82"/>
  <c r="S797" i="82"/>
  <c r="T797" i="82"/>
  <c r="U797" i="82"/>
  <c r="B798" i="82"/>
  <c r="C798" i="82"/>
  <c r="D798" i="82"/>
  <c r="E798" i="82"/>
  <c r="W798" i="82" s="1"/>
  <c r="V6" i="183" s="1"/>
  <c r="F798" i="82"/>
  <c r="G798" i="82"/>
  <c r="H798" i="82"/>
  <c r="I798" i="82"/>
  <c r="J798" i="82"/>
  <c r="K798" i="82"/>
  <c r="L798" i="82"/>
  <c r="M798" i="82"/>
  <c r="N798" i="82"/>
  <c r="O798" i="82"/>
  <c r="P798" i="82"/>
  <c r="Q798" i="82"/>
  <c r="R798" i="82"/>
  <c r="S798" i="82"/>
  <c r="T798" i="82"/>
  <c r="U798" i="82"/>
  <c r="B799" i="82"/>
  <c r="C799" i="82"/>
  <c r="D799" i="82"/>
  <c r="C108" i="13" s="1"/>
  <c r="E799" i="82"/>
  <c r="W799" i="82" s="1"/>
  <c r="V6" i="261" s="1"/>
  <c r="F799" i="82"/>
  <c r="G799" i="82"/>
  <c r="H799" i="82"/>
  <c r="I799" i="82"/>
  <c r="J799" i="82"/>
  <c r="K799" i="82"/>
  <c r="L799" i="82"/>
  <c r="M799" i="82"/>
  <c r="N799" i="82"/>
  <c r="O799" i="82"/>
  <c r="P799" i="82"/>
  <c r="Q799" i="82"/>
  <c r="R799" i="82"/>
  <c r="S799" i="82"/>
  <c r="T799" i="82"/>
  <c r="U799" i="82"/>
  <c r="B800" i="82"/>
  <c r="B64" i="284" s="1"/>
  <c r="C800" i="82"/>
  <c r="C64" i="284" s="1"/>
  <c r="D800" i="82"/>
  <c r="E800" i="82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D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D802" i="82"/>
  <c r="E802" i="82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D803" i="82"/>
  <c r="E803" i="82"/>
  <c r="W803" i="82" s="1"/>
  <c r="V6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D804" i="82"/>
  <c r="E804" i="82"/>
  <c r="W804" i="82" s="1"/>
  <c r="V6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D805" i="82"/>
  <c r="E805" i="82"/>
  <c r="W805" i="82" s="1"/>
  <c r="V6" i="168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C806" i="82"/>
  <c r="D806" i="82"/>
  <c r="E806" i="82"/>
  <c r="W806" i="82" s="1"/>
  <c r="V6" i="105" s="1"/>
  <c r="F806" i="82"/>
  <c r="G806" i="82"/>
  <c r="H806" i="82"/>
  <c r="I806" i="82"/>
  <c r="J806" i="82"/>
  <c r="K806" i="82"/>
  <c r="L806" i="82"/>
  <c r="M806" i="82"/>
  <c r="N806" i="82"/>
  <c r="O806" i="82"/>
  <c r="P806" i="82"/>
  <c r="Q806" i="82"/>
  <c r="R806" i="82"/>
  <c r="S806" i="82"/>
  <c r="T806" i="82"/>
  <c r="U806" i="82"/>
  <c r="B807" i="82"/>
  <c r="C807" i="82"/>
  <c r="D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D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D809" i="82"/>
  <c r="E809" i="82"/>
  <c r="W809" i="82" s="1"/>
  <c r="V7" i="273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C810" i="82"/>
  <c r="D810" i="82"/>
  <c r="E810" i="82"/>
  <c r="W810" i="82" s="1"/>
  <c r="V4" i="29" s="1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C811" i="82"/>
  <c r="D811" i="82"/>
  <c r="E811" i="82"/>
  <c r="W811" i="82" s="1"/>
  <c r="V6" i="249" s="1"/>
  <c r="F811" i="82"/>
  <c r="G811" i="82"/>
  <c r="H811" i="82"/>
  <c r="I811" i="82"/>
  <c r="J811" i="82"/>
  <c r="K811" i="82"/>
  <c r="L811" i="82"/>
  <c r="M811" i="82"/>
  <c r="N811" i="82"/>
  <c r="O811" i="82"/>
  <c r="P811" i="82"/>
  <c r="Q811" i="82"/>
  <c r="R811" i="82"/>
  <c r="S811" i="82"/>
  <c r="T811" i="82"/>
  <c r="U811" i="82"/>
  <c r="B812" i="82"/>
  <c r="C812" i="82"/>
  <c r="D812" i="82"/>
  <c r="E812" i="82"/>
  <c r="W812" i="82" s="1"/>
  <c r="V6" i="176" s="1"/>
  <c r="F812" i="82"/>
  <c r="G812" i="82"/>
  <c r="H812" i="82"/>
  <c r="I812" i="82"/>
  <c r="J812" i="82"/>
  <c r="K812" i="82"/>
  <c r="L812" i="82"/>
  <c r="M812" i="82"/>
  <c r="N812" i="82"/>
  <c r="O812" i="82"/>
  <c r="P812" i="82"/>
  <c r="Q812" i="82"/>
  <c r="R812" i="82"/>
  <c r="S812" i="82"/>
  <c r="T812" i="82"/>
  <c r="U812" i="82"/>
  <c r="B813" i="82"/>
  <c r="C813" i="82"/>
  <c r="D813" i="82"/>
  <c r="E813" i="82"/>
  <c r="W813" i="82" s="1"/>
  <c r="V5" i="119" s="1"/>
  <c r="F813" i="82"/>
  <c r="G813" i="82"/>
  <c r="H813" i="82"/>
  <c r="I813" i="82"/>
  <c r="J813" i="82"/>
  <c r="K813" i="82"/>
  <c r="L813" i="82"/>
  <c r="M813" i="82"/>
  <c r="N813" i="82"/>
  <c r="O813" i="82"/>
  <c r="P813" i="82"/>
  <c r="Q813" i="82"/>
  <c r="R813" i="82"/>
  <c r="S813" i="82"/>
  <c r="T813" i="82"/>
  <c r="U813" i="82"/>
  <c r="B814" i="82"/>
  <c r="C814" i="82"/>
  <c r="D814" i="82"/>
  <c r="E814" i="82"/>
  <c r="W814" i="82" s="1"/>
  <c r="V6" i="245" s="1"/>
  <c r="F814" i="82"/>
  <c r="G814" i="82"/>
  <c r="H814" i="82"/>
  <c r="I814" i="82"/>
  <c r="J814" i="82"/>
  <c r="K814" i="82"/>
  <c r="L814" i="82"/>
  <c r="M814" i="82"/>
  <c r="N814" i="82"/>
  <c r="O814" i="82"/>
  <c r="P814" i="82"/>
  <c r="Q814" i="82"/>
  <c r="R814" i="82"/>
  <c r="S814" i="82"/>
  <c r="T814" i="82"/>
  <c r="U814" i="82"/>
  <c r="B815" i="82"/>
  <c r="C815" i="82"/>
  <c r="D815" i="82"/>
  <c r="E815" i="82"/>
  <c r="W815" i="82" s="1"/>
  <c r="F815" i="82"/>
  <c r="G815" i="82"/>
  <c r="H815" i="82"/>
  <c r="I815" i="82"/>
  <c r="J815" i="82"/>
  <c r="K815" i="82"/>
  <c r="L815" i="82"/>
  <c r="M815" i="82"/>
  <c r="N815" i="82"/>
  <c r="O815" i="82"/>
  <c r="P815" i="82"/>
  <c r="Q815" i="82"/>
  <c r="R815" i="82"/>
  <c r="S815" i="82"/>
  <c r="T815" i="82"/>
  <c r="U815" i="82"/>
  <c r="B816" i="82"/>
  <c r="C816" i="82"/>
  <c r="D816" i="82"/>
  <c r="E816" i="82"/>
  <c r="W816" i="82" s="1"/>
  <c r="V5" i="179" s="1"/>
  <c r="F816" i="82"/>
  <c r="G816" i="82"/>
  <c r="H816" i="82"/>
  <c r="I816" i="82"/>
  <c r="J816" i="82"/>
  <c r="K816" i="82"/>
  <c r="L816" i="82"/>
  <c r="M816" i="82"/>
  <c r="N816" i="82"/>
  <c r="O816" i="82"/>
  <c r="P816" i="82"/>
  <c r="Q816" i="82"/>
  <c r="R816" i="82"/>
  <c r="S816" i="82"/>
  <c r="T816" i="82"/>
  <c r="U816" i="82"/>
  <c r="B817" i="82"/>
  <c r="C817" i="82"/>
  <c r="D817" i="82"/>
  <c r="E817" i="82"/>
  <c r="W817" i="82" s="1"/>
  <c r="V6" i="311" s="1"/>
  <c r="F817" i="82"/>
  <c r="G817" i="82"/>
  <c r="H817" i="82"/>
  <c r="I817" i="82"/>
  <c r="J817" i="82"/>
  <c r="K817" i="82"/>
  <c r="L817" i="82"/>
  <c r="M817" i="82"/>
  <c r="N817" i="82"/>
  <c r="O817" i="82"/>
  <c r="P817" i="82"/>
  <c r="Q817" i="82"/>
  <c r="R817" i="82"/>
  <c r="S817" i="82"/>
  <c r="T817" i="82"/>
  <c r="U817" i="82"/>
  <c r="B818" i="82"/>
  <c r="C818" i="82"/>
  <c r="D818" i="82"/>
  <c r="E818" i="82"/>
  <c r="W818" i="82" s="1"/>
  <c r="V6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W11" i="82"/>
  <c r="V3" i="195" s="1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8" i="50"/>
  <c r="O34" i="72" l="1"/>
  <c r="G34" i="72"/>
  <c r="F33" i="71"/>
  <c r="C34" i="72"/>
  <c r="F34" i="71"/>
  <c r="C35" i="72"/>
  <c r="R34" i="72"/>
  <c r="N34" i="72"/>
  <c r="J34" i="72"/>
  <c r="F34" i="72"/>
  <c r="S35" i="72"/>
  <c r="K35" i="72"/>
  <c r="Q34" i="72"/>
  <c r="M34" i="72"/>
  <c r="I34" i="72"/>
  <c r="E34" i="72"/>
  <c r="P34" i="72"/>
  <c r="L34" i="72"/>
  <c r="H34" i="72"/>
  <c r="D34" i="72"/>
  <c r="V4" i="323"/>
  <c r="P181" i="72"/>
  <c r="U9" i="225" s="1"/>
  <c r="L181" i="72"/>
  <c r="P9" i="225" s="1"/>
  <c r="H181" i="72"/>
  <c r="J9" i="225" s="1"/>
  <c r="D181" i="72"/>
  <c r="E9" i="225" s="1"/>
  <c r="V5" i="311"/>
  <c r="V6" i="317"/>
  <c r="W4" i="82"/>
  <c r="V3" i="86" s="1"/>
  <c r="W527" i="82"/>
  <c r="V6" i="51" s="1"/>
  <c r="D65" i="278"/>
  <c r="W800" i="82"/>
  <c r="V7" i="90" s="1"/>
  <c r="D64" i="284"/>
  <c r="R181" i="72"/>
  <c r="W9" i="225" s="1"/>
  <c r="N181" i="72"/>
  <c r="R9" i="225" s="1"/>
  <c r="J220" i="72"/>
  <c r="L9" i="270" s="1"/>
  <c r="F220" i="72"/>
  <c r="G9" i="270" s="1"/>
  <c r="J221" i="72"/>
  <c r="L10" i="270" s="1"/>
  <c r="F12" i="71"/>
  <c r="O222" i="72"/>
  <c r="S11" i="270" s="1"/>
  <c r="R220" i="72"/>
  <c r="V9" i="270" s="1"/>
  <c r="N220" i="72"/>
  <c r="R9" i="270" s="1"/>
  <c r="R221" i="72"/>
  <c r="V10" i="270" s="1"/>
  <c r="N221" i="72"/>
  <c r="R10" i="270" s="1"/>
  <c r="R204" i="72"/>
  <c r="V11" i="250" s="1"/>
  <c r="N204" i="72"/>
  <c r="R11" i="250" s="1"/>
  <c r="R222" i="72"/>
  <c r="V11" i="270" s="1"/>
  <c r="N222" i="72"/>
  <c r="R11" i="270" s="1"/>
  <c r="Q220" i="72"/>
  <c r="U9" i="270" s="1"/>
  <c r="M220" i="72"/>
  <c r="Q9" i="270" s="1"/>
  <c r="Q221" i="72"/>
  <c r="U10" i="270" s="1"/>
  <c r="M221" i="72"/>
  <c r="Q10" i="270" s="1"/>
  <c r="O204" i="72"/>
  <c r="S11" i="250" s="1"/>
  <c r="Q204" i="72"/>
  <c r="U11" i="250" s="1"/>
  <c r="M204" i="72"/>
  <c r="Q11" i="250" s="1"/>
  <c r="Q222" i="72"/>
  <c r="U11" i="270" s="1"/>
  <c r="M222" i="72"/>
  <c r="Q11" i="270" s="1"/>
  <c r="P220" i="72"/>
  <c r="L220" i="72"/>
  <c r="P9" i="270" s="1"/>
  <c r="P221" i="72"/>
  <c r="L221" i="72"/>
  <c r="P10" i="270" s="1"/>
  <c r="P204" i="72"/>
  <c r="T6" i="262" s="1"/>
  <c r="L204" i="72"/>
  <c r="P11" i="250" s="1"/>
  <c r="P222" i="72"/>
  <c r="L222" i="72"/>
  <c r="P11" i="270" s="1"/>
  <c r="O220" i="72"/>
  <c r="S9" i="270" s="1"/>
  <c r="O221" i="72"/>
  <c r="S10" i="270" s="1"/>
  <c r="C150" i="72"/>
  <c r="D24" i="50" s="1"/>
  <c r="G167" i="72"/>
  <c r="H18" i="199" s="1"/>
  <c r="G222" i="72"/>
  <c r="H11" i="270" s="1"/>
  <c r="F221" i="72"/>
  <c r="G10" i="270" s="1"/>
  <c r="F203" i="71"/>
  <c r="C222" i="72"/>
  <c r="D11" i="270" s="1"/>
  <c r="J204" i="72"/>
  <c r="L11" i="250" s="1"/>
  <c r="F204" i="72"/>
  <c r="G11" i="250" s="1"/>
  <c r="J181" i="72"/>
  <c r="L9" i="225" s="1"/>
  <c r="F181" i="72"/>
  <c r="G9" i="225" s="1"/>
  <c r="J222" i="72"/>
  <c r="L11" i="270" s="1"/>
  <c r="F222" i="72"/>
  <c r="G11" i="270" s="1"/>
  <c r="I220" i="72"/>
  <c r="K9" i="270" s="1"/>
  <c r="E220" i="72"/>
  <c r="F9" i="270" s="1"/>
  <c r="I221" i="72"/>
  <c r="K10" i="270" s="1"/>
  <c r="E221" i="72"/>
  <c r="F10" i="270" s="1"/>
  <c r="G204" i="72"/>
  <c r="H11" i="250" s="1"/>
  <c r="G142" i="72"/>
  <c r="H16" i="50" s="1"/>
  <c r="I204" i="72"/>
  <c r="K11" i="250" s="1"/>
  <c r="E204" i="72"/>
  <c r="F11" i="250" s="1"/>
  <c r="I222" i="72"/>
  <c r="K11" i="270" s="1"/>
  <c r="E222" i="72"/>
  <c r="F11" i="270" s="1"/>
  <c r="H220" i="72"/>
  <c r="J9" i="270" s="1"/>
  <c r="D220" i="72"/>
  <c r="E9" i="270" s="1"/>
  <c r="H221" i="72"/>
  <c r="J10" i="270" s="1"/>
  <c r="D221" i="72"/>
  <c r="G150" i="72"/>
  <c r="H24" i="50" s="1"/>
  <c r="H204" i="72"/>
  <c r="J11" i="250" s="1"/>
  <c r="D204" i="72"/>
  <c r="E11" i="250" s="1"/>
  <c r="H222" i="72"/>
  <c r="J11" i="270" s="1"/>
  <c r="D222" i="72"/>
  <c r="E11" i="270" s="1"/>
  <c r="G220" i="72"/>
  <c r="H9" i="270" s="1"/>
  <c r="C220" i="72"/>
  <c r="D9" i="270" s="1"/>
  <c r="G221" i="72"/>
  <c r="H10" i="270" s="1"/>
  <c r="C221" i="72"/>
  <c r="D10" i="270" s="1"/>
  <c r="F119" i="71"/>
  <c r="W802" i="82"/>
  <c r="V6" i="93" s="1"/>
  <c r="D65" i="284"/>
  <c r="M843" i="82"/>
  <c r="G151" i="72"/>
  <c r="H25" i="50" s="1"/>
  <c r="F158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F150" i="71"/>
  <c r="Q151" i="72"/>
  <c r="V25" i="50" s="1"/>
  <c r="M151" i="72"/>
  <c r="Q25" i="50" s="1"/>
  <c r="I151" i="72"/>
  <c r="K25" i="50" s="1"/>
  <c r="E151" i="72"/>
  <c r="F25" i="50" s="1"/>
  <c r="J158" i="72"/>
  <c r="L9" i="199" s="1"/>
  <c r="P151" i="72"/>
  <c r="U25" i="50" s="1"/>
  <c r="L151" i="72"/>
  <c r="P25" i="50" s="1"/>
  <c r="H151" i="72"/>
  <c r="J25" i="50" s="1"/>
  <c r="D151" i="72"/>
  <c r="E25" i="50" s="1"/>
  <c r="P180" i="72"/>
  <c r="U8" i="225" s="1"/>
  <c r="L180" i="72"/>
  <c r="P8" i="225" s="1"/>
  <c r="H180" i="72"/>
  <c r="J8" i="225" s="1"/>
  <c r="D180" i="72"/>
  <c r="E8" i="225" s="1"/>
  <c r="W396" i="82"/>
  <c r="V3" i="320" s="1"/>
  <c r="C181" i="72"/>
  <c r="D9" i="225" s="1"/>
  <c r="F180" i="71"/>
  <c r="O180" i="72"/>
  <c r="S8" i="225" s="1"/>
  <c r="G180" i="72"/>
  <c r="H8" i="225" s="1"/>
  <c r="C180" i="72"/>
  <c r="D8" i="225" s="1"/>
  <c r="F179" i="71"/>
  <c r="S181" i="72"/>
  <c r="K181" i="72"/>
  <c r="R180" i="72"/>
  <c r="W8" i="225" s="1"/>
  <c r="N180" i="72"/>
  <c r="R8" i="225" s="1"/>
  <c r="J180" i="72"/>
  <c r="L8" i="225" s="1"/>
  <c r="F180" i="72"/>
  <c r="G8" i="225" s="1"/>
  <c r="Q180" i="72"/>
  <c r="V8" i="225" s="1"/>
  <c r="M180" i="72"/>
  <c r="Q8" i="225" s="1"/>
  <c r="I180" i="72"/>
  <c r="K8" i="225" s="1"/>
  <c r="E180" i="72"/>
  <c r="F8" i="225" s="1"/>
  <c r="P97" i="72"/>
  <c r="U38" i="131" s="1"/>
  <c r="L97" i="72"/>
  <c r="P38" i="131" s="1"/>
  <c r="O97" i="72"/>
  <c r="S38" i="131" s="1"/>
  <c r="R97" i="72"/>
  <c r="W38" i="131" s="1"/>
  <c r="N97" i="72"/>
  <c r="R38" i="131" s="1"/>
  <c r="Q97" i="72"/>
  <c r="V38" i="131" s="1"/>
  <c r="M97" i="72"/>
  <c r="Q38" i="131" s="1"/>
  <c r="H97" i="72"/>
  <c r="J38" i="131" s="1"/>
  <c r="D97" i="72"/>
  <c r="E38" i="131" s="1"/>
  <c r="C97" i="72"/>
  <c r="D38" i="131" s="1"/>
  <c r="G97" i="72"/>
  <c r="H38" i="131" s="1"/>
  <c r="J97" i="72"/>
  <c r="L38" i="131" s="1"/>
  <c r="F97" i="72"/>
  <c r="G38" i="131" s="1"/>
  <c r="I97" i="72"/>
  <c r="K38" i="131" s="1"/>
  <c r="E97" i="72"/>
  <c r="F38" i="131" s="1"/>
  <c r="R32" i="72"/>
  <c r="N32" i="72"/>
  <c r="R113" i="72"/>
  <c r="W18" i="164" s="1"/>
  <c r="N113" i="72"/>
  <c r="R18" i="164" s="1"/>
  <c r="Q32" i="72"/>
  <c r="M32" i="72"/>
  <c r="Q113" i="72"/>
  <c r="V18" i="164" s="1"/>
  <c r="M113" i="72"/>
  <c r="Q18" i="164" s="1"/>
  <c r="O32" i="72"/>
  <c r="P32" i="72"/>
  <c r="L32" i="72"/>
  <c r="P113" i="72"/>
  <c r="U18" i="164" s="1"/>
  <c r="L113" i="72"/>
  <c r="P18" i="164" s="1"/>
  <c r="O113" i="72"/>
  <c r="S18" i="164" s="1"/>
  <c r="C32" i="72"/>
  <c r="J32" i="72"/>
  <c r="F32" i="72"/>
  <c r="J113" i="72"/>
  <c r="L18" i="164" s="1"/>
  <c r="F113" i="72"/>
  <c r="G18" i="164" s="1"/>
  <c r="I32" i="72"/>
  <c r="E32" i="72"/>
  <c r="I113" i="72"/>
  <c r="K18" i="164" s="1"/>
  <c r="E113" i="72"/>
  <c r="F18" i="164" s="1"/>
  <c r="G32" i="72"/>
  <c r="H32" i="72"/>
  <c r="D32" i="72"/>
  <c r="H113" i="72"/>
  <c r="J18" i="164" s="1"/>
  <c r="D113" i="72"/>
  <c r="E18" i="164" s="1"/>
  <c r="F66" i="71"/>
  <c r="G113" i="72"/>
  <c r="H18" i="164" s="1"/>
  <c r="C113" i="72"/>
  <c r="D18" i="164" s="1"/>
  <c r="F8" i="71"/>
  <c r="F210" i="71"/>
  <c r="W542" i="82"/>
  <c r="V3" i="194" s="1"/>
  <c r="F124" i="71"/>
  <c r="F193" i="71"/>
  <c r="W465" i="82"/>
  <c r="V3" i="267" s="1"/>
  <c r="F209" i="71"/>
  <c r="F132" i="71"/>
  <c r="W445" i="82"/>
  <c r="V3" i="172" s="1"/>
  <c r="F104" i="71"/>
  <c r="F110" i="71"/>
  <c r="W408" i="82"/>
  <c r="V3" i="243" s="1"/>
  <c r="F186" i="71"/>
  <c r="F207" i="71"/>
  <c r="F147" i="71"/>
  <c r="F164" i="71"/>
  <c r="F59" i="71"/>
  <c r="W329" i="82"/>
  <c r="V3" i="162" s="1"/>
  <c r="F94" i="71"/>
  <c r="F152" i="71"/>
  <c r="F144" i="71"/>
  <c r="F87" i="71"/>
  <c r="F38" i="71"/>
  <c r="F84" i="71"/>
  <c r="F215" i="71"/>
  <c r="F216" i="71"/>
  <c r="F50" i="71"/>
  <c r="F9" i="71"/>
  <c r="F51" i="71"/>
  <c r="F121" i="71"/>
  <c r="F138" i="71"/>
  <c r="W265" i="82"/>
  <c r="V5" i="146" s="1"/>
  <c r="F74" i="71"/>
  <c r="W262" i="82"/>
  <c r="V3" i="94" s="1"/>
  <c r="F29" i="71"/>
  <c r="W258" i="82"/>
  <c r="V3" i="125" s="1"/>
  <c r="F58" i="71"/>
  <c r="F15" i="71"/>
  <c r="F48" i="71"/>
  <c r="W226" i="82"/>
  <c r="V3" i="76" s="1"/>
  <c r="F148" i="71"/>
  <c r="F11" i="71"/>
  <c r="F42" i="71"/>
  <c r="F6" i="71"/>
  <c r="F53" i="71"/>
  <c r="F39" i="71"/>
  <c r="F26" i="71"/>
  <c r="F91" i="71"/>
  <c r="F113" i="71"/>
  <c r="F221" i="71"/>
  <c r="W177" i="82"/>
  <c r="V4" i="213" s="1"/>
  <c r="F165" i="71"/>
  <c r="F10" i="71"/>
  <c r="F131" i="71"/>
  <c r="W162" i="82"/>
  <c r="V3" i="170" s="1"/>
  <c r="F102" i="71"/>
  <c r="F25" i="71"/>
  <c r="F177" i="71"/>
  <c r="F79" i="71"/>
  <c r="F217" i="71"/>
  <c r="F218" i="71"/>
  <c r="F129" i="71"/>
  <c r="F76" i="71"/>
  <c r="F40" i="71"/>
  <c r="F69" i="71"/>
  <c r="F183" i="71"/>
  <c r="F130" i="71"/>
  <c r="F46" i="71"/>
  <c r="F65" i="71"/>
  <c r="F115" i="71"/>
  <c r="F196" i="71"/>
  <c r="F72" i="71"/>
  <c r="F161" i="71"/>
  <c r="F176" i="71"/>
  <c r="F81" i="71"/>
  <c r="F93" i="71"/>
  <c r="F70" i="71"/>
  <c r="F166" i="71"/>
  <c r="F189" i="71"/>
  <c r="F167" i="71"/>
  <c r="F158" i="71"/>
  <c r="F190" i="71"/>
  <c r="F157" i="71"/>
  <c r="F149" i="71"/>
  <c r="F54" i="71"/>
  <c r="F168" i="71"/>
  <c r="F114" i="71"/>
  <c r="F205" i="71"/>
  <c r="F201" i="71"/>
  <c r="F170" i="71"/>
  <c r="F197" i="71"/>
  <c r="F14" i="71"/>
  <c r="F28" i="71"/>
  <c r="F133" i="71"/>
  <c r="F21" i="71"/>
  <c r="F116" i="71"/>
  <c r="F151" i="71"/>
  <c r="F163" i="71"/>
  <c r="F172" i="71"/>
  <c r="F185" i="71"/>
  <c r="F126" i="71"/>
  <c r="F20" i="71"/>
  <c r="F178" i="71"/>
  <c r="F122" i="71"/>
  <c r="F128" i="71"/>
  <c r="F98" i="71"/>
  <c r="F173" i="71"/>
  <c r="F127" i="71"/>
  <c r="F136" i="71"/>
  <c r="F159" i="71"/>
  <c r="F19" i="71"/>
  <c r="F140" i="71"/>
  <c r="F125" i="71"/>
  <c r="F117" i="71"/>
  <c r="F97" i="71"/>
  <c r="F80" i="71"/>
  <c r="F100" i="71"/>
  <c r="F64" i="71"/>
  <c r="F45" i="71"/>
  <c r="F16" i="71"/>
  <c r="F31" i="71"/>
  <c r="F154" i="71"/>
  <c r="F181" i="71"/>
  <c r="F137" i="71"/>
  <c r="W384" i="82"/>
  <c r="V3" i="312" s="1"/>
  <c r="F75" i="71"/>
  <c r="F99" i="71"/>
  <c r="F120" i="71"/>
  <c r="F194" i="71"/>
  <c r="F96" i="71"/>
  <c r="F30" i="71"/>
  <c r="F37" i="71"/>
  <c r="F145" i="71"/>
  <c r="F7" i="71"/>
  <c r="F17" i="71"/>
  <c r="F41" i="71"/>
  <c r="W267" i="82"/>
  <c r="V3" i="27" s="1"/>
  <c r="F3" i="71"/>
  <c r="F88" i="71"/>
  <c r="W235" i="82"/>
  <c r="V3" i="92" s="1"/>
  <c r="F22" i="71"/>
  <c r="F82" i="71"/>
  <c r="F89" i="71"/>
  <c r="W220" i="82"/>
  <c r="V3" i="163" s="1"/>
  <c r="F95" i="71"/>
  <c r="F56" i="71"/>
  <c r="F160" i="71"/>
  <c r="F143" i="71"/>
  <c r="F184" i="71"/>
  <c r="W180" i="82"/>
  <c r="V3" i="174" s="1"/>
  <c r="F106" i="71"/>
  <c r="F35" i="71"/>
  <c r="F139" i="71"/>
  <c r="F36" i="71"/>
  <c r="F188" i="71"/>
  <c r="F5" i="71"/>
  <c r="F109" i="71"/>
  <c r="F52" i="71"/>
  <c r="F27" i="71"/>
  <c r="F200" i="71"/>
  <c r="W128" i="82"/>
  <c r="V4" i="151" s="1"/>
  <c r="F83" i="71"/>
  <c r="F112" i="71"/>
  <c r="F43" i="71"/>
  <c r="F55" i="71"/>
  <c r="F195" i="71"/>
  <c r="F162" i="71"/>
  <c r="F85" i="71"/>
  <c r="F191" i="71"/>
  <c r="F175" i="71"/>
  <c r="F32" i="71"/>
  <c r="F187" i="71"/>
  <c r="F4" i="71"/>
  <c r="F141" i="71"/>
  <c r="F219" i="71"/>
  <c r="F220" i="71"/>
  <c r="F204" i="71"/>
  <c r="F169" i="71"/>
  <c r="F171" i="71"/>
  <c r="W719" i="82"/>
  <c r="V3" i="176" s="1"/>
  <c r="F108" i="71"/>
  <c r="F62" i="71"/>
  <c r="F214" i="71"/>
  <c r="F142" i="71"/>
  <c r="F192" i="71"/>
  <c r="F60" i="71"/>
  <c r="W375" i="82"/>
  <c r="V4" i="135" s="1"/>
  <c r="F67" i="71"/>
  <c r="F213" i="71"/>
  <c r="F198" i="71"/>
  <c r="F24" i="71"/>
  <c r="F182" i="71"/>
  <c r="W316" i="82"/>
  <c r="V3" i="128" s="1"/>
  <c r="F61" i="71"/>
  <c r="F208" i="71"/>
  <c r="F156" i="71"/>
  <c r="F13" i="71"/>
  <c r="F206" i="71"/>
  <c r="F73" i="71"/>
  <c r="F57" i="71"/>
  <c r="F49" i="71"/>
  <c r="F18" i="71"/>
  <c r="F105" i="71"/>
  <c r="F103" i="71"/>
  <c r="F86" i="71"/>
  <c r="F90" i="71"/>
  <c r="F107" i="71"/>
  <c r="F155" i="71"/>
  <c r="F111" i="71"/>
  <c r="F44" i="71"/>
  <c r="F134" i="71"/>
  <c r="F71" i="71"/>
  <c r="F212" i="71"/>
  <c r="F202" i="71"/>
  <c r="W139" i="82"/>
  <c r="V3" i="114" s="1"/>
  <c r="F47" i="71"/>
  <c r="F153" i="71"/>
  <c r="F92" i="71"/>
  <c r="W130" i="82"/>
  <c r="V3" i="145" s="1"/>
  <c r="F77" i="71"/>
  <c r="F101" i="71"/>
  <c r="F146" i="71"/>
  <c r="F123" i="71"/>
  <c r="W107" i="82"/>
  <c r="V3" i="130" s="1"/>
  <c r="F63" i="71"/>
  <c r="F135" i="71"/>
  <c r="F118" i="71"/>
  <c r="F78" i="71"/>
  <c r="F23" i="71"/>
  <c r="W75" i="82"/>
  <c r="V3" i="269" s="1"/>
  <c r="F211" i="71"/>
  <c r="F68" i="71"/>
  <c r="F174" i="71"/>
  <c r="F199" i="71"/>
  <c r="W600" i="82"/>
  <c r="V4" i="317" s="1"/>
  <c r="W336" i="82"/>
  <c r="V3" i="318" s="1"/>
  <c r="H128" i="72"/>
  <c r="J10" i="190" s="1"/>
  <c r="P14" i="72"/>
  <c r="U16" i="1" s="1"/>
  <c r="H14" i="72"/>
  <c r="J16" i="1" s="1"/>
  <c r="L128" i="72"/>
  <c r="P10" i="190" s="1"/>
  <c r="L14" i="72"/>
  <c r="P16" i="1" s="1"/>
  <c r="D14" i="72"/>
  <c r="E16" i="1" s="1"/>
  <c r="O128" i="72"/>
  <c r="S10" i="190" s="1"/>
  <c r="G128" i="72"/>
  <c r="H10" i="190" s="1"/>
  <c r="O14" i="72"/>
  <c r="S16" i="1" s="1"/>
  <c r="G14" i="72"/>
  <c r="H16" i="1" s="1"/>
  <c r="D128" i="72"/>
  <c r="E10" i="190" s="1"/>
  <c r="R128" i="72"/>
  <c r="W10" i="190" s="1"/>
  <c r="J128" i="72"/>
  <c r="L10" i="190" s="1"/>
  <c r="R14" i="72"/>
  <c r="W16" i="1" s="1"/>
  <c r="N14" i="72"/>
  <c r="R16" i="1" s="1"/>
  <c r="J14" i="72"/>
  <c r="L16" i="1" s="1"/>
  <c r="F14" i="72"/>
  <c r="G16" i="1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Q14" i="72"/>
  <c r="V16" i="1" s="1"/>
  <c r="M14" i="72"/>
  <c r="Q16" i="1" s="1"/>
  <c r="I14" i="72"/>
  <c r="K16" i="1" s="1"/>
  <c r="E14" i="72"/>
  <c r="F16" i="1" s="1"/>
  <c r="H126" i="72"/>
  <c r="J8" i="190" s="1"/>
  <c r="Q9" i="72"/>
  <c r="G171" i="72"/>
  <c r="H7" i="216" s="1"/>
  <c r="C171" i="72"/>
  <c r="D7" i="216" s="1"/>
  <c r="M172" i="72"/>
  <c r="Q8" i="216" s="1"/>
  <c r="Q172" i="72"/>
  <c r="V8" i="216" s="1"/>
  <c r="O168" i="72"/>
  <c r="S19" i="199" s="1"/>
  <c r="O172" i="72"/>
  <c r="S8" i="216" s="1"/>
  <c r="R109" i="72"/>
  <c r="W14" i="164" s="1"/>
  <c r="N109" i="72"/>
  <c r="R14" i="164" s="1"/>
  <c r="C172" i="72"/>
  <c r="D8" i="216" s="1"/>
  <c r="W658" i="82"/>
  <c r="V6" i="53" s="1"/>
  <c r="J95" i="72"/>
  <c r="L36" i="131" s="1"/>
  <c r="J172" i="72"/>
  <c r="L8" i="216" s="1"/>
  <c r="F172" i="72"/>
  <c r="G8" i="216" s="1"/>
  <c r="E133" i="72"/>
  <c r="F7" i="50" s="1"/>
  <c r="G172" i="72"/>
  <c r="H8" i="216" s="1"/>
  <c r="H172" i="72"/>
  <c r="J8" i="216" s="1"/>
  <c r="D172" i="72"/>
  <c r="E8" i="216" s="1"/>
  <c r="R9" i="72"/>
  <c r="R82" i="72"/>
  <c r="W23" i="131" s="1"/>
  <c r="R211" i="72"/>
  <c r="V8" i="262" s="1"/>
  <c r="R7" i="72"/>
  <c r="R63" i="72"/>
  <c r="W34" i="101" s="1"/>
  <c r="N215" i="72"/>
  <c r="R12" i="262" s="1"/>
  <c r="N143" i="72"/>
  <c r="R17" i="50" s="1"/>
  <c r="N182" i="72"/>
  <c r="R10" i="225" s="1"/>
  <c r="R193" i="72"/>
  <c r="W14" i="237" s="1"/>
  <c r="R187" i="72"/>
  <c r="W8" i="237" s="1"/>
  <c r="M9" i="72"/>
  <c r="Q82" i="72"/>
  <c r="V23" i="131" s="1"/>
  <c r="M96" i="72"/>
  <c r="Q37" i="131" s="1"/>
  <c r="Q95" i="72"/>
  <c r="V36" i="131" s="1"/>
  <c r="M211" i="72"/>
  <c r="Q8" i="262" s="1"/>
  <c r="Q63" i="72"/>
  <c r="V34" i="101" s="1"/>
  <c r="M210" i="72"/>
  <c r="Q7" i="262" s="1"/>
  <c r="Q133" i="72"/>
  <c r="V7" i="50" s="1"/>
  <c r="Q182" i="72"/>
  <c r="V10" i="225" s="1"/>
  <c r="M111" i="72"/>
  <c r="Q16" i="164" s="1"/>
  <c r="L9" i="72"/>
  <c r="P109" i="72"/>
  <c r="U14" i="164" s="1"/>
  <c r="L82" i="72"/>
  <c r="P23" i="131" s="1"/>
  <c r="P96" i="72"/>
  <c r="U37" i="131" s="1"/>
  <c r="P95" i="72"/>
  <c r="U36" i="131" s="1"/>
  <c r="L211" i="72"/>
  <c r="P8" i="262" s="1"/>
  <c r="P155" i="72"/>
  <c r="U6" i="199" s="1"/>
  <c r="L7" i="72"/>
  <c r="L194" i="72"/>
  <c r="P15" i="237" s="1"/>
  <c r="L63" i="72"/>
  <c r="P34" i="101" s="1"/>
  <c r="P210" i="72"/>
  <c r="T12" i="262" s="1"/>
  <c r="P215" i="72"/>
  <c r="L133" i="72"/>
  <c r="P7" i="50" s="1"/>
  <c r="L143" i="72"/>
  <c r="P17" i="50" s="1"/>
  <c r="P182" i="72"/>
  <c r="U10" i="225" s="1"/>
  <c r="P111" i="72"/>
  <c r="U16" i="164" s="1"/>
  <c r="L193" i="72"/>
  <c r="P14" i="237" s="1"/>
  <c r="P187" i="72"/>
  <c r="U8" i="237" s="1"/>
  <c r="L208" i="72"/>
  <c r="P5" i="262" s="1"/>
  <c r="L61" i="72"/>
  <c r="P32" i="101" s="1"/>
  <c r="L30" i="72"/>
  <c r="P19" i="36" s="1"/>
  <c r="L138" i="72"/>
  <c r="P12" i="50" s="1"/>
  <c r="L76" i="72"/>
  <c r="P17" i="131" s="1"/>
  <c r="L75" i="72"/>
  <c r="P16" i="131" s="1"/>
  <c r="P148" i="72"/>
  <c r="U22" i="50" s="1"/>
  <c r="L148" i="72"/>
  <c r="P22" i="50" s="1"/>
  <c r="P214" i="72"/>
  <c r="P121" i="72"/>
  <c r="U10" i="182" s="1"/>
  <c r="P195" i="72"/>
  <c r="L195" i="72"/>
  <c r="P16" i="237" s="1"/>
  <c r="P165" i="72"/>
  <c r="U16" i="199" s="1"/>
  <c r="P199" i="72"/>
  <c r="P25" i="72"/>
  <c r="U14" i="36" s="1"/>
  <c r="L25" i="72"/>
  <c r="P14" i="36" s="1"/>
  <c r="L68" i="72"/>
  <c r="P9" i="131" s="1"/>
  <c r="L60" i="72"/>
  <c r="P31" i="101" s="1"/>
  <c r="P31" i="72"/>
  <c r="U20" i="36" s="1"/>
  <c r="L31" i="72"/>
  <c r="P20" i="36" s="1"/>
  <c r="P183" i="72"/>
  <c r="U11" i="225" s="1"/>
  <c r="L183" i="72"/>
  <c r="P11" i="225" s="1"/>
  <c r="P153" i="72"/>
  <c r="U27" i="50" s="1"/>
  <c r="L153" i="72"/>
  <c r="P27" i="50" s="1"/>
  <c r="P38" i="72"/>
  <c r="U9" i="101" s="1"/>
  <c r="L38" i="72"/>
  <c r="P9" i="101" s="1"/>
  <c r="P146" i="72"/>
  <c r="U20" i="50" s="1"/>
  <c r="L146" i="72"/>
  <c r="P20" i="50" s="1"/>
  <c r="P209" i="72"/>
  <c r="T11" i="262" s="1"/>
  <c r="L209" i="72"/>
  <c r="P6" i="262" s="1"/>
  <c r="P145" i="72"/>
  <c r="U19" i="50" s="1"/>
  <c r="L145" i="72"/>
  <c r="P19" i="50" s="1"/>
  <c r="P88" i="72"/>
  <c r="U29" i="131" s="1"/>
  <c r="L88" i="72"/>
  <c r="P29" i="131" s="1"/>
  <c r="P8" i="72"/>
  <c r="L8" i="72"/>
  <c r="P157" i="72"/>
  <c r="U8" i="199" s="1"/>
  <c r="L157" i="72"/>
  <c r="P8" i="199" s="1"/>
  <c r="P39" i="72"/>
  <c r="U10" i="101" s="1"/>
  <c r="L39" i="72"/>
  <c r="P10" i="101" s="1"/>
  <c r="P85" i="72"/>
  <c r="U26" i="131" s="1"/>
  <c r="L85" i="72"/>
  <c r="P26" i="131" s="1"/>
  <c r="P216" i="72"/>
  <c r="L216" i="72"/>
  <c r="P5" i="270" s="1"/>
  <c r="P51" i="72"/>
  <c r="U22" i="101" s="1"/>
  <c r="L51" i="72"/>
  <c r="P22" i="101" s="1"/>
  <c r="P18" i="72"/>
  <c r="U7" i="36" s="1"/>
  <c r="L18" i="72"/>
  <c r="P7" i="36" s="1"/>
  <c r="P10" i="72"/>
  <c r="L10" i="72"/>
  <c r="P52" i="72"/>
  <c r="U23" i="101" s="1"/>
  <c r="L52" i="72"/>
  <c r="P23" i="101" s="1"/>
  <c r="P122" i="72"/>
  <c r="U11" i="182" s="1"/>
  <c r="L122" i="72"/>
  <c r="P11" i="182" s="1"/>
  <c r="P207" i="72"/>
  <c r="T9" i="262" s="1"/>
  <c r="L207" i="72"/>
  <c r="P14" i="250" s="1"/>
  <c r="P42" i="72"/>
  <c r="U13" i="101" s="1"/>
  <c r="L42" i="72"/>
  <c r="P13" i="101" s="1"/>
  <c r="P139" i="72"/>
  <c r="U13" i="50" s="1"/>
  <c r="P4" i="72"/>
  <c r="P74" i="72"/>
  <c r="U15" i="131" s="1"/>
  <c r="P107" i="72"/>
  <c r="U12" i="164" s="1"/>
  <c r="P59" i="72"/>
  <c r="U30" i="101" s="1"/>
  <c r="L59" i="72"/>
  <c r="P30" i="101" s="1"/>
  <c r="O9" i="72"/>
  <c r="O109" i="72"/>
  <c r="S14" i="164" s="1"/>
  <c r="O82" i="72"/>
  <c r="S23" i="131" s="1"/>
  <c r="O96" i="72"/>
  <c r="S37" i="131" s="1"/>
  <c r="O95" i="72"/>
  <c r="S36" i="131" s="1"/>
  <c r="O211" i="72"/>
  <c r="S8" i="262" s="1"/>
  <c r="O155" i="72"/>
  <c r="S6" i="199" s="1"/>
  <c r="O7" i="72"/>
  <c r="O194" i="72"/>
  <c r="S15" i="237" s="1"/>
  <c r="O63" i="72"/>
  <c r="S34" i="101" s="1"/>
  <c r="O210" i="72"/>
  <c r="S7" i="262" s="1"/>
  <c r="O215" i="72"/>
  <c r="S12" i="262" s="1"/>
  <c r="O133" i="72"/>
  <c r="S7" i="50" s="1"/>
  <c r="O143" i="72"/>
  <c r="S17" i="50" s="1"/>
  <c r="O182" i="72"/>
  <c r="S10" i="225" s="1"/>
  <c r="O111" i="72"/>
  <c r="S16" i="164" s="1"/>
  <c r="O193" i="72"/>
  <c r="S14" i="237" s="1"/>
  <c r="O187" i="72"/>
  <c r="S8" i="237" s="1"/>
  <c r="O208" i="72"/>
  <c r="S5" i="262" s="1"/>
  <c r="O61" i="72"/>
  <c r="S32" i="101" s="1"/>
  <c r="O30" i="72"/>
  <c r="S19" i="36" s="1"/>
  <c r="O138" i="72"/>
  <c r="S12" i="50" s="1"/>
  <c r="O76" i="72"/>
  <c r="S17" i="131" s="1"/>
  <c r="O75" i="72"/>
  <c r="S16" i="131" s="1"/>
  <c r="O100" i="72"/>
  <c r="S5" i="164" s="1"/>
  <c r="O148" i="72"/>
  <c r="S22" i="50" s="1"/>
  <c r="O214" i="72"/>
  <c r="S11" i="262" s="1"/>
  <c r="O121" i="72"/>
  <c r="S10" i="182" s="1"/>
  <c r="O195" i="72"/>
  <c r="S16" i="237" s="1"/>
  <c r="O165" i="72"/>
  <c r="S16" i="199" s="1"/>
  <c r="O199" i="72"/>
  <c r="S6" i="250" s="1"/>
  <c r="O25" i="72"/>
  <c r="S14" i="36" s="1"/>
  <c r="O68" i="72"/>
  <c r="S9" i="131" s="1"/>
  <c r="O60" i="72"/>
  <c r="S31" i="101" s="1"/>
  <c r="O31" i="72"/>
  <c r="S20" i="36" s="1"/>
  <c r="O183" i="72"/>
  <c r="S11" i="225" s="1"/>
  <c r="O153" i="72"/>
  <c r="S27" i="50" s="1"/>
  <c r="O38" i="72"/>
  <c r="S9" i="101" s="1"/>
  <c r="O146" i="72"/>
  <c r="S20" i="50" s="1"/>
  <c r="O209" i="72"/>
  <c r="S6" i="262" s="1"/>
  <c r="O145" i="72"/>
  <c r="S19" i="50" s="1"/>
  <c r="O88" i="72"/>
  <c r="S29" i="131" s="1"/>
  <c r="O8" i="72"/>
  <c r="O157" i="72"/>
  <c r="S8" i="199" s="1"/>
  <c r="O39" i="72"/>
  <c r="S10" i="101" s="1"/>
  <c r="O85" i="72"/>
  <c r="S26" i="131" s="1"/>
  <c r="O216" i="72"/>
  <c r="S5" i="270" s="1"/>
  <c r="O51" i="72"/>
  <c r="S22" i="101" s="1"/>
  <c r="O18" i="72"/>
  <c r="S7" i="36" s="1"/>
  <c r="O10" i="72"/>
  <c r="O52" i="72"/>
  <c r="S23" i="101" s="1"/>
  <c r="O122" i="72"/>
  <c r="S11" i="182" s="1"/>
  <c r="O207" i="72"/>
  <c r="S14" i="250" s="1"/>
  <c r="O42" i="72"/>
  <c r="S13" i="101" s="1"/>
  <c r="O139" i="72"/>
  <c r="S13" i="50" s="1"/>
  <c r="O4" i="72"/>
  <c r="O74" i="72"/>
  <c r="S15" i="131" s="1"/>
  <c r="O107" i="72"/>
  <c r="S12" i="164" s="1"/>
  <c r="O59" i="72"/>
  <c r="S30" i="101" s="1"/>
  <c r="O94" i="72"/>
  <c r="S35" i="131" s="1"/>
  <c r="O58" i="72"/>
  <c r="S29" i="101" s="1"/>
  <c r="O50" i="72"/>
  <c r="S21" i="101" s="1"/>
  <c r="O149" i="72"/>
  <c r="S23" i="50" s="1"/>
  <c r="O185" i="72"/>
  <c r="S6" i="237" s="1"/>
  <c r="O178" i="72"/>
  <c r="S6" i="225" s="1"/>
  <c r="O189" i="72"/>
  <c r="S10" i="237" s="1"/>
  <c r="O213" i="72"/>
  <c r="S10" i="262" s="1"/>
  <c r="O203" i="72"/>
  <c r="S10" i="250" s="1"/>
  <c r="O154" i="72"/>
  <c r="S5" i="199" s="1"/>
  <c r="O201" i="72"/>
  <c r="S8" i="250" s="1"/>
  <c r="O184" i="72"/>
  <c r="S5" i="237" s="1"/>
  <c r="O196" i="72"/>
  <c r="S17" i="237" s="1"/>
  <c r="O190" i="72"/>
  <c r="S11" i="237" s="1"/>
  <c r="O197" i="72"/>
  <c r="S18" i="237" s="1"/>
  <c r="O166" i="72"/>
  <c r="S17" i="199" s="1"/>
  <c r="O212" i="72"/>
  <c r="S9" i="262" s="1"/>
  <c r="O162" i="72"/>
  <c r="S13" i="199" s="1"/>
  <c r="O192" i="72"/>
  <c r="S13" i="237" s="1"/>
  <c r="O176" i="72"/>
  <c r="S12" i="216" s="1"/>
  <c r="O191" i="72"/>
  <c r="S12" i="237" s="1"/>
  <c r="O200" i="72"/>
  <c r="S7" i="250" s="1"/>
  <c r="O158" i="72"/>
  <c r="S9" i="199" s="1"/>
  <c r="O188" i="72"/>
  <c r="S9" i="237" s="1"/>
  <c r="O205" i="72"/>
  <c r="S12" i="250" s="1"/>
  <c r="O170" i="72"/>
  <c r="S6" i="216" s="1"/>
  <c r="O206" i="72"/>
  <c r="S13" i="250" s="1"/>
  <c r="O202" i="72"/>
  <c r="S9" i="250" s="1"/>
  <c r="O198" i="72"/>
  <c r="S5" i="250" s="1"/>
  <c r="O164" i="72"/>
  <c r="S15" i="199" s="1"/>
  <c r="O186" i="72"/>
  <c r="S7" i="237" s="1"/>
  <c r="O174" i="72"/>
  <c r="S10" i="216" s="1"/>
  <c r="O137" i="72"/>
  <c r="S11" i="50" s="1"/>
  <c r="O141" i="72"/>
  <c r="S15" i="50" s="1"/>
  <c r="N96" i="72"/>
  <c r="R37" i="131" s="1"/>
  <c r="R95" i="72"/>
  <c r="W36" i="131" s="1"/>
  <c r="R155" i="72"/>
  <c r="W6" i="199" s="1"/>
  <c r="N194" i="72"/>
  <c r="R15" i="237" s="1"/>
  <c r="N210" i="72"/>
  <c r="R7" i="262" s="1"/>
  <c r="N133" i="72"/>
  <c r="R7" i="50" s="1"/>
  <c r="N111" i="72"/>
  <c r="R16" i="164" s="1"/>
  <c r="N187" i="72"/>
  <c r="R8" i="237" s="1"/>
  <c r="R208" i="72"/>
  <c r="V5" i="262" s="1"/>
  <c r="N208" i="72"/>
  <c r="R5" i="262" s="1"/>
  <c r="R61" i="72"/>
  <c r="W32" i="101" s="1"/>
  <c r="N61" i="72"/>
  <c r="R32" i="101" s="1"/>
  <c r="R30" i="72"/>
  <c r="W19" i="36" s="1"/>
  <c r="N30" i="72"/>
  <c r="R19" i="36" s="1"/>
  <c r="R138" i="72"/>
  <c r="W12" i="50" s="1"/>
  <c r="N138" i="72"/>
  <c r="R12" i="50" s="1"/>
  <c r="R76" i="72"/>
  <c r="W17" i="131" s="1"/>
  <c r="N76" i="72"/>
  <c r="R17" i="131" s="1"/>
  <c r="R75" i="72"/>
  <c r="W16" i="131" s="1"/>
  <c r="N75" i="72"/>
  <c r="R16" i="131" s="1"/>
  <c r="R100" i="72"/>
  <c r="W5" i="164" s="1"/>
  <c r="N100" i="72"/>
  <c r="R5" i="164" s="1"/>
  <c r="R148" i="72"/>
  <c r="W22" i="50" s="1"/>
  <c r="N148" i="72"/>
  <c r="R22" i="50" s="1"/>
  <c r="R214" i="72"/>
  <c r="V11" i="262" s="1"/>
  <c r="N214" i="72"/>
  <c r="R11" i="262" s="1"/>
  <c r="R121" i="72"/>
  <c r="W10" i="182" s="1"/>
  <c r="N121" i="72"/>
  <c r="R10" i="182" s="1"/>
  <c r="R195" i="72"/>
  <c r="W16" i="237" s="1"/>
  <c r="N195" i="72"/>
  <c r="R16" i="237" s="1"/>
  <c r="R165" i="72"/>
  <c r="W16" i="199" s="1"/>
  <c r="N165" i="72"/>
  <c r="R16" i="199" s="1"/>
  <c r="R199" i="72"/>
  <c r="V6" i="250" s="1"/>
  <c r="N199" i="72"/>
  <c r="R6" i="250" s="1"/>
  <c r="R25" i="72"/>
  <c r="W14" i="36" s="1"/>
  <c r="N25" i="72"/>
  <c r="R14" i="36" s="1"/>
  <c r="R68" i="72"/>
  <c r="W9" i="131" s="1"/>
  <c r="N68" i="72"/>
  <c r="R9" i="131" s="1"/>
  <c r="R60" i="72"/>
  <c r="W31" i="101" s="1"/>
  <c r="N60" i="72"/>
  <c r="R31" i="101" s="1"/>
  <c r="R31" i="72"/>
  <c r="W20" i="36" s="1"/>
  <c r="N31" i="72"/>
  <c r="R20" i="36" s="1"/>
  <c r="R183" i="72"/>
  <c r="W11" i="225" s="1"/>
  <c r="X11" i="225" s="1"/>
  <c r="N183" i="72"/>
  <c r="R11" i="225" s="1"/>
  <c r="R153" i="72"/>
  <c r="W27" i="50" s="1"/>
  <c r="N153" i="72"/>
  <c r="R27" i="50" s="1"/>
  <c r="R38" i="72"/>
  <c r="W9" i="101" s="1"/>
  <c r="N38" i="72"/>
  <c r="R9" i="101" s="1"/>
  <c r="R146" i="72"/>
  <c r="W20" i="50" s="1"/>
  <c r="N146" i="72"/>
  <c r="R20" i="50" s="1"/>
  <c r="R209" i="72"/>
  <c r="V6" i="262" s="1"/>
  <c r="N209" i="72"/>
  <c r="R6" i="262" s="1"/>
  <c r="R145" i="72"/>
  <c r="W19" i="50" s="1"/>
  <c r="N145" i="72"/>
  <c r="R19" i="50" s="1"/>
  <c r="R88" i="72"/>
  <c r="W29" i="131" s="1"/>
  <c r="N88" i="72"/>
  <c r="R29" i="131" s="1"/>
  <c r="R8" i="72"/>
  <c r="N8" i="72"/>
  <c r="R157" i="72"/>
  <c r="W8" i="199" s="1"/>
  <c r="N157" i="72"/>
  <c r="R8" i="199" s="1"/>
  <c r="R39" i="72"/>
  <c r="W10" i="101" s="1"/>
  <c r="N39" i="72"/>
  <c r="R10" i="101" s="1"/>
  <c r="R85" i="72"/>
  <c r="W26" i="131" s="1"/>
  <c r="N85" i="72"/>
  <c r="R26" i="131" s="1"/>
  <c r="R216" i="72"/>
  <c r="V5" i="270" s="1"/>
  <c r="N216" i="72"/>
  <c r="R5" i="270" s="1"/>
  <c r="R51" i="72"/>
  <c r="W22" i="101" s="1"/>
  <c r="N51" i="72"/>
  <c r="R22" i="101" s="1"/>
  <c r="R18" i="72"/>
  <c r="W7" i="36" s="1"/>
  <c r="N18" i="72"/>
  <c r="R7" i="36" s="1"/>
  <c r="R10" i="72"/>
  <c r="N10" i="72"/>
  <c r="R52" i="72"/>
  <c r="W23" i="101" s="1"/>
  <c r="N52" i="72"/>
  <c r="R23" i="101" s="1"/>
  <c r="R122" i="72"/>
  <c r="W11" i="182" s="1"/>
  <c r="N122" i="72"/>
  <c r="R11" i="182" s="1"/>
  <c r="R207" i="72"/>
  <c r="V14" i="250" s="1"/>
  <c r="N207" i="72"/>
  <c r="R14" i="250" s="1"/>
  <c r="R42" i="72"/>
  <c r="W13" i="101" s="1"/>
  <c r="N42" i="72"/>
  <c r="R13" i="101" s="1"/>
  <c r="R139" i="72"/>
  <c r="W13" i="50" s="1"/>
  <c r="N139" i="72"/>
  <c r="R13" i="50" s="1"/>
  <c r="R4" i="72"/>
  <c r="N4" i="72"/>
  <c r="R74" i="72"/>
  <c r="W15" i="131" s="1"/>
  <c r="N74" i="72"/>
  <c r="R15" i="131" s="1"/>
  <c r="R107" i="72"/>
  <c r="W12" i="164" s="1"/>
  <c r="N107" i="72"/>
  <c r="R12" i="164" s="1"/>
  <c r="R59" i="72"/>
  <c r="W30" i="101" s="1"/>
  <c r="N59" i="72"/>
  <c r="R30" i="101" s="1"/>
  <c r="R94" i="72"/>
  <c r="W35" i="131" s="1"/>
  <c r="N94" i="72"/>
  <c r="R35" i="131" s="1"/>
  <c r="R58" i="72"/>
  <c r="W29" i="101" s="1"/>
  <c r="N58" i="72"/>
  <c r="R29" i="101" s="1"/>
  <c r="R50" i="72"/>
  <c r="W21" i="101" s="1"/>
  <c r="N50" i="72"/>
  <c r="R21" i="101" s="1"/>
  <c r="R16" i="72"/>
  <c r="W5" i="36" s="1"/>
  <c r="N16" i="72"/>
  <c r="R5" i="36" s="1"/>
  <c r="R19" i="72"/>
  <c r="W8" i="36" s="1"/>
  <c r="N19" i="72"/>
  <c r="R8" i="36" s="1"/>
  <c r="R89" i="72"/>
  <c r="W30" i="131" s="1"/>
  <c r="N89" i="72"/>
  <c r="R30" i="131" s="1"/>
  <c r="R23" i="72"/>
  <c r="W12" i="36" s="1"/>
  <c r="N23" i="72"/>
  <c r="R12" i="36" s="1"/>
  <c r="R106" i="72"/>
  <c r="W11" i="164" s="1"/>
  <c r="N106" i="72"/>
  <c r="R11" i="164" s="1"/>
  <c r="R49" i="72"/>
  <c r="W20" i="101" s="1"/>
  <c r="N49" i="72"/>
  <c r="R20" i="101" s="1"/>
  <c r="R149" i="72"/>
  <c r="W23" i="50" s="1"/>
  <c r="N149" i="72"/>
  <c r="R23" i="50" s="1"/>
  <c r="R83" i="72"/>
  <c r="W24" i="131" s="1"/>
  <c r="N83" i="72"/>
  <c r="R24" i="131" s="1"/>
  <c r="R12" i="72"/>
  <c r="N12" i="72"/>
  <c r="R104" i="72"/>
  <c r="W9" i="164" s="1"/>
  <c r="N104" i="72"/>
  <c r="R9" i="164" s="1"/>
  <c r="R90" i="72"/>
  <c r="W31" i="131" s="1"/>
  <c r="N90" i="72"/>
  <c r="R31" i="131" s="1"/>
  <c r="R43" i="72"/>
  <c r="W14" i="101" s="1"/>
  <c r="N43" i="72"/>
  <c r="R14" i="101" s="1"/>
  <c r="R87" i="72"/>
  <c r="W28" i="131" s="1"/>
  <c r="N87" i="72"/>
  <c r="R28" i="131" s="1"/>
  <c r="R57" i="72"/>
  <c r="W28" i="101" s="1"/>
  <c r="N57" i="72"/>
  <c r="R28" i="101" s="1"/>
  <c r="R13" i="72"/>
  <c r="N13" i="72"/>
  <c r="R54" i="72"/>
  <c r="W25" i="101" s="1"/>
  <c r="N54" i="72"/>
  <c r="R25" i="101" s="1"/>
  <c r="R91" i="72"/>
  <c r="W32" i="131" s="1"/>
  <c r="N91" i="72"/>
  <c r="R32" i="131" s="1"/>
  <c r="R161" i="72"/>
  <c r="W12" i="199" s="1"/>
  <c r="N161" i="72"/>
  <c r="R12" i="199" s="1"/>
  <c r="R40" i="72"/>
  <c r="W11" i="101" s="1"/>
  <c r="N40" i="72"/>
  <c r="R11" i="101" s="1"/>
  <c r="R27" i="72"/>
  <c r="W16" i="36" s="1"/>
  <c r="N27" i="72"/>
  <c r="R16" i="36" s="1"/>
  <c r="R108" i="72"/>
  <c r="W13" i="164" s="1"/>
  <c r="N108" i="72"/>
  <c r="R13" i="164" s="1"/>
  <c r="R62" i="72"/>
  <c r="W33" i="101" s="1"/>
  <c r="N62" i="72"/>
  <c r="R33" i="101" s="1"/>
  <c r="R144" i="72"/>
  <c r="W18" i="50" s="1"/>
  <c r="N144" i="72"/>
  <c r="R18" i="50" s="1"/>
  <c r="R92" i="72"/>
  <c r="W33" i="131" s="1"/>
  <c r="N92" i="72"/>
  <c r="R33" i="131" s="1"/>
  <c r="R156" i="72"/>
  <c r="W7" i="199" s="1"/>
  <c r="N156" i="72"/>
  <c r="R7" i="199" s="1"/>
  <c r="R114" i="72"/>
  <c r="W19" i="164" s="1"/>
  <c r="N114" i="72"/>
  <c r="R19" i="164" s="1"/>
  <c r="R185" i="72"/>
  <c r="W6" i="237" s="1"/>
  <c r="N185" i="72"/>
  <c r="R6" i="237" s="1"/>
  <c r="R219" i="72"/>
  <c r="V8" i="270" s="1"/>
  <c r="N219" i="72"/>
  <c r="R8" i="270" s="1"/>
  <c r="R105" i="72"/>
  <c r="W10" i="164" s="1"/>
  <c r="N105" i="72"/>
  <c r="R10" i="164" s="1"/>
  <c r="R36" i="72"/>
  <c r="W7" i="101" s="1"/>
  <c r="N36" i="72"/>
  <c r="R7" i="101" s="1"/>
  <c r="R67" i="72"/>
  <c r="W8" i="131" s="1"/>
  <c r="N67" i="72"/>
  <c r="R8" i="131" s="1"/>
  <c r="R11" i="72"/>
  <c r="N11" i="72"/>
  <c r="R45" i="72"/>
  <c r="W16" i="101" s="1"/>
  <c r="N45" i="72"/>
  <c r="R16" i="101" s="1"/>
  <c r="R132" i="72"/>
  <c r="W6" i="50" s="1"/>
  <c r="N132" i="72"/>
  <c r="R6" i="50" s="1"/>
  <c r="R103" i="72"/>
  <c r="W8" i="164" s="1"/>
  <c r="N103" i="72"/>
  <c r="R8" i="164" s="1"/>
  <c r="R140" i="72"/>
  <c r="W14" i="50" s="1"/>
  <c r="N140" i="72"/>
  <c r="R14" i="50" s="1"/>
  <c r="R37" i="72"/>
  <c r="W8" i="101" s="1"/>
  <c r="N37" i="72"/>
  <c r="R8" i="101" s="1"/>
  <c r="R26" i="72"/>
  <c r="W15" i="36" s="1"/>
  <c r="N26" i="72"/>
  <c r="R15" i="36" s="1"/>
  <c r="R135" i="72"/>
  <c r="W9" i="50" s="1"/>
  <c r="N135" i="72"/>
  <c r="R9" i="50" s="1"/>
  <c r="R178" i="72"/>
  <c r="W6" i="225" s="1"/>
  <c r="N178" i="72"/>
  <c r="R6" i="225" s="1"/>
  <c r="R72" i="72"/>
  <c r="W13" i="131" s="1"/>
  <c r="N72" i="72"/>
  <c r="R13" i="131" s="1"/>
  <c r="R189" i="72"/>
  <c r="W10" i="237" s="1"/>
  <c r="N189" i="72"/>
  <c r="R10" i="237" s="1"/>
  <c r="R80" i="72"/>
  <c r="W21" i="131" s="1"/>
  <c r="N80" i="72"/>
  <c r="R21" i="131" s="1"/>
  <c r="R217" i="72"/>
  <c r="V6" i="270" s="1"/>
  <c r="N217" i="72"/>
  <c r="R6" i="270" s="1"/>
  <c r="R6" i="72"/>
  <c r="N6" i="72"/>
  <c r="R213" i="72"/>
  <c r="V10" i="262" s="1"/>
  <c r="N213" i="72"/>
  <c r="R10" i="262" s="1"/>
  <c r="R110" i="72"/>
  <c r="W15" i="164" s="1"/>
  <c r="N110" i="72"/>
  <c r="R15" i="164" s="1"/>
  <c r="R130" i="72"/>
  <c r="W12" i="190" s="1"/>
  <c r="N130" i="72"/>
  <c r="R12" i="190" s="1"/>
  <c r="R203" i="72"/>
  <c r="V10" i="250" s="1"/>
  <c r="N203" i="72"/>
  <c r="R10" i="250" s="1"/>
  <c r="R53" i="72"/>
  <c r="W24" i="101" s="1"/>
  <c r="N53" i="72"/>
  <c r="R24" i="101" s="1"/>
  <c r="R48" i="72"/>
  <c r="W19" i="101" s="1"/>
  <c r="N48" i="72"/>
  <c r="R19" i="101" s="1"/>
  <c r="R77" i="72"/>
  <c r="W18" i="131" s="1"/>
  <c r="N77" i="72"/>
  <c r="R18" i="131" s="1"/>
  <c r="R154" i="72"/>
  <c r="W5" i="199" s="1"/>
  <c r="N154" i="72"/>
  <c r="R5" i="199" s="1"/>
  <c r="R41" i="72"/>
  <c r="W12" i="101" s="1"/>
  <c r="N41" i="72"/>
  <c r="R12" i="101" s="1"/>
  <c r="R28" i="72"/>
  <c r="W17" i="36" s="1"/>
  <c r="N28" i="72"/>
  <c r="R17" i="36" s="1"/>
  <c r="R93" i="72"/>
  <c r="W34" i="131" s="1"/>
  <c r="N93" i="72"/>
  <c r="R34" i="131" s="1"/>
  <c r="R78" i="72"/>
  <c r="W19" i="131" s="1"/>
  <c r="N78" i="72"/>
  <c r="R19" i="131" s="1"/>
  <c r="R201" i="72"/>
  <c r="V8" i="250" s="1"/>
  <c r="N201" i="72"/>
  <c r="R8" i="250" s="1"/>
  <c r="R70" i="72"/>
  <c r="W11" i="131" s="1"/>
  <c r="N70" i="72"/>
  <c r="R11" i="131" s="1"/>
  <c r="R102" i="72"/>
  <c r="W7" i="164" s="1"/>
  <c r="N102" i="72"/>
  <c r="R7" i="164" s="1"/>
  <c r="R184" i="72"/>
  <c r="W5" i="237" s="1"/>
  <c r="N184" i="72"/>
  <c r="R5" i="237" s="1"/>
  <c r="R112" i="72"/>
  <c r="W17" i="164" s="1"/>
  <c r="N112" i="72"/>
  <c r="R17" i="164" s="1"/>
  <c r="R147" i="72"/>
  <c r="W21" i="50" s="1"/>
  <c r="N147" i="72"/>
  <c r="R21" i="50" s="1"/>
  <c r="R131" i="72"/>
  <c r="W5" i="50" s="1"/>
  <c r="N131" i="72"/>
  <c r="R5" i="50" s="1"/>
  <c r="R44" i="72"/>
  <c r="W15" i="101" s="1"/>
  <c r="N44" i="72"/>
  <c r="R15" i="101" s="1"/>
  <c r="R124" i="72"/>
  <c r="W6" i="190" s="1"/>
  <c r="N124" i="72"/>
  <c r="R6" i="190" s="1"/>
  <c r="R64" i="72"/>
  <c r="W5" i="131" s="1"/>
  <c r="N64" i="72"/>
  <c r="R5" i="131" s="1"/>
  <c r="R47" i="72"/>
  <c r="W18" i="101" s="1"/>
  <c r="N47" i="72"/>
  <c r="R18" i="101" s="1"/>
  <c r="R84" i="72"/>
  <c r="W25" i="131" s="1"/>
  <c r="N84" i="72"/>
  <c r="R25" i="131" s="1"/>
  <c r="R136" i="72"/>
  <c r="W10" i="50" s="1"/>
  <c r="N136" i="72"/>
  <c r="R10" i="50" s="1"/>
  <c r="R56" i="72"/>
  <c r="W27" i="101" s="1"/>
  <c r="N56" i="72"/>
  <c r="R27" i="101" s="1"/>
  <c r="R71" i="72"/>
  <c r="W12" i="131" s="1"/>
  <c r="N71" i="72"/>
  <c r="R12" i="131" s="1"/>
  <c r="R66" i="72"/>
  <c r="W7" i="131" s="1"/>
  <c r="N66" i="72"/>
  <c r="R7" i="131" s="1"/>
  <c r="R167" i="72"/>
  <c r="W18" i="199" s="1"/>
  <c r="N167" i="72"/>
  <c r="R18" i="199" s="1"/>
  <c r="R196" i="72"/>
  <c r="W17" i="237" s="1"/>
  <c r="N196" i="72"/>
  <c r="R17" i="237" s="1"/>
  <c r="R119" i="72"/>
  <c r="W8" i="182" s="1"/>
  <c r="N119" i="72"/>
  <c r="R8" i="182" s="1"/>
  <c r="R116" i="72"/>
  <c r="W5" i="182" s="1"/>
  <c r="N116" i="72"/>
  <c r="R5" i="182" s="1"/>
  <c r="R163" i="72"/>
  <c r="W14" i="199" s="1"/>
  <c r="N163" i="72"/>
  <c r="R14" i="199" s="1"/>
  <c r="R190" i="72"/>
  <c r="W11" i="237" s="1"/>
  <c r="N190" i="72"/>
  <c r="R11" i="237" s="1"/>
  <c r="R79" i="72"/>
  <c r="W20" i="131" s="1"/>
  <c r="N79" i="72"/>
  <c r="R20" i="131" s="1"/>
  <c r="R197" i="72"/>
  <c r="W18" i="237" s="1"/>
  <c r="N197" i="72"/>
  <c r="R18" i="237" s="1"/>
  <c r="R168" i="72"/>
  <c r="W19" i="199" s="1"/>
  <c r="N168" i="72"/>
  <c r="R19" i="199" s="1"/>
  <c r="R166" i="72"/>
  <c r="W17" i="199" s="1"/>
  <c r="N166" i="72"/>
  <c r="R17" i="199" s="1"/>
  <c r="R159" i="72"/>
  <c r="W10" i="199" s="1"/>
  <c r="N159" i="72"/>
  <c r="R10" i="199" s="1"/>
  <c r="R86" i="72"/>
  <c r="W27" i="131" s="1"/>
  <c r="N86" i="72"/>
  <c r="R27" i="131" s="1"/>
  <c r="R24" i="72"/>
  <c r="W13" i="36" s="1"/>
  <c r="N24" i="72"/>
  <c r="R13" i="36" s="1"/>
  <c r="R212" i="72"/>
  <c r="V9" i="262" s="1"/>
  <c r="N212" i="72"/>
  <c r="R9" i="262" s="1"/>
  <c r="R73" i="72"/>
  <c r="W14" i="131" s="1"/>
  <c r="R192" i="72"/>
  <c r="W13" i="237" s="1"/>
  <c r="N192" i="72"/>
  <c r="R13" i="237" s="1"/>
  <c r="R175" i="72"/>
  <c r="W11" i="216" s="1"/>
  <c r="N175" i="72"/>
  <c r="R11" i="216" s="1"/>
  <c r="R177" i="72"/>
  <c r="W5" i="225" s="1"/>
  <c r="N177" i="72"/>
  <c r="R5" i="225" s="1"/>
  <c r="R191" i="72"/>
  <c r="W12" i="237" s="1"/>
  <c r="N191" i="72"/>
  <c r="R12" i="237" s="1"/>
  <c r="R200" i="72"/>
  <c r="V7" i="250" s="1"/>
  <c r="N200" i="72"/>
  <c r="R7" i="250" s="1"/>
  <c r="R188" i="72"/>
  <c r="W9" i="237" s="1"/>
  <c r="N188" i="72"/>
  <c r="R9" i="237" s="1"/>
  <c r="R205" i="72"/>
  <c r="V12" i="250" s="1"/>
  <c r="N205" i="72"/>
  <c r="R12" i="250" s="1"/>
  <c r="R169" i="72"/>
  <c r="W5" i="216" s="1"/>
  <c r="N169" i="72"/>
  <c r="R5" i="216" s="1"/>
  <c r="R206" i="72"/>
  <c r="V13" i="250" s="1"/>
  <c r="N206" i="72"/>
  <c r="R13" i="250" s="1"/>
  <c r="R202" i="72"/>
  <c r="V9" i="250" s="1"/>
  <c r="N202" i="72"/>
  <c r="R9" i="250" s="1"/>
  <c r="R171" i="72"/>
  <c r="W7" i="216" s="1"/>
  <c r="N171" i="72"/>
  <c r="R7" i="216" s="1"/>
  <c r="R198" i="72"/>
  <c r="V5" i="250" s="1"/>
  <c r="N198" i="72"/>
  <c r="R5" i="250" s="1"/>
  <c r="R173" i="72"/>
  <c r="W9" i="216" s="1"/>
  <c r="N173" i="72"/>
  <c r="R9" i="216" s="1"/>
  <c r="R186" i="72"/>
  <c r="W7" i="237" s="1"/>
  <c r="N186" i="72"/>
  <c r="R7" i="237" s="1"/>
  <c r="R179" i="72"/>
  <c r="W7" i="225" s="1"/>
  <c r="N179" i="72"/>
  <c r="R7" i="225" s="1"/>
  <c r="R96" i="72"/>
  <c r="W37" i="131" s="1"/>
  <c r="N95" i="72"/>
  <c r="R36" i="131" s="1"/>
  <c r="N155" i="72"/>
  <c r="R6" i="199" s="1"/>
  <c r="R194" i="72"/>
  <c r="W15" i="237" s="1"/>
  <c r="R210" i="72"/>
  <c r="V7" i="262" s="1"/>
  <c r="R143" i="72"/>
  <c r="W17" i="50" s="1"/>
  <c r="R111" i="72"/>
  <c r="W16" i="164" s="1"/>
  <c r="N193" i="72"/>
  <c r="R14" i="237" s="1"/>
  <c r="M109" i="72"/>
  <c r="Q14" i="164" s="1"/>
  <c r="Q96" i="72"/>
  <c r="V37" i="131" s="1"/>
  <c r="Q211" i="72"/>
  <c r="U8" i="262" s="1"/>
  <c r="M155" i="72"/>
  <c r="Q6" i="199" s="1"/>
  <c r="Q7" i="72"/>
  <c r="M7" i="72"/>
  <c r="Q194" i="72"/>
  <c r="V15" i="237" s="1"/>
  <c r="M194" i="72"/>
  <c r="Q15" i="237" s="1"/>
  <c r="Q210" i="72"/>
  <c r="U7" i="262" s="1"/>
  <c r="M215" i="72"/>
  <c r="Q12" i="262" s="1"/>
  <c r="Q143" i="72"/>
  <c r="V17" i="50" s="1"/>
  <c r="M182" i="72"/>
  <c r="Q10" i="225" s="1"/>
  <c r="Q193" i="72"/>
  <c r="V14" i="237" s="1"/>
  <c r="M193" i="72"/>
  <c r="Q14" i="237" s="1"/>
  <c r="Q187" i="72"/>
  <c r="V8" i="237" s="1"/>
  <c r="M187" i="72"/>
  <c r="Q8" i="237" s="1"/>
  <c r="Q208" i="72"/>
  <c r="U5" i="262" s="1"/>
  <c r="M208" i="72"/>
  <c r="Q5" i="262" s="1"/>
  <c r="Q61" i="72"/>
  <c r="V32" i="101" s="1"/>
  <c r="M61" i="72"/>
  <c r="Q32" i="101" s="1"/>
  <c r="Q30" i="72"/>
  <c r="V19" i="36" s="1"/>
  <c r="M30" i="72"/>
  <c r="Q19" i="36" s="1"/>
  <c r="Q138" i="72"/>
  <c r="V12" i="50" s="1"/>
  <c r="M138" i="72"/>
  <c r="Q12" i="50" s="1"/>
  <c r="Q76" i="72"/>
  <c r="V17" i="131" s="1"/>
  <c r="M76" i="72"/>
  <c r="Q17" i="131" s="1"/>
  <c r="Q75" i="72"/>
  <c r="V16" i="131" s="1"/>
  <c r="M75" i="72"/>
  <c r="Q16" i="131" s="1"/>
  <c r="Q100" i="72"/>
  <c r="V5" i="164" s="1"/>
  <c r="M100" i="72"/>
  <c r="Q5" i="164" s="1"/>
  <c r="Q148" i="72"/>
  <c r="V22" i="50" s="1"/>
  <c r="M148" i="72"/>
  <c r="Q22" i="50" s="1"/>
  <c r="Q214" i="72"/>
  <c r="U11" i="262" s="1"/>
  <c r="M214" i="72"/>
  <c r="Q11" i="262" s="1"/>
  <c r="Q121" i="72"/>
  <c r="V10" i="182" s="1"/>
  <c r="M121" i="72"/>
  <c r="Q10" i="182" s="1"/>
  <c r="Q195" i="72"/>
  <c r="V16" i="237" s="1"/>
  <c r="M195" i="72"/>
  <c r="Q16" i="237" s="1"/>
  <c r="Q165" i="72"/>
  <c r="V16" i="199" s="1"/>
  <c r="M165" i="72"/>
  <c r="Q16" i="199" s="1"/>
  <c r="Q199" i="72"/>
  <c r="U6" i="250" s="1"/>
  <c r="M199" i="72"/>
  <c r="Q6" i="250" s="1"/>
  <c r="Q25" i="72"/>
  <c r="V14" i="36" s="1"/>
  <c r="M25" i="72"/>
  <c r="Q14" i="36" s="1"/>
  <c r="Q68" i="72"/>
  <c r="V9" i="131" s="1"/>
  <c r="M68" i="72"/>
  <c r="Q9" i="131" s="1"/>
  <c r="Q60" i="72"/>
  <c r="V31" i="101" s="1"/>
  <c r="M60" i="72"/>
  <c r="Q31" i="101" s="1"/>
  <c r="Q31" i="72"/>
  <c r="V20" i="36" s="1"/>
  <c r="M31" i="72"/>
  <c r="Q20" i="36" s="1"/>
  <c r="Q183" i="72"/>
  <c r="V11" i="225" s="1"/>
  <c r="M183" i="72"/>
  <c r="Q11" i="225" s="1"/>
  <c r="Q153" i="72"/>
  <c r="V27" i="50" s="1"/>
  <c r="M153" i="72"/>
  <c r="Q27" i="50" s="1"/>
  <c r="Q38" i="72"/>
  <c r="V9" i="101" s="1"/>
  <c r="M38" i="72"/>
  <c r="Q9" i="101" s="1"/>
  <c r="Q146" i="72"/>
  <c r="V20" i="50" s="1"/>
  <c r="M146" i="72"/>
  <c r="Q20" i="50" s="1"/>
  <c r="Q209" i="72"/>
  <c r="U6" i="262" s="1"/>
  <c r="M209" i="72"/>
  <c r="Q6" i="262" s="1"/>
  <c r="Q145" i="72"/>
  <c r="V19" i="50" s="1"/>
  <c r="M145" i="72"/>
  <c r="Q19" i="50" s="1"/>
  <c r="Q88" i="72"/>
  <c r="V29" i="131" s="1"/>
  <c r="M88" i="72"/>
  <c r="Q29" i="131" s="1"/>
  <c r="Q8" i="72"/>
  <c r="M8" i="72"/>
  <c r="Q157" i="72"/>
  <c r="V8" i="199" s="1"/>
  <c r="M157" i="72"/>
  <c r="Q8" i="199" s="1"/>
  <c r="Q39" i="72"/>
  <c r="V10" i="101" s="1"/>
  <c r="M39" i="72"/>
  <c r="Q10" i="101" s="1"/>
  <c r="Q85" i="72"/>
  <c r="V26" i="131" s="1"/>
  <c r="M85" i="72"/>
  <c r="Q26" i="131" s="1"/>
  <c r="Q216" i="72"/>
  <c r="U5" i="270" s="1"/>
  <c r="M216" i="72"/>
  <c r="Q5" i="270" s="1"/>
  <c r="Q51" i="72"/>
  <c r="V22" i="101" s="1"/>
  <c r="M51" i="72"/>
  <c r="Q22" i="101" s="1"/>
  <c r="Q18" i="72"/>
  <c r="V7" i="36" s="1"/>
  <c r="M18" i="72"/>
  <c r="Q7" i="36" s="1"/>
  <c r="Q10" i="72"/>
  <c r="M10" i="72"/>
  <c r="Q52" i="72"/>
  <c r="V23" i="101" s="1"/>
  <c r="M52" i="72"/>
  <c r="Q23" i="101" s="1"/>
  <c r="Q122" i="72"/>
  <c r="V11" i="182" s="1"/>
  <c r="M122" i="72"/>
  <c r="Q11" i="182" s="1"/>
  <c r="Q207" i="72"/>
  <c r="U14" i="250" s="1"/>
  <c r="M207" i="72"/>
  <c r="Q14" i="250" s="1"/>
  <c r="Q42" i="72"/>
  <c r="V13" i="101" s="1"/>
  <c r="M42" i="72"/>
  <c r="Q13" i="101" s="1"/>
  <c r="Q139" i="72"/>
  <c r="V13" i="50" s="1"/>
  <c r="M139" i="72"/>
  <c r="Q13" i="50" s="1"/>
  <c r="Q4" i="72"/>
  <c r="M4" i="72"/>
  <c r="Q74" i="72"/>
  <c r="V15" i="131" s="1"/>
  <c r="M74" i="72"/>
  <c r="Q15" i="131" s="1"/>
  <c r="Q107" i="72"/>
  <c r="V12" i="164" s="1"/>
  <c r="M107" i="72"/>
  <c r="Q12" i="164" s="1"/>
  <c r="Q59" i="72"/>
  <c r="V30" i="101" s="1"/>
  <c r="M59" i="72"/>
  <c r="Q30" i="101" s="1"/>
  <c r="Q94" i="72"/>
  <c r="V35" i="131" s="1"/>
  <c r="M94" i="72"/>
  <c r="Q35" i="131" s="1"/>
  <c r="Q58" i="72"/>
  <c r="V29" i="101" s="1"/>
  <c r="M58" i="72"/>
  <c r="Q29" i="101" s="1"/>
  <c r="Q50" i="72"/>
  <c r="V21" i="101" s="1"/>
  <c r="M50" i="72"/>
  <c r="Q21" i="101" s="1"/>
  <c r="Q16" i="72"/>
  <c r="V5" i="36" s="1"/>
  <c r="M16" i="72"/>
  <c r="Q5" i="36" s="1"/>
  <c r="Q19" i="72"/>
  <c r="V8" i="36" s="1"/>
  <c r="M19" i="72"/>
  <c r="Q8" i="36" s="1"/>
  <c r="Q89" i="72"/>
  <c r="V30" i="131" s="1"/>
  <c r="M89" i="72"/>
  <c r="Q30" i="131" s="1"/>
  <c r="Q23" i="72"/>
  <c r="V12" i="36" s="1"/>
  <c r="M23" i="72"/>
  <c r="Q12" i="36" s="1"/>
  <c r="Q106" i="72"/>
  <c r="V11" i="164" s="1"/>
  <c r="M106" i="72"/>
  <c r="Q11" i="164" s="1"/>
  <c r="Q49" i="72"/>
  <c r="V20" i="101" s="1"/>
  <c r="M49" i="72"/>
  <c r="Q20" i="101" s="1"/>
  <c r="Q149" i="72"/>
  <c r="V23" i="50" s="1"/>
  <c r="M149" i="72"/>
  <c r="Q23" i="50" s="1"/>
  <c r="Q83" i="72"/>
  <c r="V24" i="131" s="1"/>
  <c r="M83" i="72"/>
  <c r="Q24" i="131" s="1"/>
  <c r="Q12" i="72"/>
  <c r="M12" i="72"/>
  <c r="Q104" i="72"/>
  <c r="V9" i="164" s="1"/>
  <c r="M104" i="72"/>
  <c r="Q9" i="164" s="1"/>
  <c r="Q90" i="72"/>
  <c r="V31" i="131" s="1"/>
  <c r="M90" i="72"/>
  <c r="Q31" i="131" s="1"/>
  <c r="Q43" i="72"/>
  <c r="V14" i="101" s="1"/>
  <c r="M43" i="72"/>
  <c r="Q14" i="101" s="1"/>
  <c r="Q87" i="72"/>
  <c r="V28" i="131" s="1"/>
  <c r="M87" i="72"/>
  <c r="Q28" i="131" s="1"/>
  <c r="Q57" i="72"/>
  <c r="V28" i="101" s="1"/>
  <c r="M57" i="72"/>
  <c r="Q28" i="101" s="1"/>
  <c r="Q13" i="72"/>
  <c r="M13" i="72"/>
  <c r="Q54" i="72"/>
  <c r="V25" i="101" s="1"/>
  <c r="M54" i="72"/>
  <c r="Q25" i="101" s="1"/>
  <c r="Q91" i="72"/>
  <c r="V32" i="131" s="1"/>
  <c r="M91" i="72"/>
  <c r="Q32" i="131" s="1"/>
  <c r="Q161" i="72"/>
  <c r="V12" i="199" s="1"/>
  <c r="M161" i="72"/>
  <c r="Q12" i="199" s="1"/>
  <c r="Q40" i="72"/>
  <c r="V11" i="101" s="1"/>
  <c r="M40" i="72"/>
  <c r="Q11" i="101" s="1"/>
  <c r="Q27" i="72"/>
  <c r="V16" i="36" s="1"/>
  <c r="M27" i="72"/>
  <c r="Q16" i="36" s="1"/>
  <c r="Q108" i="72"/>
  <c r="V13" i="164" s="1"/>
  <c r="M108" i="72"/>
  <c r="Q13" i="164" s="1"/>
  <c r="Q62" i="72"/>
  <c r="V33" i="101" s="1"/>
  <c r="M62" i="72"/>
  <c r="Q33" i="101" s="1"/>
  <c r="Q144" i="72"/>
  <c r="V18" i="50" s="1"/>
  <c r="M144" i="72"/>
  <c r="Q18" i="50" s="1"/>
  <c r="Q92" i="72"/>
  <c r="V33" i="131" s="1"/>
  <c r="M92" i="72"/>
  <c r="Q33" i="131" s="1"/>
  <c r="Q156" i="72"/>
  <c r="V7" i="199" s="1"/>
  <c r="M156" i="72"/>
  <c r="Q7" i="199" s="1"/>
  <c r="Q114" i="72"/>
  <c r="V19" i="164" s="1"/>
  <c r="M114" i="72"/>
  <c r="Q19" i="164" s="1"/>
  <c r="Q185" i="72"/>
  <c r="V6" i="237" s="1"/>
  <c r="M185" i="72"/>
  <c r="Q6" i="237" s="1"/>
  <c r="Q219" i="72"/>
  <c r="U8" i="270" s="1"/>
  <c r="M219" i="72"/>
  <c r="Q8" i="270" s="1"/>
  <c r="Q105" i="72"/>
  <c r="V10" i="164" s="1"/>
  <c r="M105" i="72"/>
  <c r="Q10" i="164" s="1"/>
  <c r="Q36" i="72"/>
  <c r="V7" i="101" s="1"/>
  <c r="M36" i="72"/>
  <c r="Q7" i="101" s="1"/>
  <c r="Q67" i="72"/>
  <c r="V8" i="131" s="1"/>
  <c r="M67" i="72"/>
  <c r="Q8" i="131" s="1"/>
  <c r="Q11" i="72"/>
  <c r="M11" i="72"/>
  <c r="Q45" i="72"/>
  <c r="V16" i="101" s="1"/>
  <c r="M45" i="72"/>
  <c r="Q16" i="101" s="1"/>
  <c r="Q132" i="72"/>
  <c r="V6" i="50" s="1"/>
  <c r="M132" i="72"/>
  <c r="Q6" i="50" s="1"/>
  <c r="Q103" i="72"/>
  <c r="V8" i="164" s="1"/>
  <c r="M103" i="72"/>
  <c r="Q8" i="164" s="1"/>
  <c r="Q140" i="72"/>
  <c r="V14" i="50" s="1"/>
  <c r="M140" i="72"/>
  <c r="Q14" i="50" s="1"/>
  <c r="Q37" i="72"/>
  <c r="V8" i="101" s="1"/>
  <c r="M37" i="72"/>
  <c r="Q8" i="101" s="1"/>
  <c r="Q26" i="72"/>
  <c r="V15" i="36" s="1"/>
  <c r="M26" i="72"/>
  <c r="Q15" i="36" s="1"/>
  <c r="Q135" i="72"/>
  <c r="V9" i="50" s="1"/>
  <c r="M135" i="72"/>
  <c r="Q9" i="50" s="1"/>
  <c r="Q178" i="72"/>
  <c r="V6" i="225" s="1"/>
  <c r="M178" i="72"/>
  <c r="Q6" i="225" s="1"/>
  <c r="Q72" i="72"/>
  <c r="V13" i="131" s="1"/>
  <c r="M72" i="72"/>
  <c r="Q13" i="131" s="1"/>
  <c r="Q189" i="72"/>
  <c r="V10" i="237" s="1"/>
  <c r="M189" i="72"/>
  <c r="Q10" i="237" s="1"/>
  <c r="Q80" i="72"/>
  <c r="V21" i="131" s="1"/>
  <c r="M80" i="72"/>
  <c r="Q21" i="131" s="1"/>
  <c r="Q217" i="72"/>
  <c r="U6" i="270" s="1"/>
  <c r="M217" i="72"/>
  <c r="Q6" i="270" s="1"/>
  <c r="Q6" i="72"/>
  <c r="M6" i="72"/>
  <c r="Q213" i="72"/>
  <c r="U10" i="262" s="1"/>
  <c r="M213" i="72"/>
  <c r="Q10" i="262" s="1"/>
  <c r="Q110" i="72"/>
  <c r="V15" i="164" s="1"/>
  <c r="M110" i="72"/>
  <c r="Q15" i="164" s="1"/>
  <c r="Q130" i="72"/>
  <c r="V12" i="190" s="1"/>
  <c r="M130" i="72"/>
  <c r="Q12" i="190" s="1"/>
  <c r="Q203" i="72"/>
  <c r="U10" i="250" s="1"/>
  <c r="M203" i="72"/>
  <c r="Q10" i="250" s="1"/>
  <c r="Q53" i="72"/>
  <c r="V24" i="101" s="1"/>
  <c r="M53" i="72"/>
  <c r="Q24" i="101" s="1"/>
  <c r="Q48" i="72"/>
  <c r="V19" i="101" s="1"/>
  <c r="M48" i="72"/>
  <c r="Q19" i="101" s="1"/>
  <c r="Q77" i="72"/>
  <c r="V18" i="131" s="1"/>
  <c r="M77" i="72"/>
  <c r="Q18" i="131" s="1"/>
  <c r="Q154" i="72"/>
  <c r="V5" i="199" s="1"/>
  <c r="M154" i="72"/>
  <c r="Q5" i="199" s="1"/>
  <c r="Q41" i="72"/>
  <c r="V12" i="101" s="1"/>
  <c r="Q201" i="72"/>
  <c r="U8" i="250" s="1"/>
  <c r="M201" i="72"/>
  <c r="Q8" i="250" s="1"/>
  <c r="Q184" i="72"/>
  <c r="V5" i="237" s="1"/>
  <c r="M184" i="72"/>
  <c r="Q5" i="237" s="1"/>
  <c r="Q147" i="72"/>
  <c r="V21" i="50" s="1"/>
  <c r="M147" i="72"/>
  <c r="Q21" i="50" s="1"/>
  <c r="Q196" i="72"/>
  <c r="V17" i="237" s="1"/>
  <c r="M196" i="72"/>
  <c r="Q17" i="237" s="1"/>
  <c r="Q190" i="72"/>
  <c r="V11" i="237" s="1"/>
  <c r="M190" i="72"/>
  <c r="Q11" i="237" s="1"/>
  <c r="Q197" i="72"/>
  <c r="V18" i="237" s="1"/>
  <c r="M197" i="72"/>
  <c r="Q18" i="237" s="1"/>
  <c r="Q168" i="72"/>
  <c r="V19" i="199" s="1"/>
  <c r="M168" i="72"/>
  <c r="Q19" i="199" s="1"/>
  <c r="Q166" i="72"/>
  <c r="V17" i="199" s="1"/>
  <c r="M166" i="72"/>
  <c r="Q17" i="199" s="1"/>
  <c r="Q212" i="72"/>
  <c r="U9" i="262" s="1"/>
  <c r="M212" i="72"/>
  <c r="Q9" i="262" s="1"/>
  <c r="Q162" i="72"/>
  <c r="V13" i="199" s="1"/>
  <c r="M162" i="72"/>
  <c r="Q13" i="199" s="1"/>
  <c r="Q192" i="72"/>
  <c r="V13" i="237" s="1"/>
  <c r="M192" i="72"/>
  <c r="Q13" i="237" s="1"/>
  <c r="Q176" i="72"/>
  <c r="V12" i="216" s="1"/>
  <c r="M176" i="72"/>
  <c r="Q12" i="216" s="1"/>
  <c r="Q191" i="72"/>
  <c r="V12" i="237" s="1"/>
  <c r="M191" i="72"/>
  <c r="Q12" i="237" s="1"/>
  <c r="Q200" i="72"/>
  <c r="U7" i="250" s="1"/>
  <c r="M200" i="72"/>
  <c r="Q7" i="250" s="1"/>
  <c r="Q188" i="72"/>
  <c r="V9" i="237" s="1"/>
  <c r="M188" i="72"/>
  <c r="Q9" i="237" s="1"/>
  <c r="Q205" i="72"/>
  <c r="U12" i="250" s="1"/>
  <c r="M205" i="72"/>
  <c r="Q12" i="250" s="1"/>
  <c r="Q170" i="72"/>
  <c r="V6" i="216" s="1"/>
  <c r="M170" i="72"/>
  <c r="Q6" i="216" s="1"/>
  <c r="Q206" i="72"/>
  <c r="U13" i="250" s="1"/>
  <c r="M206" i="72"/>
  <c r="Q13" i="250" s="1"/>
  <c r="Q202" i="72"/>
  <c r="U9" i="250" s="1"/>
  <c r="M202" i="72"/>
  <c r="Q9" i="250" s="1"/>
  <c r="Q198" i="72"/>
  <c r="U5" i="250" s="1"/>
  <c r="M198" i="72"/>
  <c r="Q5" i="250" s="1"/>
  <c r="Q152" i="72"/>
  <c r="V26" i="50" s="1"/>
  <c r="M152" i="72"/>
  <c r="Q26" i="50" s="1"/>
  <c r="Q164" i="72"/>
  <c r="V15" i="199" s="1"/>
  <c r="M164" i="72"/>
  <c r="Q15" i="199" s="1"/>
  <c r="Q186" i="72"/>
  <c r="V7" i="237" s="1"/>
  <c r="M186" i="72"/>
  <c r="Q7" i="237" s="1"/>
  <c r="Q174" i="72"/>
  <c r="V10" i="216" s="1"/>
  <c r="M174" i="72"/>
  <c r="Q10" i="216" s="1"/>
  <c r="Q160" i="72"/>
  <c r="V11" i="199" s="1"/>
  <c r="M160" i="72"/>
  <c r="Q11" i="199" s="1"/>
  <c r="N9" i="72"/>
  <c r="N82" i="72"/>
  <c r="R23" i="131" s="1"/>
  <c r="N211" i="72"/>
  <c r="R8" i="262" s="1"/>
  <c r="N7" i="72"/>
  <c r="N63" i="72"/>
  <c r="R34" i="101" s="1"/>
  <c r="R215" i="72"/>
  <c r="V12" i="262" s="1"/>
  <c r="R133" i="72"/>
  <c r="W7" i="50" s="1"/>
  <c r="R182" i="72"/>
  <c r="W10" i="225" s="1"/>
  <c r="Q109" i="72"/>
  <c r="V14" i="164" s="1"/>
  <c r="M82" i="72"/>
  <c r="Q23" i="131" s="1"/>
  <c r="M95" i="72"/>
  <c r="Q36" i="131" s="1"/>
  <c r="Q155" i="72"/>
  <c r="V6" i="199" s="1"/>
  <c r="M63" i="72"/>
  <c r="Q34" i="101" s="1"/>
  <c r="Q215" i="72"/>
  <c r="U12" i="262" s="1"/>
  <c r="M133" i="72"/>
  <c r="Q7" i="50" s="1"/>
  <c r="M143" i="72"/>
  <c r="Q17" i="50" s="1"/>
  <c r="Q111" i="72"/>
  <c r="V16" i="164" s="1"/>
  <c r="P9" i="72"/>
  <c r="L109" i="72"/>
  <c r="P14" i="164" s="1"/>
  <c r="P82" i="72"/>
  <c r="U23" i="131" s="1"/>
  <c r="L96" i="72"/>
  <c r="P37" i="131" s="1"/>
  <c r="L95" i="72"/>
  <c r="P36" i="131" s="1"/>
  <c r="P211" i="72"/>
  <c r="L155" i="72"/>
  <c r="P6" i="199" s="1"/>
  <c r="P7" i="72"/>
  <c r="P194" i="72"/>
  <c r="P63" i="72"/>
  <c r="U34" i="101" s="1"/>
  <c r="L210" i="72"/>
  <c r="P7" i="262" s="1"/>
  <c r="L215" i="72"/>
  <c r="P12" i="262" s="1"/>
  <c r="P133" i="72"/>
  <c r="U7" i="50" s="1"/>
  <c r="P143" i="72"/>
  <c r="U17" i="50" s="1"/>
  <c r="L182" i="72"/>
  <c r="P10" i="225" s="1"/>
  <c r="L111" i="72"/>
  <c r="P16" i="164" s="1"/>
  <c r="P193" i="72"/>
  <c r="U14" i="237" s="1"/>
  <c r="L187" i="72"/>
  <c r="P8" i="237" s="1"/>
  <c r="P208" i="72"/>
  <c r="T10" i="262" s="1"/>
  <c r="P61" i="72"/>
  <c r="U32" i="101" s="1"/>
  <c r="P30" i="72"/>
  <c r="U19" i="36" s="1"/>
  <c r="P138" i="72"/>
  <c r="U12" i="50" s="1"/>
  <c r="P76" i="72"/>
  <c r="U17" i="131" s="1"/>
  <c r="P75" i="72"/>
  <c r="U16" i="131" s="1"/>
  <c r="P100" i="72"/>
  <c r="U5" i="164" s="1"/>
  <c r="L100" i="72"/>
  <c r="P5" i="164" s="1"/>
  <c r="L214" i="72"/>
  <c r="P11" i="262" s="1"/>
  <c r="L121" i="72"/>
  <c r="P10" i="182" s="1"/>
  <c r="L165" i="72"/>
  <c r="P16" i="199" s="1"/>
  <c r="L199" i="72"/>
  <c r="P6" i="250" s="1"/>
  <c r="P68" i="72"/>
  <c r="U9" i="131" s="1"/>
  <c r="P60" i="72"/>
  <c r="U31" i="101" s="1"/>
  <c r="L139" i="72"/>
  <c r="P13" i="50" s="1"/>
  <c r="L4" i="72"/>
  <c r="L74" i="72"/>
  <c r="P15" i="131" s="1"/>
  <c r="L107" i="72"/>
  <c r="P12" i="164" s="1"/>
  <c r="P94" i="72"/>
  <c r="U35" i="131" s="1"/>
  <c r="L94" i="72"/>
  <c r="P35" i="131" s="1"/>
  <c r="P58" i="72"/>
  <c r="U29" i="101" s="1"/>
  <c r="L58" i="72"/>
  <c r="P29" i="101" s="1"/>
  <c r="P50" i="72"/>
  <c r="U21" i="101" s="1"/>
  <c r="L50" i="72"/>
  <c r="P21" i="101" s="1"/>
  <c r="P16" i="72"/>
  <c r="U5" i="36" s="1"/>
  <c r="L16" i="72"/>
  <c r="P5" i="36" s="1"/>
  <c r="P19" i="72"/>
  <c r="U8" i="36" s="1"/>
  <c r="L19" i="72"/>
  <c r="P8" i="36" s="1"/>
  <c r="P89" i="72"/>
  <c r="U30" i="131" s="1"/>
  <c r="L89" i="72"/>
  <c r="P30" i="131" s="1"/>
  <c r="P23" i="72"/>
  <c r="U12" i="36" s="1"/>
  <c r="L23" i="72"/>
  <c r="P12" i="36" s="1"/>
  <c r="P106" i="72"/>
  <c r="U11" i="164" s="1"/>
  <c r="L106" i="72"/>
  <c r="P11" i="164" s="1"/>
  <c r="P49" i="72"/>
  <c r="U20" i="101" s="1"/>
  <c r="L49" i="72"/>
  <c r="P20" i="101" s="1"/>
  <c r="P149" i="72"/>
  <c r="U23" i="50" s="1"/>
  <c r="L149" i="72"/>
  <c r="P23" i="50" s="1"/>
  <c r="P83" i="72"/>
  <c r="U24" i="131" s="1"/>
  <c r="L83" i="72"/>
  <c r="P24" i="131" s="1"/>
  <c r="P12" i="72"/>
  <c r="L12" i="72"/>
  <c r="P104" i="72"/>
  <c r="U9" i="164" s="1"/>
  <c r="L104" i="72"/>
  <c r="P9" i="164" s="1"/>
  <c r="P90" i="72"/>
  <c r="U31" i="131" s="1"/>
  <c r="L90" i="72"/>
  <c r="P31" i="131" s="1"/>
  <c r="P43" i="72"/>
  <c r="U14" i="101" s="1"/>
  <c r="L43" i="72"/>
  <c r="P14" i="101" s="1"/>
  <c r="P87" i="72"/>
  <c r="U28" i="131" s="1"/>
  <c r="L87" i="72"/>
  <c r="P28" i="131" s="1"/>
  <c r="P57" i="72"/>
  <c r="U28" i="101" s="1"/>
  <c r="L57" i="72"/>
  <c r="P28" i="101" s="1"/>
  <c r="P13" i="72"/>
  <c r="L13" i="72"/>
  <c r="P54" i="72"/>
  <c r="U25" i="101" s="1"/>
  <c r="L54" i="72"/>
  <c r="P25" i="101" s="1"/>
  <c r="P91" i="72"/>
  <c r="U32" i="131" s="1"/>
  <c r="L91" i="72"/>
  <c r="P32" i="131" s="1"/>
  <c r="P161" i="72"/>
  <c r="U12" i="199" s="1"/>
  <c r="L161" i="72"/>
  <c r="P12" i="199" s="1"/>
  <c r="P40" i="72"/>
  <c r="U11" i="101" s="1"/>
  <c r="L40" i="72"/>
  <c r="P11" i="101" s="1"/>
  <c r="P27" i="72"/>
  <c r="U16" i="36" s="1"/>
  <c r="L27" i="72"/>
  <c r="P16" i="36" s="1"/>
  <c r="P108" i="72"/>
  <c r="U13" i="164" s="1"/>
  <c r="L108" i="72"/>
  <c r="P13" i="164" s="1"/>
  <c r="P62" i="72"/>
  <c r="U33" i="101" s="1"/>
  <c r="L62" i="72"/>
  <c r="P33" i="101" s="1"/>
  <c r="P144" i="72"/>
  <c r="U18" i="50" s="1"/>
  <c r="L144" i="72"/>
  <c r="P18" i="50" s="1"/>
  <c r="P92" i="72"/>
  <c r="U33" i="131" s="1"/>
  <c r="L92" i="72"/>
  <c r="P33" i="131" s="1"/>
  <c r="P156" i="72"/>
  <c r="U7" i="199" s="1"/>
  <c r="L156" i="72"/>
  <c r="P7" i="199" s="1"/>
  <c r="P114" i="72"/>
  <c r="U19" i="164" s="1"/>
  <c r="L114" i="72"/>
  <c r="P19" i="164" s="1"/>
  <c r="P185" i="72"/>
  <c r="U6" i="237" s="1"/>
  <c r="L185" i="72"/>
  <c r="P6" i="237" s="1"/>
  <c r="P219" i="72"/>
  <c r="L219" i="72"/>
  <c r="P8" i="270" s="1"/>
  <c r="P105" i="72"/>
  <c r="U10" i="164" s="1"/>
  <c r="L105" i="72"/>
  <c r="P10" i="164" s="1"/>
  <c r="P36" i="72"/>
  <c r="U7" i="101" s="1"/>
  <c r="L36" i="72"/>
  <c r="P7" i="101" s="1"/>
  <c r="P67" i="72"/>
  <c r="U8" i="131" s="1"/>
  <c r="L67" i="72"/>
  <c r="P8" i="131" s="1"/>
  <c r="P11" i="72"/>
  <c r="L11" i="72"/>
  <c r="P45" i="72"/>
  <c r="U16" i="101" s="1"/>
  <c r="L45" i="72"/>
  <c r="P16" i="101" s="1"/>
  <c r="P132" i="72"/>
  <c r="U6" i="50" s="1"/>
  <c r="L132" i="72"/>
  <c r="P6" i="50" s="1"/>
  <c r="P103" i="72"/>
  <c r="U8" i="164" s="1"/>
  <c r="L103" i="72"/>
  <c r="P8" i="164" s="1"/>
  <c r="P140" i="72"/>
  <c r="U14" i="50" s="1"/>
  <c r="L140" i="72"/>
  <c r="P14" i="50" s="1"/>
  <c r="P37" i="72"/>
  <c r="U8" i="101" s="1"/>
  <c r="L37" i="72"/>
  <c r="P8" i="101" s="1"/>
  <c r="P26" i="72"/>
  <c r="U15" i="36" s="1"/>
  <c r="L26" i="72"/>
  <c r="P15" i="36" s="1"/>
  <c r="P135" i="72"/>
  <c r="U9" i="50" s="1"/>
  <c r="L135" i="72"/>
  <c r="P9" i="50" s="1"/>
  <c r="P178" i="72"/>
  <c r="U6" i="225" s="1"/>
  <c r="L178" i="72"/>
  <c r="P6" i="225" s="1"/>
  <c r="P72" i="72"/>
  <c r="U13" i="131" s="1"/>
  <c r="L72" i="72"/>
  <c r="P13" i="131" s="1"/>
  <c r="P189" i="72"/>
  <c r="U10" i="237" s="1"/>
  <c r="L189" i="72"/>
  <c r="P10" i="237" s="1"/>
  <c r="P80" i="72"/>
  <c r="U21" i="131" s="1"/>
  <c r="L80" i="72"/>
  <c r="P21" i="131" s="1"/>
  <c r="P217" i="72"/>
  <c r="L217" i="72"/>
  <c r="P6" i="270" s="1"/>
  <c r="P213" i="72"/>
  <c r="L213" i="72"/>
  <c r="P10" i="262" s="1"/>
  <c r="P203" i="72"/>
  <c r="L203" i="72"/>
  <c r="P10" i="250" s="1"/>
  <c r="P201" i="72"/>
  <c r="T13" i="250" s="1"/>
  <c r="L201" i="72"/>
  <c r="P8" i="250" s="1"/>
  <c r="P184" i="72"/>
  <c r="U5" i="237" s="1"/>
  <c r="L184" i="72"/>
  <c r="P5" i="237" s="1"/>
  <c r="P167" i="72"/>
  <c r="U18" i="199" s="1"/>
  <c r="L167" i="72"/>
  <c r="P18" i="199" s="1"/>
  <c r="P196" i="72"/>
  <c r="L196" i="72"/>
  <c r="P17" i="237" s="1"/>
  <c r="P163" i="72"/>
  <c r="U14" i="199" s="1"/>
  <c r="L163" i="72"/>
  <c r="P14" i="199" s="1"/>
  <c r="P190" i="72"/>
  <c r="U11" i="237" s="1"/>
  <c r="L190" i="72"/>
  <c r="P11" i="237" s="1"/>
  <c r="P197" i="72"/>
  <c r="L197" i="72"/>
  <c r="P18" i="237" s="1"/>
  <c r="P159" i="72"/>
  <c r="U10" i="199" s="1"/>
  <c r="L159" i="72"/>
  <c r="P10" i="199" s="1"/>
  <c r="P212" i="72"/>
  <c r="L212" i="72"/>
  <c r="P9" i="262" s="1"/>
  <c r="P192" i="72"/>
  <c r="U13" i="237" s="1"/>
  <c r="L192" i="72"/>
  <c r="P13" i="237" s="1"/>
  <c r="P175" i="72"/>
  <c r="U11" i="216" s="1"/>
  <c r="L175" i="72"/>
  <c r="P11" i="216" s="1"/>
  <c r="P177" i="72"/>
  <c r="U5" i="225" s="1"/>
  <c r="L177" i="72"/>
  <c r="P5" i="225" s="1"/>
  <c r="P191" i="72"/>
  <c r="U12" i="237" s="1"/>
  <c r="L191" i="72"/>
  <c r="P12" i="237" s="1"/>
  <c r="P200" i="72"/>
  <c r="T12" i="250" s="1"/>
  <c r="L200" i="72"/>
  <c r="P7" i="250" s="1"/>
  <c r="P188" i="72"/>
  <c r="U9" i="237" s="1"/>
  <c r="L188" i="72"/>
  <c r="P9" i="237" s="1"/>
  <c r="P142" i="72"/>
  <c r="U16" i="50" s="1"/>
  <c r="L142" i="72"/>
  <c r="P16" i="50" s="1"/>
  <c r="P150" i="72"/>
  <c r="U24" i="50" s="1"/>
  <c r="L150" i="72"/>
  <c r="P24" i="50" s="1"/>
  <c r="P205" i="72"/>
  <c r="T7" i="262" s="1"/>
  <c r="L205" i="72"/>
  <c r="P12" i="250" s="1"/>
  <c r="P169" i="72"/>
  <c r="U5" i="216" s="1"/>
  <c r="L169" i="72"/>
  <c r="P5" i="216" s="1"/>
  <c r="P206" i="72"/>
  <c r="T8" i="262" s="1"/>
  <c r="L206" i="72"/>
  <c r="P13" i="250" s="1"/>
  <c r="P202" i="72"/>
  <c r="T14" i="250" s="1"/>
  <c r="L202" i="72"/>
  <c r="P9" i="250" s="1"/>
  <c r="P171" i="72"/>
  <c r="U7" i="216" s="1"/>
  <c r="L171" i="72"/>
  <c r="P7" i="216" s="1"/>
  <c r="P198" i="72"/>
  <c r="L198" i="72"/>
  <c r="P5" i="250" s="1"/>
  <c r="P173" i="72"/>
  <c r="U9" i="216" s="1"/>
  <c r="L173" i="72"/>
  <c r="P9" i="216" s="1"/>
  <c r="P186" i="72"/>
  <c r="U7" i="237" s="1"/>
  <c r="L186" i="72"/>
  <c r="P7" i="237" s="1"/>
  <c r="P179" i="72"/>
  <c r="U7" i="225" s="1"/>
  <c r="L179" i="72"/>
  <c r="P7" i="225" s="1"/>
  <c r="N73" i="72"/>
  <c r="R14" i="131" s="1"/>
  <c r="R162" i="72"/>
  <c r="W13" i="199" s="1"/>
  <c r="N162" i="72"/>
  <c r="R13" i="199" s="1"/>
  <c r="R69" i="72"/>
  <c r="W10" i="131" s="1"/>
  <c r="N69" i="72"/>
  <c r="R10" i="131" s="1"/>
  <c r="R176" i="72"/>
  <c r="W12" i="216" s="1"/>
  <c r="N176" i="72"/>
  <c r="R12" i="216" s="1"/>
  <c r="R33" i="72"/>
  <c r="N33" i="72"/>
  <c r="R158" i="72"/>
  <c r="W9" i="199" s="1"/>
  <c r="N158" i="72"/>
  <c r="R9" i="199" s="1"/>
  <c r="R5" i="72"/>
  <c r="N5" i="72"/>
  <c r="R142" i="72"/>
  <c r="W16" i="50" s="1"/>
  <c r="N142" i="72"/>
  <c r="R16" i="50" s="1"/>
  <c r="R218" i="72"/>
  <c r="V7" i="270" s="1"/>
  <c r="N218" i="72"/>
  <c r="R7" i="270" s="1"/>
  <c r="R150" i="72"/>
  <c r="W24" i="50" s="1"/>
  <c r="N150" i="72"/>
  <c r="R24" i="50" s="1"/>
  <c r="R55" i="72"/>
  <c r="W26" i="101" s="1"/>
  <c r="N55" i="72"/>
  <c r="R26" i="101" s="1"/>
  <c r="R170" i="72"/>
  <c r="W6" i="216" s="1"/>
  <c r="N170" i="72"/>
  <c r="R6" i="216" s="1"/>
  <c r="R115" i="72"/>
  <c r="W20" i="164" s="1"/>
  <c r="N115" i="72"/>
  <c r="R20" i="164" s="1"/>
  <c r="R172" i="72"/>
  <c r="W8" i="216" s="1"/>
  <c r="N172" i="72"/>
  <c r="R8" i="216" s="1"/>
  <c r="R15" i="72"/>
  <c r="N15" i="72"/>
  <c r="R29" i="72"/>
  <c r="W18" i="36" s="1"/>
  <c r="N29" i="72"/>
  <c r="R18" i="36" s="1"/>
  <c r="R134" i="72"/>
  <c r="W8" i="50" s="1"/>
  <c r="N134" i="72"/>
  <c r="R8" i="50" s="1"/>
  <c r="R22" i="72"/>
  <c r="W11" i="36" s="1"/>
  <c r="N22" i="72"/>
  <c r="R11" i="36" s="1"/>
  <c r="R117" i="72"/>
  <c r="W6" i="182" s="1"/>
  <c r="N117" i="72"/>
  <c r="R6" i="182" s="1"/>
  <c r="R152" i="72"/>
  <c r="W26" i="50" s="1"/>
  <c r="N152" i="72"/>
  <c r="R26" i="50" s="1"/>
  <c r="R164" i="72"/>
  <c r="W15" i="199" s="1"/>
  <c r="N164" i="72"/>
  <c r="R15" i="199" s="1"/>
  <c r="R127" i="72"/>
  <c r="W9" i="190" s="1"/>
  <c r="N127" i="72"/>
  <c r="R9" i="190" s="1"/>
  <c r="R21" i="72"/>
  <c r="W10" i="36" s="1"/>
  <c r="N21" i="72"/>
  <c r="R10" i="36" s="1"/>
  <c r="R123" i="72"/>
  <c r="W5" i="190" s="1"/>
  <c r="N123" i="72"/>
  <c r="R5" i="190" s="1"/>
  <c r="R129" i="72"/>
  <c r="W11" i="190" s="1"/>
  <c r="N129" i="72"/>
  <c r="R11" i="190" s="1"/>
  <c r="R99" i="72"/>
  <c r="W40" i="131" s="1"/>
  <c r="N99" i="72"/>
  <c r="R40" i="131" s="1"/>
  <c r="R174" i="72"/>
  <c r="W10" i="216" s="1"/>
  <c r="N174" i="72"/>
  <c r="R10" i="216" s="1"/>
  <c r="R125" i="72"/>
  <c r="W7" i="190" s="1"/>
  <c r="N125" i="72"/>
  <c r="R7" i="190" s="1"/>
  <c r="R120" i="72"/>
  <c r="W9" i="182" s="1"/>
  <c r="N120" i="72"/>
  <c r="R9" i="182" s="1"/>
  <c r="R137" i="72"/>
  <c r="W11" i="50" s="1"/>
  <c r="N137" i="72"/>
  <c r="R11" i="50" s="1"/>
  <c r="R160" i="72"/>
  <c r="W11" i="199" s="1"/>
  <c r="N160" i="72"/>
  <c r="R11" i="199" s="1"/>
  <c r="R20" i="72"/>
  <c r="W9" i="36" s="1"/>
  <c r="N20" i="72"/>
  <c r="R9" i="36" s="1"/>
  <c r="R141" i="72"/>
  <c r="W15" i="50" s="1"/>
  <c r="N141" i="72"/>
  <c r="R15" i="50" s="1"/>
  <c r="R126" i="72"/>
  <c r="W8" i="190" s="1"/>
  <c r="N126" i="72"/>
  <c r="R8" i="190" s="1"/>
  <c r="R118" i="72"/>
  <c r="W7" i="182" s="1"/>
  <c r="N118" i="72"/>
  <c r="R7" i="182" s="1"/>
  <c r="R98" i="72"/>
  <c r="W39" i="131" s="1"/>
  <c r="N98" i="72"/>
  <c r="R39" i="131" s="1"/>
  <c r="R81" i="72"/>
  <c r="W22" i="131" s="1"/>
  <c r="N81" i="72"/>
  <c r="R22" i="131" s="1"/>
  <c r="R101" i="72"/>
  <c r="W6" i="164" s="1"/>
  <c r="N101" i="72"/>
  <c r="R6" i="164" s="1"/>
  <c r="R65" i="72"/>
  <c r="W6" i="131" s="1"/>
  <c r="N65" i="72"/>
  <c r="R6" i="131" s="1"/>
  <c r="R46" i="72"/>
  <c r="W17" i="101" s="1"/>
  <c r="N46" i="72"/>
  <c r="R17" i="101" s="1"/>
  <c r="R17" i="72"/>
  <c r="W6" i="36" s="1"/>
  <c r="N17" i="72"/>
  <c r="R6" i="36" s="1"/>
  <c r="M41" i="72"/>
  <c r="Q12" i="101" s="1"/>
  <c r="Q28" i="72"/>
  <c r="V17" i="36" s="1"/>
  <c r="M28" i="72"/>
  <c r="Q17" i="36" s="1"/>
  <c r="Q93" i="72"/>
  <c r="V34" i="131" s="1"/>
  <c r="M93" i="72"/>
  <c r="Q34" i="131" s="1"/>
  <c r="Q78" i="72"/>
  <c r="V19" i="131" s="1"/>
  <c r="M78" i="72"/>
  <c r="Q19" i="131" s="1"/>
  <c r="Q70" i="72"/>
  <c r="V11" i="131" s="1"/>
  <c r="M70" i="72"/>
  <c r="Q11" i="131" s="1"/>
  <c r="Q102" i="72"/>
  <c r="V7" i="164" s="1"/>
  <c r="M102" i="72"/>
  <c r="Q7" i="164" s="1"/>
  <c r="Q112" i="72"/>
  <c r="V17" i="164" s="1"/>
  <c r="M112" i="72"/>
  <c r="Q17" i="164" s="1"/>
  <c r="Q131" i="72"/>
  <c r="V5" i="50" s="1"/>
  <c r="M131" i="72"/>
  <c r="Q5" i="50" s="1"/>
  <c r="Q44" i="72"/>
  <c r="V15" i="101" s="1"/>
  <c r="M44" i="72"/>
  <c r="Q15" i="101" s="1"/>
  <c r="Q124" i="72"/>
  <c r="V6" i="190" s="1"/>
  <c r="M124" i="72"/>
  <c r="Q6" i="190" s="1"/>
  <c r="Q64" i="72"/>
  <c r="V5" i="131" s="1"/>
  <c r="M64" i="72"/>
  <c r="Q5" i="131" s="1"/>
  <c r="Q47" i="72"/>
  <c r="V18" i="101" s="1"/>
  <c r="M47" i="72"/>
  <c r="Q18" i="101" s="1"/>
  <c r="Q84" i="72"/>
  <c r="V25" i="131" s="1"/>
  <c r="M84" i="72"/>
  <c r="Q25" i="131" s="1"/>
  <c r="Q136" i="72"/>
  <c r="V10" i="50" s="1"/>
  <c r="M136" i="72"/>
  <c r="Q10" i="50" s="1"/>
  <c r="Q56" i="72"/>
  <c r="V27" i="101" s="1"/>
  <c r="M56" i="72"/>
  <c r="Q27" i="101" s="1"/>
  <c r="Q71" i="72"/>
  <c r="V12" i="131" s="1"/>
  <c r="M71" i="72"/>
  <c r="Q12" i="131" s="1"/>
  <c r="Q66" i="72"/>
  <c r="V7" i="131" s="1"/>
  <c r="M66" i="72"/>
  <c r="Q7" i="131" s="1"/>
  <c r="Q167" i="72"/>
  <c r="V18" i="199" s="1"/>
  <c r="M167" i="72"/>
  <c r="Q18" i="199" s="1"/>
  <c r="Q119" i="72"/>
  <c r="V8" i="182" s="1"/>
  <c r="M119" i="72"/>
  <c r="Q8" i="182" s="1"/>
  <c r="Q116" i="72"/>
  <c r="V5" i="182" s="1"/>
  <c r="M116" i="72"/>
  <c r="Q5" i="182" s="1"/>
  <c r="Q163" i="72"/>
  <c r="V14" i="199" s="1"/>
  <c r="M163" i="72"/>
  <c r="Q14" i="199" s="1"/>
  <c r="Q79" i="72"/>
  <c r="V20" i="131" s="1"/>
  <c r="M79" i="72"/>
  <c r="Q20" i="131" s="1"/>
  <c r="Q159" i="72"/>
  <c r="V10" i="199" s="1"/>
  <c r="M159" i="72"/>
  <c r="Q10" i="199" s="1"/>
  <c r="Q86" i="72"/>
  <c r="V27" i="131" s="1"/>
  <c r="M86" i="72"/>
  <c r="Q27" i="131" s="1"/>
  <c r="Q24" i="72"/>
  <c r="V13" i="36" s="1"/>
  <c r="M24" i="72"/>
  <c r="Q13" i="36" s="1"/>
  <c r="Q73" i="72"/>
  <c r="V14" i="131" s="1"/>
  <c r="M73" i="72"/>
  <c r="Q14" i="131" s="1"/>
  <c r="Q69" i="72"/>
  <c r="V10" i="131" s="1"/>
  <c r="M69" i="72"/>
  <c r="Q10" i="131" s="1"/>
  <c r="Q175" i="72"/>
  <c r="V11" i="216" s="1"/>
  <c r="M175" i="72"/>
  <c r="Q11" i="216" s="1"/>
  <c r="Q177" i="72"/>
  <c r="V5" i="225" s="1"/>
  <c r="M177" i="72"/>
  <c r="Q5" i="225" s="1"/>
  <c r="Q33" i="72"/>
  <c r="M33" i="72"/>
  <c r="Q158" i="72"/>
  <c r="V9" i="199" s="1"/>
  <c r="M158" i="72"/>
  <c r="Q9" i="199" s="1"/>
  <c r="Q5" i="72"/>
  <c r="M5" i="72"/>
  <c r="Q142" i="72"/>
  <c r="V16" i="50" s="1"/>
  <c r="M142" i="72"/>
  <c r="Q16" i="50" s="1"/>
  <c r="Q218" i="72"/>
  <c r="U7" i="270" s="1"/>
  <c r="M218" i="72"/>
  <c r="Q7" i="270" s="1"/>
  <c r="Q150" i="72"/>
  <c r="V24" i="50" s="1"/>
  <c r="M150" i="72"/>
  <c r="Q24" i="50" s="1"/>
  <c r="Q55" i="72"/>
  <c r="V26" i="101" s="1"/>
  <c r="M55" i="72"/>
  <c r="Q26" i="101" s="1"/>
  <c r="Q169" i="72"/>
  <c r="V5" i="216" s="1"/>
  <c r="M169" i="72"/>
  <c r="Q5" i="216" s="1"/>
  <c r="Q115" i="72"/>
  <c r="V20" i="164" s="1"/>
  <c r="M115" i="72"/>
  <c r="Q20" i="164" s="1"/>
  <c r="Q171" i="72"/>
  <c r="V7" i="216" s="1"/>
  <c r="M171" i="72"/>
  <c r="Q7" i="216" s="1"/>
  <c r="Q15" i="72"/>
  <c r="M15" i="72"/>
  <c r="Q29" i="72"/>
  <c r="V18" i="36" s="1"/>
  <c r="M29" i="72"/>
  <c r="Q18" i="36" s="1"/>
  <c r="Q134" i="72"/>
  <c r="V8" i="50" s="1"/>
  <c r="M134" i="72"/>
  <c r="Q8" i="50" s="1"/>
  <c r="Q22" i="72"/>
  <c r="V11" i="36" s="1"/>
  <c r="M22" i="72"/>
  <c r="Q11" i="36" s="1"/>
  <c r="Q117" i="72"/>
  <c r="V6" i="182" s="1"/>
  <c r="M117" i="72"/>
  <c r="Q6" i="182" s="1"/>
  <c r="Q173" i="72"/>
  <c r="V9" i="216" s="1"/>
  <c r="M173" i="72"/>
  <c r="Q9" i="216" s="1"/>
  <c r="Q127" i="72"/>
  <c r="V9" i="190" s="1"/>
  <c r="M127" i="72"/>
  <c r="Q9" i="190" s="1"/>
  <c r="Q21" i="72"/>
  <c r="V10" i="36" s="1"/>
  <c r="M21" i="72"/>
  <c r="Q10" i="36" s="1"/>
  <c r="Q179" i="72"/>
  <c r="V7" i="225" s="1"/>
  <c r="M179" i="72"/>
  <c r="Q7" i="225" s="1"/>
  <c r="Q123" i="72"/>
  <c r="V5" i="190" s="1"/>
  <c r="M123" i="72"/>
  <c r="Q5" i="190" s="1"/>
  <c r="Q129" i="72"/>
  <c r="V11" i="190" s="1"/>
  <c r="M129" i="72"/>
  <c r="Q11" i="190" s="1"/>
  <c r="Q99" i="72"/>
  <c r="V40" i="131" s="1"/>
  <c r="M99" i="72"/>
  <c r="Q40" i="131" s="1"/>
  <c r="Q125" i="72"/>
  <c r="V7" i="190" s="1"/>
  <c r="M125" i="72"/>
  <c r="Q7" i="190" s="1"/>
  <c r="Q120" i="72"/>
  <c r="V9" i="182" s="1"/>
  <c r="M120" i="72"/>
  <c r="Q9" i="182" s="1"/>
  <c r="Q137" i="72"/>
  <c r="V11" i="50" s="1"/>
  <c r="M137" i="72"/>
  <c r="Q11" i="50" s="1"/>
  <c r="Q20" i="72"/>
  <c r="V9" i="36" s="1"/>
  <c r="M20" i="72"/>
  <c r="Q9" i="36" s="1"/>
  <c r="Q141" i="72"/>
  <c r="V15" i="50" s="1"/>
  <c r="M141" i="72"/>
  <c r="Q15" i="50" s="1"/>
  <c r="Q126" i="72"/>
  <c r="V8" i="190" s="1"/>
  <c r="M126" i="72"/>
  <c r="Q8" i="190" s="1"/>
  <c r="Q118" i="72"/>
  <c r="V7" i="182" s="1"/>
  <c r="M118" i="72"/>
  <c r="Q7" i="182" s="1"/>
  <c r="Q98" i="72"/>
  <c r="V39" i="131" s="1"/>
  <c r="M98" i="72"/>
  <c r="Q39" i="131" s="1"/>
  <c r="Q81" i="72"/>
  <c r="V22" i="131" s="1"/>
  <c r="M81" i="72"/>
  <c r="Q22" i="131" s="1"/>
  <c r="Q101" i="72"/>
  <c r="V6" i="164" s="1"/>
  <c r="M101" i="72"/>
  <c r="Q6" i="164" s="1"/>
  <c r="Q65" i="72"/>
  <c r="V6" i="131" s="1"/>
  <c r="M65" i="72"/>
  <c r="Q6" i="131" s="1"/>
  <c r="Q46" i="72"/>
  <c r="V17" i="101" s="1"/>
  <c r="M46" i="72"/>
  <c r="Q17" i="101" s="1"/>
  <c r="Q17" i="72"/>
  <c r="V6" i="36" s="1"/>
  <c r="M17" i="72"/>
  <c r="Q6" i="36" s="1"/>
  <c r="P6" i="72"/>
  <c r="L6" i="72"/>
  <c r="S6" i="72" s="1"/>
  <c r="P110" i="72"/>
  <c r="U15" i="164" s="1"/>
  <c r="L110" i="72"/>
  <c r="P15" i="164" s="1"/>
  <c r="P130" i="72"/>
  <c r="U12" i="190" s="1"/>
  <c r="L130" i="72"/>
  <c r="P12" i="190" s="1"/>
  <c r="P53" i="72"/>
  <c r="U24" i="101" s="1"/>
  <c r="L53" i="72"/>
  <c r="P24" i="101" s="1"/>
  <c r="P48" i="72"/>
  <c r="U19" i="101" s="1"/>
  <c r="L48" i="72"/>
  <c r="P19" i="101" s="1"/>
  <c r="P77" i="72"/>
  <c r="U18" i="131" s="1"/>
  <c r="L77" i="72"/>
  <c r="P18" i="131" s="1"/>
  <c r="P154" i="72"/>
  <c r="U5" i="199" s="1"/>
  <c r="L154" i="72"/>
  <c r="P5" i="199" s="1"/>
  <c r="P41" i="72"/>
  <c r="U12" i="101" s="1"/>
  <c r="L41" i="72"/>
  <c r="P12" i="101" s="1"/>
  <c r="P28" i="72"/>
  <c r="U17" i="36" s="1"/>
  <c r="L28" i="72"/>
  <c r="P17" i="36" s="1"/>
  <c r="P93" i="72"/>
  <c r="U34" i="131" s="1"/>
  <c r="L93" i="72"/>
  <c r="P34" i="131" s="1"/>
  <c r="P78" i="72"/>
  <c r="U19" i="131" s="1"/>
  <c r="L78" i="72"/>
  <c r="P19" i="131" s="1"/>
  <c r="P70" i="72"/>
  <c r="U11" i="131" s="1"/>
  <c r="L70" i="72"/>
  <c r="P11" i="131" s="1"/>
  <c r="P102" i="72"/>
  <c r="U7" i="164" s="1"/>
  <c r="L102" i="72"/>
  <c r="P7" i="164" s="1"/>
  <c r="P112" i="72"/>
  <c r="U17" i="164" s="1"/>
  <c r="L112" i="72"/>
  <c r="P17" i="164" s="1"/>
  <c r="P147" i="72"/>
  <c r="U21" i="50" s="1"/>
  <c r="L147" i="72"/>
  <c r="P21" i="50" s="1"/>
  <c r="P131" i="72"/>
  <c r="U5" i="50" s="1"/>
  <c r="L131" i="72"/>
  <c r="P5" i="50" s="1"/>
  <c r="P44" i="72"/>
  <c r="U15" i="101" s="1"/>
  <c r="L44" i="72"/>
  <c r="P15" i="101" s="1"/>
  <c r="P124" i="72"/>
  <c r="U6" i="190" s="1"/>
  <c r="L124" i="72"/>
  <c r="P6" i="190" s="1"/>
  <c r="P64" i="72"/>
  <c r="U5" i="131" s="1"/>
  <c r="L64" i="72"/>
  <c r="P5" i="131" s="1"/>
  <c r="P47" i="72"/>
  <c r="U18" i="101" s="1"/>
  <c r="L47" i="72"/>
  <c r="P18" i="101" s="1"/>
  <c r="P84" i="72"/>
  <c r="U25" i="131" s="1"/>
  <c r="L84" i="72"/>
  <c r="P25" i="131" s="1"/>
  <c r="P136" i="72"/>
  <c r="U10" i="50" s="1"/>
  <c r="L136" i="72"/>
  <c r="P10" i="50" s="1"/>
  <c r="P56" i="72"/>
  <c r="U27" i="101" s="1"/>
  <c r="L56" i="72"/>
  <c r="P27" i="101" s="1"/>
  <c r="P71" i="72"/>
  <c r="U12" i="131" s="1"/>
  <c r="L71" i="72"/>
  <c r="P12" i="131" s="1"/>
  <c r="P66" i="72"/>
  <c r="U7" i="131" s="1"/>
  <c r="L66" i="72"/>
  <c r="P7" i="131" s="1"/>
  <c r="P119" i="72"/>
  <c r="U8" i="182" s="1"/>
  <c r="L119" i="72"/>
  <c r="P8" i="182" s="1"/>
  <c r="P116" i="72"/>
  <c r="U5" i="182" s="1"/>
  <c r="L116" i="72"/>
  <c r="P5" i="182" s="1"/>
  <c r="P79" i="72"/>
  <c r="U20" i="131" s="1"/>
  <c r="L79" i="72"/>
  <c r="P20" i="131" s="1"/>
  <c r="P168" i="72"/>
  <c r="U19" i="199" s="1"/>
  <c r="L168" i="72"/>
  <c r="P19" i="199" s="1"/>
  <c r="P166" i="72"/>
  <c r="U17" i="199" s="1"/>
  <c r="L166" i="72"/>
  <c r="P17" i="199" s="1"/>
  <c r="P86" i="72"/>
  <c r="U27" i="131" s="1"/>
  <c r="L86" i="72"/>
  <c r="P27" i="131" s="1"/>
  <c r="P24" i="72"/>
  <c r="U13" i="36" s="1"/>
  <c r="L24" i="72"/>
  <c r="P13" i="36" s="1"/>
  <c r="P73" i="72"/>
  <c r="U14" i="131" s="1"/>
  <c r="L73" i="72"/>
  <c r="P14" i="131" s="1"/>
  <c r="P162" i="72"/>
  <c r="U13" i="199" s="1"/>
  <c r="L162" i="72"/>
  <c r="P13" i="199" s="1"/>
  <c r="P69" i="72"/>
  <c r="U10" i="131" s="1"/>
  <c r="L69" i="72"/>
  <c r="P10" i="131" s="1"/>
  <c r="P176" i="72"/>
  <c r="U12" i="216" s="1"/>
  <c r="L176" i="72"/>
  <c r="P12" i="216" s="1"/>
  <c r="P33" i="72"/>
  <c r="L33" i="72"/>
  <c r="P158" i="72"/>
  <c r="U9" i="199" s="1"/>
  <c r="L158" i="72"/>
  <c r="P9" i="199" s="1"/>
  <c r="P5" i="72"/>
  <c r="L5" i="72"/>
  <c r="P218" i="72"/>
  <c r="L218" i="72"/>
  <c r="P7" i="270" s="1"/>
  <c r="P55" i="72"/>
  <c r="U26" i="101" s="1"/>
  <c r="L55" i="72"/>
  <c r="P26" i="101" s="1"/>
  <c r="P170" i="72"/>
  <c r="U6" i="216" s="1"/>
  <c r="L170" i="72"/>
  <c r="P6" i="216" s="1"/>
  <c r="P115" i="72"/>
  <c r="U20" i="164" s="1"/>
  <c r="L115" i="72"/>
  <c r="P20" i="164" s="1"/>
  <c r="P172" i="72"/>
  <c r="U8" i="216" s="1"/>
  <c r="L172" i="72"/>
  <c r="P8" i="216" s="1"/>
  <c r="P15" i="72"/>
  <c r="L15" i="72"/>
  <c r="P29" i="72"/>
  <c r="U18" i="36" s="1"/>
  <c r="L29" i="72"/>
  <c r="P18" i="36" s="1"/>
  <c r="P134" i="72"/>
  <c r="U8" i="50" s="1"/>
  <c r="L134" i="72"/>
  <c r="P8" i="50" s="1"/>
  <c r="P22" i="72"/>
  <c r="U11" i="36" s="1"/>
  <c r="L22" i="72"/>
  <c r="P11" i="36" s="1"/>
  <c r="P117" i="72"/>
  <c r="U6" i="182" s="1"/>
  <c r="L117" i="72"/>
  <c r="P6" i="182" s="1"/>
  <c r="P152" i="72"/>
  <c r="U26" i="50" s="1"/>
  <c r="L152" i="72"/>
  <c r="P26" i="50" s="1"/>
  <c r="P164" i="72"/>
  <c r="U15" i="199" s="1"/>
  <c r="L164" i="72"/>
  <c r="P15" i="199" s="1"/>
  <c r="P127" i="72"/>
  <c r="U9" i="190" s="1"/>
  <c r="L127" i="72"/>
  <c r="P9" i="190" s="1"/>
  <c r="P21" i="72"/>
  <c r="U10" i="36" s="1"/>
  <c r="L21" i="72"/>
  <c r="P10" i="36" s="1"/>
  <c r="P123" i="72"/>
  <c r="U5" i="190" s="1"/>
  <c r="L123" i="72"/>
  <c r="P5" i="190" s="1"/>
  <c r="P129" i="72"/>
  <c r="U11" i="190" s="1"/>
  <c r="L129" i="72"/>
  <c r="P11" i="190" s="1"/>
  <c r="P99" i="72"/>
  <c r="U40" i="131" s="1"/>
  <c r="L99" i="72"/>
  <c r="P40" i="131" s="1"/>
  <c r="P174" i="72"/>
  <c r="U10" i="216" s="1"/>
  <c r="L174" i="72"/>
  <c r="P10" i="216" s="1"/>
  <c r="P125" i="72"/>
  <c r="U7" i="190" s="1"/>
  <c r="L125" i="72"/>
  <c r="P7" i="190" s="1"/>
  <c r="P120" i="72"/>
  <c r="U9" i="182" s="1"/>
  <c r="L120" i="72"/>
  <c r="P9" i="182" s="1"/>
  <c r="P137" i="72"/>
  <c r="U11" i="50" s="1"/>
  <c r="L137" i="72"/>
  <c r="P11" i="50" s="1"/>
  <c r="P160" i="72"/>
  <c r="U11" i="199" s="1"/>
  <c r="L160" i="72"/>
  <c r="P11" i="199" s="1"/>
  <c r="P20" i="72"/>
  <c r="U9" i="36" s="1"/>
  <c r="L20" i="72"/>
  <c r="P9" i="36" s="1"/>
  <c r="P141" i="72"/>
  <c r="U15" i="50" s="1"/>
  <c r="L141" i="72"/>
  <c r="P15" i="50" s="1"/>
  <c r="P126" i="72"/>
  <c r="U8" i="190" s="1"/>
  <c r="L126" i="72"/>
  <c r="P8" i="190" s="1"/>
  <c r="P118" i="72"/>
  <c r="U7" i="182" s="1"/>
  <c r="L118" i="72"/>
  <c r="P7" i="182" s="1"/>
  <c r="P98" i="72"/>
  <c r="U39" i="131" s="1"/>
  <c r="L98" i="72"/>
  <c r="P39" i="131" s="1"/>
  <c r="P81" i="72"/>
  <c r="U22" i="131" s="1"/>
  <c r="L81" i="72"/>
  <c r="P22" i="131" s="1"/>
  <c r="P101" i="72"/>
  <c r="U6" i="164" s="1"/>
  <c r="L101" i="72"/>
  <c r="P6" i="164" s="1"/>
  <c r="P65" i="72"/>
  <c r="U6" i="131" s="1"/>
  <c r="L65" i="72"/>
  <c r="P6" i="131" s="1"/>
  <c r="P46" i="72"/>
  <c r="U17" i="101" s="1"/>
  <c r="L46" i="72"/>
  <c r="P17" i="101" s="1"/>
  <c r="P17" i="72"/>
  <c r="U6" i="36" s="1"/>
  <c r="L17" i="72"/>
  <c r="P6" i="36" s="1"/>
  <c r="O16" i="72"/>
  <c r="S5" i="36" s="1"/>
  <c r="O19" i="72"/>
  <c r="S8" i="36" s="1"/>
  <c r="O89" i="72"/>
  <c r="S30" i="131" s="1"/>
  <c r="O23" i="72"/>
  <c r="S12" i="36" s="1"/>
  <c r="O106" i="72"/>
  <c r="S11" i="164" s="1"/>
  <c r="O49" i="72"/>
  <c r="S20" i="101" s="1"/>
  <c r="O83" i="72"/>
  <c r="S24" i="131" s="1"/>
  <c r="O12" i="72"/>
  <c r="O104" i="72"/>
  <c r="S9" i="164" s="1"/>
  <c r="O90" i="72"/>
  <c r="S31" i="131" s="1"/>
  <c r="O43" i="72"/>
  <c r="S14" i="101" s="1"/>
  <c r="O87" i="72"/>
  <c r="S28" i="131" s="1"/>
  <c r="O57" i="72"/>
  <c r="S28" i="101" s="1"/>
  <c r="O13" i="72"/>
  <c r="O54" i="72"/>
  <c r="S25" i="101" s="1"/>
  <c r="O91" i="72"/>
  <c r="S32" i="131" s="1"/>
  <c r="O161" i="72"/>
  <c r="S12" i="199" s="1"/>
  <c r="O40" i="72"/>
  <c r="S11" i="101" s="1"/>
  <c r="O27" i="72"/>
  <c r="S16" i="36" s="1"/>
  <c r="O108" i="72"/>
  <c r="S13" i="164" s="1"/>
  <c r="O62" i="72"/>
  <c r="S33" i="101" s="1"/>
  <c r="O144" i="72"/>
  <c r="S18" i="50" s="1"/>
  <c r="O92" i="72"/>
  <c r="S33" i="131" s="1"/>
  <c r="O156" i="72"/>
  <c r="S7" i="199" s="1"/>
  <c r="O114" i="72"/>
  <c r="S19" i="164" s="1"/>
  <c r="O219" i="72"/>
  <c r="S8" i="270" s="1"/>
  <c r="O105" i="72"/>
  <c r="S10" i="164" s="1"/>
  <c r="O36" i="72"/>
  <c r="S7" i="101" s="1"/>
  <c r="O67" i="72"/>
  <c r="S8" i="131" s="1"/>
  <c r="O11" i="72"/>
  <c r="O45" i="72"/>
  <c r="S16" i="101" s="1"/>
  <c r="O132" i="72"/>
  <c r="S6" i="50" s="1"/>
  <c r="O103" i="72"/>
  <c r="S8" i="164" s="1"/>
  <c r="O140" i="72"/>
  <c r="S14" i="50" s="1"/>
  <c r="O37" i="72"/>
  <c r="S8" i="101" s="1"/>
  <c r="O26" i="72"/>
  <c r="S15" i="36" s="1"/>
  <c r="O135" i="72"/>
  <c r="S9" i="50" s="1"/>
  <c r="O72" i="72"/>
  <c r="S13" i="131" s="1"/>
  <c r="O80" i="72"/>
  <c r="S21" i="131" s="1"/>
  <c r="O217" i="72"/>
  <c r="S6" i="270" s="1"/>
  <c r="O6" i="72"/>
  <c r="O110" i="72"/>
  <c r="S15" i="164" s="1"/>
  <c r="O130" i="72"/>
  <c r="S12" i="190" s="1"/>
  <c r="O53" i="72"/>
  <c r="S24" i="101" s="1"/>
  <c r="O48" i="72"/>
  <c r="S19" i="101" s="1"/>
  <c r="O77" i="72"/>
  <c r="S18" i="131" s="1"/>
  <c r="O41" i="72"/>
  <c r="S12" i="101" s="1"/>
  <c r="O28" i="72"/>
  <c r="S17" i="36" s="1"/>
  <c r="O93" i="72"/>
  <c r="S34" i="131" s="1"/>
  <c r="O78" i="72"/>
  <c r="S19" i="131" s="1"/>
  <c r="O70" i="72"/>
  <c r="S11" i="131" s="1"/>
  <c r="O102" i="72"/>
  <c r="S7" i="164" s="1"/>
  <c r="O112" i="72"/>
  <c r="S17" i="164" s="1"/>
  <c r="O147" i="72"/>
  <c r="S21" i="50" s="1"/>
  <c r="O131" i="72"/>
  <c r="S5" i="50" s="1"/>
  <c r="O44" i="72"/>
  <c r="S15" i="101" s="1"/>
  <c r="O124" i="72"/>
  <c r="S6" i="190" s="1"/>
  <c r="O64" i="72"/>
  <c r="S5" i="131" s="1"/>
  <c r="O47" i="72"/>
  <c r="S18" i="101" s="1"/>
  <c r="O84" i="72"/>
  <c r="S25" i="131" s="1"/>
  <c r="O136" i="72"/>
  <c r="S10" i="50" s="1"/>
  <c r="O56" i="72"/>
  <c r="S27" i="101" s="1"/>
  <c r="O71" i="72"/>
  <c r="S12" i="131" s="1"/>
  <c r="O66" i="72"/>
  <c r="S7" i="131" s="1"/>
  <c r="O167" i="72"/>
  <c r="S18" i="199" s="1"/>
  <c r="O119" i="72"/>
  <c r="S8" i="182" s="1"/>
  <c r="O116" i="72"/>
  <c r="S5" i="182" s="1"/>
  <c r="O163" i="72"/>
  <c r="S14" i="199" s="1"/>
  <c r="O79" i="72"/>
  <c r="S20" i="131" s="1"/>
  <c r="O159" i="72"/>
  <c r="S10" i="199" s="1"/>
  <c r="O86" i="72"/>
  <c r="S27" i="131" s="1"/>
  <c r="O24" i="72"/>
  <c r="S13" i="36" s="1"/>
  <c r="O73" i="72"/>
  <c r="S14" i="131" s="1"/>
  <c r="O69" i="72"/>
  <c r="S10" i="131" s="1"/>
  <c r="O175" i="72"/>
  <c r="S11" i="216" s="1"/>
  <c r="O177" i="72"/>
  <c r="S5" i="225" s="1"/>
  <c r="O33" i="72"/>
  <c r="O5" i="72"/>
  <c r="O142" i="72"/>
  <c r="S16" i="50" s="1"/>
  <c r="O218" i="72"/>
  <c r="S7" i="270" s="1"/>
  <c r="O150" i="72"/>
  <c r="S24" i="50" s="1"/>
  <c r="O55" i="72"/>
  <c r="S26" i="101" s="1"/>
  <c r="O169" i="72"/>
  <c r="S5" i="216" s="1"/>
  <c r="O115" i="72"/>
  <c r="S20" i="164" s="1"/>
  <c r="O171" i="72"/>
  <c r="S7" i="216" s="1"/>
  <c r="O15" i="72"/>
  <c r="O29" i="72"/>
  <c r="S18" i="36" s="1"/>
  <c r="O134" i="72"/>
  <c r="S8" i="50" s="1"/>
  <c r="O22" i="72"/>
  <c r="S11" i="36" s="1"/>
  <c r="O117" i="72"/>
  <c r="S6" i="182" s="1"/>
  <c r="O152" i="72"/>
  <c r="S26" i="50" s="1"/>
  <c r="O173" i="72"/>
  <c r="S9" i="216" s="1"/>
  <c r="O127" i="72"/>
  <c r="S9" i="190" s="1"/>
  <c r="O21" i="72"/>
  <c r="S10" i="36" s="1"/>
  <c r="O179" i="72"/>
  <c r="S7" i="225" s="1"/>
  <c r="O123" i="72"/>
  <c r="S5" i="190" s="1"/>
  <c r="O129" i="72"/>
  <c r="S11" i="190" s="1"/>
  <c r="O99" i="72"/>
  <c r="S40" i="131" s="1"/>
  <c r="O125" i="72"/>
  <c r="S7" i="190" s="1"/>
  <c r="O120" i="72"/>
  <c r="S9" i="182" s="1"/>
  <c r="O160" i="72"/>
  <c r="S11" i="199" s="1"/>
  <c r="O20" i="72"/>
  <c r="S9" i="36" s="1"/>
  <c r="O126" i="72"/>
  <c r="S8" i="190" s="1"/>
  <c r="O118" i="72"/>
  <c r="S7" i="182" s="1"/>
  <c r="O98" i="72"/>
  <c r="S39" i="131" s="1"/>
  <c r="O81" i="72"/>
  <c r="S22" i="131" s="1"/>
  <c r="O101" i="72"/>
  <c r="S6" i="164" s="1"/>
  <c r="O65" i="72"/>
  <c r="S6" i="131" s="1"/>
  <c r="O46" i="72"/>
  <c r="S17" i="101" s="1"/>
  <c r="O17" i="72"/>
  <c r="S6" i="36" s="1"/>
  <c r="J9" i="72"/>
  <c r="L11" i="1" s="1"/>
  <c r="F109" i="72"/>
  <c r="G14" i="164" s="1"/>
  <c r="J96" i="72"/>
  <c r="L37" i="131" s="1"/>
  <c r="F95" i="72"/>
  <c r="G36" i="131" s="1"/>
  <c r="J211" i="72"/>
  <c r="L8" i="262" s="1"/>
  <c r="F211" i="72"/>
  <c r="G8" i="262" s="1"/>
  <c r="J155" i="72"/>
  <c r="L6" i="199" s="1"/>
  <c r="F155" i="72"/>
  <c r="G6" i="199" s="1"/>
  <c r="J184" i="72"/>
  <c r="L5" i="237" s="1"/>
  <c r="F184" i="72"/>
  <c r="G5" i="237" s="1"/>
  <c r="J7" i="72"/>
  <c r="L9" i="1" s="1"/>
  <c r="F7" i="72"/>
  <c r="G9" i="1" s="1"/>
  <c r="K204" i="72"/>
  <c r="J194" i="72"/>
  <c r="L15" i="237" s="1"/>
  <c r="F194" i="72"/>
  <c r="G15" i="237" s="1"/>
  <c r="J63" i="72"/>
  <c r="L34" i="101" s="1"/>
  <c r="F63" i="72"/>
  <c r="G34" i="101" s="1"/>
  <c r="J210" i="72"/>
  <c r="L7" i="262" s="1"/>
  <c r="F210" i="72"/>
  <c r="G7" i="262" s="1"/>
  <c r="J215" i="72"/>
  <c r="L12" i="262" s="1"/>
  <c r="F215" i="72"/>
  <c r="G12" i="262" s="1"/>
  <c r="J133" i="72"/>
  <c r="L7" i="50" s="1"/>
  <c r="F133" i="72"/>
  <c r="G7" i="50" s="1"/>
  <c r="J143" i="72"/>
  <c r="L17" i="50" s="1"/>
  <c r="F143" i="72"/>
  <c r="G17" i="50" s="1"/>
  <c r="J182" i="72"/>
  <c r="L10" i="225" s="1"/>
  <c r="F182" i="72"/>
  <c r="G10" i="225" s="1"/>
  <c r="J111" i="72"/>
  <c r="L16" i="164" s="1"/>
  <c r="F111" i="72"/>
  <c r="G16" i="164" s="1"/>
  <c r="J193" i="72"/>
  <c r="L14" i="237" s="1"/>
  <c r="F193" i="72"/>
  <c r="G14" i="237" s="1"/>
  <c r="J187" i="72"/>
  <c r="L8" i="237" s="1"/>
  <c r="F187" i="72"/>
  <c r="G8" i="237" s="1"/>
  <c r="J196" i="72"/>
  <c r="L17" i="237" s="1"/>
  <c r="F196" i="72"/>
  <c r="G17" i="237" s="1"/>
  <c r="J212" i="72"/>
  <c r="L9" i="262" s="1"/>
  <c r="F212" i="72"/>
  <c r="G9" i="262" s="1"/>
  <c r="J208" i="72"/>
  <c r="L5" i="262" s="1"/>
  <c r="F208" i="72"/>
  <c r="G5" i="262" s="1"/>
  <c r="J61" i="72"/>
  <c r="L32" i="101" s="1"/>
  <c r="F61" i="72"/>
  <c r="G32" i="101" s="1"/>
  <c r="J30" i="72"/>
  <c r="L19" i="36" s="1"/>
  <c r="F30" i="72"/>
  <c r="G19" i="36" s="1"/>
  <c r="J138" i="72"/>
  <c r="L12" i="50" s="1"/>
  <c r="F138" i="72"/>
  <c r="G12" i="50" s="1"/>
  <c r="J76" i="72"/>
  <c r="L17" i="131" s="1"/>
  <c r="F76" i="72"/>
  <c r="G17" i="131" s="1"/>
  <c r="J192" i="72"/>
  <c r="L13" i="237" s="1"/>
  <c r="F192" i="72"/>
  <c r="G13" i="237" s="1"/>
  <c r="J75" i="72"/>
  <c r="L16" i="131" s="1"/>
  <c r="F75" i="72"/>
  <c r="G16" i="131" s="1"/>
  <c r="J100" i="72"/>
  <c r="L5" i="164" s="1"/>
  <c r="F100" i="72"/>
  <c r="G5" i="164" s="1"/>
  <c r="J148" i="72"/>
  <c r="L22" i="50" s="1"/>
  <c r="F148" i="72"/>
  <c r="G22" i="50" s="1"/>
  <c r="J214" i="72"/>
  <c r="L11" i="262" s="1"/>
  <c r="F214" i="72"/>
  <c r="G11" i="262" s="1"/>
  <c r="J121" i="72"/>
  <c r="L10" i="182" s="1"/>
  <c r="F121" i="72"/>
  <c r="G10" i="182" s="1"/>
  <c r="J195" i="72"/>
  <c r="L16" i="237" s="1"/>
  <c r="F195" i="72"/>
  <c r="G16" i="237" s="1"/>
  <c r="J165" i="72"/>
  <c r="L16" i="199" s="1"/>
  <c r="F165" i="72"/>
  <c r="G16" i="199" s="1"/>
  <c r="J199" i="72"/>
  <c r="L6" i="250" s="1"/>
  <c r="F199" i="72"/>
  <c r="G6" i="250" s="1"/>
  <c r="J25" i="72"/>
  <c r="L14" i="36" s="1"/>
  <c r="F25" i="72"/>
  <c r="G14" i="36" s="1"/>
  <c r="J68" i="72"/>
  <c r="L9" i="131" s="1"/>
  <c r="F68" i="72"/>
  <c r="G9" i="131" s="1"/>
  <c r="J60" i="72"/>
  <c r="L31" i="101" s="1"/>
  <c r="F60" i="72"/>
  <c r="G31" i="101" s="1"/>
  <c r="J31" i="72"/>
  <c r="L20" i="36" s="1"/>
  <c r="F31" i="72"/>
  <c r="G20" i="36" s="1"/>
  <c r="J183" i="72"/>
  <c r="L11" i="225" s="1"/>
  <c r="F183" i="72"/>
  <c r="G11" i="225" s="1"/>
  <c r="J153" i="72"/>
  <c r="L27" i="50" s="1"/>
  <c r="F153" i="72"/>
  <c r="G27" i="50" s="1"/>
  <c r="J38" i="72"/>
  <c r="L9" i="101" s="1"/>
  <c r="F38" i="72"/>
  <c r="G9" i="101" s="1"/>
  <c r="J146" i="72"/>
  <c r="L20" i="50" s="1"/>
  <c r="F146" i="72"/>
  <c r="G20" i="50" s="1"/>
  <c r="J209" i="72"/>
  <c r="L6" i="262" s="1"/>
  <c r="F209" i="72"/>
  <c r="G6" i="262" s="1"/>
  <c r="J145" i="72"/>
  <c r="L19" i="50" s="1"/>
  <c r="F145" i="72"/>
  <c r="G19" i="50" s="1"/>
  <c r="J88" i="72"/>
  <c r="L29" i="131" s="1"/>
  <c r="F88" i="72"/>
  <c r="G29" i="131" s="1"/>
  <c r="J8" i="72"/>
  <c r="L10" i="1" s="1"/>
  <c r="F8" i="72"/>
  <c r="G10" i="1" s="1"/>
  <c r="J157" i="72"/>
  <c r="L8" i="199" s="1"/>
  <c r="F157" i="72"/>
  <c r="G8" i="199" s="1"/>
  <c r="J39" i="72"/>
  <c r="L10" i="101" s="1"/>
  <c r="F39" i="72"/>
  <c r="G10" i="101" s="1"/>
  <c r="J85" i="72"/>
  <c r="L26" i="131" s="1"/>
  <c r="F85" i="72"/>
  <c r="G26" i="131" s="1"/>
  <c r="J216" i="72"/>
  <c r="L5" i="270" s="1"/>
  <c r="F216" i="72"/>
  <c r="G5" i="270" s="1"/>
  <c r="J51" i="72"/>
  <c r="L22" i="101" s="1"/>
  <c r="F51" i="72"/>
  <c r="G22" i="101" s="1"/>
  <c r="J18" i="72"/>
  <c r="L7" i="36" s="1"/>
  <c r="F18" i="72"/>
  <c r="G7" i="36" s="1"/>
  <c r="J10" i="72"/>
  <c r="L12" i="1" s="1"/>
  <c r="F10" i="72"/>
  <c r="G12" i="1" s="1"/>
  <c r="J52" i="72"/>
  <c r="L23" i="101" s="1"/>
  <c r="F52" i="72"/>
  <c r="G23" i="101" s="1"/>
  <c r="J122" i="72"/>
  <c r="L11" i="182" s="1"/>
  <c r="F122" i="72"/>
  <c r="G11" i="182" s="1"/>
  <c r="J207" i="72"/>
  <c r="L14" i="250" s="1"/>
  <c r="F207" i="72"/>
  <c r="G14" i="250" s="1"/>
  <c r="J42" i="72"/>
  <c r="L13" i="101" s="1"/>
  <c r="F42" i="72"/>
  <c r="G13" i="101" s="1"/>
  <c r="J139" i="72"/>
  <c r="L13" i="50" s="1"/>
  <c r="F139" i="72"/>
  <c r="G13" i="50" s="1"/>
  <c r="J4" i="72"/>
  <c r="L6" i="1" s="1"/>
  <c r="F4" i="72"/>
  <c r="G6" i="1" s="1"/>
  <c r="J174" i="72"/>
  <c r="L10" i="216" s="1"/>
  <c r="F174" i="72"/>
  <c r="G10" i="216" s="1"/>
  <c r="J74" i="72"/>
  <c r="L15" i="131" s="1"/>
  <c r="F74" i="72"/>
  <c r="G15" i="131" s="1"/>
  <c r="J107" i="72"/>
  <c r="L12" i="164" s="1"/>
  <c r="F107" i="72"/>
  <c r="G12" i="164" s="1"/>
  <c r="J59" i="72"/>
  <c r="L30" i="101" s="1"/>
  <c r="F59" i="72"/>
  <c r="G30" i="101" s="1"/>
  <c r="J94" i="72"/>
  <c r="L35" i="131" s="1"/>
  <c r="F94" i="72"/>
  <c r="G35" i="131" s="1"/>
  <c r="J58" i="72"/>
  <c r="L29" i="101" s="1"/>
  <c r="F58" i="72"/>
  <c r="G29" i="101" s="1"/>
  <c r="J50" i="72"/>
  <c r="L21" i="101" s="1"/>
  <c r="F50" i="72"/>
  <c r="G21" i="101" s="1"/>
  <c r="J16" i="72"/>
  <c r="L5" i="36" s="1"/>
  <c r="F16" i="72"/>
  <c r="G5" i="36" s="1"/>
  <c r="J19" i="72"/>
  <c r="L8" i="36" s="1"/>
  <c r="F19" i="72"/>
  <c r="G8" i="36" s="1"/>
  <c r="J162" i="72"/>
  <c r="L13" i="199" s="1"/>
  <c r="F162" i="72"/>
  <c r="G13" i="199" s="1"/>
  <c r="J89" i="72"/>
  <c r="L30" i="131" s="1"/>
  <c r="F89" i="72"/>
  <c r="G30" i="131" s="1"/>
  <c r="J23" i="72"/>
  <c r="L12" i="36" s="1"/>
  <c r="F23" i="72"/>
  <c r="G12" i="36" s="1"/>
  <c r="J106" i="72"/>
  <c r="L11" i="164" s="1"/>
  <c r="F106" i="72"/>
  <c r="G11" i="164" s="1"/>
  <c r="J49" i="72"/>
  <c r="L20" i="101" s="1"/>
  <c r="F49" i="72"/>
  <c r="G20" i="101" s="1"/>
  <c r="J149" i="72"/>
  <c r="L23" i="50" s="1"/>
  <c r="F149" i="72"/>
  <c r="G23" i="50" s="1"/>
  <c r="J83" i="72"/>
  <c r="L24" i="131" s="1"/>
  <c r="F83" i="72"/>
  <c r="G24" i="131" s="1"/>
  <c r="J12" i="72"/>
  <c r="L14" i="1" s="1"/>
  <c r="F12" i="72"/>
  <c r="G14" i="1" s="1"/>
  <c r="J104" i="72"/>
  <c r="L9" i="164" s="1"/>
  <c r="F104" i="72"/>
  <c r="G9" i="164" s="1"/>
  <c r="J90" i="72"/>
  <c r="L31" i="131" s="1"/>
  <c r="F90" i="72"/>
  <c r="G31" i="131" s="1"/>
  <c r="J43" i="72"/>
  <c r="L14" i="101" s="1"/>
  <c r="F43" i="72"/>
  <c r="G14" i="101" s="1"/>
  <c r="J87" i="72"/>
  <c r="L28" i="131" s="1"/>
  <c r="F87" i="72"/>
  <c r="G28" i="131" s="1"/>
  <c r="J200" i="72"/>
  <c r="L7" i="250" s="1"/>
  <c r="F200" i="72"/>
  <c r="G7" i="250" s="1"/>
  <c r="J57" i="72"/>
  <c r="L28" i="101" s="1"/>
  <c r="F57" i="72"/>
  <c r="G28" i="101" s="1"/>
  <c r="J13" i="72"/>
  <c r="L15" i="1" s="1"/>
  <c r="F13" i="72"/>
  <c r="G15" i="1" s="1"/>
  <c r="J54" i="72"/>
  <c r="L25" i="101" s="1"/>
  <c r="F54" i="72"/>
  <c r="G25" i="101" s="1"/>
  <c r="J91" i="72"/>
  <c r="L32" i="131" s="1"/>
  <c r="F91" i="72"/>
  <c r="G32" i="131" s="1"/>
  <c r="J161" i="72"/>
  <c r="L12" i="199" s="1"/>
  <c r="F161" i="72"/>
  <c r="G12" i="199" s="1"/>
  <c r="J40" i="72"/>
  <c r="L11" i="101" s="1"/>
  <c r="F40" i="72"/>
  <c r="G11" i="101" s="1"/>
  <c r="J27" i="72"/>
  <c r="L16" i="36" s="1"/>
  <c r="F27" i="72"/>
  <c r="G16" i="36" s="1"/>
  <c r="J108" i="72"/>
  <c r="L13" i="164" s="1"/>
  <c r="F108" i="72"/>
  <c r="G13" i="164" s="1"/>
  <c r="J62" i="72"/>
  <c r="L33" i="101" s="1"/>
  <c r="F62" i="72"/>
  <c r="G33" i="101" s="1"/>
  <c r="J144" i="72"/>
  <c r="L18" i="50" s="1"/>
  <c r="F144" i="72"/>
  <c r="G18" i="50" s="1"/>
  <c r="J92" i="72"/>
  <c r="L33" i="131" s="1"/>
  <c r="F92" i="72"/>
  <c r="G33" i="131" s="1"/>
  <c r="J156" i="72"/>
  <c r="L7" i="199" s="1"/>
  <c r="F156" i="72"/>
  <c r="G7" i="199" s="1"/>
  <c r="J114" i="72"/>
  <c r="L19" i="164" s="1"/>
  <c r="F114" i="72"/>
  <c r="G19" i="164" s="1"/>
  <c r="J185" i="72"/>
  <c r="L6" i="237" s="1"/>
  <c r="F185" i="72"/>
  <c r="G6" i="237" s="1"/>
  <c r="J219" i="72"/>
  <c r="L8" i="270" s="1"/>
  <c r="F219" i="72"/>
  <c r="G8" i="270" s="1"/>
  <c r="J166" i="72"/>
  <c r="L17" i="199" s="1"/>
  <c r="F166" i="72"/>
  <c r="G17" i="199" s="1"/>
  <c r="J105" i="72"/>
  <c r="L10" i="164" s="1"/>
  <c r="F105" i="72"/>
  <c r="G10" i="164" s="1"/>
  <c r="J36" i="72"/>
  <c r="L7" i="101" s="1"/>
  <c r="F36" i="72"/>
  <c r="G7" i="101" s="1"/>
  <c r="J67" i="72"/>
  <c r="L8" i="131" s="1"/>
  <c r="F67" i="72"/>
  <c r="G8" i="131" s="1"/>
  <c r="J11" i="72"/>
  <c r="L13" i="1" s="1"/>
  <c r="F11" i="72"/>
  <c r="G13" i="1" s="1"/>
  <c r="J45" i="72"/>
  <c r="L16" i="101" s="1"/>
  <c r="F45" i="72"/>
  <c r="G16" i="101" s="1"/>
  <c r="J132" i="72"/>
  <c r="L6" i="50" s="1"/>
  <c r="F132" i="72"/>
  <c r="G6" i="50" s="1"/>
  <c r="J103" i="72"/>
  <c r="L8" i="164" s="1"/>
  <c r="F103" i="72"/>
  <c r="G8" i="164" s="1"/>
  <c r="J140" i="72"/>
  <c r="L14" i="50" s="1"/>
  <c r="F140" i="72"/>
  <c r="G14" i="50" s="1"/>
  <c r="J170" i="72"/>
  <c r="L6" i="216" s="1"/>
  <c r="F170" i="72"/>
  <c r="G6" i="216" s="1"/>
  <c r="J37" i="72"/>
  <c r="L8" i="101" s="1"/>
  <c r="F37" i="72"/>
  <c r="G8" i="101" s="1"/>
  <c r="J26" i="72"/>
  <c r="L15" i="36" s="1"/>
  <c r="F26" i="72"/>
  <c r="G15" i="36" s="1"/>
  <c r="J135" i="72"/>
  <c r="L9" i="50" s="1"/>
  <c r="F135" i="72"/>
  <c r="G9" i="50" s="1"/>
  <c r="J178" i="72"/>
  <c r="L6" i="225" s="1"/>
  <c r="F178" i="72"/>
  <c r="G6" i="225" s="1"/>
  <c r="J72" i="72"/>
  <c r="L13" i="131" s="1"/>
  <c r="F72" i="72"/>
  <c r="G13" i="131" s="1"/>
  <c r="J189" i="72"/>
  <c r="L10" i="237" s="1"/>
  <c r="F189" i="72"/>
  <c r="G10" i="237" s="1"/>
  <c r="J80" i="72"/>
  <c r="L21" i="131" s="1"/>
  <c r="F80" i="72"/>
  <c r="G21" i="131" s="1"/>
  <c r="J217" i="72"/>
  <c r="L6" i="270" s="1"/>
  <c r="F217" i="72"/>
  <c r="G6" i="270" s="1"/>
  <c r="J6" i="72"/>
  <c r="L8" i="1" s="1"/>
  <c r="F6" i="72"/>
  <c r="G8" i="1" s="1"/>
  <c r="J213" i="72"/>
  <c r="L10" i="262" s="1"/>
  <c r="F213" i="72"/>
  <c r="G10" i="262" s="1"/>
  <c r="J110" i="72"/>
  <c r="L15" i="164" s="1"/>
  <c r="F110" i="72"/>
  <c r="G15" i="164" s="1"/>
  <c r="J130" i="72"/>
  <c r="L12" i="190" s="1"/>
  <c r="J188" i="72"/>
  <c r="L9" i="237" s="1"/>
  <c r="F188" i="72"/>
  <c r="G9" i="237" s="1"/>
  <c r="I143" i="72"/>
  <c r="K17" i="50" s="1"/>
  <c r="E143" i="72"/>
  <c r="F17" i="50" s="1"/>
  <c r="I182" i="72"/>
  <c r="K10" i="225" s="1"/>
  <c r="E182" i="72"/>
  <c r="F10" i="225" s="1"/>
  <c r="I111" i="72"/>
  <c r="K16" i="164" s="1"/>
  <c r="E111" i="72"/>
  <c r="F16" i="164" s="1"/>
  <c r="I193" i="72"/>
  <c r="K14" i="237" s="1"/>
  <c r="E193" i="72"/>
  <c r="F14" i="237" s="1"/>
  <c r="I187" i="72"/>
  <c r="K8" i="237" s="1"/>
  <c r="E187" i="72"/>
  <c r="F8" i="237" s="1"/>
  <c r="I208" i="72"/>
  <c r="K5" i="262" s="1"/>
  <c r="E208" i="72"/>
  <c r="F5" i="262" s="1"/>
  <c r="I61" i="72"/>
  <c r="K32" i="101" s="1"/>
  <c r="E61" i="72"/>
  <c r="F32" i="101" s="1"/>
  <c r="I30" i="72"/>
  <c r="K19" i="36" s="1"/>
  <c r="E30" i="72"/>
  <c r="F19" i="36" s="1"/>
  <c r="I138" i="72"/>
  <c r="K12" i="50" s="1"/>
  <c r="E138" i="72"/>
  <c r="F12" i="50" s="1"/>
  <c r="I76" i="72"/>
  <c r="K17" i="131" s="1"/>
  <c r="E76" i="72"/>
  <c r="F17" i="131" s="1"/>
  <c r="I75" i="72"/>
  <c r="K16" i="131" s="1"/>
  <c r="E75" i="72"/>
  <c r="F16" i="131" s="1"/>
  <c r="I100" i="72"/>
  <c r="K5" i="164" s="1"/>
  <c r="E100" i="72"/>
  <c r="F5" i="164" s="1"/>
  <c r="I148" i="72"/>
  <c r="K22" i="50" s="1"/>
  <c r="E148" i="72"/>
  <c r="F22" i="50" s="1"/>
  <c r="I214" i="72"/>
  <c r="K11" i="262" s="1"/>
  <c r="E214" i="72"/>
  <c r="F11" i="262" s="1"/>
  <c r="I121" i="72"/>
  <c r="K10" i="182" s="1"/>
  <c r="E121" i="72"/>
  <c r="F10" i="182" s="1"/>
  <c r="I195" i="72"/>
  <c r="K16" i="237" s="1"/>
  <c r="E195" i="72"/>
  <c r="F16" i="237" s="1"/>
  <c r="I165" i="72"/>
  <c r="K16" i="199" s="1"/>
  <c r="E165" i="72"/>
  <c r="F16" i="199" s="1"/>
  <c r="I199" i="72"/>
  <c r="K6" i="250" s="1"/>
  <c r="E199" i="72"/>
  <c r="F6" i="250" s="1"/>
  <c r="I25" i="72"/>
  <c r="K14" i="36" s="1"/>
  <c r="E25" i="72"/>
  <c r="F14" i="36" s="1"/>
  <c r="I68" i="72"/>
  <c r="K9" i="131" s="1"/>
  <c r="E68" i="72"/>
  <c r="F9" i="131" s="1"/>
  <c r="I60" i="72"/>
  <c r="K31" i="101" s="1"/>
  <c r="E60" i="72"/>
  <c r="F31" i="101" s="1"/>
  <c r="I31" i="72"/>
  <c r="K20" i="36" s="1"/>
  <c r="E31" i="72"/>
  <c r="F20" i="36" s="1"/>
  <c r="I183" i="72"/>
  <c r="K11" i="225" s="1"/>
  <c r="E183" i="72"/>
  <c r="F11" i="225" s="1"/>
  <c r="I153" i="72"/>
  <c r="K27" i="50" s="1"/>
  <c r="E153" i="72"/>
  <c r="F27" i="50" s="1"/>
  <c r="I38" i="72"/>
  <c r="K9" i="101" s="1"/>
  <c r="E38" i="72"/>
  <c r="F9" i="101" s="1"/>
  <c r="I146" i="72"/>
  <c r="K20" i="50" s="1"/>
  <c r="E146" i="72"/>
  <c r="F20" i="50" s="1"/>
  <c r="I209" i="72"/>
  <c r="K6" i="262" s="1"/>
  <c r="E209" i="72"/>
  <c r="F6" i="262" s="1"/>
  <c r="I145" i="72"/>
  <c r="K19" i="50" s="1"/>
  <c r="E145" i="72"/>
  <c r="F19" i="50" s="1"/>
  <c r="I88" i="72"/>
  <c r="K29" i="131" s="1"/>
  <c r="E88" i="72"/>
  <c r="F29" i="131" s="1"/>
  <c r="I8" i="72"/>
  <c r="K10" i="1" s="1"/>
  <c r="E8" i="72"/>
  <c r="F10" i="1" s="1"/>
  <c r="I157" i="72"/>
  <c r="K8" i="199" s="1"/>
  <c r="E157" i="72"/>
  <c r="F8" i="199" s="1"/>
  <c r="I39" i="72"/>
  <c r="K10" i="101" s="1"/>
  <c r="E39" i="72"/>
  <c r="F10" i="101" s="1"/>
  <c r="I85" i="72"/>
  <c r="K26" i="131" s="1"/>
  <c r="E85" i="72"/>
  <c r="F26" i="131" s="1"/>
  <c r="I216" i="72"/>
  <c r="K5" i="270" s="1"/>
  <c r="E216" i="72"/>
  <c r="F5" i="270" s="1"/>
  <c r="I51" i="72"/>
  <c r="K22" i="101" s="1"/>
  <c r="E51" i="72"/>
  <c r="F22" i="101" s="1"/>
  <c r="I18" i="72"/>
  <c r="K7" i="36" s="1"/>
  <c r="E18" i="72"/>
  <c r="F7" i="36" s="1"/>
  <c r="I10" i="72"/>
  <c r="K12" i="1" s="1"/>
  <c r="E10" i="72"/>
  <c r="F12" i="1" s="1"/>
  <c r="I52" i="72"/>
  <c r="K23" i="101" s="1"/>
  <c r="E52" i="72"/>
  <c r="F23" i="101" s="1"/>
  <c r="I122" i="72"/>
  <c r="K11" i="182" s="1"/>
  <c r="E122" i="72"/>
  <c r="F11" i="182" s="1"/>
  <c r="I207" i="72"/>
  <c r="K14" i="250" s="1"/>
  <c r="E207" i="72"/>
  <c r="F14" i="250" s="1"/>
  <c r="I42" i="72"/>
  <c r="K13" i="101" s="1"/>
  <c r="E42" i="72"/>
  <c r="F13" i="101" s="1"/>
  <c r="I139" i="72"/>
  <c r="K13" i="50" s="1"/>
  <c r="E139" i="72"/>
  <c r="F13" i="50" s="1"/>
  <c r="I4" i="72"/>
  <c r="K6" i="1" s="1"/>
  <c r="E4" i="72"/>
  <c r="F6" i="1" s="1"/>
  <c r="I74" i="72"/>
  <c r="K15" i="131" s="1"/>
  <c r="E74" i="72"/>
  <c r="F15" i="131" s="1"/>
  <c r="I107" i="72"/>
  <c r="K12" i="164" s="1"/>
  <c r="E107" i="72"/>
  <c r="F12" i="164" s="1"/>
  <c r="I59" i="72"/>
  <c r="K30" i="101" s="1"/>
  <c r="E59" i="72"/>
  <c r="F30" i="101" s="1"/>
  <c r="I94" i="72"/>
  <c r="K35" i="131" s="1"/>
  <c r="E94" i="72"/>
  <c r="F35" i="131" s="1"/>
  <c r="I58" i="72"/>
  <c r="K29" i="101" s="1"/>
  <c r="E58" i="72"/>
  <c r="F29" i="101" s="1"/>
  <c r="I50" i="72"/>
  <c r="K21" i="101" s="1"/>
  <c r="E50" i="72"/>
  <c r="F21" i="101" s="1"/>
  <c r="I16" i="72"/>
  <c r="K5" i="36" s="1"/>
  <c r="E16" i="72"/>
  <c r="F5" i="36" s="1"/>
  <c r="I19" i="72"/>
  <c r="K8" i="36" s="1"/>
  <c r="E19" i="72"/>
  <c r="F8" i="36" s="1"/>
  <c r="I89" i="72"/>
  <c r="K30" i="131" s="1"/>
  <c r="E89" i="72"/>
  <c r="F30" i="131" s="1"/>
  <c r="I23" i="72"/>
  <c r="K12" i="36" s="1"/>
  <c r="E23" i="72"/>
  <c r="F12" i="36" s="1"/>
  <c r="I106" i="72"/>
  <c r="K11" i="164" s="1"/>
  <c r="E106" i="72"/>
  <c r="F11" i="164" s="1"/>
  <c r="I49" i="72"/>
  <c r="K20" i="101" s="1"/>
  <c r="E49" i="72"/>
  <c r="F20" i="101" s="1"/>
  <c r="I149" i="72"/>
  <c r="K23" i="50" s="1"/>
  <c r="E149" i="72"/>
  <c r="F23" i="50" s="1"/>
  <c r="I83" i="72"/>
  <c r="K24" i="131" s="1"/>
  <c r="E83" i="72"/>
  <c r="F24" i="131" s="1"/>
  <c r="I12" i="72"/>
  <c r="K14" i="1" s="1"/>
  <c r="E12" i="72"/>
  <c r="F14" i="1" s="1"/>
  <c r="I104" i="72"/>
  <c r="K9" i="164" s="1"/>
  <c r="E104" i="72"/>
  <c r="F9" i="164" s="1"/>
  <c r="I90" i="72"/>
  <c r="K31" i="131" s="1"/>
  <c r="E90" i="72"/>
  <c r="F31" i="131" s="1"/>
  <c r="I43" i="72"/>
  <c r="K14" i="101" s="1"/>
  <c r="E43" i="72"/>
  <c r="F14" i="101" s="1"/>
  <c r="I87" i="72"/>
  <c r="K28" i="131" s="1"/>
  <c r="E87" i="72"/>
  <c r="F28" i="131" s="1"/>
  <c r="I57" i="72"/>
  <c r="K28" i="101" s="1"/>
  <c r="E57" i="72"/>
  <c r="F28" i="101" s="1"/>
  <c r="I13" i="72"/>
  <c r="K15" i="1" s="1"/>
  <c r="E13" i="72"/>
  <c r="F15" i="1" s="1"/>
  <c r="I54" i="72"/>
  <c r="K25" i="101" s="1"/>
  <c r="E54" i="72"/>
  <c r="F25" i="101" s="1"/>
  <c r="I91" i="72"/>
  <c r="K32" i="131" s="1"/>
  <c r="E91" i="72"/>
  <c r="F32" i="131" s="1"/>
  <c r="I161" i="72"/>
  <c r="K12" i="199" s="1"/>
  <c r="E161" i="72"/>
  <c r="F12" i="199" s="1"/>
  <c r="I40" i="72"/>
  <c r="K11" i="101" s="1"/>
  <c r="E40" i="72"/>
  <c r="F11" i="101" s="1"/>
  <c r="I27" i="72"/>
  <c r="K16" i="36" s="1"/>
  <c r="E27" i="72"/>
  <c r="F16" i="36" s="1"/>
  <c r="I108" i="72"/>
  <c r="K13" i="164" s="1"/>
  <c r="E108" i="72"/>
  <c r="F13" i="164" s="1"/>
  <c r="I62" i="72"/>
  <c r="K33" i="101" s="1"/>
  <c r="E62" i="72"/>
  <c r="F33" i="101" s="1"/>
  <c r="I144" i="72"/>
  <c r="K18" i="50" s="1"/>
  <c r="E144" i="72"/>
  <c r="F18" i="50" s="1"/>
  <c r="I92" i="72"/>
  <c r="K33" i="131" s="1"/>
  <c r="E92" i="72"/>
  <c r="F33" i="131" s="1"/>
  <c r="I156" i="72"/>
  <c r="K7" i="199" s="1"/>
  <c r="E156" i="72"/>
  <c r="F7" i="199" s="1"/>
  <c r="I114" i="72"/>
  <c r="K19" i="164" s="1"/>
  <c r="E114" i="72"/>
  <c r="F19" i="164" s="1"/>
  <c r="I185" i="72"/>
  <c r="K6" i="237" s="1"/>
  <c r="E185" i="72"/>
  <c r="F6" i="237" s="1"/>
  <c r="I219" i="72"/>
  <c r="K8" i="270" s="1"/>
  <c r="E219" i="72"/>
  <c r="F8" i="270" s="1"/>
  <c r="I105" i="72"/>
  <c r="K10" i="164" s="1"/>
  <c r="E105" i="72"/>
  <c r="F10" i="164" s="1"/>
  <c r="I36" i="72"/>
  <c r="K7" i="101" s="1"/>
  <c r="E36" i="72"/>
  <c r="F7" i="101" s="1"/>
  <c r="I67" i="72"/>
  <c r="K8" i="131" s="1"/>
  <c r="E67" i="72"/>
  <c r="F8" i="131" s="1"/>
  <c r="I11" i="72"/>
  <c r="K13" i="1" s="1"/>
  <c r="E11" i="72"/>
  <c r="F13" i="1" s="1"/>
  <c r="I45" i="72"/>
  <c r="K16" i="101" s="1"/>
  <c r="E45" i="72"/>
  <c r="F16" i="101" s="1"/>
  <c r="I132" i="72"/>
  <c r="K6" i="50" s="1"/>
  <c r="E132" i="72"/>
  <c r="F6" i="50" s="1"/>
  <c r="I103" i="72"/>
  <c r="K8" i="164" s="1"/>
  <c r="E103" i="72"/>
  <c r="F8" i="164" s="1"/>
  <c r="I140" i="72"/>
  <c r="K14" i="50" s="1"/>
  <c r="E140" i="72"/>
  <c r="F14" i="50" s="1"/>
  <c r="I37" i="72"/>
  <c r="K8" i="101" s="1"/>
  <c r="E37" i="72"/>
  <c r="F8" i="101" s="1"/>
  <c r="I26" i="72"/>
  <c r="K15" i="36" s="1"/>
  <c r="E26" i="72"/>
  <c r="F15" i="36" s="1"/>
  <c r="I135" i="72"/>
  <c r="K9" i="50" s="1"/>
  <c r="E135" i="72"/>
  <c r="F9" i="50" s="1"/>
  <c r="I178" i="72"/>
  <c r="K6" i="225" s="1"/>
  <c r="E178" i="72"/>
  <c r="F6" i="225" s="1"/>
  <c r="I72" i="72"/>
  <c r="K13" i="131" s="1"/>
  <c r="E72" i="72"/>
  <c r="F13" i="131" s="1"/>
  <c r="I189" i="72"/>
  <c r="K10" i="237" s="1"/>
  <c r="E189" i="72"/>
  <c r="F10" i="237" s="1"/>
  <c r="I80" i="72"/>
  <c r="K21" i="131" s="1"/>
  <c r="E80" i="72"/>
  <c r="F21" i="131" s="1"/>
  <c r="I217" i="72"/>
  <c r="K6" i="270" s="1"/>
  <c r="E217" i="72"/>
  <c r="F6" i="270" s="1"/>
  <c r="I6" i="72"/>
  <c r="K8" i="1" s="1"/>
  <c r="E6" i="72"/>
  <c r="F8" i="1" s="1"/>
  <c r="I213" i="72"/>
  <c r="K10" i="262" s="1"/>
  <c r="E213" i="72"/>
  <c r="F10" i="262" s="1"/>
  <c r="I110" i="72"/>
  <c r="K15" i="164" s="1"/>
  <c r="E110" i="72"/>
  <c r="F15" i="164" s="1"/>
  <c r="I130" i="72"/>
  <c r="K12" i="190" s="1"/>
  <c r="E130" i="72"/>
  <c r="F12" i="190" s="1"/>
  <c r="I203" i="72"/>
  <c r="K10" i="250" s="1"/>
  <c r="E203" i="72"/>
  <c r="F10" i="250" s="1"/>
  <c r="I53" i="72"/>
  <c r="K24" i="101" s="1"/>
  <c r="E53" i="72"/>
  <c r="F24" i="101" s="1"/>
  <c r="I48" i="72"/>
  <c r="K19" i="101" s="1"/>
  <c r="E48" i="72"/>
  <c r="F19" i="101" s="1"/>
  <c r="I77" i="72"/>
  <c r="K18" i="131" s="1"/>
  <c r="E77" i="72"/>
  <c r="F18" i="131" s="1"/>
  <c r="I154" i="72"/>
  <c r="K5" i="199" s="1"/>
  <c r="E154" i="72"/>
  <c r="F5" i="199" s="1"/>
  <c r="I41" i="72"/>
  <c r="K12" i="101" s="1"/>
  <c r="E41" i="72"/>
  <c r="F12" i="101" s="1"/>
  <c r="I28" i="72"/>
  <c r="K17" i="36" s="1"/>
  <c r="E28" i="72"/>
  <c r="F17" i="36" s="1"/>
  <c r="I93" i="72"/>
  <c r="K34" i="131" s="1"/>
  <c r="E93" i="72"/>
  <c r="F34" i="131" s="1"/>
  <c r="I177" i="72"/>
  <c r="K5" i="225" s="1"/>
  <c r="E177" i="72"/>
  <c r="F5" i="225" s="1"/>
  <c r="I191" i="72"/>
  <c r="K12" i="237" s="1"/>
  <c r="E191" i="72"/>
  <c r="F12" i="237" s="1"/>
  <c r="I169" i="72"/>
  <c r="K5" i="216" s="1"/>
  <c r="E169" i="72"/>
  <c r="F5" i="216" s="1"/>
  <c r="I173" i="72"/>
  <c r="K9" i="216" s="1"/>
  <c r="E173" i="72"/>
  <c r="F9" i="216" s="1"/>
  <c r="J109" i="72"/>
  <c r="L14" i="164" s="1"/>
  <c r="F82" i="72"/>
  <c r="G23" i="131" s="1"/>
  <c r="F96" i="72"/>
  <c r="G37" i="131" s="1"/>
  <c r="E9" i="72"/>
  <c r="F11" i="1" s="1"/>
  <c r="E109" i="72"/>
  <c r="F14" i="164" s="1"/>
  <c r="E82" i="72"/>
  <c r="F23" i="131" s="1"/>
  <c r="I96" i="72"/>
  <c r="K37" i="131" s="1"/>
  <c r="E95" i="72"/>
  <c r="F36" i="131" s="1"/>
  <c r="E211" i="72"/>
  <c r="F8" i="262" s="1"/>
  <c r="I155" i="72"/>
  <c r="K6" i="199" s="1"/>
  <c r="I7" i="72"/>
  <c r="K9" i="1" s="1"/>
  <c r="I194" i="72"/>
  <c r="K15" i="237" s="1"/>
  <c r="I63" i="72"/>
  <c r="K34" i="101" s="1"/>
  <c r="I210" i="72"/>
  <c r="K7" i="262" s="1"/>
  <c r="I215" i="72"/>
  <c r="K12" i="262" s="1"/>
  <c r="I133" i="72"/>
  <c r="K7" i="50" s="1"/>
  <c r="D9" i="72"/>
  <c r="H152" i="72"/>
  <c r="J26" i="50" s="1"/>
  <c r="D109" i="72"/>
  <c r="E14" i="164" s="1"/>
  <c r="D82" i="72"/>
  <c r="E23" i="131" s="1"/>
  <c r="D96" i="72"/>
  <c r="E37" i="131" s="1"/>
  <c r="D198" i="72"/>
  <c r="E5" i="250" s="1"/>
  <c r="D95" i="72"/>
  <c r="E36" i="131" s="1"/>
  <c r="H211" i="72"/>
  <c r="J8" i="262" s="1"/>
  <c r="H155" i="72"/>
  <c r="J6" i="199" s="1"/>
  <c r="D7" i="72"/>
  <c r="H194" i="72"/>
  <c r="J15" i="237" s="1"/>
  <c r="D63" i="72"/>
  <c r="E34" i="101" s="1"/>
  <c r="H210" i="72"/>
  <c r="J7" i="262" s="1"/>
  <c r="D190" i="72"/>
  <c r="E11" i="237" s="1"/>
  <c r="D215" i="72"/>
  <c r="E12" i="262" s="1"/>
  <c r="D133" i="72"/>
  <c r="E7" i="50" s="1"/>
  <c r="H143" i="72"/>
  <c r="J17" i="50" s="1"/>
  <c r="H182" i="72"/>
  <c r="J10" i="225" s="1"/>
  <c r="H111" i="72"/>
  <c r="J16" i="164" s="1"/>
  <c r="D193" i="72"/>
  <c r="E14" i="237" s="1"/>
  <c r="H187" i="72"/>
  <c r="J8" i="237" s="1"/>
  <c r="D208" i="72"/>
  <c r="E5" i="262" s="1"/>
  <c r="D61" i="72"/>
  <c r="E32" i="101" s="1"/>
  <c r="H30" i="72"/>
  <c r="J19" i="36" s="1"/>
  <c r="H138" i="72"/>
  <c r="J12" i="50" s="1"/>
  <c r="D76" i="72"/>
  <c r="E17" i="131" s="1"/>
  <c r="H75" i="72"/>
  <c r="J16" i="131" s="1"/>
  <c r="D100" i="72"/>
  <c r="E5" i="164" s="1"/>
  <c r="H148" i="72"/>
  <c r="J22" i="50" s="1"/>
  <c r="H214" i="72"/>
  <c r="J11" i="262" s="1"/>
  <c r="D214" i="72"/>
  <c r="E11" i="262" s="1"/>
  <c r="H121" i="72"/>
  <c r="J10" i="182" s="1"/>
  <c r="D121" i="72"/>
  <c r="E10" i="182" s="1"/>
  <c r="H195" i="72"/>
  <c r="J16" i="237" s="1"/>
  <c r="D195" i="72"/>
  <c r="E16" i="237" s="1"/>
  <c r="H165" i="72"/>
  <c r="J16" i="199" s="1"/>
  <c r="D165" i="72"/>
  <c r="E16" i="199" s="1"/>
  <c r="H199" i="72"/>
  <c r="J6" i="250" s="1"/>
  <c r="D199" i="72"/>
  <c r="E6" i="250" s="1"/>
  <c r="H25" i="72"/>
  <c r="J14" i="36" s="1"/>
  <c r="D25" i="72"/>
  <c r="E14" i="36" s="1"/>
  <c r="H68" i="72"/>
  <c r="J9" i="131" s="1"/>
  <c r="D68" i="72"/>
  <c r="E9" i="131" s="1"/>
  <c r="H60" i="72"/>
  <c r="J31" i="101" s="1"/>
  <c r="D60" i="72"/>
  <c r="E31" i="101" s="1"/>
  <c r="H31" i="72"/>
  <c r="J20" i="36" s="1"/>
  <c r="D31" i="72"/>
  <c r="E20" i="36" s="1"/>
  <c r="H183" i="72"/>
  <c r="J11" i="225" s="1"/>
  <c r="D183" i="72"/>
  <c r="E11" i="225" s="1"/>
  <c r="H153" i="72"/>
  <c r="J27" i="50" s="1"/>
  <c r="D153" i="72"/>
  <c r="E27" i="50" s="1"/>
  <c r="H38" i="72"/>
  <c r="J9" i="101" s="1"/>
  <c r="D38" i="72"/>
  <c r="E9" i="101" s="1"/>
  <c r="H146" i="72"/>
  <c r="J20" i="50" s="1"/>
  <c r="D146" i="72"/>
  <c r="E20" i="50" s="1"/>
  <c r="H209" i="72"/>
  <c r="J6" i="262" s="1"/>
  <c r="D209" i="72"/>
  <c r="E6" i="262" s="1"/>
  <c r="H145" i="72"/>
  <c r="J19" i="50" s="1"/>
  <c r="D145" i="72"/>
  <c r="E19" i="50" s="1"/>
  <c r="H88" i="72"/>
  <c r="J29" i="131" s="1"/>
  <c r="D88" i="72"/>
  <c r="E29" i="131" s="1"/>
  <c r="H8" i="72"/>
  <c r="J10" i="1" s="1"/>
  <c r="D8" i="72"/>
  <c r="H157" i="72"/>
  <c r="J8" i="199" s="1"/>
  <c r="D157" i="72"/>
  <c r="E8" i="199" s="1"/>
  <c r="H39" i="72"/>
  <c r="J10" i="101" s="1"/>
  <c r="D39" i="72"/>
  <c r="E10" i="101" s="1"/>
  <c r="H85" i="72"/>
  <c r="J26" i="131" s="1"/>
  <c r="D85" i="72"/>
  <c r="E26" i="131" s="1"/>
  <c r="H216" i="72"/>
  <c r="J5" i="270" s="1"/>
  <c r="D216" i="72"/>
  <c r="E5" i="270" s="1"/>
  <c r="H206" i="72"/>
  <c r="J13" i="250" s="1"/>
  <c r="D206" i="72"/>
  <c r="E13" i="250" s="1"/>
  <c r="H51" i="72"/>
  <c r="J22" i="101" s="1"/>
  <c r="D51" i="72"/>
  <c r="E22" i="101" s="1"/>
  <c r="H18" i="72"/>
  <c r="J7" i="36" s="1"/>
  <c r="D18" i="72"/>
  <c r="E7" i="36" s="1"/>
  <c r="H10" i="72"/>
  <c r="J12" i="1" s="1"/>
  <c r="D10" i="72"/>
  <c r="H52" i="72"/>
  <c r="J23" i="101" s="1"/>
  <c r="D52" i="72"/>
  <c r="E23" i="101" s="1"/>
  <c r="H122" i="72"/>
  <c r="J11" i="182" s="1"/>
  <c r="D122" i="72"/>
  <c r="E11" i="182" s="1"/>
  <c r="H207" i="72"/>
  <c r="J14" i="250" s="1"/>
  <c r="D207" i="72"/>
  <c r="E14" i="250" s="1"/>
  <c r="H42" i="72"/>
  <c r="J13" i="101" s="1"/>
  <c r="D42" i="72"/>
  <c r="E13" i="101" s="1"/>
  <c r="H139" i="72"/>
  <c r="J13" i="50" s="1"/>
  <c r="D139" i="72"/>
  <c r="E13" i="50" s="1"/>
  <c r="H4" i="72"/>
  <c r="J6" i="1" s="1"/>
  <c r="D4" i="72"/>
  <c r="H74" i="72"/>
  <c r="J15" i="131" s="1"/>
  <c r="D74" i="72"/>
  <c r="E15" i="131" s="1"/>
  <c r="H107" i="72"/>
  <c r="J12" i="164" s="1"/>
  <c r="D107" i="72"/>
  <c r="E12" i="164" s="1"/>
  <c r="H59" i="72"/>
  <c r="J30" i="101" s="1"/>
  <c r="D59" i="72"/>
  <c r="E30" i="101" s="1"/>
  <c r="H94" i="72"/>
  <c r="J35" i="131" s="1"/>
  <c r="D94" i="72"/>
  <c r="E35" i="131" s="1"/>
  <c r="H58" i="72"/>
  <c r="J29" i="101" s="1"/>
  <c r="D58" i="72"/>
  <c r="E29" i="101" s="1"/>
  <c r="H50" i="72"/>
  <c r="J21" i="101" s="1"/>
  <c r="D50" i="72"/>
  <c r="E21" i="101" s="1"/>
  <c r="H16" i="72"/>
  <c r="J5" i="36" s="1"/>
  <c r="D16" i="72"/>
  <c r="E5" i="36" s="1"/>
  <c r="H160" i="72"/>
  <c r="J11" i="199" s="1"/>
  <c r="D160" i="72"/>
  <c r="E11" i="199" s="1"/>
  <c r="H19" i="72"/>
  <c r="J8" i="36" s="1"/>
  <c r="D19" i="72"/>
  <c r="E8" i="36" s="1"/>
  <c r="H89" i="72"/>
  <c r="J30" i="131" s="1"/>
  <c r="D89" i="72"/>
  <c r="E30" i="131" s="1"/>
  <c r="H23" i="72"/>
  <c r="J12" i="36" s="1"/>
  <c r="D23" i="72"/>
  <c r="E12" i="36" s="1"/>
  <c r="H106" i="72"/>
  <c r="J11" i="164" s="1"/>
  <c r="D106" i="72"/>
  <c r="E11" i="164" s="1"/>
  <c r="H49" i="72"/>
  <c r="J20" i="101" s="1"/>
  <c r="D49" i="72"/>
  <c r="E20" i="101" s="1"/>
  <c r="H149" i="72"/>
  <c r="J23" i="50" s="1"/>
  <c r="D149" i="72"/>
  <c r="E23" i="50" s="1"/>
  <c r="H83" i="72"/>
  <c r="J24" i="131" s="1"/>
  <c r="D83" i="72"/>
  <c r="E24" i="131" s="1"/>
  <c r="H12" i="72"/>
  <c r="J14" i="1" s="1"/>
  <c r="D12" i="72"/>
  <c r="K12" i="72" s="1"/>
  <c r="H104" i="72"/>
  <c r="J9" i="164" s="1"/>
  <c r="D104" i="72"/>
  <c r="E9" i="164" s="1"/>
  <c r="H90" i="72"/>
  <c r="J31" i="131" s="1"/>
  <c r="D90" i="72"/>
  <c r="E31" i="131" s="1"/>
  <c r="H43" i="72"/>
  <c r="J14" i="101" s="1"/>
  <c r="D43" i="72"/>
  <c r="E14" i="101" s="1"/>
  <c r="H87" i="72"/>
  <c r="J28" i="131" s="1"/>
  <c r="D87" i="72"/>
  <c r="E28" i="131" s="1"/>
  <c r="H57" i="72"/>
  <c r="J28" i="101" s="1"/>
  <c r="D57" i="72"/>
  <c r="E28" i="101" s="1"/>
  <c r="H13" i="72"/>
  <c r="J15" i="1" s="1"/>
  <c r="D13" i="72"/>
  <c r="H54" i="72"/>
  <c r="J25" i="101" s="1"/>
  <c r="D54" i="72"/>
  <c r="E25" i="101" s="1"/>
  <c r="H202" i="72"/>
  <c r="J9" i="250" s="1"/>
  <c r="D202" i="72"/>
  <c r="E9" i="250" s="1"/>
  <c r="H91" i="72"/>
  <c r="J32" i="131" s="1"/>
  <c r="D91" i="72"/>
  <c r="E32" i="131" s="1"/>
  <c r="H161" i="72"/>
  <c r="J12" i="199" s="1"/>
  <c r="D161" i="72"/>
  <c r="E12" i="199" s="1"/>
  <c r="H40" i="72"/>
  <c r="J11" i="101" s="1"/>
  <c r="D40" i="72"/>
  <c r="E11" i="101" s="1"/>
  <c r="H27" i="72"/>
  <c r="J16" i="36" s="1"/>
  <c r="D27" i="72"/>
  <c r="E16" i="36" s="1"/>
  <c r="H108" i="72"/>
  <c r="J13" i="164" s="1"/>
  <c r="D108" i="72"/>
  <c r="E13" i="164" s="1"/>
  <c r="H62" i="72"/>
  <c r="J33" i="101" s="1"/>
  <c r="D62" i="72"/>
  <c r="E33" i="101" s="1"/>
  <c r="H144" i="72"/>
  <c r="J18" i="50" s="1"/>
  <c r="D144" i="72"/>
  <c r="E18" i="50" s="1"/>
  <c r="H92" i="72"/>
  <c r="J33" i="131" s="1"/>
  <c r="D92" i="72"/>
  <c r="E33" i="131" s="1"/>
  <c r="H156" i="72"/>
  <c r="J7" i="199" s="1"/>
  <c r="D156" i="72"/>
  <c r="E7" i="199" s="1"/>
  <c r="H114" i="72"/>
  <c r="J19" i="164" s="1"/>
  <c r="D114" i="72"/>
  <c r="E19" i="164" s="1"/>
  <c r="H185" i="72"/>
  <c r="J6" i="237" s="1"/>
  <c r="D185" i="72"/>
  <c r="E6" i="237" s="1"/>
  <c r="H219" i="72"/>
  <c r="J8" i="270" s="1"/>
  <c r="D219" i="72"/>
  <c r="E8" i="270" s="1"/>
  <c r="H105" i="72"/>
  <c r="J10" i="164" s="1"/>
  <c r="D105" i="72"/>
  <c r="E10" i="164" s="1"/>
  <c r="H36" i="72"/>
  <c r="J7" i="101" s="1"/>
  <c r="D36" i="72"/>
  <c r="E7" i="101" s="1"/>
  <c r="H67" i="72"/>
  <c r="J8" i="131" s="1"/>
  <c r="D67" i="72"/>
  <c r="E8" i="131" s="1"/>
  <c r="H11" i="72"/>
  <c r="J13" i="1" s="1"/>
  <c r="D11" i="72"/>
  <c r="H45" i="72"/>
  <c r="J16" i="101" s="1"/>
  <c r="D45" i="72"/>
  <c r="E16" i="101" s="1"/>
  <c r="H132" i="72"/>
  <c r="J6" i="50" s="1"/>
  <c r="D132" i="72"/>
  <c r="E6" i="50" s="1"/>
  <c r="H103" i="72"/>
  <c r="J8" i="164" s="1"/>
  <c r="D103" i="72"/>
  <c r="E8" i="164" s="1"/>
  <c r="H140" i="72"/>
  <c r="J14" i="50" s="1"/>
  <c r="D140" i="72"/>
  <c r="E14" i="50" s="1"/>
  <c r="H37" i="72"/>
  <c r="J8" i="101" s="1"/>
  <c r="D37" i="72"/>
  <c r="E8" i="101" s="1"/>
  <c r="H186" i="72"/>
  <c r="J7" i="237" s="1"/>
  <c r="D186" i="72"/>
  <c r="E7" i="237" s="1"/>
  <c r="H26" i="72"/>
  <c r="J15" i="36" s="1"/>
  <c r="D26" i="72"/>
  <c r="E15" i="36" s="1"/>
  <c r="H135" i="72"/>
  <c r="J9" i="50" s="1"/>
  <c r="D135" i="72"/>
  <c r="E9" i="50" s="1"/>
  <c r="H178" i="72"/>
  <c r="J6" i="225" s="1"/>
  <c r="D178" i="72"/>
  <c r="E6" i="225" s="1"/>
  <c r="H72" i="72"/>
  <c r="J13" i="131" s="1"/>
  <c r="D72" i="72"/>
  <c r="E13" i="131" s="1"/>
  <c r="H189" i="72"/>
  <c r="J10" i="237" s="1"/>
  <c r="D189" i="72"/>
  <c r="E10" i="237" s="1"/>
  <c r="H168" i="72"/>
  <c r="J19" i="199" s="1"/>
  <c r="D168" i="72"/>
  <c r="E19" i="199" s="1"/>
  <c r="H176" i="72"/>
  <c r="J12" i="216" s="1"/>
  <c r="D176" i="72"/>
  <c r="E12" i="216" s="1"/>
  <c r="H164" i="72"/>
  <c r="J15" i="199" s="1"/>
  <c r="D164" i="72"/>
  <c r="E15" i="199" s="1"/>
  <c r="F9" i="72"/>
  <c r="G11" i="1" s="1"/>
  <c r="J82" i="72"/>
  <c r="L23" i="131" s="1"/>
  <c r="I9" i="72"/>
  <c r="K11" i="1" s="1"/>
  <c r="I109" i="72"/>
  <c r="K14" i="164" s="1"/>
  <c r="I82" i="72"/>
  <c r="K23" i="131" s="1"/>
  <c r="E96" i="72"/>
  <c r="F37" i="131" s="1"/>
  <c r="I95" i="72"/>
  <c r="K36" i="131" s="1"/>
  <c r="I211" i="72"/>
  <c r="K8" i="262" s="1"/>
  <c r="E155" i="72"/>
  <c r="F6" i="199" s="1"/>
  <c r="E7" i="72"/>
  <c r="F9" i="1" s="1"/>
  <c r="E194" i="72"/>
  <c r="F15" i="237" s="1"/>
  <c r="E63" i="72"/>
  <c r="F34" i="101" s="1"/>
  <c r="E210" i="72"/>
  <c r="F7" i="262" s="1"/>
  <c r="E215" i="72"/>
  <c r="F12" i="262" s="1"/>
  <c r="H9" i="72"/>
  <c r="J11" i="1" s="1"/>
  <c r="D152" i="72"/>
  <c r="E26" i="50" s="1"/>
  <c r="H109" i="72"/>
  <c r="J14" i="164" s="1"/>
  <c r="H82" i="72"/>
  <c r="J23" i="131" s="1"/>
  <c r="H96" i="72"/>
  <c r="J37" i="131" s="1"/>
  <c r="H198" i="72"/>
  <c r="J5" i="250" s="1"/>
  <c r="H95" i="72"/>
  <c r="J36" i="131" s="1"/>
  <c r="D211" i="72"/>
  <c r="E8" i="262" s="1"/>
  <c r="D155" i="72"/>
  <c r="E6" i="199" s="1"/>
  <c r="H7" i="72"/>
  <c r="J9" i="1" s="1"/>
  <c r="D194" i="72"/>
  <c r="E15" i="237" s="1"/>
  <c r="H63" i="72"/>
  <c r="J34" i="101" s="1"/>
  <c r="D210" i="72"/>
  <c r="E7" i="262" s="1"/>
  <c r="H190" i="72"/>
  <c r="J11" i="237" s="1"/>
  <c r="H215" i="72"/>
  <c r="J12" i="262" s="1"/>
  <c r="H133" i="72"/>
  <c r="J7" i="50" s="1"/>
  <c r="D143" i="72"/>
  <c r="E17" i="50" s="1"/>
  <c r="D182" i="72"/>
  <c r="E10" i="225" s="1"/>
  <c r="D111" i="72"/>
  <c r="E16" i="164" s="1"/>
  <c r="H193" i="72"/>
  <c r="J14" i="237" s="1"/>
  <c r="D187" i="72"/>
  <c r="E8" i="237" s="1"/>
  <c r="H208" i="72"/>
  <c r="J5" i="262" s="1"/>
  <c r="H61" i="72"/>
  <c r="J32" i="101" s="1"/>
  <c r="D30" i="72"/>
  <c r="E19" i="36" s="1"/>
  <c r="D138" i="72"/>
  <c r="E12" i="50" s="1"/>
  <c r="H76" i="72"/>
  <c r="J17" i="131" s="1"/>
  <c r="D75" i="72"/>
  <c r="E16" i="131" s="1"/>
  <c r="H100" i="72"/>
  <c r="J5" i="164" s="1"/>
  <c r="D148" i="72"/>
  <c r="E22" i="50" s="1"/>
  <c r="G9" i="72"/>
  <c r="H11" i="1" s="1"/>
  <c r="W766" i="82"/>
  <c r="V3" i="34" s="1"/>
  <c r="C9" i="72"/>
  <c r="G109" i="72"/>
  <c r="H14" i="164" s="1"/>
  <c r="W647" i="82"/>
  <c r="V4" i="177" s="1"/>
  <c r="C109" i="72"/>
  <c r="D14" i="164" s="1"/>
  <c r="G189" i="72"/>
  <c r="H10" i="237" s="1"/>
  <c r="W637" i="82"/>
  <c r="V4" i="245" s="1"/>
  <c r="C189" i="72"/>
  <c r="D10" i="237" s="1"/>
  <c r="G82" i="72"/>
  <c r="H23" i="131" s="1"/>
  <c r="W636" i="82"/>
  <c r="V4" i="312" s="1"/>
  <c r="C82" i="72"/>
  <c r="D23" i="131" s="1"/>
  <c r="G96" i="72"/>
  <c r="H37" i="131" s="1"/>
  <c r="W619" i="82"/>
  <c r="V4" i="163" s="1"/>
  <c r="C96" i="72"/>
  <c r="D37" i="131" s="1"/>
  <c r="W582" i="82"/>
  <c r="V7" i="193" s="1"/>
  <c r="C128" i="72"/>
  <c r="D10" i="190" s="1"/>
  <c r="G185" i="72"/>
  <c r="H6" i="237" s="1"/>
  <c r="W561" i="82"/>
  <c r="V4" i="241" s="1"/>
  <c r="C185" i="72"/>
  <c r="D6" i="237" s="1"/>
  <c r="G95" i="72"/>
  <c r="H36" i="131" s="1"/>
  <c r="W553" i="82"/>
  <c r="V5" i="316" s="1"/>
  <c r="C95" i="72"/>
  <c r="D36" i="131" s="1"/>
  <c r="G211" i="72"/>
  <c r="H8" i="262" s="1"/>
  <c r="W551" i="82"/>
  <c r="V3" i="268" s="1"/>
  <c r="C211" i="72"/>
  <c r="D8" i="262" s="1"/>
  <c r="W536" i="82"/>
  <c r="V6" i="217" s="1"/>
  <c r="C167" i="72"/>
  <c r="D18" i="199" s="1"/>
  <c r="G155" i="72"/>
  <c r="H6" i="199" s="1"/>
  <c r="W528" i="82"/>
  <c r="V3" i="203" s="1"/>
  <c r="C155" i="72"/>
  <c r="D6" i="199" s="1"/>
  <c r="W515" i="82"/>
  <c r="V6" i="309" s="1"/>
  <c r="G7" i="72"/>
  <c r="H9" i="1" s="1"/>
  <c r="W498" i="82"/>
  <c r="V5" i="309" s="1"/>
  <c r="C7" i="72"/>
  <c r="W493" i="82"/>
  <c r="V3" i="260" s="1"/>
  <c r="C204" i="72"/>
  <c r="D11" i="250" s="1"/>
  <c r="G205" i="72"/>
  <c r="H12" i="250" s="1"/>
  <c r="W490" i="82"/>
  <c r="V4" i="261" s="1"/>
  <c r="C205" i="72"/>
  <c r="D12" i="250" s="1"/>
  <c r="G194" i="72"/>
  <c r="H15" i="237" s="1"/>
  <c r="W482" i="82"/>
  <c r="V3" i="322" s="1"/>
  <c r="C194" i="72"/>
  <c r="D15" i="237" s="1"/>
  <c r="G63" i="72"/>
  <c r="H34" i="101" s="1"/>
  <c r="W469" i="82"/>
  <c r="C63" i="72"/>
  <c r="D34" i="101" s="1"/>
  <c r="G210" i="72"/>
  <c r="H7" i="262" s="1"/>
  <c r="C210" i="72"/>
  <c r="D7" i="262" s="1"/>
  <c r="G159" i="72"/>
  <c r="H10" i="199" s="1"/>
  <c r="C159" i="72"/>
  <c r="D10" i="199" s="1"/>
  <c r="G215" i="72"/>
  <c r="H12" i="262" s="1"/>
  <c r="W453" i="82"/>
  <c r="V3" i="273" s="1"/>
  <c r="C215" i="72"/>
  <c r="D12" i="262" s="1"/>
  <c r="G133" i="72"/>
  <c r="H7" i="50" s="1"/>
  <c r="W450" i="82"/>
  <c r="V4" i="76" s="1"/>
  <c r="C133" i="72"/>
  <c r="D7" i="50" s="1"/>
  <c r="G143" i="72"/>
  <c r="H17" i="50" s="1"/>
  <c r="W435" i="82"/>
  <c r="V3" i="65" s="1"/>
  <c r="C143" i="72"/>
  <c r="D17" i="50" s="1"/>
  <c r="G182" i="72"/>
  <c r="H10" i="225" s="1"/>
  <c r="W432" i="82"/>
  <c r="V3" i="238" s="1"/>
  <c r="C182" i="72"/>
  <c r="D10" i="225" s="1"/>
  <c r="G111" i="72"/>
  <c r="H16" i="164" s="1"/>
  <c r="W424" i="82"/>
  <c r="V3" i="178" s="1"/>
  <c r="C111" i="72"/>
  <c r="D16" i="164" s="1"/>
  <c r="G193" i="72"/>
  <c r="H14" i="237" s="1"/>
  <c r="W417" i="82"/>
  <c r="V3" i="249" s="1"/>
  <c r="C193" i="72"/>
  <c r="D14" i="237" s="1"/>
  <c r="W412" i="82"/>
  <c r="V3" i="324" s="1"/>
  <c r="W409" i="82"/>
  <c r="G187" i="72"/>
  <c r="H8" i="237" s="1"/>
  <c r="C187" i="72"/>
  <c r="D8" i="237" s="1"/>
  <c r="G208" i="72"/>
  <c r="H5" i="262" s="1"/>
  <c r="W398" i="82"/>
  <c r="V3" i="265" s="1"/>
  <c r="C208" i="72"/>
  <c r="D5" i="262" s="1"/>
  <c r="G61" i="72"/>
  <c r="H32" i="101" s="1"/>
  <c r="W397" i="82"/>
  <c r="V3" i="127" s="1"/>
  <c r="C61" i="72"/>
  <c r="D32" i="101" s="1"/>
  <c r="G30" i="72"/>
  <c r="H19" i="36" s="1"/>
  <c r="W393" i="82"/>
  <c r="C30" i="72"/>
  <c r="D19" i="36" s="1"/>
  <c r="G138" i="72"/>
  <c r="H12" i="50" s="1"/>
  <c r="W388" i="82"/>
  <c r="V4" i="60" s="1"/>
  <c r="C138" i="72"/>
  <c r="D12" i="50" s="1"/>
  <c r="G76" i="72"/>
  <c r="H17" i="131" s="1"/>
  <c r="C76" i="72"/>
  <c r="D17" i="131" s="1"/>
  <c r="W370" i="82"/>
  <c r="V4" i="309" s="1"/>
  <c r="G75" i="72"/>
  <c r="H16" i="131" s="1"/>
  <c r="W369" i="82"/>
  <c r="V5" i="138" s="1"/>
  <c r="C75" i="72"/>
  <c r="D16" i="131" s="1"/>
  <c r="G100" i="72"/>
  <c r="H5" i="164" s="1"/>
  <c r="W364" i="82"/>
  <c r="V3" i="167" s="1"/>
  <c r="C100" i="72"/>
  <c r="D5" i="164" s="1"/>
  <c r="G179" i="72"/>
  <c r="H7" i="225" s="1"/>
  <c r="W363" i="82"/>
  <c r="V6" i="235" s="1"/>
  <c r="C179" i="72"/>
  <c r="D7" i="225" s="1"/>
  <c r="G148" i="72"/>
  <c r="H22" i="50" s="1"/>
  <c r="W362" i="82"/>
  <c r="V3" i="70" s="1"/>
  <c r="C148" i="72"/>
  <c r="D22" i="50" s="1"/>
  <c r="G214" i="72"/>
  <c r="H11" i="262" s="1"/>
  <c r="W360" i="82"/>
  <c r="V3" i="272" s="1"/>
  <c r="C214" i="72"/>
  <c r="D11" i="262" s="1"/>
  <c r="G121" i="72"/>
  <c r="H10" i="182" s="1"/>
  <c r="W357" i="82"/>
  <c r="V3" i="189" s="1"/>
  <c r="C121" i="72"/>
  <c r="D10" i="182" s="1"/>
  <c r="G197" i="72"/>
  <c r="H18" i="237" s="1"/>
  <c r="W353" i="82"/>
  <c r="V4" i="253" s="1"/>
  <c r="C197" i="72"/>
  <c r="D18" i="237" s="1"/>
  <c r="G195" i="72"/>
  <c r="H16" i="237" s="1"/>
  <c r="W350" i="82"/>
  <c r="V3" i="251" s="1"/>
  <c r="C195" i="72"/>
  <c r="D16" i="237" s="1"/>
  <c r="G165" i="72"/>
  <c r="H16" i="199" s="1"/>
  <c r="W347" i="82"/>
  <c r="V5" i="212" s="1"/>
  <c r="C165" i="72"/>
  <c r="D16" i="199" s="1"/>
  <c r="G201" i="72"/>
  <c r="H8" i="250" s="1"/>
  <c r="C201" i="72"/>
  <c r="D8" i="250" s="1"/>
  <c r="G199" i="72"/>
  <c r="H6" i="250" s="1"/>
  <c r="W343" i="82"/>
  <c r="V3" i="255" s="1"/>
  <c r="C199" i="72"/>
  <c r="D6" i="250" s="1"/>
  <c r="G25" i="72"/>
  <c r="H14" i="36" s="1"/>
  <c r="W339" i="82"/>
  <c r="V4" i="93" s="1"/>
  <c r="C25" i="72"/>
  <c r="D14" i="36" s="1"/>
  <c r="G68" i="72"/>
  <c r="H9" i="131" s="1"/>
  <c r="W338" i="82"/>
  <c r="V3" i="135" s="1"/>
  <c r="C68" i="72"/>
  <c r="D9" i="131" s="1"/>
  <c r="G60" i="72"/>
  <c r="H31" i="101" s="1"/>
  <c r="W332" i="82"/>
  <c r="V3" i="126" s="1"/>
  <c r="C60" i="72"/>
  <c r="D31" i="101" s="1"/>
  <c r="G31" i="72"/>
  <c r="H20" i="36" s="1"/>
  <c r="W327" i="82"/>
  <c r="V3" i="317" s="1"/>
  <c r="C31" i="72"/>
  <c r="D20" i="36" s="1"/>
  <c r="G183" i="72"/>
  <c r="H11" i="225" s="1"/>
  <c r="W321" i="82"/>
  <c r="V3" i="239" s="1"/>
  <c r="C183" i="72"/>
  <c r="D11" i="225" s="1"/>
  <c r="G153" i="72"/>
  <c r="H27" i="50" s="1"/>
  <c r="W314" i="82"/>
  <c r="V4" i="201" s="1"/>
  <c r="C153" i="72"/>
  <c r="D27" i="50" s="1"/>
  <c r="G38" i="72"/>
  <c r="H9" i="101" s="1"/>
  <c r="W313" i="82"/>
  <c r="V3" i="104" s="1"/>
  <c r="C38" i="72"/>
  <c r="D9" i="101" s="1"/>
  <c r="G146" i="72"/>
  <c r="H20" i="50" s="1"/>
  <c r="W311" i="82"/>
  <c r="V3" i="68" s="1"/>
  <c r="C146" i="72"/>
  <c r="D20" i="50" s="1"/>
  <c r="G209" i="72"/>
  <c r="H6" i="262" s="1"/>
  <c r="W310" i="82"/>
  <c r="V3" i="266" s="1"/>
  <c r="C209" i="72"/>
  <c r="D6" i="262" s="1"/>
  <c r="G145" i="72"/>
  <c r="H19" i="50" s="1"/>
  <c r="W309" i="82"/>
  <c r="V3" i="67" s="1"/>
  <c r="C145" i="72"/>
  <c r="D19" i="50" s="1"/>
  <c r="G88" i="72"/>
  <c r="H29" i="131" s="1"/>
  <c r="W304" i="82"/>
  <c r="V3" i="155" s="1"/>
  <c r="C88" i="72"/>
  <c r="D29" i="131" s="1"/>
  <c r="W303" i="82"/>
  <c r="V5" i="64" s="1"/>
  <c r="C142" i="72"/>
  <c r="D16" i="50" s="1"/>
  <c r="G8" i="72"/>
  <c r="H10" i="1" s="1"/>
  <c r="W299" i="82"/>
  <c r="V3" i="31" s="1"/>
  <c r="C8" i="72"/>
  <c r="G157" i="72"/>
  <c r="H8" i="199" s="1"/>
  <c r="W297" i="82"/>
  <c r="V4" i="205" s="1"/>
  <c r="C157" i="72"/>
  <c r="D8" i="199" s="1"/>
  <c r="G39" i="72"/>
  <c r="H10" i="101" s="1"/>
  <c r="W294" i="82"/>
  <c r="V3" i="105" s="1"/>
  <c r="C39" i="72"/>
  <c r="D10" i="101" s="1"/>
  <c r="G85" i="72"/>
  <c r="H26" i="131" s="1"/>
  <c r="C85" i="72"/>
  <c r="D26" i="131" s="1"/>
  <c r="G216" i="72"/>
  <c r="H5" i="270" s="1"/>
  <c r="W288" i="82"/>
  <c r="V3" i="274" s="1"/>
  <c r="C216" i="72"/>
  <c r="D5" i="270" s="1"/>
  <c r="G51" i="72"/>
  <c r="H22" i="101" s="1"/>
  <c r="W281" i="82"/>
  <c r="V3" i="117" s="1"/>
  <c r="C51" i="72"/>
  <c r="D22" i="101" s="1"/>
  <c r="G18" i="72"/>
  <c r="H7" i="36" s="1"/>
  <c r="W280" i="82"/>
  <c r="V3" i="87" s="1"/>
  <c r="C18" i="72"/>
  <c r="D7" i="36" s="1"/>
  <c r="G10" i="72"/>
  <c r="H12" i="1" s="1"/>
  <c r="W278" i="82"/>
  <c r="V3" i="83" s="1"/>
  <c r="C10" i="72"/>
  <c r="W277" i="82"/>
  <c r="V3" i="309" s="1"/>
  <c r="C14" i="72"/>
  <c r="D16" i="1" s="1"/>
  <c r="G52" i="72"/>
  <c r="H23" i="101" s="1"/>
  <c r="W276" i="82"/>
  <c r="V3" i="118" s="1"/>
  <c r="C52" i="72"/>
  <c r="D23" i="101" s="1"/>
  <c r="G122" i="72"/>
  <c r="H11" i="182" s="1"/>
  <c r="W275" i="82"/>
  <c r="V3" i="191" s="1"/>
  <c r="C122" i="72"/>
  <c r="D11" i="182" s="1"/>
  <c r="G207" i="72"/>
  <c r="H14" i="250" s="1"/>
  <c r="W274" i="82"/>
  <c r="V3" i="264" s="1"/>
  <c r="C207" i="72"/>
  <c r="D14" i="250" s="1"/>
  <c r="G42" i="72"/>
  <c r="H13" i="101" s="1"/>
  <c r="W272" i="82"/>
  <c r="V3" i="108" s="1"/>
  <c r="C42" i="72"/>
  <c r="D13" i="101" s="1"/>
  <c r="G139" i="72"/>
  <c r="H13" i="50" s="1"/>
  <c r="W271" i="82"/>
  <c r="V3" i="61" s="1"/>
  <c r="C139" i="72"/>
  <c r="D13" i="50" s="1"/>
  <c r="G175" i="72"/>
  <c r="H11" i="216" s="1"/>
  <c r="W268" i="82"/>
  <c r="V4" i="234" s="1"/>
  <c r="C175" i="72"/>
  <c r="D11" i="216" s="1"/>
  <c r="G4" i="72"/>
  <c r="H6" i="1" s="1"/>
  <c r="C4" i="72"/>
  <c r="G74" i="72"/>
  <c r="H15" i="131" s="1"/>
  <c r="W261" i="82"/>
  <c r="V5" i="140" s="1"/>
  <c r="C74" i="72"/>
  <c r="D15" i="131" s="1"/>
  <c r="G107" i="72"/>
  <c r="H12" i="164" s="1"/>
  <c r="W260" i="82"/>
  <c r="V4" i="174" s="1"/>
  <c r="C107" i="72"/>
  <c r="D12" i="164" s="1"/>
  <c r="G59" i="72"/>
  <c r="H30" i="101" s="1"/>
  <c r="C59" i="72"/>
  <c r="D30" i="101" s="1"/>
  <c r="G94" i="72"/>
  <c r="H35" i="131" s="1"/>
  <c r="W252" i="82"/>
  <c r="V3" i="161" s="1"/>
  <c r="C94" i="72"/>
  <c r="D35" i="131" s="1"/>
  <c r="G58" i="72"/>
  <c r="H29" i="101" s="1"/>
  <c r="W251" i="82"/>
  <c r="V3" i="124" s="1"/>
  <c r="C58" i="72"/>
  <c r="D29" i="101" s="1"/>
  <c r="G50" i="72"/>
  <c r="H21" i="101" s="1"/>
  <c r="W249" i="82"/>
  <c r="V3" i="116" s="1"/>
  <c r="C50" i="72"/>
  <c r="D21" i="101" s="1"/>
  <c r="G16" i="72"/>
  <c r="H5" i="36" s="1"/>
  <c r="W248" i="82"/>
  <c r="V3" i="85" s="1"/>
  <c r="C16" i="72"/>
  <c r="D5" i="36" s="1"/>
  <c r="G19" i="72"/>
  <c r="H8" i="36" s="1"/>
  <c r="W240" i="82"/>
  <c r="V4" i="88" s="1"/>
  <c r="C19" i="72"/>
  <c r="D8" i="36" s="1"/>
  <c r="G89" i="72"/>
  <c r="H30" i="131" s="1"/>
  <c r="W236" i="82"/>
  <c r="V3" i="156" s="1"/>
  <c r="C89" i="72"/>
  <c r="D30" i="131" s="1"/>
  <c r="G23" i="72"/>
  <c r="H12" i="36" s="1"/>
  <c r="C23" i="72"/>
  <c r="D12" i="36" s="1"/>
  <c r="G213" i="72"/>
  <c r="H10" i="262" s="1"/>
  <c r="W234" i="82"/>
  <c r="V4" i="271" s="1"/>
  <c r="C213" i="72"/>
  <c r="D10" i="262" s="1"/>
  <c r="G106" i="72"/>
  <c r="H11" i="164" s="1"/>
  <c r="W229" i="82"/>
  <c r="V3" i="173" s="1"/>
  <c r="C106" i="72"/>
  <c r="D11" i="164" s="1"/>
  <c r="G49" i="72"/>
  <c r="H20" i="101" s="1"/>
  <c r="W228" i="82"/>
  <c r="V4" i="115" s="1"/>
  <c r="C49" i="72"/>
  <c r="D20" i="101" s="1"/>
  <c r="G149" i="72"/>
  <c r="H23" i="50" s="1"/>
  <c r="C149" i="72"/>
  <c r="D23" i="50" s="1"/>
  <c r="G83" i="72"/>
  <c r="H24" i="131" s="1"/>
  <c r="W225" i="82"/>
  <c r="V3" i="150" s="1"/>
  <c r="C83" i="72"/>
  <c r="D24" i="131" s="1"/>
  <c r="G12" i="72"/>
  <c r="H14" i="1" s="1"/>
  <c r="W224" i="82"/>
  <c r="V3" i="35" s="1"/>
  <c r="C12" i="72"/>
  <c r="G104" i="72"/>
  <c r="H9" i="164" s="1"/>
  <c r="W222" i="82"/>
  <c r="V3" i="171" s="1"/>
  <c r="C104" i="72"/>
  <c r="D9" i="164" s="1"/>
  <c r="G90" i="72"/>
  <c r="H31" i="131" s="1"/>
  <c r="W221" i="82"/>
  <c r="V3" i="157" s="1"/>
  <c r="C90" i="72"/>
  <c r="D31" i="131" s="1"/>
  <c r="G43" i="72"/>
  <c r="H14" i="101" s="1"/>
  <c r="W218" i="82"/>
  <c r="V3" i="115" s="1"/>
  <c r="C43" i="72"/>
  <c r="D14" i="101" s="1"/>
  <c r="G163" i="72"/>
  <c r="H14" i="199" s="1"/>
  <c r="W217" i="82"/>
  <c r="V4" i="211" s="1"/>
  <c r="C163" i="72"/>
  <c r="D14" i="199" s="1"/>
  <c r="G161" i="72"/>
  <c r="H12" i="199" s="1"/>
  <c r="G108" i="72"/>
  <c r="H13" i="164" s="1"/>
  <c r="G144" i="72"/>
  <c r="H18" i="50" s="1"/>
  <c r="G92" i="72"/>
  <c r="H33" i="131" s="1"/>
  <c r="C92" i="72"/>
  <c r="D33" i="131" s="1"/>
  <c r="G156" i="72"/>
  <c r="H7" i="199" s="1"/>
  <c r="C156" i="72"/>
  <c r="D7" i="199" s="1"/>
  <c r="G114" i="72"/>
  <c r="H19" i="164" s="1"/>
  <c r="G105" i="72"/>
  <c r="H10" i="164" s="1"/>
  <c r="G132" i="72"/>
  <c r="H6" i="50" s="1"/>
  <c r="G103" i="72"/>
  <c r="H8" i="164" s="1"/>
  <c r="G140" i="72"/>
  <c r="H14" i="50" s="1"/>
  <c r="G135" i="72"/>
  <c r="H9" i="50" s="1"/>
  <c r="C135" i="72"/>
  <c r="D9" i="50" s="1"/>
  <c r="G178" i="72"/>
  <c r="H6" i="225" s="1"/>
  <c r="G110" i="72"/>
  <c r="H15" i="164" s="1"/>
  <c r="C110" i="72"/>
  <c r="D15" i="164" s="1"/>
  <c r="G130" i="72"/>
  <c r="H12" i="190" s="1"/>
  <c r="G203" i="72"/>
  <c r="H10" i="250" s="1"/>
  <c r="G154" i="72"/>
  <c r="H5" i="199" s="1"/>
  <c r="G93" i="72"/>
  <c r="H34" i="131" s="1"/>
  <c r="C93" i="72"/>
  <c r="D34" i="131" s="1"/>
  <c r="G102" i="72"/>
  <c r="H7" i="164" s="1"/>
  <c r="C102" i="72"/>
  <c r="D7" i="164" s="1"/>
  <c r="G184" i="72"/>
  <c r="H5" i="237" s="1"/>
  <c r="G112" i="72"/>
  <c r="H17" i="164" s="1"/>
  <c r="G147" i="72"/>
  <c r="H21" i="50" s="1"/>
  <c r="C147" i="72"/>
  <c r="D21" i="50" s="1"/>
  <c r="G131" i="72"/>
  <c r="H5" i="50" s="1"/>
  <c r="C131" i="72"/>
  <c r="D5" i="50" s="1"/>
  <c r="G124" i="72"/>
  <c r="H6" i="190" s="1"/>
  <c r="G136" i="72"/>
  <c r="H10" i="50" s="1"/>
  <c r="G134" i="72"/>
  <c r="H8" i="50" s="1"/>
  <c r="G196" i="72"/>
  <c r="H17" i="237" s="1"/>
  <c r="G119" i="72"/>
  <c r="H8" i="182" s="1"/>
  <c r="C119" i="72"/>
  <c r="D8" i="182" s="1"/>
  <c r="G116" i="72"/>
  <c r="H5" i="182" s="1"/>
  <c r="G190" i="72"/>
  <c r="H11" i="237" s="1"/>
  <c r="C190" i="72"/>
  <c r="D11" i="237" s="1"/>
  <c r="G168" i="72"/>
  <c r="H19" i="199" s="1"/>
  <c r="C168" i="72"/>
  <c r="D19" i="199" s="1"/>
  <c r="G166" i="72"/>
  <c r="H17" i="199" s="1"/>
  <c r="G212" i="72"/>
  <c r="H9" i="262" s="1"/>
  <c r="G162" i="72"/>
  <c r="H13" i="199" s="1"/>
  <c r="G192" i="72"/>
  <c r="H13" i="237" s="1"/>
  <c r="G177" i="72"/>
  <c r="H5" i="225" s="1"/>
  <c r="G176" i="72"/>
  <c r="H12" i="216" s="1"/>
  <c r="C176" i="72"/>
  <c r="D12" i="216" s="1"/>
  <c r="G191" i="72"/>
  <c r="H12" i="237" s="1"/>
  <c r="G200" i="72"/>
  <c r="H7" i="250" s="1"/>
  <c r="G158" i="72"/>
  <c r="H9" i="199" s="1"/>
  <c r="G188" i="72"/>
  <c r="H9" i="237" s="1"/>
  <c r="G170" i="72"/>
  <c r="H6" i="216" s="1"/>
  <c r="G169" i="72"/>
  <c r="H5" i="216" s="1"/>
  <c r="G115" i="72"/>
  <c r="H20" i="164" s="1"/>
  <c r="C115" i="72"/>
  <c r="D20" i="164" s="1"/>
  <c r="G206" i="72"/>
  <c r="H13" i="250" s="1"/>
  <c r="C206" i="72"/>
  <c r="D13" i="250" s="1"/>
  <c r="G202" i="72"/>
  <c r="H9" i="250" s="1"/>
  <c r="C202" i="72"/>
  <c r="D9" i="250" s="1"/>
  <c r="G198" i="72"/>
  <c r="H5" i="250" s="1"/>
  <c r="C198" i="72"/>
  <c r="D5" i="250" s="1"/>
  <c r="G117" i="72"/>
  <c r="H6" i="182" s="1"/>
  <c r="G152" i="72"/>
  <c r="H26" i="50" s="1"/>
  <c r="C152" i="72"/>
  <c r="D26" i="50" s="1"/>
  <c r="G164" i="72"/>
  <c r="H15" i="199" s="1"/>
  <c r="C164" i="72"/>
  <c r="D15" i="199" s="1"/>
  <c r="G173" i="72"/>
  <c r="H9" i="216" s="1"/>
  <c r="G186" i="72"/>
  <c r="H7" i="237" s="1"/>
  <c r="C186" i="72"/>
  <c r="D7" i="237" s="1"/>
  <c r="G127" i="72"/>
  <c r="H9" i="190" s="1"/>
  <c r="C127" i="72"/>
  <c r="D9" i="190" s="1"/>
  <c r="G123" i="72"/>
  <c r="H5" i="190" s="1"/>
  <c r="C123" i="72"/>
  <c r="D5" i="190" s="1"/>
  <c r="G129" i="72"/>
  <c r="H11" i="190" s="1"/>
  <c r="G99" i="72"/>
  <c r="H40" i="131" s="1"/>
  <c r="G174" i="72"/>
  <c r="H10" i="216" s="1"/>
  <c r="G125" i="72"/>
  <c r="H7" i="190" s="1"/>
  <c r="G120" i="72"/>
  <c r="H9" i="182" s="1"/>
  <c r="G137" i="72"/>
  <c r="H11" i="50" s="1"/>
  <c r="G160" i="72"/>
  <c r="H11" i="199" s="1"/>
  <c r="C160" i="72"/>
  <c r="D11" i="199" s="1"/>
  <c r="G141" i="72"/>
  <c r="H15" i="50" s="1"/>
  <c r="G126" i="72"/>
  <c r="H8" i="190" s="1"/>
  <c r="G118" i="72"/>
  <c r="H7" i="182" s="1"/>
  <c r="G98" i="72"/>
  <c r="H39" i="131" s="1"/>
  <c r="C98" i="72"/>
  <c r="D39" i="131" s="1"/>
  <c r="G101" i="72"/>
  <c r="H6" i="164" s="1"/>
  <c r="F130" i="72"/>
  <c r="G12" i="190" s="1"/>
  <c r="J203" i="72"/>
  <c r="L10" i="250" s="1"/>
  <c r="F203" i="72"/>
  <c r="G10" i="250" s="1"/>
  <c r="J53" i="72"/>
  <c r="L24" i="101" s="1"/>
  <c r="F53" i="72"/>
  <c r="G24" i="101" s="1"/>
  <c r="J48" i="72"/>
  <c r="L19" i="101" s="1"/>
  <c r="F48" i="72"/>
  <c r="G19" i="101" s="1"/>
  <c r="J77" i="72"/>
  <c r="L18" i="131" s="1"/>
  <c r="F77" i="72"/>
  <c r="G18" i="131" s="1"/>
  <c r="J154" i="72"/>
  <c r="L5" i="199" s="1"/>
  <c r="F154" i="72"/>
  <c r="G5" i="199" s="1"/>
  <c r="J41" i="72"/>
  <c r="L12" i="101" s="1"/>
  <c r="F41" i="72"/>
  <c r="G12" i="101" s="1"/>
  <c r="J28" i="72"/>
  <c r="L17" i="36" s="1"/>
  <c r="F28" i="72"/>
  <c r="G17" i="36" s="1"/>
  <c r="J93" i="72"/>
  <c r="L34" i="131" s="1"/>
  <c r="F93" i="72"/>
  <c r="G34" i="131" s="1"/>
  <c r="J78" i="72"/>
  <c r="L19" i="131" s="1"/>
  <c r="F78" i="72"/>
  <c r="G19" i="131" s="1"/>
  <c r="J201" i="72"/>
  <c r="L8" i="250" s="1"/>
  <c r="F201" i="72"/>
  <c r="G8" i="250" s="1"/>
  <c r="J102" i="72"/>
  <c r="L7" i="164" s="1"/>
  <c r="F102" i="72"/>
  <c r="G7" i="164" s="1"/>
  <c r="J112" i="72"/>
  <c r="L17" i="164" s="1"/>
  <c r="F112" i="72"/>
  <c r="G17" i="164" s="1"/>
  <c r="J147" i="72"/>
  <c r="L21" i="50" s="1"/>
  <c r="F147" i="72"/>
  <c r="G21" i="50" s="1"/>
  <c r="J131" i="72"/>
  <c r="L5" i="50" s="1"/>
  <c r="F131" i="72"/>
  <c r="G5" i="50" s="1"/>
  <c r="J124" i="72"/>
  <c r="L6" i="190" s="1"/>
  <c r="F124" i="72"/>
  <c r="G6" i="190" s="1"/>
  <c r="J136" i="72"/>
  <c r="L10" i="50" s="1"/>
  <c r="F136" i="72"/>
  <c r="G10" i="50" s="1"/>
  <c r="J167" i="72"/>
  <c r="L18" i="199" s="1"/>
  <c r="F167" i="72"/>
  <c r="G18" i="199" s="1"/>
  <c r="J119" i="72"/>
  <c r="L8" i="182" s="1"/>
  <c r="F119" i="72"/>
  <c r="G8" i="182" s="1"/>
  <c r="J116" i="72"/>
  <c r="L5" i="182" s="1"/>
  <c r="F116" i="72"/>
  <c r="G5" i="182" s="1"/>
  <c r="J163" i="72"/>
  <c r="L14" i="199" s="1"/>
  <c r="F163" i="72"/>
  <c r="G14" i="199" s="1"/>
  <c r="J190" i="72"/>
  <c r="L11" i="237" s="1"/>
  <c r="F190" i="72"/>
  <c r="G11" i="237" s="1"/>
  <c r="J197" i="72"/>
  <c r="L18" i="237" s="1"/>
  <c r="F197" i="72"/>
  <c r="G18" i="237" s="1"/>
  <c r="J168" i="72"/>
  <c r="L19" i="199" s="1"/>
  <c r="F168" i="72"/>
  <c r="G19" i="199" s="1"/>
  <c r="J159" i="72"/>
  <c r="L10" i="199" s="1"/>
  <c r="F159" i="72"/>
  <c r="G10" i="199" s="1"/>
  <c r="J175" i="72"/>
  <c r="L11" i="216" s="1"/>
  <c r="F175" i="72"/>
  <c r="G11" i="216" s="1"/>
  <c r="J177" i="72"/>
  <c r="L5" i="225" s="1"/>
  <c r="F177" i="72"/>
  <c r="G5" i="225" s="1"/>
  <c r="J176" i="72"/>
  <c r="L12" i="216" s="1"/>
  <c r="F176" i="72"/>
  <c r="G12" i="216" s="1"/>
  <c r="J191" i="72"/>
  <c r="L12" i="237" s="1"/>
  <c r="F191" i="72"/>
  <c r="G12" i="237" s="1"/>
  <c r="J142" i="72"/>
  <c r="L16" i="50" s="1"/>
  <c r="F142" i="72"/>
  <c r="G16" i="50" s="1"/>
  <c r="J150" i="72"/>
  <c r="L24" i="50" s="1"/>
  <c r="F150" i="72"/>
  <c r="G24" i="50" s="1"/>
  <c r="J205" i="72"/>
  <c r="L12" i="250" s="1"/>
  <c r="F205" i="72"/>
  <c r="G12" i="250" s="1"/>
  <c r="J169" i="72"/>
  <c r="L5" i="216" s="1"/>
  <c r="F169" i="72"/>
  <c r="G5" i="216" s="1"/>
  <c r="J115" i="72"/>
  <c r="L20" i="164" s="1"/>
  <c r="F115" i="72"/>
  <c r="G20" i="164" s="1"/>
  <c r="J206" i="72"/>
  <c r="L13" i="250" s="1"/>
  <c r="F206" i="72"/>
  <c r="G13" i="250" s="1"/>
  <c r="J202" i="72"/>
  <c r="L9" i="250" s="1"/>
  <c r="F202" i="72"/>
  <c r="G9" i="250" s="1"/>
  <c r="J171" i="72"/>
  <c r="L7" i="216" s="1"/>
  <c r="F171" i="72"/>
  <c r="G7" i="216" s="1"/>
  <c r="J198" i="72"/>
  <c r="L5" i="250" s="1"/>
  <c r="F198" i="72"/>
  <c r="G5" i="250" s="1"/>
  <c r="J134" i="72"/>
  <c r="L8" i="50" s="1"/>
  <c r="F134" i="72"/>
  <c r="G8" i="50" s="1"/>
  <c r="J117" i="72"/>
  <c r="L6" i="182" s="1"/>
  <c r="F117" i="72"/>
  <c r="G6" i="182" s="1"/>
  <c r="J152" i="72"/>
  <c r="L26" i="50" s="1"/>
  <c r="F152" i="72"/>
  <c r="G26" i="50" s="1"/>
  <c r="J164" i="72"/>
  <c r="L15" i="199" s="1"/>
  <c r="F164" i="72"/>
  <c r="G15" i="199" s="1"/>
  <c r="J173" i="72"/>
  <c r="L9" i="216" s="1"/>
  <c r="F173" i="72"/>
  <c r="G9" i="216" s="1"/>
  <c r="J186" i="72"/>
  <c r="L7" i="237" s="1"/>
  <c r="F186" i="72"/>
  <c r="G7" i="237" s="1"/>
  <c r="J127" i="72"/>
  <c r="L9" i="190" s="1"/>
  <c r="F127" i="72"/>
  <c r="G9" i="190" s="1"/>
  <c r="J179" i="72"/>
  <c r="L7" i="225" s="1"/>
  <c r="F179" i="72"/>
  <c r="G7" i="225" s="1"/>
  <c r="J123" i="72"/>
  <c r="L5" i="190" s="1"/>
  <c r="F123" i="72"/>
  <c r="G5" i="190" s="1"/>
  <c r="J129" i="72"/>
  <c r="L11" i="190" s="1"/>
  <c r="F129" i="72"/>
  <c r="G11" i="190" s="1"/>
  <c r="J99" i="72"/>
  <c r="L40" i="131" s="1"/>
  <c r="F99" i="72"/>
  <c r="G40" i="131" s="1"/>
  <c r="J125" i="72"/>
  <c r="L7" i="190" s="1"/>
  <c r="F125" i="72"/>
  <c r="G7" i="190" s="1"/>
  <c r="J120" i="72"/>
  <c r="L9" i="182" s="1"/>
  <c r="F120" i="72"/>
  <c r="G9" i="182" s="1"/>
  <c r="J137" i="72"/>
  <c r="L11" i="50" s="1"/>
  <c r="F137" i="72"/>
  <c r="G11" i="50" s="1"/>
  <c r="J160" i="72"/>
  <c r="L11" i="199" s="1"/>
  <c r="F160" i="72"/>
  <c r="G11" i="199" s="1"/>
  <c r="J141" i="72"/>
  <c r="L15" i="50" s="1"/>
  <c r="F141" i="72"/>
  <c r="G15" i="50" s="1"/>
  <c r="J126" i="72"/>
  <c r="L8" i="190" s="1"/>
  <c r="F126" i="72"/>
  <c r="G8" i="190" s="1"/>
  <c r="J118" i="72"/>
  <c r="L7" i="182" s="1"/>
  <c r="F118" i="72"/>
  <c r="G7" i="182" s="1"/>
  <c r="J98" i="72"/>
  <c r="L39" i="131" s="1"/>
  <c r="F98" i="72"/>
  <c r="G39" i="131" s="1"/>
  <c r="J101" i="72"/>
  <c r="L6" i="164" s="1"/>
  <c r="F101" i="72"/>
  <c r="G6" i="164" s="1"/>
  <c r="I78" i="72"/>
  <c r="K19" i="131" s="1"/>
  <c r="E78" i="72"/>
  <c r="F19" i="131" s="1"/>
  <c r="I201" i="72"/>
  <c r="K8" i="250" s="1"/>
  <c r="E201" i="72"/>
  <c r="F8" i="250" s="1"/>
  <c r="I70" i="72"/>
  <c r="K11" i="131" s="1"/>
  <c r="E70" i="72"/>
  <c r="F11" i="131" s="1"/>
  <c r="I102" i="72"/>
  <c r="K7" i="164" s="1"/>
  <c r="E102" i="72"/>
  <c r="F7" i="164" s="1"/>
  <c r="I184" i="72"/>
  <c r="K5" i="237" s="1"/>
  <c r="E184" i="72"/>
  <c r="F5" i="237" s="1"/>
  <c r="I112" i="72"/>
  <c r="K17" i="164" s="1"/>
  <c r="E112" i="72"/>
  <c r="F17" i="164" s="1"/>
  <c r="I147" i="72"/>
  <c r="K21" i="50" s="1"/>
  <c r="E147" i="72"/>
  <c r="F21" i="50" s="1"/>
  <c r="I131" i="72"/>
  <c r="K5" i="50" s="1"/>
  <c r="E131" i="72"/>
  <c r="F5" i="50" s="1"/>
  <c r="I44" i="72"/>
  <c r="K15" i="101" s="1"/>
  <c r="E44" i="72"/>
  <c r="F15" i="101" s="1"/>
  <c r="I124" i="72"/>
  <c r="K6" i="190" s="1"/>
  <c r="E124" i="72"/>
  <c r="F6" i="190" s="1"/>
  <c r="I64" i="72"/>
  <c r="K5" i="131" s="1"/>
  <c r="E64" i="72"/>
  <c r="F5" i="131" s="1"/>
  <c r="I47" i="72"/>
  <c r="K18" i="101" s="1"/>
  <c r="E47" i="72"/>
  <c r="F18" i="101" s="1"/>
  <c r="I84" i="72"/>
  <c r="K25" i="131" s="1"/>
  <c r="E84" i="72"/>
  <c r="F25" i="131" s="1"/>
  <c r="I136" i="72"/>
  <c r="K10" i="50" s="1"/>
  <c r="E136" i="72"/>
  <c r="F10" i="50" s="1"/>
  <c r="I56" i="72"/>
  <c r="K27" i="101" s="1"/>
  <c r="E56" i="72"/>
  <c r="F27" i="101" s="1"/>
  <c r="I71" i="72"/>
  <c r="K12" i="131" s="1"/>
  <c r="E71" i="72"/>
  <c r="F12" i="131" s="1"/>
  <c r="I66" i="72"/>
  <c r="K7" i="131" s="1"/>
  <c r="E66" i="72"/>
  <c r="F7" i="131" s="1"/>
  <c r="I167" i="72"/>
  <c r="K18" i="199" s="1"/>
  <c r="E167" i="72"/>
  <c r="F18" i="199" s="1"/>
  <c r="I196" i="72"/>
  <c r="K17" i="237" s="1"/>
  <c r="E196" i="72"/>
  <c r="F17" i="237" s="1"/>
  <c r="I119" i="72"/>
  <c r="K8" i="182" s="1"/>
  <c r="E119" i="72"/>
  <c r="F8" i="182" s="1"/>
  <c r="I116" i="72"/>
  <c r="K5" i="182" s="1"/>
  <c r="E116" i="72"/>
  <c r="F5" i="182" s="1"/>
  <c r="I163" i="72"/>
  <c r="K14" i="199" s="1"/>
  <c r="E163" i="72"/>
  <c r="F14" i="199" s="1"/>
  <c r="I190" i="72"/>
  <c r="K11" i="237" s="1"/>
  <c r="E190" i="72"/>
  <c r="F11" i="237" s="1"/>
  <c r="I79" i="72"/>
  <c r="K20" i="131" s="1"/>
  <c r="E79" i="72"/>
  <c r="F20" i="131" s="1"/>
  <c r="I197" i="72"/>
  <c r="K18" i="237" s="1"/>
  <c r="E197" i="72"/>
  <c r="F18" i="237" s="1"/>
  <c r="I168" i="72"/>
  <c r="K19" i="199" s="1"/>
  <c r="E168" i="72"/>
  <c r="F19" i="199" s="1"/>
  <c r="I166" i="72"/>
  <c r="K17" i="199" s="1"/>
  <c r="E166" i="72"/>
  <c r="F17" i="199" s="1"/>
  <c r="I159" i="72"/>
  <c r="K10" i="199" s="1"/>
  <c r="E159" i="72"/>
  <c r="F10" i="199" s="1"/>
  <c r="I86" i="72"/>
  <c r="K27" i="131" s="1"/>
  <c r="E86" i="72"/>
  <c r="F27" i="131" s="1"/>
  <c r="I24" i="72"/>
  <c r="K13" i="36" s="1"/>
  <c r="E24" i="72"/>
  <c r="F13" i="36" s="1"/>
  <c r="I212" i="72"/>
  <c r="K9" i="262" s="1"/>
  <c r="E212" i="72"/>
  <c r="F9" i="262" s="1"/>
  <c r="I73" i="72"/>
  <c r="K14" i="131" s="1"/>
  <c r="E73" i="72"/>
  <c r="F14" i="131" s="1"/>
  <c r="I162" i="72"/>
  <c r="K13" i="199" s="1"/>
  <c r="E162" i="72"/>
  <c r="F13" i="199" s="1"/>
  <c r="I69" i="72"/>
  <c r="K10" i="131" s="1"/>
  <c r="E69" i="72"/>
  <c r="F10" i="131" s="1"/>
  <c r="I192" i="72"/>
  <c r="K13" i="237" s="1"/>
  <c r="E192" i="72"/>
  <c r="F13" i="237" s="1"/>
  <c r="I175" i="72"/>
  <c r="K11" i="216" s="1"/>
  <c r="E175" i="72"/>
  <c r="F11" i="216" s="1"/>
  <c r="I176" i="72"/>
  <c r="K12" i="216" s="1"/>
  <c r="E176" i="72"/>
  <c r="F12" i="216" s="1"/>
  <c r="I33" i="72"/>
  <c r="E33" i="72"/>
  <c r="I200" i="72"/>
  <c r="K7" i="250" s="1"/>
  <c r="E200" i="72"/>
  <c r="F7" i="250" s="1"/>
  <c r="I158" i="72"/>
  <c r="K9" i="199" s="1"/>
  <c r="E158" i="72"/>
  <c r="F9" i="199" s="1"/>
  <c r="I188" i="72"/>
  <c r="K9" i="237" s="1"/>
  <c r="E188" i="72"/>
  <c r="F9" i="237" s="1"/>
  <c r="I5" i="72"/>
  <c r="K7" i="1" s="1"/>
  <c r="E5" i="72"/>
  <c r="F7" i="1" s="1"/>
  <c r="I142" i="72"/>
  <c r="K16" i="50" s="1"/>
  <c r="E142" i="72"/>
  <c r="F16" i="50" s="1"/>
  <c r="I218" i="72"/>
  <c r="K7" i="270" s="1"/>
  <c r="E218" i="72"/>
  <c r="F7" i="270" s="1"/>
  <c r="I150" i="72"/>
  <c r="K24" i="50" s="1"/>
  <c r="E150" i="72"/>
  <c r="F24" i="50" s="1"/>
  <c r="I205" i="72"/>
  <c r="K12" i="250" s="1"/>
  <c r="E205" i="72"/>
  <c r="F12" i="250" s="1"/>
  <c r="I55" i="72"/>
  <c r="K26" i="101" s="1"/>
  <c r="E55" i="72"/>
  <c r="F26" i="101" s="1"/>
  <c r="I170" i="72"/>
  <c r="K6" i="216" s="1"/>
  <c r="E170" i="72"/>
  <c r="F6" i="216" s="1"/>
  <c r="I115" i="72"/>
  <c r="K20" i="164" s="1"/>
  <c r="E115" i="72"/>
  <c r="F20" i="164" s="1"/>
  <c r="I172" i="72"/>
  <c r="K8" i="216" s="1"/>
  <c r="E172" i="72"/>
  <c r="F8" i="216" s="1"/>
  <c r="I206" i="72"/>
  <c r="K13" i="250" s="1"/>
  <c r="E206" i="72"/>
  <c r="F13" i="250" s="1"/>
  <c r="I202" i="72"/>
  <c r="K9" i="250" s="1"/>
  <c r="E202" i="72"/>
  <c r="F9" i="250" s="1"/>
  <c r="I171" i="72"/>
  <c r="K7" i="216" s="1"/>
  <c r="E171" i="72"/>
  <c r="F7" i="216" s="1"/>
  <c r="I198" i="72"/>
  <c r="K5" i="250" s="1"/>
  <c r="E198" i="72"/>
  <c r="F5" i="250" s="1"/>
  <c r="I15" i="72"/>
  <c r="E15" i="72"/>
  <c r="I29" i="72"/>
  <c r="K18" i="36" s="1"/>
  <c r="E29" i="72"/>
  <c r="F18" i="36" s="1"/>
  <c r="I134" i="72"/>
  <c r="K8" i="50" s="1"/>
  <c r="E134" i="72"/>
  <c r="F8" i="50" s="1"/>
  <c r="I22" i="72"/>
  <c r="K11" i="36" s="1"/>
  <c r="E22" i="72"/>
  <c r="F11" i="36" s="1"/>
  <c r="I117" i="72"/>
  <c r="K6" i="182" s="1"/>
  <c r="E117" i="72"/>
  <c r="F6" i="182" s="1"/>
  <c r="I152" i="72"/>
  <c r="K26" i="50" s="1"/>
  <c r="E152" i="72"/>
  <c r="F26" i="50" s="1"/>
  <c r="I164" i="72"/>
  <c r="K15" i="199" s="1"/>
  <c r="E164" i="72"/>
  <c r="F15" i="199" s="1"/>
  <c r="I186" i="72"/>
  <c r="K7" i="237" s="1"/>
  <c r="E186" i="72"/>
  <c r="F7" i="237" s="1"/>
  <c r="I127" i="72"/>
  <c r="K9" i="190" s="1"/>
  <c r="E127" i="72"/>
  <c r="F9" i="190" s="1"/>
  <c r="I21" i="72"/>
  <c r="K10" i="36" s="1"/>
  <c r="E21" i="72"/>
  <c r="F10" i="36" s="1"/>
  <c r="I179" i="72"/>
  <c r="K7" i="225" s="1"/>
  <c r="E179" i="72"/>
  <c r="F7" i="225" s="1"/>
  <c r="I123" i="72"/>
  <c r="K5" i="190" s="1"/>
  <c r="E123" i="72"/>
  <c r="F5" i="190" s="1"/>
  <c r="I129" i="72"/>
  <c r="K11" i="190" s="1"/>
  <c r="E129" i="72"/>
  <c r="F11" i="190" s="1"/>
  <c r="I99" i="72"/>
  <c r="K40" i="131" s="1"/>
  <c r="E99" i="72"/>
  <c r="F40" i="131" s="1"/>
  <c r="I174" i="72"/>
  <c r="K10" i="216" s="1"/>
  <c r="E174" i="72"/>
  <c r="F10" i="216" s="1"/>
  <c r="I125" i="72"/>
  <c r="K7" i="190" s="1"/>
  <c r="E125" i="72"/>
  <c r="F7" i="190" s="1"/>
  <c r="I120" i="72"/>
  <c r="K9" i="182" s="1"/>
  <c r="E120" i="72"/>
  <c r="F9" i="182" s="1"/>
  <c r="I137" i="72"/>
  <c r="K11" i="50" s="1"/>
  <c r="E137" i="72"/>
  <c r="F11" i="50" s="1"/>
  <c r="I160" i="72"/>
  <c r="K11" i="199" s="1"/>
  <c r="E160" i="72"/>
  <c r="F11" i="199" s="1"/>
  <c r="I20" i="72"/>
  <c r="K9" i="36" s="1"/>
  <c r="E20" i="72"/>
  <c r="F9" i="36" s="1"/>
  <c r="I141" i="72"/>
  <c r="K15" i="50" s="1"/>
  <c r="E141" i="72"/>
  <c r="F15" i="50" s="1"/>
  <c r="I126" i="72"/>
  <c r="K8" i="190" s="1"/>
  <c r="E126" i="72"/>
  <c r="F8" i="190" s="1"/>
  <c r="I118" i="72"/>
  <c r="K7" i="182" s="1"/>
  <c r="E118" i="72"/>
  <c r="F7" i="182" s="1"/>
  <c r="I98" i="72"/>
  <c r="K39" i="131" s="1"/>
  <c r="E98" i="72"/>
  <c r="F39" i="131" s="1"/>
  <c r="I81" i="72"/>
  <c r="K22" i="131" s="1"/>
  <c r="E81" i="72"/>
  <c r="F22" i="131" s="1"/>
  <c r="I101" i="72"/>
  <c r="K6" i="164" s="1"/>
  <c r="E101" i="72"/>
  <c r="F6" i="164" s="1"/>
  <c r="I65" i="72"/>
  <c r="K6" i="131" s="1"/>
  <c r="E65" i="72"/>
  <c r="F6" i="131" s="1"/>
  <c r="I46" i="72"/>
  <c r="K17" i="101" s="1"/>
  <c r="E46" i="72"/>
  <c r="F17" i="101" s="1"/>
  <c r="I17" i="72"/>
  <c r="K6" i="36" s="1"/>
  <c r="E17" i="72"/>
  <c r="F6" i="36" s="1"/>
  <c r="H80" i="72"/>
  <c r="J21" i="131" s="1"/>
  <c r="D80" i="72"/>
  <c r="E21" i="131" s="1"/>
  <c r="H217" i="72"/>
  <c r="J6" i="270" s="1"/>
  <c r="D217" i="72"/>
  <c r="E6" i="270" s="1"/>
  <c r="H6" i="72"/>
  <c r="J8" i="1" s="1"/>
  <c r="D6" i="72"/>
  <c r="K6" i="72" s="1"/>
  <c r="H213" i="72"/>
  <c r="J10" i="262" s="1"/>
  <c r="D213" i="72"/>
  <c r="E10" i="262" s="1"/>
  <c r="H110" i="72"/>
  <c r="J15" i="164" s="1"/>
  <c r="D110" i="72"/>
  <c r="E15" i="164" s="1"/>
  <c r="H130" i="72"/>
  <c r="J12" i="190" s="1"/>
  <c r="D130" i="72"/>
  <c r="E12" i="190" s="1"/>
  <c r="H203" i="72"/>
  <c r="J10" i="250" s="1"/>
  <c r="D203" i="72"/>
  <c r="E10" i="250" s="1"/>
  <c r="H53" i="72"/>
  <c r="J24" i="101" s="1"/>
  <c r="D53" i="72"/>
  <c r="E24" i="101" s="1"/>
  <c r="H48" i="72"/>
  <c r="J19" i="101" s="1"/>
  <c r="D48" i="72"/>
  <c r="E19" i="101" s="1"/>
  <c r="H77" i="72"/>
  <c r="J18" i="131" s="1"/>
  <c r="D77" i="72"/>
  <c r="E18" i="131" s="1"/>
  <c r="H154" i="72"/>
  <c r="J5" i="199" s="1"/>
  <c r="D154" i="72"/>
  <c r="E5" i="199" s="1"/>
  <c r="H41" i="72"/>
  <c r="J12" i="101" s="1"/>
  <c r="D41" i="72"/>
  <c r="E12" i="101" s="1"/>
  <c r="H28" i="72"/>
  <c r="J17" i="36" s="1"/>
  <c r="D28" i="72"/>
  <c r="E17" i="36" s="1"/>
  <c r="H93" i="72"/>
  <c r="J34" i="131" s="1"/>
  <c r="D93" i="72"/>
  <c r="E34" i="131" s="1"/>
  <c r="H78" i="72"/>
  <c r="J19" i="131" s="1"/>
  <c r="D78" i="72"/>
  <c r="E19" i="131" s="1"/>
  <c r="H201" i="72"/>
  <c r="J8" i="250" s="1"/>
  <c r="D201" i="72"/>
  <c r="E8" i="250" s="1"/>
  <c r="H70" i="72"/>
  <c r="J11" i="131" s="1"/>
  <c r="D70" i="72"/>
  <c r="E11" i="131" s="1"/>
  <c r="H102" i="72"/>
  <c r="J7" i="164" s="1"/>
  <c r="D102" i="72"/>
  <c r="E7" i="164" s="1"/>
  <c r="H184" i="72"/>
  <c r="J5" i="237" s="1"/>
  <c r="D184" i="72"/>
  <c r="E5" i="237" s="1"/>
  <c r="H112" i="72"/>
  <c r="J17" i="164" s="1"/>
  <c r="D112" i="72"/>
  <c r="E17" i="164" s="1"/>
  <c r="H147" i="72"/>
  <c r="J21" i="50" s="1"/>
  <c r="D147" i="72"/>
  <c r="E21" i="50" s="1"/>
  <c r="H131" i="72"/>
  <c r="J5" i="50" s="1"/>
  <c r="D131" i="72"/>
  <c r="E5" i="50" s="1"/>
  <c r="H44" i="72"/>
  <c r="J15" i="101" s="1"/>
  <c r="D44" i="72"/>
  <c r="E15" i="101" s="1"/>
  <c r="H124" i="72"/>
  <c r="J6" i="190" s="1"/>
  <c r="D124" i="72"/>
  <c r="E6" i="190" s="1"/>
  <c r="H64" i="72"/>
  <c r="J5" i="131" s="1"/>
  <c r="D64" i="72"/>
  <c r="E5" i="131" s="1"/>
  <c r="H47" i="72"/>
  <c r="J18" i="101" s="1"/>
  <c r="D47" i="72"/>
  <c r="E18" i="101" s="1"/>
  <c r="H84" i="72"/>
  <c r="J25" i="131" s="1"/>
  <c r="D84" i="72"/>
  <c r="E25" i="131" s="1"/>
  <c r="H136" i="72"/>
  <c r="J10" i="50" s="1"/>
  <c r="D136" i="72"/>
  <c r="E10" i="50" s="1"/>
  <c r="H56" i="72"/>
  <c r="J27" i="101" s="1"/>
  <c r="D56" i="72"/>
  <c r="E27" i="101" s="1"/>
  <c r="H71" i="72"/>
  <c r="J12" i="131" s="1"/>
  <c r="D71" i="72"/>
  <c r="E12" i="131" s="1"/>
  <c r="H167" i="72"/>
  <c r="J18" i="199" s="1"/>
  <c r="D167" i="72"/>
  <c r="E18" i="199" s="1"/>
  <c r="H196" i="72"/>
  <c r="J17" i="237" s="1"/>
  <c r="D196" i="72"/>
  <c r="E17" i="237" s="1"/>
  <c r="H119" i="72"/>
  <c r="J8" i="182" s="1"/>
  <c r="D119" i="72"/>
  <c r="E8" i="182" s="1"/>
  <c r="H116" i="72"/>
  <c r="J5" i="182" s="1"/>
  <c r="D116" i="72"/>
  <c r="E5" i="182" s="1"/>
  <c r="H163" i="72"/>
  <c r="J14" i="199" s="1"/>
  <c r="D163" i="72"/>
  <c r="E14" i="199" s="1"/>
  <c r="H197" i="72"/>
  <c r="J18" i="237" s="1"/>
  <c r="D197" i="72"/>
  <c r="E18" i="237" s="1"/>
  <c r="H166" i="72"/>
  <c r="J17" i="199" s="1"/>
  <c r="D166" i="72"/>
  <c r="E17" i="199" s="1"/>
  <c r="H159" i="72"/>
  <c r="J10" i="199" s="1"/>
  <c r="D159" i="72"/>
  <c r="E10" i="199" s="1"/>
  <c r="H212" i="72"/>
  <c r="J9" i="262" s="1"/>
  <c r="D212" i="72"/>
  <c r="E9" i="262" s="1"/>
  <c r="H162" i="72"/>
  <c r="J13" i="199" s="1"/>
  <c r="D162" i="72"/>
  <c r="E13" i="199" s="1"/>
  <c r="H192" i="72"/>
  <c r="J13" i="237" s="1"/>
  <c r="D192" i="72"/>
  <c r="E13" i="237" s="1"/>
  <c r="H175" i="72"/>
  <c r="J11" i="216" s="1"/>
  <c r="D175" i="72"/>
  <c r="E11" i="216" s="1"/>
  <c r="H177" i="72"/>
  <c r="J5" i="225" s="1"/>
  <c r="D177" i="72"/>
  <c r="E5" i="225" s="1"/>
  <c r="H191" i="72"/>
  <c r="J12" i="237" s="1"/>
  <c r="D191" i="72"/>
  <c r="E12" i="237" s="1"/>
  <c r="H200" i="72"/>
  <c r="J7" i="250" s="1"/>
  <c r="D200" i="72"/>
  <c r="E7" i="250" s="1"/>
  <c r="H158" i="72"/>
  <c r="J9" i="199" s="1"/>
  <c r="D158" i="72"/>
  <c r="E9" i="199" s="1"/>
  <c r="H188" i="72"/>
  <c r="J9" i="237" s="1"/>
  <c r="D188" i="72"/>
  <c r="E9" i="237" s="1"/>
  <c r="H142" i="72"/>
  <c r="J16" i="50" s="1"/>
  <c r="D142" i="72"/>
  <c r="E16" i="50" s="1"/>
  <c r="H150" i="72"/>
  <c r="J24" i="50" s="1"/>
  <c r="D150" i="72"/>
  <c r="E24" i="50" s="1"/>
  <c r="H205" i="72"/>
  <c r="J12" i="250" s="1"/>
  <c r="D205" i="72"/>
  <c r="E12" i="250" s="1"/>
  <c r="H170" i="72"/>
  <c r="J6" i="216" s="1"/>
  <c r="D170" i="72"/>
  <c r="E6" i="216" s="1"/>
  <c r="H169" i="72"/>
  <c r="J5" i="216" s="1"/>
  <c r="D169" i="72"/>
  <c r="E5" i="216" s="1"/>
  <c r="H115" i="72"/>
  <c r="J20" i="164" s="1"/>
  <c r="D115" i="72"/>
  <c r="E20" i="164" s="1"/>
  <c r="H171" i="72"/>
  <c r="J7" i="216" s="1"/>
  <c r="D171" i="72"/>
  <c r="E7" i="216" s="1"/>
  <c r="H134" i="72"/>
  <c r="J8" i="50" s="1"/>
  <c r="D134" i="72"/>
  <c r="E8" i="50" s="1"/>
  <c r="H117" i="72"/>
  <c r="J6" i="182" s="1"/>
  <c r="D117" i="72"/>
  <c r="E6" i="182" s="1"/>
  <c r="H173" i="72"/>
  <c r="J9" i="216" s="1"/>
  <c r="D173" i="72"/>
  <c r="E9" i="216" s="1"/>
  <c r="H127" i="72"/>
  <c r="J9" i="190" s="1"/>
  <c r="D127" i="72"/>
  <c r="E9" i="190" s="1"/>
  <c r="H179" i="72"/>
  <c r="J7" i="225" s="1"/>
  <c r="D179" i="72"/>
  <c r="E7" i="225" s="1"/>
  <c r="H123" i="72"/>
  <c r="J5" i="190" s="1"/>
  <c r="D123" i="72"/>
  <c r="E5" i="190" s="1"/>
  <c r="H129" i="72"/>
  <c r="J11" i="190" s="1"/>
  <c r="D129" i="72"/>
  <c r="E11" i="190" s="1"/>
  <c r="H99" i="72"/>
  <c r="J40" i="131" s="1"/>
  <c r="D99" i="72"/>
  <c r="E40" i="131" s="1"/>
  <c r="H174" i="72"/>
  <c r="J10" i="216" s="1"/>
  <c r="D174" i="72"/>
  <c r="E10" i="216" s="1"/>
  <c r="H125" i="72"/>
  <c r="J7" i="190" s="1"/>
  <c r="D125" i="72"/>
  <c r="E7" i="190" s="1"/>
  <c r="H120" i="72"/>
  <c r="J9" i="182" s="1"/>
  <c r="D120" i="72"/>
  <c r="E9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7" i="182" s="1"/>
  <c r="D118" i="72"/>
  <c r="E7" i="182" s="1"/>
  <c r="H98" i="72"/>
  <c r="J39" i="131" s="1"/>
  <c r="D98" i="72"/>
  <c r="E39" i="131" s="1"/>
  <c r="H101" i="72"/>
  <c r="J6" i="164" s="1"/>
  <c r="D101" i="72"/>
  <c r="E6" i="164" s="1"/>
  <c r="H66" i="72"/>
  <c r="J7" i="131" s="1"/>
  <c r="D66" i="72"/>
  <c r="E7" i="131" s="1"/>
  <c r="H79" i="72"/>
  <c r="J20" i="131" s="1"/>
  <c r="D79" i="72"/>
  <c r="E20" i="131" s="1"/>
  <c r="H86" i="72"/>
  <c r="J27" i="131" s="1"/>
  <c r="D86" i="72"/>
  <c r="E27" i="131" s="1"/>
  <c r="H24" i="72"/>
  <c r="J13" i="36" s="1"/>
  <c r="D24" i="72"/>
  <c r="E13" i="36" s="1"/>
  <c r="H73" i="72"/>
  <c r="J14" i="131" s="1"/>
  <c r="D73" i="72"/>
  <c r="E14" i="131" s="1"/>
  <c r="H69" i="72"/>
  <c r="J10" i="131" s="1"/>
  <c r="D69" i="72"/>
  <c r="E10" i="131" s="1"/>
  <c r="H33" i="72"/>
  <c r="D33" i="72"/>
  <c r="H5" i="72"/>
  <c r="J7" i="1" s="1"/>
  <c r="D5" i="72"/>
  <c r="H218" i="72"/>
  <c r="J7" i="270" s="1"/>
  <c r="D218" i="72"/>
  <c r="E7" i="270" s="1"/>
  <c r="H55" i="72"/>
  <c r="J26" i="101" s="1"/>
  <c r="D55" i="72"/>
  <c r="E26" i="101" s="1"/>
  <c r="H15" i="72"/>
  <c r="D15" i="72"/>
  <c r="H29" i="72"/>
  <c r="J18" i="36" s="1"/>
  <c r="D29" i="72"/>
  <c r="E18" i="36" s="1"/>
  <c r="H22" i="72"/>
  <c r="J11" i="36" s="1"/>
  <c r="D22" i="72"/>
  <c r="E11" i="36" s="1"/>
  <c r="H21" i="72"/>
  <c r="J10" i="36" s="1"/>
  <c r="D21" i="72"/>
  <c r="E10" i="36" s="1"/>
  <c r="H20" i="72"/>
  <c r="J9" i="36" s="1"/>
  <c r="D20" i="72"/>
  <c r="E9" i="36" s="1"/>
  <c r="H81" i="72"/>
  <c r="J22" i="131" s="1"/>
  <c r="D81" i="72"/>
  <c r="E22" i="131" s="1"/>
  <c r="H65" i="72"/>
  <c r="J6" i="131" s="1"/>
  <c r="D65" i="72"/>
  <c r="E6" i="131" s="1"/>
  <c r="H46" i="72"/>
  <c r="J17" i="101" s="1"/>
  <c r="D46" i="72"/>
  <c r="E17" i="101" s="1"/>
  <c r="H17" i="72"/>
  <c r="J6" i="36" s="1"/>
  <c r="D17" i="72"/>
  <c r="E6" i="36" s="1"/>
  <c r="G87" i="72"/>
  <c r="H28" i="131" s="1"/>
  <c r="W216" i="82"/>
  <c r="V3" i="154" s="1"/>
  <c r="C87" i="72"/>
  <c r="D28" i="131" s="1"/>
  <c r="G57" i="72"/>
  <c r="H28" i="101" s="1"/>
  <c r="W211" i="82"/>
  <c r="V3" i="123" s="1"/>
  <c r="C57" i="72"/>
  <c r="D28" i="101" s="1"/>
  <c r="G13" i="72"/>
  <c r="H15" i="1" s="1"/>
  <c r="W210" i="82"/>
  <c r="V4" i="26" s="1"/>
  <c r="C13" i="72"/>
  <c r="G54" i="72"/>
  <c r="H25" i="101" s="1"/>
  <c r="W207" i="82"/>
  <c r="V3" i="120" s="1"/>
  <c r="C54" i="72"/>
  <c r="D25" i="101" s="1"/>
  <c r="G91" i="72"/>
  <c r="H32" i="131" s="1"/>
  <c r="W205" i="82"/>
  <c r="V3" i="158" s="1"/>
  <c r="C91" i="72"/>
  <c r="D32" i="131" s="1"/>
  <c r="W201" i="82"/>
  <c r="V3" i="205" s="1"/>
  <c r="G40" i="72"/>
  <c r="H11" i="101" s="1"/>
  <c r="W200" i="82"/>
  <c r="V3" i="106" s="1"/>
  <c r="C40" i="72"/>
  <c r="D11" i="101" s="1"/>
  <c r="G27" i="72"/>
  <c r="H16" i="36" s="1"/>
  <c r="W194" i="82"/>
  <c r="V3" i="96" s="1"/>
  <c r="C27" i="72"/>
  <c r="D16" i="36" s="1"/>
  <c r="W190" i="82"/>
  <c r="V3" i="175" s="1"/>
  <c r="G62" i="72"/>
  <c r="H33" i="101" s="1"/>
  <c r="W189" i="82"/>
  <c r="C62" i="72"/>
  <c r="D33" i="101" s="1"/>
  <c r="W188" i="82"/>
  <c r="V3" i="66" s="1"/>
  <c r="W187" i="82"/>
  <c r="V3" i="159" s="1"/>
  <c r="W186" i="82"/>
  <c r="V3" i="204" s="1"/>
  <c r="W185" i="82"/>
  <c r="V3" i="181" s="1"/>
  <c r="W182" i="82"/>
  <c r="V3" i="241" s="1"/>
  <c r="G219" i="72"/>
  <c r="H8" i="270" s="1"/>
  <c r="W179" i="82"/>
  <c r="V3" i="314" s="1"/>
  <c r="C219" i="72"/>
  <c r="D8" i="270" s="1"/>
  <c r="W175" i="82"/>
  <c r="V3" i="179" s="1"/>
  <c r="G36" i="72"/>
  <c r="H7" i="101" s="1"/>
  <c r="W171" i="82"/>
  <c r="V3" i="102" s="1"/>
  <c r="C36" i="72"/>
  <c r="D7" i="101" s="1"/>
  <c r="G67" i="72"/>
  <c r="H8" i="131" s="1"/>
  <c r="W169" i="82"/>
  <c r="V3" i="134" s="1"/>
  <c r="C67" i="72"/>
  <c r="D8" i="131" s="1"/>
  <c r="G11" i="72"/>
  <c r="H13" i="1" s="1"/>
  <c r="W167" i="82"/>
  <c r="V3" i="308" s="1"/>
  <c r="C11" i="72"/>
  <c r="G45" i="72"/>
  <c r="H16" i="101" s="1"/>
  <c r="W166" i="82"/>
  <c r="V3" i="111" s="1"/>
  <c r="C45" i="72"/>
  <c r="D16" i="101" s="1"/>
  <c r="W163" i="82"/>
  <c r="V3" i="321" s="1"/>
  <c r="W160" i="82"/>
  <c r="V3" i="62" s="1"/>
  <c r="G37" i="72"/>
  <c r="H8" i="101" s="1"/>
  <c r="W158" i="82"/>
  <c r="V3" i="103" s="1"/>
  <c r="C37" i="72"/>
  <c r="D8" i="101" s="1"/>
  <c r="G26" i="72"/>
  <c r="H15" i="36" s="1"/>
  <c r="W156" i="82"/>
  <c r="V3" i="95" s="1"/>
  <c r="C26" i="72"/>
  <c r="D15" i="36" s="1"/>
  <c r="W155" i="82"/>
  <c r="V3" i="57" s="1"/>
  <c r="W153" i="82"/>
  <c r="V3" i="236" s="1"/>
  <c r="G72" i="72"/>
  <c r="H13" i="131" s="1"/>
  <c r="W151" i="82"/>
  <c r="V3" i="139" s="1"/>
  <c r="C72" i="72"/>
  <c r="D13" i="131" s="1"/>
  <c r="W150" i="82"/>
  <c r="V3" i="245" s="1"/>
  <c r="G80" i="72"/>
  <c r="H21" i="131" s="1"/>
  <c r="W149" i="82"/>
  <c r="V3" i="147" s="1"/>
  <c r="C80" i="72"/>
  <c r="D21" i="131" s="1"/>
  <c r="G217" i="72"/>
  <c r="H6" i="270" s="1"/>
  <c r="W148" i="82"/>
  <c r="V3" i="275" s="1"/>
  <c r="C217" i="72"/>
  <c r="D6" i="270" s="1"/>
  <c r="G6" i="72"/>
  <c r="H8" i="1" s="1"/>
  <c r="W147" i="82"/>
  <c r="V3" i="30" s="1"/>
  <c r="C6" i="72"/>
  <c r="W145" i="82"/>
  <c r="V3" i="271" s="1"/>
  <c r="W144" i="82"/>
  <c r="V4" i="169" s="1"/>
  <c r="W143" i="82"/>
  <c r="V3" i="55" s="1"/>
  <c r="W142" i="82"/>
  <c r="V3" i="259" s="1"/>
  <c r="G53" i="72"/>
  <c r="H24" i="101" s="1"/>
  <c r="W141" i="82"/>
  <c r="V3" i="119" s="1"/>
  <c r="C53" i="72"/>
  <c r="D24" i="101" s="1"/>
  <c r="G48" i="72"/>
  <c r="H19" i="101" s="1"/>
  <c r="C48" i="72"/>
  <c r="D19" i="101" s="1"/>
  <c r="G77" i="72"/>
  <c r="H18" i="131" s="1"/>
  <c r="W138" i="82"/>
  <c r="V3" i="144" s="1"/>
  <c r="C77" i="72"/>
  <c r="D18" i="131" s="1"/>
  <c r="W136" i="82"/>
  <c r="V3" i="202" s="1"/>
  <c r="G41" i="72"/>
  <c r="H12" i="101" s="1"/>
  <c r="W135" i="82"/>
  <c r="V3" i="107" s="1"/>
  <c r="C41" i="72"/>
  <c r="D12" i="101" s="1"/>
  <c r="G28" i="72"/>
  <c r="H17" i="36" s="1"/>
  <c r="W134" i="82"/>
  <c r="V3" i="97" s="1"/>
  <c r="C28" i="72"/>
  <c r="D17" i="36" s="1"/>
  <c r="W133" i="82"/>
  <c r="V3" i="160" s="1"/>
  <c r="G78" i="72"/>
  <c r="H19" i="131" s="1"/>
  <c r="C78" i="72"/>
  <c r="D19" i="131" s="1"/>
  <c r="W129" i="82"/>
  <c r="V3" i="257" s="1"/>
  <c r="G70" i="72"/>
  <c r="H11" i="131" s="1"/>
  <c r="W126" i="82"/>
  <c r="V3" i="137" s="1"/>
  <c r="C70" i="72"/>
  <c r="D11" i="131" s="1"/>
  <c r="W124" i="82"/>
  <c r="V3" i="169" s="1"/>
  <c r="W120" i="82"/>
  <c r="V3" i="240" s="1"/>
  <c r="W118" i="82"/>
  <c r="V3" i="319" s="1"/>
  <c r="W117" i="82"/>
  <c r="V3" i="69" s="1"/>
  <c r="W115" i="82"/>
  <c r="V3" i="53" s="1"/>
  <c r="G44" i="72"/>
  <c r="H15" i="101" s="1"/>
  <c r="W113" i="82"/>
  <c r="V3" i="110" s="1"/>
  <c r="C44" i="72"/>
  <c r="D15" i="101" s="1"/>
  <c r="W111" i="82"/>
  <c r="V3" i="193" s="1"/>
  <c r="G64" i="72"/>
  <c r="H5" i="131" s="1"/>
  <c r="C64" i="72"/>
  <c r="D5" i="131" s="1"/>
  <c r="G47" i="72"/>
  <c r="H18" i="101" s="1"/>
  <c r="W106" i="82"/>
  <c r="V3" i="113" s="1"/>
  <c r="C47" i="72"/>
  <c r="D18" i="101" s="1"/>
  <c r="G84" i="72"/>
  <c r="H25" i="131" s="1"/>
  <c r="W105" i="82"/>
  <c r="V3" i="151" s="1"/>
  <c r="C84" i="72"/>
  <c r="D25" i="131" s="1"/>
  <c r="W103" i="82"/>
  <c r="V3" i="58" s="1"/>
  <c r="G56" i="72"/>
  <c r="H27" i="101" s="1"/>
  <c r="W102" i="82"/>
  <c r="V3" i="122" s="1"/>
  <c r="C56" i="72"/>
  <c r="D27" i="101" s="1"/>
  <c r="G71" i="72"/>
  <c r="H12" i="131" s="1"/>
  <c r="W97" i="82"/>
  <c r="V3" i="138" s="1"/>
  <c r="C71" i="72"/>
  <c r="D12" i="131" s="1"/>
  <c r="G66" i="72"/>
  <c r="H7" i="131" s="1"/>
  <c r="W96" i="82"/>
  <c r="V3" i="133" s="1"/>
  <c r="C66" i="72"/>
  <c r="D7" i="131" s="1"/>
  <c r="W94" i="82"/>
  <c r="V3" i="217" s="1"/>
  <c r="W93" i="82"/>
  <c r="V3" i="252" s="1"/>
  <c r="W92" i="82"/>
  <c r="V3" i="187" s="1"/>
  <c r="W91" i="82"/>
  <c r="V3" i="184" s="1"/>
  <c r="W88" i="82"/>
  <c r="V3" i="211" s="1"/>
  <c r="W87" i="82"/>
  <c r="V3" i="246" s="1"/>
  <c r="G79" i="72"/>
  <c r="H20" i="131" s="1"/>
  <c r="W85" i="82"/>
  <c r="V3" i="146" s="1"/>
  <c r="C79" i="72"/>
  <c r="D20" i="131" s="1"/>
  <c r="W84" i="82"/>
  <c r="V3" i="253" s="1"/>
  <c r="W83" i="82"/>
  <c r="V3" i="218" s="1"/>
  <c r="W81" i="82"/>
  <c r="W80" i="82"/>
  <c r="V3" i="207" s="1"/>
  <c r="G86" i="72"/>
  <c r="H27" i="131" s="1"/>
  <c r="W78" i="82"/>
  <c r="V3" i="153" s="1"/>
  <c r="C86" i="72"/>
  <c r="D27" i="131" s="1"/>
  <c r="G24" i="72"/>
  <c r="H13" i="36" s="1"/>
  <c r="W76" i="82"/>
  <c r="V3" i="88" s="1"/>
  <c r="C24" i="72"/>
  <c r="D13" i="36" s="1"/>
  <c r="G73" i="72"/>
  <c r="H14" i="131" s="1"/>
  <c r="W73" i="82"/>
  <c r="V3" i="140" s="1"/>
  <c r="C73" i="72"/>
  <c r="D14" i="131" s="1"/>
  <c r="W72" i="82"/>
  <c r="V3" i="210" s="1"/>
  <c r="G69" i="72"/>
  <c r="H10" i="131" s="1"/>
  <c r="W71" i="82"/>
  <c r="V3" i="136" s="1"/>
  <c r="C69" i="72"/>
  <c r="D10" i="131" s="1"/>
  <c r="W70" i="82"/>
  <c r="V3" i="248" s="1"/>
  <c r="W69" i="82"/>
  <c r="V3" i="235" s="1"/>
  <c r="W68" i="82"/>
  <c r="V3" i="233" s="1"/>
  <c r="W65" i="82"/>
  <c r="V3" i="232" s="1"/>
  <c r="W62" i="82"/>
  <c r="V3" i="247" s="1"/>
  <c r="G33" i="72"/>
  <c r="W61" i="82"/>
  <c r="V3" i="100" s="1"/>
  <c r="C33" i="72"/>
  <c r="W59" i="82"/>
  <c r="V3" i="256" s="1"/>
  <c r="W58" i="82"/>
  <c r="V3" i="206" s="1"/>
  <c r="W56" i="82"/>
  <c r="V3" i="244" s="1"/>
  <c r="G5" i="72"/>
  <c r="H7" i="1" s="1"/>
  <c r="W55" i="82"/>
  <c r="V3" i="32" s="1"/>
  <c r="C5" i="72"/>
  <c r="W54" i="82"/>
  <c r="V3" i="64" s="1"/>
  <c r="G218" i="72"/>
  <c r="H7" i="270" s="1"/>
  <c r="W53" i="82"/>
  <c r="V3" i="276" s="1"/>
  <c r="C218" i="72"/>
  <c r="D7" i="270" s="1"/>
  <c r="W52" i="82"/>
  <c r="V3" i="77" s="1"/>
  <c r="W51" i="82"/>
  <c r="V3" i="261" s="1"/>
  <c r="G55" i="72"/>
  <c r="H26" i="101" s="1"/>
  <c r="W50" i="82"/>
  <c r="V3" i="121" s="1"/>
  <c r="C55" i="72"/>
  <c r="D26" i="101" s="1"/>
  <c r="W49" i="82"/>
  <c r="V3" i="220" s="1"/>
  <c r="W48" i="82"/>
  <c r="V3" i="219" s="1"/>
  <c r="W46" i="82"/>
  <c r="V3" i="183" s="1"/>
  <c r="W45" i="82"/>
  <c r="V3" i="222" s="1"/>
  <c r="W44" i="82"/>
  <c r="W42" i="82"/>
  <c r="V3" i="263" s="1"/>
  <c r="W41" i="82"/>
  <c r="V3" i="258" s="1"/>
  <c r="W40" i="82"/>
  <c r="V3" i="221" s="1"/>
  <c r="W39" i="82"/>
  <c r="V3" i="254" s="1"/>
  <c r="G15" i="72"/>
  <c r="W38" i="82"/>
  <c r="V3" i="84" s="1"/>
  <c r="C15" i="72"/>
  <c r="G29" i="72"/>
  <c r="H18" i="36" s="1"/>
  <c r="W37" i="82"/>
  <c r="V3" i="98" s="1"/>
  <c r="C29" i="72"/>
  <c r="D18" i="36" s="1"/>
  <c r="W36" i="82"/>
  <c r="V3" i="56" s="1"/>
  <c r="G22" i="72"/>
  <c r="H11" i="36" s="1"/>
  <c r="W33" i="82"/>
  <c r="V3" i="91" s="1"/>
  <c r="C22" i="72"/>
  <c r="D11" i="36" s="1"/>
  <c r="W30" i="82"/>
  <c r="V3" i="200" s="1"/>
  <c r="W29" i="82"/>
  <c r="V3" i="212" s="1"/>
  <c r="W28" i="82"/>
  <c r="V3" i="223" s="1"/>
  <c r="W27" i="82"/>
  <c r="V3" i="242" s="1"/>
  <c r="W26" i="82"/>
  <c r="V3" i="196" s="1"/>
  <c r="G21" i="72"/>
  <c r="H10" i="36" s="1"/>
  <c r="W25" i="82"/>
  <c r="V3" i="90" s="1"/>
  <c r="C21" i="72"/>
  <c r="D10" i="36" s="1"/>
  <c r="W23" i="82"/>
  <c r="V3" i="234" s="1"/>
  <c r="W22" i="82"/>
  <c r="V3" i="192" s="1"/>
  <c r="W21" i="82"/>
  <c r="V3" i="51" s="1"/>
  <c r="W20" i="82"/>
  <c r="V3" i="166" s="1"/>
  <c r="W19" i="82"/>
  <c r="V3" i="224" s="1"/>
  <c r="W18" i="82"/>
  <c r="V3" i="197" s="1"/>
  <c r="W17" i="82"/>
  <c r="V3" i="188" s="1"/>
  <c r="W15" i="82"/>
  <c r="V3" i="60" s="1"/>
  <c r="W14" i="82"/>
  <c r="V3" i="208" s="1"/>
  <c r="G20" i="72"/>
  <c r="H9" i="36" s="1"/>
  <c r="W13" i="82"/>
  <c r="V3" i="89" s="1"/>
  <c r="C20" i="72"/>
  <c r="D9" i="36" s="1"/>
  <c r="W12" i="82"/>
  <c r="V3" i="63" s="1"/>
  <c r="W10" i="82"/>
  <c r="V3" i="186" s="1"/>
  <c r="W9" i="82"/>
  <c r="V3" i="165" s="1"/>
  <c r="G81" i="72"/>
  <c r="H22" i="131" s="1"/>
  <c r="W8" i="82"/>
  <c r="V3" i="148" s="1"/>
  <c r="C81" i="72"/>
  <c r="D22" i="131" s="1"/>
  <c r="W7" i="82"/>
  <c r="V3" i="168" s="1"/>
  <c r="G65" i="72"/>
  <c r="H6" i="131" s="1"/>
  <c r="W6" i="82"/>
  <c r="V3" i="132" s="1"/>
  <c r="C65" i="72"/>
  <c r="D6" i="131" s="1"/>
  <c r="G46" i="72"/>
  <c r="H17" i="101" s="1"/>
  <c r="W5" i="82"/>
  <c r="V3" i="112" s="1"/>
  <c r="C46" i="72"/>
  <c r="D17" i="101" s="1"/>
  <c r="G17" i="72"/>
  <c r="H6" i="36" s="1"/>
  <c r="C17" i="72"/>
  <c r="D6" i="36" s="1"/>
  <c r="C203" i="72"/>
  <c r="D10" i="250" s="1"/>
  <c r="C191" i="72"/>
  <c r="D12" i="237" s="1"/>
  <c r="C177" i="72"/>
  <c r="D5" i="225" s="1"/>
  <c r="C173" i="72"/>
  <c r="D9" i="216" s="1"/>
  <c r="C169" i="72"/>
  <c r="D5" i="216" s="1"/>
  <c r="C161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9" i="182" s="1"/>
  <c r="C116" i="72"/>
  <c r="D5" i="182" s="1"/>
  <c r="C103" i="72"/>
  <c r="D8" i="164" s="1"/>
  <c r="C99" i="72"/>
  <c r="D40" i="131" s="1"/>
  <c r="J70" i="72"/>
  <c r="L11" i="131" s="1"/>
  <c r="F70" i="72"/>
  <c r="G11" i="131" s="1"/>
  <c r="J44" i="72"/>
  <c r="L15" i="101" s="1"/>
  <c r="F44" i="72"/>
  <c r="G15" i="101" s="1"/>
  <c r="J64" i="72"/>
  <c r="L5" i="131" s="1"/>
  <c r="F64" i="72"/>
  <c r="G5" i="131" s="1"/>
  <c r="J47" i="72"/>
  <c r="L18" i="101" s="1"/>
  <c r="F47" i="72"/>
  <c r="G18" i="101" s="1"/>
  <c r="J84" i="72"/>
  <c r="L25" i="131" s="1"/>
  <c r="F84" i="72"/>
  <c r="G25" i="131" s="1"/>
  <c r="J56" i="72"/>
  <c r="L27" i="101" s="1"/>
  <c r="F56" i="72"/>
  <c r="G27" i="101" s="1"/>
  <c r="J71" i="72"/>
  <c r="L12" i="131" s="1"/>
  <c r="F71" i="72"/>
  <c r="G12" i="131" s="1"/>
  <c r="J66" i="72"/>
  <c r="L7" i="131" s="1"/>
  <c r="F66" i="72"/>
  <c r="G7" i="131" s="1"/>
  <c r="J79" i="72"/>
  <c r="L20" i="131" s="1"/>
  <c r="F79" i="72"/>
  <c r="G20" i="131" s="1"/>
  <c r="J86" i="72"/>
  <c r="L27" i="131" s="1"/>
  <c r="F86" i="72"/>
  <c r="G27" i="131" s="1"/>
  <c r="J24" i="72"/>
  <c r="L13" i="36" s="1"/>
  <c r="F24" i="72"/>
  <c r="G13" i="36" s="1"/>
  <c r="J73" i="72"/>
  <c r="L14" i="131" s="1"/>
  <c r="F73" i="72"/>
  <c r="G14" i="131" s="1"/>
  <c r="J69" i="72"/>
  <c r="L10" i="131" s="1"/>
  <c r="F69" i="72"/>
  <c r="G10" i="131" s="1"/>
  <c r="J33" i="72"/>
  <c r="F33" i="72"/>
  <c r="J5" i="72"/>
  <c r="L7" i="1" s="1"/>
  <c r="F5" i="72"/>
  <c r="G7" i="1" s="1"/>
  <c r="J218" i="72"/>
  <c r="L7" i="270" s="1"/>
  <c r="F218" i="72"/>
  <c r="G7" i="270" s="1"/>
  <c r="J55" i="72"/>
  <c r="L26" i="101" s="1"/>
  <c r="F55" i="72"/>
  <c r="G26" i="101" s="1"/>
  <c r="J15" i="72"/>
  <c r="F15" i="72"/>
  <c r="J29" i="72"/>
  <c r="L18" i="36" s="1"/>
  <c r="F29" i="72"/>
  <c r="G18" i="36" s="1"/>
  <c r="J22" i="72"/>
  <c r="L11" i="36" s="1"/>
  <c r="F22" i="72"/>
  <c r="G11" i="36" s="1"/>
  <c r="J21" i="72"/>
  <c r="L10" i="36" s="1"/>
  <c r="F21" i="72"/>
  <c r="G10" i="36" s="1"/>
  <c r="J20" i="72"/>
  <c r="L9" i="36" s="1"/>
  <c r="F20" i="72"/>
  <c r="G9" i="36" s="1"/>
  <c r="J81" i="72"/>
  <c r="L22" i="131" s="1"/>
  <c r="F81" i="72"/>
  <c r="G22" i="131" s="1"/>
  <c r="J65" i="72"/>
  <c r="L6" i="131" s="1"/>
  <c r="M6" i="131" s="1"/>
  <c r="F65" i="72"/>
  <c r="G6" i="131" s="1"/>
  <c r="J46" i="72"/>
  <c r="L17" i="101" s="1"/>
  <c r="F46" i="72"/>
  <c r="G17" i="101" s="1"/>
  <c r="J17" i="72"/>
  <c r="L6" i="36" s="1"/>
  <c r="F17" i="72"/>
  <c r="G6" i="36" s="1"/>
  <c r="C212" i="72"/>
  <c r="D9" i="262" s="1"/>
  <c r="C200" i="72"/>
  <c r="D7" i="250" s="1"/>
  <c r="C196" i="72"/>
  <c r="D17" i="237" s="1"/>
  <c r="C192" i="72"/>
  <c r="D13" i="237" s="1"/>
  <c r="C188" i="72"/>
  <c r="D9" i="237" s="1"/>
  <c r="C184" i="72"/>
  <c r="D5" i="237" s="1"/>
  <c r="C178" i="72"/>
  <c r="D6" i="225" s="1"/>
  <c r="C174" i="72"/>
  <c r="D10" i="216" s="1"/>
  <c r="C170" i="72"/>
  <c r="D6" i="216" s="1"/>
  <c r="C166" i="72"/>
  <c r="D17" i="199" s="1"/>
  <c r="C162" i="72"/>
  <c r="D13" i="199" s="1"/>
  <c r="C158" i="72"/>
  <c r="D9" i="199" s="1"/>
  <c r="C154" i="72"/>
  <c r="D5" i="199" s="1"/>
  <c r="C141" i="72"/>
  <c r="D15" i="50" s="1"/>
  <c r="C137" i="72"/>
  <c r="D11" i="50" s="1"/>
  <c r="C129" i="72"/>
  <c r="D11" i="190" s="1"/>
  <c r="C125" i="72"/>
  <c r="D7" i="190" s="1"/>
  <c r="C117" i="72"/>
  <c r="D6" i="182" s="1"/>
  <c r="C112" i="72"/>
  <c r="D17" i="164" s="1"/>
  <c r="C108" i="72"/>
  <c r="D13" i="164" s="1"/>
  <c r="C134" i="72"/>
  <c r="D8" i="50" s="1"/>
  <c r="C130" i="72"/>
  <c r="D12" i="190" s="1"/>
  <c r="C126" i="72"/>
  <c r="D8" i="190" s="1"/>
  <c r="C118" i="72"/>
  <c r="D7" i="182" s="1"/>
  <c r="C114" i="72"/>
  <c r="D19" i="164" s="1"/>
  <c r="C105" i="72"/>
  <c r="D10" i="164" s="1"/>
  <c r="C101" i="72"/>
  <c r="D6" i="164" s="1"/>
  <c r="K7" i="72"/>
  <c r="S7" i="72"/>
  <c r="K121" i="72"/>
  <c r="K14" i="72"/>
  <c r="K10" i="72"/>
  <c r="S145" i="72"/>
  <c r="S133" i="72"/>
  <c r="K128" i="72"/>
  <c r="K114" i="72"/>
  <c r="K105" i="72"/>
  <c r="S95" i="72"/>
  <c r="S91" i="72"/>
  <c r="K90" i="72"/>
  <c r="K88" i="72"/>
  <c r="S83" i="72"/>
  <c r="S75" i="72"/>
  <c r="K72" i="72"/>
  <c r="S14" i="72"/>
  <c r="K60" i="72"/>
  <c r="S23" i="72"/>
  <c r="S216" i="72"/>
  <c r="W5" i="270" s="1"/>
  <c r="S208" i="72"/>
  <c r="W5" i="262" s="1"/>
  <c r="S192" i="72"/>
  <c r="S38" i="72"/>
  <c r="S18" i="72"/>
  <c r="S209" i="72"/>
  <c r="W6" i="262" s="1"/>
  <c r="S206" i="72"/>
  <c r="W13" i="250" s="1"/>
  <c r="S60" i="72"/>
  <c r="S52" i="72"/>
  <c r="K43" i="72"/>
  <c r="S25" i="72"/>
  <c r="S193" i="72"/>
  <c r="K182" i="72"/>
  <c r="S165" i="72"/>
  <c r="S161" i="72"/>
  <c r="S148" i="72"/>
  <c r="S146" i="72"/>
  <c r="K143" i="72"/>
  <c r="S138" i="72"/>
  <c r="S128" i="72"/>
  <c r="S109" i="72"/>
  <c r="S88" i="72"/>
  <c r="S76" i="72"/>
  <c r="S59" i="72"/>
  <c r="K58" i="72"/>
  <c r="S51" i="72"/>
  <c r="S49" i="72"/>
  <c r="K38" i="72"/>
  <c r="K31" i="72"/>
  <c r="S30" i="72"/>
  <c r="S26" i="72"/>
  <c r="S12" i="72"/>
  <c r="S10" i="72"/>
  <c r="S194" i="72"/>
  <c r="S182" i="72"/>
  <c r="S85" i="72"/>
  <c r="K8" i="72"/>
  <c r="S213" i="72"/>
  <c r="W10" i="262" s="1"/>
  <c r="K207" i="72"/>
  <c r="S204" i="72"/>
  <c r="W11" i="250" s="1"/>
  <c r="K178" i="72"/>
  <c r="K172" i="72"/>
  <c r="S157" i="72"/>
  <c r="S153" i="72"/>
  <c r="K165" i="72"/>
  <c r="S143" i="72"/>
  <c r="K132" i="72"/>
  <c r="S9" i="72"/>
  <c r="S8" i="72"/>
  <c r="S122" i="72"/>
  <c r="S107" i="72"/>
  <c r="S82" i="72"/>
  <c r="S74" i="72"/>
  <c r="S106" i="72"/>
  <c r="K76" i="72"/>
  <c r="K68" i="72"/>
  <c r="S42" i="72"/>
  <c r="S31" i="72"/>
  <c r="S68" i="72"/>
  <c r="S63" i="72"/>
  <c r="S61" i="72"/>
  <c r="S39" i="72"/>
  <c r="W454" i="82"/>
  <c r="V5" i="66" s="1"/>
  <c r="W289" i="82"/>
  <c r="V3" i="152" s="1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J3" i="82"/>
  <c r="J839" i="82" s="1"/>
  <c r="K3" i="82"/>
  <c r="K839" i="82" s="1"/>
  <c r="L3" i="82"/>
  <c r="L839" i="82" s="1"/>
  <c r="S34" i="72" l="1"/>
  <c r="K34" i="72"/>
  <c r="M5" i="131"/>
  <c r="X6" i="131"/>
  <c r="X5" i="131"/>
  <c r="V3" i="323"/>
  <c r="H22" i="36"/>
  <c r="H6" i="101"/>
  <c r="J22" i="36"/>
  <c r="J6" i="101"/>
  <c r="F22" i="36"/>
  <c r="F6" i="101"/>
  <c r="U22" i="36"/>
  <c r="U6" i="101"/>
  <c r="R22" i="36"/>
  <c r="R6" i="101"/>
  <c r="D21" i="36"/>
  <c r="D5" i="101"/>
  <c r="P21" i="36"/>
  <c r="P5" i="101"/>
  <c r="K22" i="36"/>
  <c r="K6" i="101"/>
  <c r="Q22" i="36"/>
  <c r="Q6" i="101"/>
  <c r="W22" i="36"/>
  <c r="W6" i="101"/>
  <c r="E21" i="36"/>
  <c r="E5" i="101"/>
  <c r="U21" i="36"/>
  <c r="U5" i="101"/>
  <c r="Q21" i="36"/>
  <c r="Q5" i="101"/>
  <c r="R21" i="36"/>
  <c r="R5" i="101"/>
  <c r="G22" i="36"/>
  <c r="G6" i="101"/>
  <c r="D22" i="36"/>
  <c r="D6" i="101"/>
  <c r="S22" i="36"/>
  <c r="S6" i="101"/>
  <c r="V22" i="36"/>
  <c r="V6" i="101"/>
  <c r="J21" i="36"/>
  <c r="J5" i="101"/>
  <c r="F21" i="36"/>
  <c r="F5" i="101"/>
  <c r="G21" i="36"/>
  <c r="G5" i="101"/>
  <c r="S21" i="36"/>
  <c r="S5" i="101"/>
  <c r="V21" i="36"/>
  <c r="V5" i="101"/>
  <c r="W21" i="36"/>
  <c r="W5" i="101"/>
  <c r="X5" i="101" s="1"/>
  <c r="L22" i="36"/>
  <c r="L6" i="101"/>
  <c r="E22" i="36"/>
  <c r="E6" i="101"/>
  <c r="P22" i="36"/>
  <c r="P6" i="101"/>
  <c r="H21" i="36"/>
  <c r="H5" i="101"/>
  <c r="K21" i="36"/>
  <c r="K5" i="101"/>
  <c r="L21" i="36"/>
  <c r="L5" i="101"/>
  <c r="K4" i="72"/>
  <c r="K146" i="72"/>
  <c r="K215" i="72"/>
  <c r="K51" i="72"/>
  <c r="K95" i="72"/>
  <c r="K94" i="72"/>
  <c r="K107" i="72"/>
  <c r="K50" i="72"/>
  <c r="K37" i="72"/>
  <c r="K30" i="72"/>
  <c r="M11" i="225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21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4" i="72"/>
  <c r="K85" i="72"/>
  <c r="K52" i="72"/>
  <c r="K103" i="72"/>
  <c r="K26" i="72"/>
  <c r="K59" i="72"/>
  <c r="U64" i="284"/>
  <c r="U65" i="278"/>
  <c r="X18" i="237"/>
  <c r="K220" i="72"/>
  <c r="S222" i="72"/>
  <c r="W11" i="270" s="1"/>
  <c r="S221" i="72"/>
  <c r="W10" i="270" s="1"/>
  <c r="S220" i="72"/>
  <c r="W9" i="270" s="1"/>
  <c r="K222" i="72"/>
  <c r="U65" i="284"/>
  <c r="S202" i="72"/>
  <c r="W9" i="250" s="1"/>
  <c r="S58" i="72"/>
  <c r="S90" i="72"/>
  <c r="S89" i="72"/>
  <c r="S16" i="72"/>
  <c r="S96" i="72"/>
  <c r="S167" i="72"/>
  <c r="S185" i="72"/>
  <c r="S186" i="72"/>
  <c r="S72" i="72"/>
  <c r="S111" i="72"/>
  <c r="S144" i="72"/>
  <c r="S163" i="72"/>
  <c r="S67" i="72"/>
  <c r="S87" i="72"/>
  <c r="S121" i="72"/>
  <c r="S149" i="72"/>
  <c r="S135" i="72"/>
  <c r="S169" i="72"/>
  <c r="S212" i="72"/>
  <c r="W9" i="262" s="1"/>
  <c r="S37" i="72"/>
  <c r="S197" i="72"/>
  <c r="S45" i="72"/>
  <c r="S150" i="72"/>
  <c r="S191" i="72"/>
  <c r="S103" i="72"/>
  <c r="S188" i="72"/>
  <c r="S156" i="72"/>
  <c r="S198" i="72"/>
  <c r="W5" i="250" s="1"/>
  <c r="S80" i="72"/>
  <c r="S105" i="72"/>
  <c r="S175" i="72"/>
  <c r="S201" i="72"/>
  <c r="W8" i="250" s="1"/>
  <c r="S40" i="72"/>
  <c r="S108" i="72"/>
  <c r="M20" i="164"/>
  <c r="X20" i="164"/>
  <c r="S151" i="72"/>
  <c r="K151" i="72"/>
  <c r="X8" i="36"/>
  <c r="X21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80" i="72"/>
  <c r="X10" i="225"/>
  <c r="K180" i="72"/>
  <c r="M10" i="225"/>
  <c r="K96" i="72"/>
  <c r="E19" i="237"/>
  <c r="S36" i="72"/>
  <c r="S92" i="72"/>
  <c r="S104" i="72"/>
  <c r="K97" i="72"/>
  <c r="S97" i="72"/>
  <c r="S11" i="72"/>
  <c r="S4" i="72"/>
  <c r="X22" i="36"/>
  <c r="M22" i="36"/>
  <c r="K9" i="72"/>
  <c r="S113" i="72"/>
  <c r="S32" i="72"/>
  <c r="K113" i="72"/>
  <c r="K32" i="72"/>
  <c r="K109" i="72"/>
  <c r="K148" i="72"/>
  <c r="K138" i="72"/>
  <c r="K100" i="72"/>
  <c r="K187" i="72"/>
  <c r="V12" i="182"/>
  <c r="E12" i="182"/>
  <c r="K62" i="72"/>
  <c r="K61" i="72"/>
  <c r="K122" i="72"/>
  <c r="K145" i="72"/>
  <c r="K199" i="72"/>
  <c r="K195" i="72"/>
  <c r="K27" i="72"/>
  <c r="K89" i="72"/>
  <c r="K106" i="72"/>
  <c r="K135" i="72"/>
  <c r="K210" i="72"/>
  <c r="K153" i="72"/>
  <c r="J12" i="182"/>
  <c r="K12" i="182"/>
  <c r="G12" i="182"/>
  <c r="P12" i="182"/>
  <c r="F12" i="182"/>
  <c r="K39" i="72"/>
  <c r="K63" i="72"/>
  <c r="K92" i="72"/>
  <c r="K124" i="72"/>
  <c r="K140" i="72"/>
  <c r="K155" i="72"/>
  <c r="K168" i="72"/>
  <c r="K42" i="72"/>
  <c r="K198" i="72"/>
  <c r="K214" i="72"/>
  <c r="K193" i="72"/>
  <c r="K36" i="72"/>
  <c r="K87" i="72"/>
  <c r="K161" i="72"/>
  <c r="K133" i="72"/>
  <c r="K219" i="72"/>
  <c r="D12" i="182"/>
  <c r="H12" i="182"/>
  <c r="L12" i="182"/>
  <c r="S12" i="182"/>
  <c r="U12" i="182"/>
  <c r="R12" i="182"/>
  <c r="Q12" i="182"/>
  <c r="W12" i="182"/>
  <c r="K190" i="72"/>
  <c r="K164" i="72"/>
  <c r="K186" i="72"/>
  <c r="K202" i="72"/>
  <c r="K130" i="72"/>
  <c r="I3" i="72"/>
  <c r="I225" i="72" s="1"/>
  <c r="H3" i="72"/>
  <c r="H225" i="72" s="1"/>
  <c r="J3" i="72"/>
  <c r="J225" i="72" s="1"/>
  <c r="S78" i="72"/>
  <c r="S48" i="72"/>
  <c r="S19" i="72"/>
  <c r="S184" i="72"/>
  <c r="S62" i="72"/>
  <c r="S94" i="72"/>
  <c r="S114" i="72"/>
  <c r="S173" i="72"/>
  <c r="S196" i="72"/>
  <c r="S210" i="72"/>
  <c r="W7" i="262" s="1"/>
  <c r="S27" i="72"/>
  <c r="S177" i="72"/>
  <c r="S189" i="72"/>
  <c r="S190" i="72"/>
  <c r="S142" i="72"/>
  <c r="S50" i="72"/>
  <c r="S132" i="72"/>
  <c r="S140" i="72"/>
  <c r="S155" i="72"/>
  <c r="S43" i="72"/>
  <c r="S57" i="72"/>
  <c r="S159" i="72"/>
  <c r="S54" i="72"/>
  <c r="S100" i="72"/>
  <c r="S178" i="72"/>
  <c r="S139" i="72"/>
  <c r="K211" i="72"/>
  <c r="S171" i="72"/>
  <c r="S93" i="72"/>
  <c r="S179" i="72"/>
  <c r="S205" i="72"/>
  <c r="W12" i="250" s="1"/>
  <c r="S200" i="72"/>
  <c r="W7" i="250" s="1"/>
  <c r="K162" i="72"/>
  <c r="K206" i="72"/>
  <c r="K75" i="72"/>
  <c r="K82" i="72"/>
  <c r="K136" i="72"/>
  <c r="K159" i="72"/>
  <c r="K160" i="72"/>
  <c r="K98" i="72"/>
  <c r="K123" i="72"/>
  <c r="K152" i="72"/>
  <c r="K126" i="72"/>
  <c r="K171" i="72"/>
  <c r="K191" i="72"/>
  <c r="K205" i="72"/>
  <c r="K93" i="72"/>
  <c r="K201" i="72"/>
  <c r="K99" i="72"/>
  <c r="K175" i="72"/>
  <c r="S214" i="72"/>
  <c r="W11" i="262" s="1"/>
  <c r="K129" i="72"/>
  <c r="K23" i="72"/>
  <c r="K209" i="72"/>
  <c r="K40" i="72"/>
  <c r="K91" i="72"/>
  <c r="K104" i="72"/>
  <c r="K16" i="72"/>
  <c r="K157" i="72"/>
  <c r="K185" i="72"/>
  <c r="K156" i="72"/>
  <c r="K183" i="72"/>
  <c r="K18" i="72"/>
  <c r="K194" i="72"/>
  <c r="K48" i="72"/>
  <c r="K67" i="72"/>
  <c r="K120" i="72"/>
  <c r="K108" i="72"/>
  <c r="K25" i="72"/>
  <c r="K45" i="72"/>
  <c r="K49" i="72"/>
  <c r="K144" i="72"/>
  <c r="K117" i="72"/>
  <c r="K115" i="72"/>
  <c r="K192" i="72"/>
  <c r="K80" i="72"/>
  <c r="K147" i="72"/>
  <c r="K173" i="72"/>
  <c r="K119" i="72"/>
  <c r="K203" i="72"/>
  <c r="K134" i="72"/>
  <c r="K179" i="72"/>
  <c r="K78" i="72"/>
  <c r="K101" i="72"/>
  <c r="K111" i="72"/>
  <c r="K163" i="72"/>
  <c r="K177" i="72"/>
  <c r="K139" i="72"/>
  <c r="K189" i="72"/>
  <c r="K176" i="72"/>
  <c r="K28" i="72"/>
  <c r="K57" i="72"/>
  <c r="K19" i="72"/>
  <c r="K83" i="72"/>
  <c r="K74" i="72"/>
  <c r="K150" i="72"/>
  <c r="K167" i="72"/>
  <c r="K110" i="72"/>
  <c r="K118" i="72"/>
  <c r="M11" i="36"/>
  <c r="M19" i="36"/>
  <c r="K5" i="72"/>
  <c r="M14" i="36"/>
  <c r="K53" i="72"/>
  <c r="K213" i="72"/>
  <c r="K169" i="72"/>
  <c r="K112" i="72"/>
  <c r="M7" i="36"/>
  <c r="M10" i="36"/>
  <c r="M12" i="36"/>
  <c r="K131" i="72"/>
  <c r="K116" i="72"/>
  <c r="K197" i="72"/>
  <c r="K77" i="72"/>
  <c r="K102" i="72"/>
  <c r="K127" i="72"/>
  <c r="K41" i="72"/>
  <c r="K142" i="72"/>
  <c r="K125" i="72"/>
  <c r="K47" i="72"/>
  <c r="J13" i="262"/>
  <c r="S15" i="72"/>
  <c r="S84" i="72"/>
  <c r="S56" i="72"/>
  <c r="S136" i="72"/>
  <c r="S101" i="72"/>
  <c r="S110" i="72"/>
  <c r="S41" i="72"/>
  <c r="S53" i="72"/>
  <c r="S152" i="72"/>
  <c r="S112" i="72"/>
  <c r="X20" i="36"/>
  <c r="S5" i="72"/>
  <c r="X15" i="36"/>
  <c r="S47" i="72"/>
  <c r="S119" i="72"/>
  <c r="S99" i="72"/>
  <c r="S29" i="72"/>
  <c r="S22" i="72"/>
  <c r="K29" i="72"/>
  <c r="S20" i="72"/>
  <c r="S126" i="72"/>
  <c r="S71" i="72"/>
  <c r="S79" i="72"/>
  <c r="S125" i="72"/>
  <c r="S162" i="72"/>
  <c r="S170" i="72"/>
  <c r="S98" i="72"/>
  <c r="S24" i="72"/>
  <c r="S124" i="72"/>
  <c r="S77" i="72"/>
  <c r="S123" i="72"/>
  <c r="S172" i="72"/>
  <c r="S158" i="72"/>
  <c r="S166" i="72"/>
  <c r="S70" i="72"/>
  <c r="S127" i="72"/>
  <c r="S176" i="72"/>
  <c r="S131" i="72"/>
  <c r="S46" i="72"/>
  <c r="S137" i="72"/>
  <c r="K24" i="72"/>
  <c r="K46" i="72"/>
  <c r="K44" i="72"/>
  <c r="S86" i="72"/>
  <c r="S65" i="72"/>
  <c r="S116" i="72"/>
  <c r="S130" i="72"/>
  <c r="S69" i="72"/>
  <c r="S102" i="72"/>
  <c r="S164" i="72"/>
  <c r="S120" i="72"/>
  <c r="S134" i="72"/>
  <c r="S13" i="262"/>
  <c r="S55" i="72"/>
  <c r="S81" i="72"/>
  <c r="S168" i="72"/>
  <c r="S21" i="72"/>
  <c r="S64" i="72"/>
  <c r="S129" i="72"/>
  <c r="S154" i="72"/>
  <c r="S28" i="72"/>
  <c r="S73" i="72"/>
  <c r="S33" i="72"/>
  <c r="S160" i="72"/>
  <c r="S115" i="72"/>
  <c r="S147" i="72"/>
  <c r="S66" i="72"/>
  <c r="S118" i="72"/>
  <c r="S44" i="72"/>
  <c r="S17" i="72"/>
  <c r="S117" i="72"/>
  <c r="S141" i="72"/>
  <c r="S174" i="72"/>
  <c r="V13" i="216"/>
  <c r="R20" i="199"/>
  <c r="H13" i="216"/>
  <c r="K70" i="72"/>
  <c r="K84" i="72"/>
  <c r="K81" i="72"/>
  <c r="K21" i="72"/>
  <c r="K79" i="72"/>
  <c r="K64" i="72"/>
  <c r="K22" i="72"/>
  <c r="E13" i="262"/>
  <c r="E12" i="225"/>
  <c r="S13" i="216"/>
  <c r="S12" i="225"/>
  <c r="U12" i="225"/>
  <c r="U13" i="216"/>
  <c r="S215" i="72"/>
  <c r="W12" i="262" s="1"/>
  <c r="Q13" i="262"/>
  <c r="V13" i="190"/>
  <c r="W12" i="225"/>
  <c r="R15" i="250"/>
  <c r="S13" i="190"/>
  <c r="Q12" i="225"/>
  <c r="Q13" i="216"/>
  <c r="X7" i="36"/>
  <c r="X11" i="36"/>
  <c r="S218" i="72"/>
  <c r="W7" i="270" s="1"/>
  <c r="P13" i="262"/>
  <c r="U13" i="262"/>
  <c r="Q15" i="250"/>
  <c r="R13" i="262"/>
  <c r="X18" i="36"/>
  <c r="S203" i="72"/>
  <c r="W10" i="250" s="1"/>
  <c r="X6" i="36"/>
  <c r="S207" i="72"/>
  <c r="W14" i="250" s="1"/>
  <c r="S199" i="72"/>
  <c r="W6" i="250" s="1"/>
  <c r="S195" i="72"/>
  <c r="P15" i="250"/>
  <c r="S211" i="72"/>
  <c r="W8" i="262" s="1"/>
  <c r="V12" i="225"/>
  <c r="U15" i="250"/>
  <c r="R13" i="216"/>
  <c r="R13" i="190"/>
  <c r="S187" i="72"/>
  <c r="X10" i="36"/>
  <c r="X12" i="36"/>
  <c r="X19" i="36"/>
  <c r="P12" i="225"/>
  <c r="P13" i="216"/>
  <c r="P13" i="190"/>
  <c r="Q13" i="190"/>
  <c r="R12" i="225"/>
  <c r="X14" i="36"/>
  <c r="W13" i="216"/>
  <c r="S217" i="72"/>
  <c r="W6" i="270" s="1"/>
  <c r="X16" i="36"/>
  <c r="S219" i="72"/>
  <c r="W8" i="270" s="1"/>
  <c r="X17" i="36"/>
  <c r="X13" i="36"/>
  <c r="X9" i="36"/>
  <c r="S183" i="72"/>
  <c r="W13" i="190"/>
  <c r="S15" i="250"/>
  <c r="U13" i="190"/>
  <c r="J13" i="216"/>
  <c r="K13" i="262"/>
  <c r="K12" i="225"/>
  <c r="K13" i="216"/>
  <c r="K141" i="72"/>
  <c r="K137" i="72"/>
  <c r="L12" i="225"/>
  <c r="M18" i="36"/>
  <c r="K154" i="72"/>
  <c r="H15" i="250"/>
  <c r="D13" i="190"/>
  <c r="D13" i="262"/>
  <c r="J15" i="250"/>
  <c r="K13" i="190"/>
  <c r="K188" i="72"/>
  <c r="G15" i="250"/>
  <c r="D15" i="250"/>
  <c r="D13" i="216"/>
  <c r="E13" i="190"/>
  <c r="F15" i="250"/>
  <c r="K217" i="72"/>
  <c r="M16" i="36"/>
  <c r="K170" i="72"/>
  <c r="M17" i="36"/>
  <c r="K149" i="72"/>
  <c r="M9" i="36"/>
  <c r="K174" i="72"/>
  <c r="M8" i="36"/>
  <c r="K216" i="72"/>
  <c r="M21" i="36"/>
  <c r="K212" i="72"/>
  <c r="K15" i="72"/>
  <c r="J12" i="225"/>
  <c r="H12" i="225"/>
  <c r="H13" i="262"/>
  <c r="K158" i="72"/>
  <c r="J13" i="190"/>
  <c r="K15" i="250"/>
  <c r="G13" i="190"/>
  <c r="K20" i="72"/>
  <c r="K73" i="72"/>
  <c r="K66" i="72"/>
  <c r="K69" i="72"/>
  <c r="K55" i="72"/>
  <c r="K86" i="72"/>
  <c r="K65" i="72"/>
  <c r="K33" i="72"/>
  <c r="K56" i="72"/>
  <c r="K71" i="72"/>
  <c r="K17" i="72"/>
  <c r="K218" i="72"/>
  <c r="E13" i="216"/>
  <c r="F20" i="199"/>
  <c r="F13" i="262"/>
  <c r="F12" i="225"/>
  <c r="F13" i="216"/>
  <c r="G13" i="262"/>
  <c r="G12" i="225"/>
  <c r="G13" i="216"/>
  <c r="H13" i="190"/>
  <c r="E15" i="250"/>
  <c r="F13" i="190"/>
  <c r="K166" i="72"/>
  <c r="K200" i="72"/>
  <c r="M13" i="36"/>
  <c r="M6" i="36"/>
  <c r="M15" i="36"/>
  <c r="L13" i="190"/>
  <c r="M20" i="36"/>
  <c r="K208" i="72"/>
  <c r="K196" i="72"/>
  <c r="K184" i="72"/>
  <c r="R2" i="296"/>
  <c r="A1" i="25"/>
  <c r="A1" i="313"/>
  <c r="A2" i="302"/>
  <c r="A1" i="82"/>
  <c r="X6" i="101" l="1"/>
  <c r="M6" i="101"/>
  <c r="M5" i="101"/>
  <c r="W12" i="270"/>
  <c r="M18" i="237"/>
  <c r="X27" i="50"/>
  <c r="M27" i="50"/>
  <c r="H19" i="237"/>
  <c r="J19" i="237"/>
  <c r="Q19" i="237"/>
  <c r="V19" i="237"/>
  <c r="G19" i="237"/>
  <c r="S19" i="237"/>
  <c r="K19" i="237"/>
  <c r="R19" i="237"/>
  <c r="F19" i="237"/>
  <c r="P19" i="237"/>
  <c r="U19" i="237"/>
  <c r="X40" i="131"/>
  <c r="M40" i="131"/>
  <c r="L13" i="262"/>
  <c r="L19" i="237"/>
  <c r="L20" i="199"/>
  <c r="L15" i="250"/>
  <c r="W19" i="237"/>
  <c r="V15" i="250"/>
  <c r="V13" i="262"/>
  <c r="W13" i="262"/>
  <c r="L13" i="216"/>
  <c r="W15" i="250"/>
  <c r="D12" i="225"/>
  <c r="D19" i="237"/>
  <c r="C81" i="302" l="1"/>
  <c r="D81" i="302"/>
  <c r="E81" i="302"/>
  <c r="F81" i="302"/>
  <c r="G81" i="302"/>
  <c r="H81" i="302"/>
  <c r="I81" i="302"/>
  <c r="J81" i="302"/>
  <c r="K81" i="302"/>
  <c r="L81" i="302"/>
  <c r="M81" i="302"/>
  <c r="B81" i="302"/>
  <c r="C51" i="302"/>
  <c r="E146" i="303" s="1"/>
  <c r="D51" i="302"/>
  <c r="F146" i="303" s="1"/>
  <c r="E51" i="302"/>
  <c r="G146" i="303" s="1"/>
  <c r="F51" i="302"/>
  <c r="H146" i="303" s="1"/>
  <c r="G51" i="302"/>
  <c r="I146" i="303" s="1"/>
  <c r="I59" i="303" s="1"/>
  <c r="H51" i="302"/>
  <c r="J146" i="303" s="1"/>
  <c r="J59" i="303" s="1"/>
  <c r="I51" i="302"/>
  <c r="K146" i="303" s="1"/>
  <c r="K59" i="303" s="1"/>
  <c r="J51" i="302"/>
  <c r="L146" i="303" s="1"/>
  <c r="L59" i="303" s="1"/>
  <c r="K51" i="302"/>
  <c r="M146" i="303" s="1"/>
  <c r="M59" i="303" s="1"/>
  <c r="L51" i="302"/>
  <c r="N146" i="303" s="1"/>
  <c r="N59" i="303" s="1"/>
  <c r="M51" i="302"/>
  <c r="O146" i="303" s="1"/>
  <c r="O59" i="303" s="1"/>
  <c r="B51" i="302"/>
  <c r="C23" i="302"/>
  <c r="D23" i="302"/>
  <c r="E23" i="302"/>
  <c r="F23" i="302"/>
  <c r="G23" i="302"/>
  <c r="H23" i="302"/>
  <c r="I23" i="302"/>
  <c r="J23" i="302"/>
  <c r="K23" i="302"/>
  <c r="L23" i="302"/>
  <c r="M23" i="302"/>
  <c r="B23" i="302"/>
  <c r="D117" i="303" l="1"/>
  <c r="D34" i="294"/>
  <c r="L117" i="303"/>
  <c r="L34" i="294"/>
  <c r="H117" i="303"/>
  <c r="H34" i="294"/>
  <c r="O117" i="303"/>
  <c r="O34" i="294"/>
  <c r="K117" i="303"/>
  <c r="K34" i="294"/>
  <c r="G117" i="303"/>
  <c r="G34" i="294"/>
  <c r="N117" i="303"/>
  <c r="N34" i="294"/>
  <c r="J117" i="303"/>
  <c r="J34" i="294"/>
  <c r="F117" i="303"/>
  <c r="F34" i="294"/>
  <c r="M117" i="303"/>
  <c r="M34" i="294"/>
  <c r="I117" i="303"/>
  <c r="I34" i="294"/>
  <c r="E117" i="303"/>
  <c r="E34" i="294"/>
  <c r="D58" i="303"/>
  <c r="E58" i="303" s="1"/>
  <c r="F58" i="303" s="1"/>
  <c r="G58" i="303" s="1"/>
  <c r="H58" i="303" s="1"/>
  <c r="I58" i="303" s="1"/>
  <c r="J58" i="303" s="1"/>
  <c r="K58" i="303" s="1"/>
  <c r="L58" i="303" s="1"/>
  <c r="M58" i="303" s="1"/>
  <c r="N58" i="303" s="1"/>
  <c r="O58" i="303" s="1"/>
  <c r="D146" i="303"/>
  <c r="O174" i="303"/>
  <c r="N174" i="303"/>
  <c r="M174" i="303"/>
  <c r="L174" i="303"/>
  <c r="K174" i="303"/>
  <c r="J174" i="303"/>
  <c r="I174" i="303"/>
  <c r="H174" i="303"/>
  <c r="G174" i="303"/>
  <c r="N81" i="302"/>
  <c r="F174" i="303"/>
  <c r="E174" i="303"/>
  <c r="D174" i="303"/>
  <c r="D30" i="303"/>
  <c r="E30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E87" i="303" l="1"/>
  <c r="E175" i="303"/>
  <c r="M175" i="303"/>
  <c r="M31" i="303"/>
  <c r="M88" i="303"/>
  <c r="J175" i="303"/>
  <c r="J31" i="303"/>
  <c r="J88" i="303" s="1"/>
  <c r="G175" i="303"/>
  <c r="O175" i="303"/>
  <c r="O88" i="303"/>
  <c r="P88" i="303" s="1"/>
  <c r="O31" i="303"/>
  <c r="L175" i="303"/>
  <c r="L31" i="303"/>
  <c r="L88" i="303"/>
  <c r="I175" i="303"/>
  <c r="I31" i="303"/>
  <c r="I88" i="303" s="1"/>
  <c r="F175" i="303"/>
  <c r="N175" i="303"/>
  <c r="N88" i="303"/>
  <c r="N31" i="303"/>
  <c r="K175" i="303"/>
  <c r="K88" i="303"/>
  <c r="K31" i="303"/>
  <c r="H175" i="303"/>
  <c r="D175" i="303"/>
  <c r="D59" i="303"/>
  <c r="D31" i="303"/>
  <c r="E31" i="303" s="1"/>
  <c r="P34" i="294"/>
  <c r="P58" i="303"/>
  <c r="P174" i="303"/>
  <c r="D87" i="303"/>
  <c r="F30" i="303"/>
  <c r="F87" i="303" s="1"/>
  <c r="O73" i="302"/>
  <c r="O72" i="302"/>
  <c r="O71" i="302"/>
  <c r="O70" i="302"/>
  <c r="O69" i="302"/>
  <c r="O67" i="302"/>
  <c r="O66" i="302"/>
  <c r="O65" i="302"/>
  <c r="O64" i="302"/>
  <c r="N34" i="302"/>
  <c r="N35" i="302"/>
  <c r="N36" i="302"/>
  <c r="N37" i="302"/>
  <c r="N39" i="302"/>
  <c r="N40" i="302"/>
  <c r="N41" i="302"/>
  <c r="N42" i="302"/>
  <c r="N43" i="302"/>
  <c r="N45" i="302"/>
  <c r="N46" i="302"/>
  <c r="N47" i="302"/>
  <c r="N48" i="302"/>
  <c r="N49" i="302"/>
  <c r="N3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F31" i="303" l="1"/>
  <c r="E59" i="303"/>
  <c r="F59" i="303" s="1"/>
  <c r="G59" i="303" s="1"/>
  <c r="H59" i="303" s="1"/>
  <c r="P175" i="303"/>
  <c r="D88" i="303"/>
  <c r="G30" i="303"/>
  <c r="G87" i="303" s="1"/>
  <c r="D3" i="82"/>
  <c r="P59" i="303" l="1"/>
  <c r="F88" i="303"/>
  <c r="G31" i="303"/>
  <c r="F24" i="25"/>
  <c r="G24" i="25"/>
  <c r="E21" i="25"/>
  <c r="E88" i="303"/>
  <c r="O24" i="25"/>
  <c r="Q24" i="25"/>
  <c r="K24" i="25"/>
  <c r="S24" i="25"/>
  <c r="N24" i="25"/>
  <c r="J24" i="25"/>
  <c r="P24" i="25"/>
  <c r="R24" i="25"/>
  <c r="E24" i="25"/>
  <c r="T24" i="25"/>
  <c r="I24" i="25"/>
  <c r="G22" i="25"/>
  <c r="B21" i="25"/>
  <c r="B13" i="25"/>
  <c r="B6" i="25"/>
  <c r="B9" i="25"/>
  <c r="B24" i="25"/>
  <c r="B18" i="25"/>
  <c r="B22" i="25"/>
  <c r="B10" i="25"/>
  <c r="B20" i="25"/>
  <c r="B16" i="25"/>
  <c r="B12" i="25"/>
  <c r="B15" i="25"/>
  <c r="B14" i="25"/>
  <c r="B7" i="25"/>
  <c r="B8" i="25"/>
  <c r="F22" i="25"/>
  <c r="H30" i="303"/>
  <c r="H87" i="303" s="1"/>
  <c r="G6" i="25"/>
  <c r="E6" i="25"/>
  <c r="K22" i="25"/>
  <c r="X57" i="298"/>
  <c r="J7" i="25"/>
  <c r="I10" i="25"/>
  <c r="J20" i="25"/>
  <c r="K16" i="25"/>
  <c r="J9" i="25"/>
  <c r="J21" i="25"/>
  <c r="I6" i="25"/>
  <c r="S57" i="298"/>
  <c r="N57" i="298"/>
  <c r="S57" i="299"/>
  <c r="I16" i="25"/>
  <c r="I57" i="298"/>
  <c r="R44" i="299"/>
  <c r="C44" i="300"/>
  <c r="J13" i="25"/>
  <c r="I12" i="25"/>
  <c r="X57" i="300"/>
  <c r="I15" i="25"/>
  <c r="S57" i="300"/>
  <c r="K21" i="25"/>
  <c r="I8" i="25"/>
  <c r="I7" i="25"/>
  <c r="C44" i="298"/>
  <c r="D57" i="299"/>
  <c r="M44" i="300"/>
  <c r="D57" i="300"/>
  <c r="I14" i="25"/>
  <c r="I19" i="25"/>
  <c r="K15" i="25"/>
  <c r="J14" i="25"/>
  <c r="K19" i="25"/>
  <c r="K20" i="25"/>
  <c r="D57" i="298"/>
  <c r="K9" i="25"/>
  <c r="R44" i="300"/>
  <c r="I13" i="25"/>
  <c r="J6" i="25"/>
  <c r="K10" i="25"/>
  <c r="H44" i="298"/>
  <c r="M44" i="299"/>
  <c r="R44" i="298"/>
  <c r="J18" i="25"/>
  <c r="J19" i="25"/>
  <c r="J16" i="25"/>
  <c r="K18" i="25"/>
  <c r="K14" i="25"/>
  <c r="H44" i="299"/>
  <c r="H44" i="300"/>
  <c r="N57" i="300"/>
  <c r="I20" i="25"/>
  <c r="I57" i="299"/>
  <c r="K6" i="25"/>
  <c r="I21" i="25"/>
  <c r="N57" i="299"/>
  <c r="J12" i="25"/>
  <c r="J15" i="25"/>
  <c r="K12" i="25"/>
  <c r="J10" i="25"/>
  <c r="W44" i="299"/>
  <c r="I18" i="25"/>
  <c r="I22" i="25"/>
  <c r="J8" i="25"/>
  <c r="I57" i="300"/>
  <c r="W44" i="298"/>
  <c r="C44" i="299"/>
  <c r="J22" i="25"/>
  <c r="K13" i="25"/>
  <c r="K8" i="25"/>
  <c r="K7" i="25"/>
  <c r="I9" i="25"/>
  <c r="X57" i="299"/>
  <c r="W44" i="300"/>
  <c r="M44" i="298"/>
  <c r="O13" i="25"/>
  <c r="N6" i="25"/>
  <c r="S20" i="25"/>
  <c r="R13" i="25"/>
  <c r="R16" i="25"/>
  <c r="Q6" i="25"/>
  <c r="O12" i="25"/>
  <c r="O9" i="25"/>
  <c r="Q21" i="25"/>
  <c r="S18" i="25"/>
  <c r="S22" i="25"/>
  <c r="O7" i="25"/>
  <c r="R8" i="25"/>
  <c r="R20" i="25"/>
  <c r="Q18" i="25"/>
  <c r="T6" i="25"/>
  <c r="N12" i="25"/>
  <c r="S10" i="25"/>
  <c r="R21" i="25"/>
  <c r="P15" i="25"/>
  <c r="P18" i="25"/>
  <c r="S6" i="25"/>
  <c r="Q12" i="25"/>
  <c r="R10" i="25"/>
  <c r="F18" i="25"/>
  <c r="G20" i="25"/>
  <c r="E15" i="25"/>
  <c r="F20" i="25"/>
  <c r="G10" i="25"/>
  <c r="E20" i="25"/>
  <c r="F21" i="25"/>
  <c r="F6" i="25"/>
  <c r="G18" i="25"/>
  <c r="S15" i="25"/>
  <c r="N15" i="25"/>
  <c r="S12" i="25"/>
  <c r="S13" i="25"/>
  <c r="Q10" i="25"/>
  <c r="N14" i="25"/>
  <c r="N9" i="25"/>
  <c r="T18" i="25"/>
  <c r="Q9" i="25"/>
  <c r="F7" i="25"/>
  <c r="G21" i="25"/>
  <c r="G8" i="25"/>
  <c r="E10" i="25"/>
  <c r="O18" i="25"/>
  <c r="O22" i="25"/>
  <c r="O20" i="25"/>
  <c r="N13" i="25"/>
  <c r="N16" i="25"/>
  <c r="R22" i="25"/>
  <c r="R7" i="25"/>
  <c r="T10" i="25"/>
  <c r="T20" i="25"/>
  <c r="S16" i="25"/>
  <c r="T12" i="25"/>
  <c r="T9" i="25"/>
  <c r="N8" i="25"/>
  <c r="N20" i="25"/>
  <c r="Q16" i="25"/>
  <c r="P6" i="25"/>
  <c r="Q7" i="25"/>
  <c r="O10" i="25"/>
  <c r="N21" i="25"/>
  <c r="T13" i="25"/>
  <c r="T16" i="25"/>
  <c r="O6" i="25"/>
  <c r="T7" i="25"/>
  <c r="N10" i="25"/>
  <c r="E8" i="25"/>
  <c r="F16" i="25"/>
  <c r="G14" i="25"/>
  <c r="E18" i="25"/>
  <c r="F12" i="25"/>
  <c r="E13" i="25"/>
  <c r="E14" i="25"/>
  <c r="F10" i="25"/>
  <c r="F8" i="25"/>
  <c r="G16" i="25"/>
  <c r="P14" i="25"/>
  <c r="O14" i="25"/>
  <c r="Q8" i="25"/>
  <c r="S7" i="25"/>
  <c r="Q13" i="25"/>
  <c r="P8" i="25"/>
  <c r="P22" i="25"/>
  <c r="F13" i="25"/>
  <c r="E7" i="25"/>
  <c r="E9" i="25"/>
  <c r="G7" i="25"/>
  <c r="P20" i="25"/>
  <c r="O16" i="25"/>
  <c r="T21" i="25"/>
  <c r="R15" i="25"/>
  <c r="R18" i="25"/>
  <c r="S14" i="25"/>
  <c r="N22" i="25"/>
  <c r="N7" i="25"/>
  <c r="P10" i="25"/>
  <c r="O15" i="25"/>
  <c r="T14" i="25"/>
  <c r="P12" i="25"/>
  <c r="P9" i="25"/>
  <c r="S21" i="25"/>
  <c r="Q15" i="25"/>
  <c r="R14" i="25"/>
  <c r="Q22" i="25"/>
  <c r="R9" i="25"/>
  <c r="T8" i="25"/>
  <c r="Q20" i="25"/>
  <c r="P13" i="25"/>
  <c r="P16" i="25"/>
  <c r="T22" i="25"/>
  <c r="P7" i="25"/>
  <c r="S8" i="25"/>
  <c r="F15" i="25"/>
  <c r="G12" i="25"/>
  <c r="E16" i="25"/>
  <c r="F9" i="25"/>
  <c r="E22" i="25"/>
  <c r="E12" i="25"/>
  <c r="G15" i="25"/>
  <c r="P21" i="25"/>
  <c r="N18" i="25"/>
  <c r="S9" i="25"/>
  <c r="R6" i="25"/>
  <c r="O21" i="25"/>
  <c r="R12" i="25"/>
  <c r="T15" i="25"/>
  <c r="Q14" i="25"/>
  <c r="O8" i="25"/>
  <c r="G9" i="25"/>
  <c r="F14" i="25"/>
  <c r="G13" i="25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G88" i="303" l="1"/>
  <c r="H31" i="303"/>
  <c r="H88" i="303" s="1"/>
  <c r="I30" i="303"/>
  <c r="T3" i="315"/>
  <c r="K3" i="315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J30" i="303" l="1"/>
  <c r="I87" i="303"/>
  <c r="T4" i="209"/>
  <c r="K4" i="209"/>
  <c r="T6" i="200"/>
  <c r="K6" i="200"/>
  <c r="T4" i="30"/>
  <c r="T5" i="203"/>
  <c r="K5" i="203"/>
  <c r="T4" i="172"/>
  <c r="K5" i="94"/>
  <c r="T5" i="94"/>
  <c r="T4" i="35"/>
  <c r="K4" i="35"/>
  <c r="K5" i="314"/>
  <c r="T5" i="314"/>
  <c r="K30" i="303" l="1"/>
  <c r="J87" i="303"/>
  <c r="K4" i="172"/>
  <c r="T5" i="200"/>
  <c r="K5" i="200"/>
  <c r="K4" i="30"/>
  <c r="K6" i="212"/>
  <c r="T6" i="212"/>
  <c r="K6" i="213"/>
  <c r="T6" i="213"/>
  <c r="K5" i="27"/>
  <c r="T3" i="35"/>
  <c r="K6" i="211"/>
  <c r="K6" i="202"/>
  <c r="T4" i="314"/>
  <c r="K3" i="55"/>
  <c r="T4" i="128"/>
  <c r="K4" i="128"/>
  <c r="K5" i="120"/>
  <c r="T5" i="120"/>
  <c r="T4" i="107"/>
  <c r="L30" i="303" l="1"/>
  <c r="K87" i="303"/>
  <c r="K4" i="107"/>
  <c r="T6" i="202"/>
  <c r="K3" i="30"/>
  <c r="K5" i="213"/>
  <c r="T6" i="211"/>
  <c r="K3" i="35"/>
  <c r="T5" i="213"/>
  <c r="T4" i="213"/>
  <c r="K4" i="314"/>
  <c r="T5" i="27"/>
  <c r="K4" i="213"/>
  <c r="T4" i="27"/>
  <c r="K4" i="27"/>
  <c r="T4" i="31"/>
  <c r="K4" i="31"/>
  <c r="T3" i="30"/>
  <c r="T3" i="55"/>
  <c r="K5" i="103"/>
  <c r="T5" i="103"/>
  <c r="T5" i="114"/>
  <c r="T4" i="153"/>
  <c r="K3" i="308"/>
  <c r="K5" i="208"/>
  <c r="T3" i="88"/>
  <c r="K5" i="210"/>
  <c r="T3" i="83"/>
  <c r="K4" i="59"/>
  <c r="T3" i="177"/>
  <c r="M30" i="303" l="1"/>
  <c r="L87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T3" i="308"/>
  <c r="K3" i="128"/>
  <c r="T5" i="212"/>
  <c r="K4" i="153"/>
  <c r="T5" i="108"/>
  <c r="K4" i="113"/>
  <c r="K3" i="83"/>
  <c r="K3" i="88"/>
  <c r="K3" i="213"/>
  <c r="K4" i="211"/>
  <c r="T4" i="211"/>
  <c r="T3" i="204"/>
  <c r="C11" i="270"/>
  <c r="N11" i="270"/>
  <c r="N30" i="303" l="1"/>
  <c r="M87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O30" i="303" l="1"/>
  <c r="O87" i="303" s="1"/>
  <c r="P87" i="303" s="1"/>
  <c r="N87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P33" i="294" l="1"/>
  <c r="O35" i="294"/>
  <c r="Q5" i="296"/>
  <c r="G35" i="294"/>
  <c r="G5" i="296"/>
  <c r="N35" i="294"/>
  <c r="P5" i="296"/>
  <c r="J35" i="294"/>
  <c r="K5" i="296"/>
  <c r="N5" i="296" s="1"/>
  <c r="F35" i="294"/>
  <c r="E5" i="296"/>
  <c r="D35" i="294"/>
  <c r="C5" i="296"/>
  <c r="L35" i="294"/>
  <c r="M5" i="296"/>
  <c r="H35" i="294"/>
  <c r="H5" i="296"/>
  <c r="K35" i="294"/>
  <c r="L5" i="296"/>
  <c r="M35" i="294"/>
  <c r="O5" i="296"/>
  <c r="R5" i="296" s="1"/>
  <c r="I35" i="294"/>
  <c r="I5" i="296"/>
  <c r="E35" i="294"/>
  <c r="D5" i="296"/>
  <c r="V67" i="284"/>
  <c r="S67" i="284"/>
  <c r="Q67" i="284"/>
  <c r="O67" i="284"/>
  <c r="M67" i="284"/>
  <c r="K67" i="284"/>
  <c r="I67" i="284"/>
  <c r="G67" i="284"/>
  <c r="E67" i="284"/>
  <c r="U67" i="284"/>
  <c r="C67" i="284"/>
  <c r="B67" i="284"/>
  <c r="F5" i="296" l="1"/>
  <c r="J5" i="296"/>
  <c r="H67" i="284"/>
  <c r="L67" i="284"/>
  <c r="P67" i="284"/>
  <c r="T67" i="284"/>
  <c r="F67" i="284"/>
  <c r="J67" i="284"/>
  <c r="N67" i="284"/>
  <c r="R67" i="284"/>
  <c r="D67" i="284"/>
  <c r="S5" i="296" l="1"/>
  <c r="B66" i="284"/>
  <c r="B61" i="282"/>
  <c r="C66" i="284"/>
  <c r="E66" i="284"/>
  <c r="G66" i="284"/>
  <c r="I66" i="284"/>
  <c r="K66" i="284"/>
  <c r="M66" i="284"/>
  <c r="O66" i="284"/>
  <c r="Q66" i="284"/>
  <c r="S66" i="284"/>
  <c r="C61" i="282"/>
  <c r="D61" i="282"/>
  <c r="F61" i="282"/>
  <c r="H61" i="282"/>
  <c r="J61" i="282"/>
  <c r="L61" i="282"/>
  <c r="N61" i="282"/>
  <c r="P61" i="282"/>
  <c r="R61" i="282"/>
  <c r="T61" i="282"/>
  <c r="Q61" i="282" l="1"/>
  <c r="M61" i="282"/>
  <c r="I61" i="282"/>
  <c r="E61" i="282"/>
  <c r="R66" i="284"/>
  <c r="N66" i="284"/>
  <c r="J66" i="284"/>
  <c r="F66" i="284"/>
  <c r="S61" i="282"/>
  <c r="O61" i="282"/>
  <c r="K61" i="282"/>
  <c r="G61" i="282"/>
  <c r="T66" i="284"/>
  <c r="P66" i="284"/>
  <c r="L66" i="284"/>
  <c r="H66" i="284"/>
  <c r="V61" i="282"/>
  <c r="V66" i="284"/>
  <c r="U66" i="284"/>
  <c r="D66" i="284"/>
  <c r="T4" i="97"/>
  <c r="K4" i="97"/>
  <c r="U61" i="282" l="1"/>
  <c r="P19" i="294"/>
  <c r="T6" i="245" l="1"/>
  <c r="B35" i="280"/>
  <c r="C35" i="280"/>
  <c r="E35" i="280"/>
  <c r="F35" i="280"/>
  <c r="G35" i="280"/>
  <c r="I35" i="280"/>
  <c r="J35" i="280"/>
  <c r="K35" i="280"/>
  <c r="M35" i="280"/>
  <c r="N35" i="280"/>
  <c r="O35" i="280"/>
  <c r="Q35" i="280"/>
  <c r="R35" i="280"/>
  <c r="S35" i="280"/>
  <c r="T35" i="280" l="1"/>
  <c r="P35" i="280"/>
  <c r="L35" i="280"/>
  <c r="H35" i="280"/>
  <c r="K6" i="245"/>
  <c r="V35" i="280"/>
  <c r="D35" i="280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U35" i="280" l="1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C19" i="164"/>
  <c r="A19" i="164"/>
  <c r="C18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9" i="225"/>
  <c r="A9" i="225"/>
  <c r="C8" i="225"/>
  <c r="A8" i="225"/>
  <c r="C7" i="225"/>
  <c r="A7" i="225"/>
  <c r="C6" i="225"/>
  <c r="A6" i="225"/>
  <c r="C5" i="225"/>
  <c r="A5" i="225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10" i="270"/>
  <c r="C9" i="270"/>
  <c r="C8" i="270"/>
  <c r="C7" i="270"/>
  <c r="C6" i="270"/>
  <c r="C5" i="270"/>
  <c r="B108" i="289" l="1"/>
  <c r="T6" i="119" l="1"/>
  <c r="K6" i="119"/>
  <c r="V108" i="289"/>
  <c r="T108" i="289"/>
  <c r="S108" i="289"/>
  <c r="Q108" i="289"/>
  <c r="P108" i="289"/>
  <c r="O108" i="289"/>
  <c r="M108" i="289"/>
  <c r="K108" i="289"/>
  <c r="I108" i="289"/>
  <c r="G108" i="289"/>
  <c r="E108" i="289"/>
  <c r="C108" i="289"/>
  <c r="F108" i="289" l="1"/>
  <c r="J108" i="289"/>
  <c r="N108" i="289"/>
  <c r="R108" i="289"/>
  <c r="H108" i="289"/>
  <c r="L108" i="289"/>
  <c r="D108" i="289"/>
  <c r="B60" i="282"/>
  <c r="C60" i="282"/>
  <c r="F60" i="282"/>
  <c r="H60" i="282"/>
  <c r="I60" i="282"/>
  <c r="J60" i="282"/>
  <c r="L60" i="282"/>
  <c r="M60" i="282"/>
  <c r="N60" i="282"/>
  <c r="P60" i="282"/>
  <c r="Q60" i="282"/>
  <c r="R60" i="282"/>
  <c r="T60" i="282"/>
  <c r="E60" i="282" l="1"/>
  <c r="S60" i="282"/>
  <c r="O60" i="282"/>
  <c r="K60" i="282"/>
  <c r="G60" i="282"/>
  <c r="V60" i="282"/>
  <c r="D60" i="282"/>
  <c r="U108" i="289"/>
  <c r="T6" i="176"/>
  <c r="K6" i="176"/>
  <c r="L51" i="280"/>
  <c r="B51" i="280"/>
  <c r="C51" i="280"/>
  <c r="F51" i="280"/>
  <c r="H51" i="280"/>
  <c r="J51" i="280"/>
  <c r="M51" i="280"/>
  <c r="O51" i="280"/>
  <c r="Q51" i="280"/>
  <c r="S51" i="280"/>
  <c r="T51" i="280" l="1"/>
  <c r="P51" i="280"/>
  <c r="K51" i="280"/>
  <c r="G51" i="280"/>
  <c r="R51" i="280"/>
  <c r="N51" i="280"/>
  <c r="I51" i="280"/>
  <c r="E51" i="280"/>
  <c r="V43" i="283"/>
  <c r="V51" i="280"/>
  <c r="D51" i="280"/>
  <c r="U60" i="282"/>
  <c r="K6" i="249"/>
  <c r="T6" i="249"/>
  <c r="U51" i="280" l="1"/>
  <c r="T5" i="255" l="1"/>
  <c r="T6" i="232"/>
  <c r="T6" i="167"/>
  <c r="K6" i="209"/>
  <c r="T6" i="209"/>
  <c r="T3" i="51"/>
  <c r="T7" i="51"/>
  <c r="K6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M13" i="80" l="1"/>
  <c r="K5" i="117"/>
  <c r="T5" i="117"/>
  <c r="M30" i="80"/>
  <c r="T5" i="148"/>
  <c r="K5" i="148"/>
  <c r="M59" i="80"/>
  <c r="Z21" i="36"/>
  <c r="Y21" i="36" s="1"/>
  <c r="Z16" i="1"/>
  <c r="Y16" i="1" s="1"/>
  <c r="T3" i="311" l="1"/>
  <c r="K3" i="311"/>
  <c r="Z20" i="36" l="1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A2" i="36"/>
  <c r="Z12" i="262"/>
  <c r="Z11" i="262"/>
  <c r="Z10" i="262"/>
  <c r="Z9" i="262"/>
  <c r="Z8" i="262"/>
  <c r="Z7" i="262"/>
  <c r="Z6" i="262"/>
  <c r="Z5" i="262"/>
  <c r="A2" i="262"/>
  <c r="Z19" i="164"/>
  <c r="Z18" i="164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A2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170" i="303"/>
  <c r="N170" i="303"/>
  <c r="M170" i="303"/>
  <c r="L170" i="303"/>
  <c r="K170" i="303"/>
  <c r="J170" i="303"/>
  <c r="I170" i="303"/>
  <c r="H170" i="303"/>
  <c r="G170" i="303"/>
  <c r="F170" i="303"/>
  <c r="E170" i="303"/>
  <c r="D170" i="303"/>
  <c r="O169" i="303"/>
  <c r="N169" i="303"/>
  <c r="M169" i="303"/>
  <c r="L169" i="303"/>
  <c r="K169" i="303"/>
  <c r="J169" i="303"/>
  <c r="I169" i="303"/>
  <c r="H169" i="303"/>
  <c r="G169" i="303"/>
  <c r="F169" i="303"/>
  <c r="E169" i="303"/>
  <c r="D169" i="303"/>
  <c r="O168" i="303"/>
  <c r="N168" i="303"/>
  <c r="M168" i="303"/>
  <c r="L168" i="303"/>
  <c r="K168" i="303"/>
  <c r="J168" i="303"/>
  <c r="I168" i="303"/>
  <c r="H168" i="303"/>
  <c r="G168" i="303"/>
  <c r="F168" i="303"/>
  <c r="E168" i="303"/>
  <c r="D168" i="303"/>
  <c r="O167" i="303"/>
  <c r="N167" i="303"/>
  <c r="M167" i="303"/>
  <c r="L167" i="303"/>
  <c r="K167" i="303"/>
  <c r="J167" i="303"/>
  <c r="I167" i="303"/>
  <c r="H167" i="303"/>
  <c r="G167" i="303"/>
  <c r="F167" i="303"/>
  <c r="E167" i="303"/>
  <c r="D167" i="303"/>
  <c r="O166" i="303"/>
  <c r="N166" i="303"/>
  <c r="M166" i="303"/>
  <c r="L166" i="303"/>
  <c r="K166" i="303"/>
  <c r="J166" i="303"/>
  <c r="I166" i="303"/>
  <c r="H166" i="303"/>
  <c r="G166" i="303"/>
  <c r="F166" i="303"/>
  <c r="E166" i="303"/>
  <c r="D166" i="303"/>
  <c r="O165" i="303"/>
  <c r="N165" i="303"/>
  <c r="M165" i="303"/>
  <c r="L165" i="303"/>
  <c r="K165" i="303"/>
  <c r="J165" i="303"/>
  <c r="I165" i="303"/>
  <c r="H165" i="303"/>
  <c r="G165" i="303"/>
  <c r="F165" i="303"/>
  <c r="E165" i="303"/>
  <c r="D165" i="303"/>
  <c r="O164" i="303"/>
  <c r="N164" i="303"/>
  <c r="M164" i="303"/>
  <c r="L164" i="303"/>
  <c r="K164" i="303"/>
  <c r="J164" i="303"/>
  <c r="I164" i="303"/>
  <c r="H164" i="303"/>
  <c r="G164" i="303"/>
  <c r="F164" i="303"/>
  <c r="E164" i="303"/>
  <c r="D164" i="303"/>
  <c r="O163" i="303"/>
  <c r="N163" i="303"/>
  <c r="M163" i="303"/>
  <c r="L163" i="303"/>
  <c r="K163" i="303"/>
  <c r="J163" i="303"/>
  <c r="I163" i="303"/>
  <c r="H163" i="303"/>
  <c r="G163" i="303"/>
  <c r="F163" i="303"/>
  <c r="E163" i="303"/>
  <c r="D163" i="303"/>
  <c r="O162" i="303"/>
  <c r="N162" i="303"/>
  <c r="M162" i="303"/>
  <c r="L162" i="303"/>
  <c r="K162" i="303"/>
  <c r="J162" i="303"/>
  <c r="I162" i="303"/>
  <c r="H162" i="303"/>
  <c r="G162" i="303"/>
  <c r="F162" i="303"/>
  <c r="E162" i="303"/>
  <c r="D162" i="303"/>
  <c r="O161" i="303"/>
  <c r="N161" i="303"/>
  <c r="M161" i="303"/>
  <c r="L161" i="303"/>
  <c r="K161" i="303"/>
  <c r="J161" i="303"/>
  <c r="I161" i="303"/>
  <c r="H161" i="303"/>
  <c r="G161" i="303"/>
  <c r="F161" i="303"/>
  <c r="E161" i="303"/>
  <c r="D161" i="303"/>
  <c r="O160" i="303"/>
  <c r="N160" i="303"/>
  <c r="M160" i="303"/>
  <c r="L160" i="303"/>
  <c r="K160" i="303"/>
  <c r="J160" i="303"/>
  <c r="I160" i="303"/>
  <c r="H160" i="303"/>
  <c r="G160" i="303"/>
  <c r="F160" i="303"/>
  <c r="E160" i="303"/>
  <c r="D160" i="303"/>
  <c r="O159" i="303"/>
  <c r="N159" i="303"/>
  <c r="M159" i="303"/>
  <c r="L159" i="303"/>
  <c r="K159" i="303"/>
  <c r="J159" i="303"/>
  <c r="I159" i="303"/>
  <c r="H159" i="303"/>
  <c r="G159" i="303"/>
  <c r="F159" i="303"/>
  <c r="E159" i="303"/>
  <c r="D159" i="303"/>
  <c r="O158" i="303"/>
  <c r="N158" i="303"/>
  <c r="M158" i="303"/>
  <c r="L158" i="303"/>
  <c r="K158" i="303"/>
  <c r="J158" i="303"/>
  <c r="I158" i="303"/>
  <c r="H158" i="303"/>
  <c r="G158" i="303"/>
  <c r="F158" i="303"/>
  <c r="E158" i="303"/>
  <c r="D158" i="303"/>
  <c r="O157" i="303"/>
  <c r="N157" i="303"/>
  <c r="M157" i="303"/>
  <c r="L157" i="303"/>
  <c r="K157" i="303"/>
  <c r="J157" i="303"/>
  <c r="I157" i="303"/>
  <c r="H157" i="303"/>
  <c r="G157" i="303"/>
  <c r="F157" i="303"/>
  <c r="E157" i="303"/>
  <c r="D157" i="303"/>
  <c r="O156" i="303"/>
  <c r="N156" i="303"/>
  <c r="M156" i="303"/>
  <c r="L156" i="303"/>
  <c r="K156" i="303"/>
  <c r="J156" i="303"/>
  <c r="I156" i="303"/>
  <c r="H156" i="303"/>
  <c r="G156" i="303"/>
  <c r="F156" i="303"/>
  <c r="E156" i="303"/>
  <c r="D156" i="303"/>
  <c r="O155" i="303"/>
  <c r="N155" i="303"/>
  <c r="M155" i="303"/>
  <c r="L155" i="303"/>
  <c r="K155" i="303"/>
  <c r="J155" i="303"/>
  <c r="I155" i="303"/>
  <c r="H155" i="303"/>
  <c r="G155" i="303"/>
  <c r="F155" i="303"/>
  <c r="E155" i="303"/>
  <c r="D155" i="303"/>
  <c r="O154" i="303"/>
  <c r="N154" i="303"/>
  <c r="M154" i="303"/>
  <c r="L154" i="303"/>
  <c r="K154" i="303"/>
  <c r="J154" i="303"/>
  <c r="I154" i="303"/>
  <c r="H154" i="303"/>
  <c r="G154" i="303"/>
  <c r="F154" i="303"/>
  <c r="E154" i="303"/>
  <c r="D154" i="303"/>
  <c r="O153" i="303"/>
  <c r="N153" i="303"/>
  <c r="M153" i="303"/>
  <c r="L153" i="303"/>
  <c r="K153" i="303"/>
  <c r="J153" i="303"/>
  <c r="I153" i="303"/>
  <c r="H153" i="303"/>
  <c r="G153" i="303"/>
  <c r="F153" i="303"/>
  <c r="E153" i="303"/>
  <c r="D153" i="303"/>
  <c r="O152" i="303"/>
  <c r="N152" i="303"/>
  <c r="M152" i="303"/>
  <c r="L152" i="303"/>
  <c r="K152" i="303"/>
  <c r="J152" i="303"/>
  <c r="I152" i="303"/>
  <c r="H152" i="303"/>
  <c r="G152" i="303"/>
  <c r="F152" i="303"/>
  <c r="E152" i="303"/>
  <c r="D152" i="303"/>
  <c r="O151" i="303"/>
  <c r="N151" i="303"/>
  <c r="M151" i="303"/>
  <c r="L151" i="303"/>
  <c r="K151" i="303"/>
  <c r="J151" i="303"/>
  <c r="I151" i="303"/>
  <c r="H151" i="303"/>
  <c r="G151" i="303"/>
  <c r="F151" i="303"/>
  <c r="E151" i="303"/>
  <c r="D151" i="303"/>
  <c r="P141" i="303"/>
  <c r="P140" i="303"/>
  <c r="P139" i="303"/>
  <c r="P138" i="303"/>
  <c r="P137" i="303"/>
  <c r="P136" i="303"/>
  <c r="P135" i="303"/>
  <c r="P134" i="303"/>
  <c r="P133" i="303"/>
  <c r="P132" i="303"/>
  <c r="P131" i="303"/>
  <c r="P130" i="303"/>
  <c r="P129" i="303"/>
  <c r="P128" i="303"/>
  <c r="P127" i="303"/>
  <c r="P126" i="303"/>
  <c r="P125" i="303"/>
  <c r="P124" i="303"/>
  <c r="P123" i="303"/>
  <c r="P122" i="303"/>
  <c r="P108" i="303"/>
  <c r="P107" i="303"/>
  <c r="P106" i="303"/>
  <c r="P105" i="303"/>
  <c r="P104" i="303"/>
  <c r="P103" i="303"/>
  <c r="P102" i="303"/>
  <c r="P101" i="303"/>
  <c r="P100" i="303"/>
  <c r="P99" i="303"/>
  <c r="P98" i="303"/>
  <c r="P97" i="303"/>
  <c r="P96" i="303"/>
  <c r="P95" i="303"/>
  <c r="P94" i="303"/>
  <c r="P93" i="303"/>
  <c r="D54" i="303"/>
  <c r="E54" i="303" s="1"/>
  <c r="F54" i="303" s="1"/>
  <c r="G54" i="303" s="1"/>
  <c r="H54" i="303" s="1"/>
  <c r="I54" i="303" s="1"/>
  <c r="J54" i="303" s="1"/>
  <c r="K54" i="303" s="1"/>
  <c r="L54" i="303" s="1"/>
  <c r="M54" i="303" s="1"/>
  <c r="N54" i="303" s="1"/>
  <c r="O54" i="303" s="1"/>
  <c r="D53" i="303"/>
  <c r="E53" i="303" s="1"/>
  <c r="F53" i="303" s="1"/>
  <c r="G53" i="303" s="1"/>
  <c r="H53" i="303" s="1"/>
  <c r="I53" i="303" s="1"/>
  <c r="J53" i="303" s="1"/>
  <c r="K53" i="303" s="1"/>
  <c r="L53" i="303" s="1"/>
  <c r="M53" i="303" s="1"/>
  <c r="N53" i="303" s="1"/>
  <c r="O53" i="303" s="1"/>
  <c r="D52" i="303"/>
  <c r="E52" i="303" s="1"/>
  <c r="F52" i="303" s="1"/>
  <c r="G52" i="303" s="1"/>
  <c r="H52" i="303" s="1"/>
  <c r="I52" i="303" s="1"/>
  <c r="J52" i="303" s="1"/>
  <c r="K52" i="303" s="1"/>
  <c r="L52" i="303" s="1"/>
  <c r="M52" i="303" s="1"/>
  <c r="N52" i="303" s="1"/>
  <c r="O52" i="303" s="1"/>
  <c r="D51" i="303"/>
  <c r="E51" i="303" s="1"/>
  <c r="F51" i="303" s="1"/>
  <c r="G51" i="303" s="1"/>
  <c r="H51" i="303" s="1"/>
  <c r="I51" i="303" s="1"/>
  <c r="J51" i="303" s="1"/>
  <c r="K51" i="303" s="1"/>
  <c r="L51" i="303" s="1"/>
  <c r="M51" i="303" s="1"/>
  <c r="N51" i="303" s="1"/>
  <c r="O51" i="303" s="1"/>
  <c r="D50" i="303"/>
  <c r="E50" i="303" s="1"/>
  <c r="F50" i="303" s="1"/>
  <c r="G50" i="303" s="1"/>
  <c r="H50" i="303" s="1"/>
  <c r="I50" i="303" s="1"/>
  <c r="J50" i="303" s="1"/>
  <c r="K50" i="303" s="1"/>
  <c r="L50" i="303" s="1"/>
  <c r="M50" i="303" s="1"/>
  <c r="N50" i="303" s="1"/>
  <c r="O50" i="303" s="1"/>
  <c r="D49" i="303"/>
  <c r="E49" i="303" s="1"/>
  <c r="F49" i="303" s="1"/>
  <c r="G49" i="303" s="1"/>
  <c r="H49" i="303" s="1"/>
  <c r="I49" i="303" s="1"/>
  <c r="J49" i="303" s="1"/>
  <c r="K49" i="303" s="1"/>
  <c r="L49" i="303" s="1"/>
  <c r="M49" i="303" s="1"/>
  <c r="N49" i="303" s="1"/>
  <c r="O49" i="303" s="1"/>
  <c r="D48" i="303"/>
  <c r="E48" i="303" s="1"/>
  <c r="F48" i="303" s="1"/>
  <c r="G48" i="303" s="1"/>
  <c r="H48" i="303" s="1"/>
  <c r="I48" i="303" s="1"/>
  <c r="J48" i="303" s="1"/>
  <c r="K48" i="303" s="1"/>
  <c r="L48" i="303" s="1"/>
  <c r="M48" i="303" s="1"/>
  <c r="N48" i="303" s="1"/>
  <c r="O48" i="303" s="1"/>
  <c r="D47" i="303"/>
  <c r="E47" i="303" s="1"/>
  <c r="F47" i="303" s="1"/>
  <c r="G47" i="303" s="1"/>
  <c r="H47" i="303" s="1"/>
  <c r="I47" i="303" s="1"/>
  <c r="J47" i="303" s="1"/>
  <c r="K47" i="303" s="1"/>
  <c r="L47" i="303" s="1"/>
  <c r="M47" i="303" s="1"/>
  <c r="N47" i="303" s="1"/>
  <c r="O47" i="303" s="1"/>
  <c r="D46" i="303"/>
  <c r="E46" i="303" s="1"/>
  <c r="F46" i="303" s="1"/>
  <c r="G46" i="303" s="1"/>
  <c r="H46" i="303" s="1"/>
  <c r="I46" i="303" s="1"/>
  <c r="J46" i="303" s="1"/>
  <c r="K46" i="303" s="1"/>
  <c r="L46" i="303" s="1"/>
  <c r="M46" i="303" s="1"/>
  <c r="N46" i="303" s="1"/>
  <c r="O46" i="303" s="1"/>
  <c r="D45" i="303"/>
  <c r="E45" i="303" s="1"/>
  <c r="F45" i="303" s="1"/>
  <c r="G45" i="303" s="1"/>
  <c r="H45" i="303" s="1"/>
  <c r="I45" i="303" s="1"/>
  <c r="J45" i="303" s="1"/>
  <c r="K45" i="303" s="1"/>
  <c r="L45" i="303" s="1"/>
  <c r="M45" i="303" s="1"/>
  <c r="N45" i="303" s="1"/>
  <c r="O45" i="303" s="1"/>
  <c r="D44" i="303"/>
  <c r="E44" i="303" s="1"/>
  <c r="F44" i="303" s="1"/>
  <c r="G44" i="303" s="1"/>
  <c r="H44" i="303" s="1"/>
  <c r="I44" i="303" s="1"/>
  <c r="J44" i="303" s="1"/>
  <c r="K44" i="303" s="1"/>
  <c r="L44" i="303" s="1"/>
  <c r="M44" i="303" s="1"/>
  <c r="N44" i="303" s="1"/>
  <c r="O44" i="303" s="1"/>
  <c r="D43" i="303"/>
  <c r="E43" i="303" s="1"/>
  <c r="F43" i="303" s="1"/>
  <c r="G43" i="303" s="1"/>
  <c r="H43" i="303" s="1"/>
  <c r="I43" i="303" s="1"/>
  <c r="J43" i="303" s="1"/>
  <c r="K43" i="303" s="1"/>
  <c r="L43" i="303" s="1"/>
  <c r="M43" i="303" s="1"/>
  <c r="N43" i="303" s="1"/>
  <c r="O43" i="303" s="1"/>
  <c r="D42" i="303"/>
  <c r="E42" i="303" s="1"/>
  <c r="F42" i="303" s="1"/>
  <c r="G42" i="303" s="1"/>
  <c r="H42" i="303" s="1"/>
  <c r="I42" i="303" s="1"/>
  <c r="J42" i="303" s="1"/>
  <c r="K42" i="303" s="1"/>
  <c r="L42" i="303" s="1"/>
  <c r="M42" i="303" s="1"/>
  <c r="N42" i="303" s="1"/>
  <c r="O42" i="303" s="1"/>
  <c r="D41" i="303"/>
  <c r="E41" i="303" s="1"/>
  <c r="F41" i="303" s="1"/>
  <c r="G41" i="303" s="1"/>
  <c r="H41" i="303" s="1"/>
  <c r="I41" i="303" s="1"/>
  <c r="J41" i="303" s="1"/>
  <c r="K41" i="303" s="1"/>
  <c r="L41" i="303" s="1"/>
  <c r="M41" i="303" s="1"/>
  <c r="N41" i="303" s="1"/>
  <c r="O41" i="303" s="1"/>
  <c r="D40" i="303"/>
  <c r="E40" i="303" s="1"/>
  <c r="F40" i="303" s="1"/>
  <c r="G40" i="303" s="1"/>
  <c r="H40" i="303" s="1"/>
  <c r="I40" i="303" s="1"/>
  <c r="J40" i="303" s="1"/>
  <c r="K40" i="303" s="1"/>
  <c r="L40" i="303" s="1"/>
  <c r="M40" i="303" s="1"/>
  <c r="N40" i="303" s="1"/>
  <c r="O40" i="303" s="1"/>
  <c r="D39" i="303"/>
  <c r="E39" i="303" s="1"/>
  <c r="F39" i="303" s="1"/>
  <c r="G39" i="303" s="1"/>
  <c r="H39" i="303" s="1"/>
  <c r="I39" i="303" s="1"/>
  <c r="J39" i="303" s="1"/>
  <c r="K39" i="303" s="1"/>
  <c r="L39" i="303" s="1"/>
  <c r="M39" i="303" s="1"/>
  <c r="N39" i="303" s="1"/>
  <c r="O39" i="303" s="1"/>
  <c r="D38" i="303"/>
  <c r="E38" i="303" s="1"/>
  <c r="F38" i="303" s="1"/>
  <c r="G38" i="303" s="1"/>
  <c r="H38" i="303" s="1"/>
  <c r="I38" i="303" s="1"/>
  <c r="J38" i="303" s="1"/>
  <c r="K38" i="303" s="1"/>
  <c r="L38" i="303" s="1"/>
  <c r="M38" i="303" s="1"/>
  <c r="N38" i="303" s="1"/>
  <c r="O38" i="303" s="1"/>
  <c r="D37" i="303"/>
  <c r="E37" i="303" s="1"/>
  <c r="F37" i="303" s="1"/>
  <c r="G37" i="303" s="1"/>
  <c r="H37" i="303" s="1"/>
  <c r="I37" i="303" s="1"/>
  <c r="J37" i="303" s="1"/>
  <c r="K37" i="303" s="1"/>
  <c r="L37" i="303" s="1"/>
  <c r="M37" i="303" s="1"/>
  <c r="N37" i="303" s="1"/>
  <c r="O37" i="303" s="1"/>
  <c r="D36" i="303"/>
  <c r="E36" i="303" s="1"/>
  <c r="F36" i="303" s="1"/>
  <c r="G36" i="303" s="1"/>
  <c r="H36" i="303" s="1"/>
  <c r="I36" i="303" s="1"/>
  <c r="J36" i="303" s="1"/>
  <c r="K36" i="303" s="1"/>
  <c r="L36" i="303" s="1"/>
  <c r="M36" i="303" s="1"/>
  <c r="N36" i="303" s="1"/>
  <c r="O36" i="303" s="1"/>
  <c r="D35" i="303"/>
  <c r="E35" i="303" s="1"/>
  <c r="F35" i="303" s="1"/>
  <c r="G35" i="303" s="1"/>
  <c r="H35" i="303" s="1"/>
  <c r="I35" i="303" s="1"/>
  <c r="J35" i="303" s="1"/>
  <c r="K35" i="303" s="1"/>
  <c r="L35" i="303" s="1"/>
  <c r="M35" i="303" s="1"/>
  <c r="N35" i="303" s="1"/>
  <c r="O35" i="303" s="1"/>
  <c r="D26" i="303"/>
  <c r="E26" i="303" s="1"/>
  <c r="D25" i="303"/>
  <c r="D24" i="303"/>
  <c r="D23" i="303"/>
  <c r="D22" i="303"/>
  <c r="E22" i="303" s="1"/>
  <c r="D21" i="303"/>
  <c r="D20" i="303"/>
  <c r="D19" i="303"/>
  <c r="D18" i="303"/>
  <c r="E18" i="303" s="1"/>
  <c r="D17" i="303"/>
  <c r="D16" i="303"/>
  <c r="D15" i="303"/>
  <c r="D14" i="303"/>
  <c r="E14" i="303" s="1"/>
  <c r="D13" i="303"/>
  <c r="D12" i="303"/>
  <c r="D11" i="303"/>
  <c r="D10" i="303"/>
  <c r="D9" i="303"/>
  <c r="D8" i="303"/>
  <c r="D7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M208" i="79"/>
  <c r="L208" i="79"/>
  <c r="K208" i="79"/>
  <c r="J208" i="79"/>
  <c r="I208" i="79"/>
  <c r="H208" i="79"/>
  <c r="G208" i="79"/>
  <c r="F208" i="79"/>
  <c r="E208" i="79"/>
  <c r="D208" i="79"/>
  <c r="C208" i="79"/>
  <c r="M207" i="79"/>
  <c r="L207" i="79"/>
  <c r="K207" i="79"/>
  <c r="J207" i="79"/>
  <c r="I207" i="79"/>
  <c r="H207" i="79"/>
  <c r="G207" i="79"/>
  <c r="F207" i="79"/>
  <c r="E207" i="79"/>
  <c r="D207" i="79"/>
  <c r="C207" i="79"/>
  <c r="M206" i="79"/>
  <c r="L206" i="79"/>
  <c r="K206" i="79"/>
  <c r="J206" i="79"/>
  <c r="I206" i="79"/>
  <c r="H206" i="79"/>
  <c r="G206" i="79"/>
  <c r="F206" i="79"/>
  <c r="E206" i="79"/>
  <c r="D206" i="79"/>
  <c r="C206" i="79"/>
  <c r="M205" i="79"/>
  <c r="L205" i="79"/>
  <c r="K205" i="79"/>
  <c r="J205" i="79"/>
  <c r="I205" i="79"/>
  <c r="H205" i="79"/>
  <c r="G205" i="79"/>
  <c r="F205" i="79"/>
  <c r="E205" i="79"/>
  <c r="D205" i="79"/>
  <c r="C205" i="79"/>
  <c r="M204" i="79"/>
  <c r="L204" i="79"/>
  <c r="K204" i="79"/>
  <c r="J204" i="79"/>
  <c r="I204" i="79"/>
  <c r="H204" i="79"/>
  <c r="G204" i="79"/>
  <c r="F204" i="79"/>
  <c r="E204" i="79"/>
  <c r="D204" i="79"/>
  <c r="C204" i="79"/>
  <c r="M203" i="79"/>
  <c r="L203" i="79"/>
  <c r="K203" i="79"/>
  <c r="J203" i="79"/>
  <c r="I203" i="79"/>
  <c r="H203" i="79"/>
  <c r="G203" i="79"/>
  <c r="F203" i="79"/>
  <c r="E203" i="79"/>
  <c r="D203" i="79"/>
  <c r="C203" i="79"/>
  <c r="M202" i="79"/>
  <c r="L202" i="79"/>
  <c r="K202" i="79"/>
  <c r="J202" i="79"/>
  <c r="I202" i="79"/>
  <c r="H202" i="79"/>
  <c r="G202" i="79"/>
  <c r="F202" i="79"/>
  <c r="E202" i="79"/>
  <c r="D202" i="79"/>
  <c r="C202" i="79"/>
  <c r="M201" i="79"/>
  <c r="L201" i="79"/>
  <c r="K201" i="79"/>
  <c r="J201" i="79"/>
  <c r="I201" i="79"/>
  <c r="H201" i="79"/>
  <c r="G201" i="79"/>
  <c r="F201" i="79"/>
  <c r="E201" i="79"/>
  <c r="D201" i="79"/>
  <c r="C201" i="79"/>
  <c r="M200" i="79"/>
  <c r="L200" i="79"/>
  <c r="K200" i="79"/>
  <c r="J200" i="79"/>
  <c r="I200" i="79"/>
  <c r="H200" i="79"/>
  <c r="G200" i="79"/>
  <c r="F200" i="79"/>
  <c r="E200" i="79"/>
  <c r="D200" i="79"/>
  <c r="C200" i="79"/>
  <c r="M199" i="79"/>
  <c r="L199" i="79"/>
  <c r="K199" i="79"/>
  <c r="J199" i="79"/>
  <c r="I199" i="79"/>
  <c r="H199" i="79"/>
  <c r="G199" i="79"/>
  <c r="F199" i="79"/>
  <c r="E199" i="79"/>
  <c r="D199" i="79"/>
  <c r="C199" i="79"/>
  <c r="M198" i="79"/>
  <c r="L198" i="79"/>
  <c r="K198" i="79"/>
  <c r="J198" i="79"/>
  <c r="I198" i="79"/>
  <c r="H198" i="79"/>
  <c r="G198" i="79"/>
  <c r="F198" i="79"/>
  <c r="E198" i="79"/>
  <c r="D198" i="79"/>
  <c r="C198" i="79"/>
  <c r="M197" i="79"/>
  <c r="L197" i="79"/>
  <c r="K197" i="79"/>
  <c r="J197" i="79"/>
  <c r="I197" i="79"/>
  <c r="H197" i="79"/>
  <c r="G197" i="79"/>
  <c r="F197" i="79"/>
  <c r="E197" i="79"/>
  <c r="D197" i="79"/>
  <c r="C197" i="79"/>
  <c r="M196" i="79"/>
  <c r="L196" i="79"/>
  <c r="K196" i="79"/>
  <c r="J196" i="79"/>
  <c r="I196" i="79"/>
  <c r="H196" i="79"/>
  <c r="G196" i="79"/>
  <c r="F196" i="79"/>
  <c r="E196" i="79"/>
  <c r="D196" i="79"/>
  <c r="C196" i="79"/>
  <c r="M195" i="79"/>
  <c r="L195" i="79"/>
  <c r="K195" i="79"/>
  <c r="J195" i="79"/>
  <c r="I195" i="79"/>
  <c r="H195" i="79"/>
  <c r="G195" i="79"/>
  <c r="F195" i="79"/>
  <c r="E195" i="79"/>
  <c r="D195" i="79"/>
  <c r="C195" i="79"/>
  <c r="M194" i="79"/>
  <c r="L194" i="79"/>
  <c r="K194" i="79"/>
  <c r="J194" i="79"/>
  <c r="I194" i="79"/>
  <c r="H194" i="79"/>
  <c r="G194" i="79"/>
  <c r="F194" i="79"/>
  <c r="E194" i="79"/>
  <c r="D194" i="79"/>
  <c r="C194" i="79"/>
  <c r="M193" i="79"/>
  <c r="L193" i="79"/>
  <c r="K193" i="79"/>
  <c r="J193" i="79"/>
  <c r="I193" i="79"/>
  <c r="H193" i="79"/>
  <c r="G193" i="79"/>
  <c r="F193" i="79"/>
  <c r="E193" i="79"/>
  <c r="D193" i="79"/>
  <c r="C193" i="79"/>
  <c r="M192" i="79"/>
  <c r="L192" i="79"/>
  <c r="K192" i="79"/>
  <c r="J192" i="79"/>
  <c r="I192" i="79"/>
  <c r="H192" i="79"/>
  <c r="G192" i="79"/>
  <c r="F192" i="79"/>
  <c r="E192" i="79"/>
  <c r="D192" i="79"/>
  <c r="C192" i="79"/>
  <c r="M191" i="79"/>
  <c r="L191" i="79"/>
  <c r="K191" i="79"/>
  <c r="J191" i="79"/>
  <c r="I191" i="79"/>
  <c r="H191" i="79"/>
  <c r="G191" i="79"/>
  <c r="F191" i="79"/>
  <c r="E191" i="79"/>
  <c r="D191" i="79"/>
  <c r="C191" i="79"/>
  <c r="M190" i="79"/>
  <c r="L190" i="79"/>
  <c r="K190" i="79"/>
  <c r="J190" i="79"/>
  <c r="I190" i="79"/>
  <c r="H190" i="79"/>
  <c r="G190" i="79"/>
  <c r="F190" i="79"/>
  <c r="E190" i="79"/>
  <c r="D190" i="79"/>
  <c r="C190" i="79"/>
  <c r="M189" i="79"/>
  <c r="L189" i="79"/>
  <c r="K189" i="79"/>
  <c r="J189" i="79"/>
  <c r="I189" i="79"/>
  <c r="H189" i="79"/>
  <c r="G189" i="79"/>
  <c r="F189" i="79"/>
  <c r="E189" i="79"/>
  <c r="D189" i="79"/>
  <c r="C189" i="79"/>
  <c r="M188" i="79"/>
  <c r="L188" i="79"/>
  <c r="K188" i="79"/>
  <c r="J188" i="79"/>
  <c r="I188" i="79"/>
  <c r="H188" i="79"/>
  <c r="G188" i="79"/>
  <c r="F188" i="79"/>
  <c r="E188" i="79"/>
  <c r="D188" i="79"/>
  <c r="C188" i="79"/>
  <c r="M187" i="79"/>
  <c r="L187" i="79"/>
  <c r="K187" i="79"/>
  <c r="J187" i="79"/>
  <c r="I187" i="79"/>
  <c r="H187" i="79"/>
  <c r="G187" i="79"/>
  <c r="F187" i="79"/>
  <c r="E187" i="79"/>
  <c r="D187" i="79"/>
  <c r="C187" i="79"/>
  <c r="M186" i="79"/>
  <c r="L186" i="79"/>
  <c r="K186" i="79"/>
  <c r="J186" i="79"/>
  <c r="I186" i="79"/>
  <c r="H186" i="79"/>
  <c r="G186" i="79"/>
  <c r="F186" i="79"/>
  <c r="E186" i="79"/>
  <c r="D186" i="79"/>
  <c r="C186" i="79"/>
  <c r="M185" i="79"/>
  <c r="L185" i="79"/>
  <c r="K185" i="79"/>
  <c r="J185" i="79"/>
  <c r="I185" i="79"/>
  <c r="H185" i="79"/>
  <c r="G185" i="79"/>
  <c r="F185" i="79"/>
  <c r="C185" i="79"/>
  <c r="M184" i="79"/>
  <c r="L184" i="79"/>
  <c r="K184" i="79"/>
  <c r="J184" i="79"/>
  <c r="I184" i="79"/>
  <c r="H184" i="79"/>
  <c r="G184" i="79"/>
  <c r="F184" i="79"/>
  <c r="E184" i="79"/>
  <c r="D184" i="79"/>
  <c r="C184" i="79"/>
  <c r="M183" i="79"/>
  <c r="L183" i="79"/>
  <c r="K183" i="79"/>
  <c r="J183" i="79"/>
  <c r="I183" i="79"/>
  <c r="H183" i="79"/>
  <c r="G183" i="79"/>
  <c r="F183" i="79"/>
  <c r="E183" i="79"/>
  <c r="D183" i="79"/>
  <c r="C183" i="79"/>
  <c r="M182" i="79"/>
  <c r="L182" i="79"/>
  <c r="K182" i="79"/>
  <c r="J182" i="79"/>
  <c r="I182" i="79"/>
  <c r="H182" i="79"/>
  <c r="G182" i="79"/>
  <c r="F182" i="79"/>
  <c r="E182" i="79"/>
  <c r="D182" i="79"/>
  <c r="C182" i="79"/>
  <c r="M181" i="79"/>
  <c r="L181" i="79"/>
  <c r="K181" i="79"/>
  <c r="J181" i="79"/>
  <c r="I181" i="79"/>
  <c r="H181" i="79"/>
  <c r="G181" i="79"/>
  <c r="F181" i="79"/>
  <c r="E181" i="79"/>
  <c r="D181" i="79"/>
  <c r="C181" i="79"/>
  <c r="M180" i="79"/>
  <c r="L180" i="79"/>
  <c r="K180" i="79"/>
  <c r="J180" i="79"/>
  <c r="I180" i="79"/>
  <c r="H180" i="79"/>
  <c r="G180" i="79"/>
  <c r="F180" i="79"/>
  <c r="E180" i="79"/>
  <c r="D180" i="79"/>
  <c r="C180" i="79"/>
  <c r="M179" i="79"/>
  <c r="L179" i="79"/>
  <c r="K179" i="79"/>
  <c r="J179" i="79"/>
  <c r="I179" i="79"/>
  <c r="H179" i="79"/>
  <c r="G179" i="79"/>
  <c r="F179" i="79"/>
  <c r="E179" i="79"/>
  <c r="D179" i="79"/>
  <c r="C179" i="79"/>
  <c r="M178" i="79"/>
  <c r="L178" i="79"/>
  <c r="K178" i="79"/>
  <c r="J178" i="79"/>
  <c r="I178" i="79"/>
  <c r="H178" i="79"/>
  <c r="G178" i="79"/>
  <c r="F178" i="79"/>
  <c r="E178" i="79"/>
  <c r="D178" i="79"/>
  <c r="C178" i="79"/>
  <c r="M177" i="79"/>
  <c r="L177" i="79"/>
  <c r="K177" i="79"/>
  <c r="J177" i="79"/>
  <c r="I177" i="79"/>
  <c r="H177" i="79"/>
  <c r="G177" i="79"/>
  <c r="F177" i="79"/>
  <c r="E177" i="79"/>
  <c r="D177" i="79"/>
  <c r="C177" i="79"/>
  <c r="M176" i="79"/>
  <c r="L176" i="79"/>
  <c r="K176" i="79"/>
  <c r="J176" i="79"/>
  <c r="I176" i="79"/>
  <c r="H176" i="79"/>
  <c r="G176" i="79"/>
  <c r="F176" i="79"/>
  <c r="E176" i="79"/>
  <c r="D176" i="79"/>
  <c r="C176" i="79"/>
  <c r="M175" i="79"/>
  <c r="L175" i="79"/>
  <c r="K175" i="79"/>
  <c r="J175" i="79"/>
  <c r="I175" i="79"/>
  <c r="H175" i="79"/>
  <c r="G175" i="79"/>
  <c r="F175" i="79"/>
  <c r="E175" i="79"/>
  <c r="D175" i="79"/>
  <c r="C175" i="79"/>
  <c r="M174" i="79"/>
  <c r="L174" i="79"/>
  <c r="K174" i="79"/>
  <c r="J174" i="79"/>
  <c r="I174" i="79"/>
  <c r="H174" i="79"/>
  <c r="G174" i="79"/>
  <c r="F174" i="79"/>
  <c r="E174" i="79"/>
  <c r="D174" i="79"/>
  <c r="C174" i="79"/>
  <c r="M173" i="79"/>
  <c r="L173" i="79"/>
  <c r="K173" i="79"/>
  <c r="J173" i="79"/>
  <c r="I173" i="79"/>
  <c r="H173" i="79"/>
  <c r="G173" i="79"/>
  <c r="F173" i="79"/>
  <c r="E173" i="79"/>
  <c r="D173" i="79"/>
  <c r="C173" i="79"/>
  <c r="M172" i="79"/>
  <c r="L172" i="79"/>
  <c r="K172" i="79"/>
  <c r="J172" i="79"/>
  <c r="I172" i="79"/>
  <c r="H172" i="79"/>
  <c r="G172" i="79"/>
  <c r="F172" i="79"/>
  <c r="E172" i="79"/>
  <c r="D172" i="79"/>
  <c r="C172" i="79"/>
  <c r="M171" i="79"/>
  <c r="L171" i="79"/>
  <c r="K171" i="79"/>
  <c r="J171" i="79"/>
  <c r="I171" i="79"/>
  <c r="H171" i="79"/>
  <c r="G171" i="79"/>
  <c r="F171" i="79"/>
  <c r="E171" i="79"/>
  <c r="D171" i="79"/>
  <c r="C171" i="79"/>
  <c r="M170" i="79"/>
  <c r="L170" i="79"/>
  <c r="K170" i="79"/>
  <c r="J170" i="79"/>
  <c r="I170" i="79"/>
  <c r="H170" i="79"/>
  <c r="G170" i="79"/>
  <c r="F170" i="79"/>
  <c r="E170" i="79"/>
  <c r="D170" i="79"/>
  <c r="C170" i="79"/>
  <c r="M169" i="79"/>
  <c r="L169" i="79"/>
  <c r="K169" i="79"/>
  <c r="J169" i="79"/>
  <c r="I169" i="79"/>
  <c r="H169" i="79"/>
  <c r="G169" i="79"/>
  <c r="F169" i="79"/>
  <c r="E169" i="79"/>
  <c r="D169" i="79"/>
  <c r="C169" i="79"/>
  <c r="M168" i="79"/>
  <c r="L168" i="79"/>
  <c r="K168" i="79"/>
  <c r="J168" i="79"/>
  <c r="I168" i="79"/>
  <c r="H168" i="79"/>
  <c r="G168" i="79"/>
  <c r="F168" i="79"/>
  <c r="E168" i="79"/>
  <c r="D168" i="79"/>
  <c r="C168" i="79"/>
  <c r="M167" i="79"/>
  <c r="L167" i="79"/>
  <c r="K167" i="79"/>
  <c r="J167" i="79"/>
  <c r="I167" i="79"/>
  <c r="H167" i="79"/>
  <c r="G167" i="79"/>
  <c r="F167" i="79"/>
  <c r="E167" i="79"/>
  <c r="D167" i="79"/>
  <c r="C167" i="79"/>
  <c r="M166" i="79"/>
  <c r="L166" i="79"/>
  <c r="K166" i="79"/>
  <c r="J166" i="79"/>
  <c r="I166" i="79"/>
  <c r="H166" i="79"/>
  <c r="G166" i="79"/>
  <c r="F166" i="79"/>
  <c r="E166" i="79"/>
  <c r="D166" i="79"/>
  <c r="C166" i="79"/>
  <c r="M165" i="79"/>
  <c r="L165" i="79"/>
  <c r="K165" i="79"/>
  <c r="J165" i="79"/>
  <c r="I165" i="79"/>
  <c r="H165" i="79"/>
  <c r="G165" i="79"/>
  <c r="F165" i="79"/>
  <c r="E165" i="79"/>
  <c r="D165" i="79"/>
  <c r="C165" i="79"/>
  <c r="M164" i="79"/>
  <c r="L164" i="79"/>
  <c r="K164" i="79"/>
  <c r="J164" i="79"/>
  <c r="I164" i="79"/>
  <c r="H164" i="79"/>
  <c r="G164" i="79"/>
  <c r="F164" i="79"/>
  <c r="E164" i="79"/>
  <c r="D164" i="79"/>
  <c r="C164" i="79"/>
  <c r="M163" i="79"/>
  <c r="L163" i="79"/>
  <c r="K163" i="79"/>
  <c r="J163" i="79"/>
  <c r="I163" i="79"/>
  <c r="H163" i="79"/>
  <c r="G163" i="79"/>
  <c r="F163" i="79"/>
  <c r="E163" i="79"/>
  <c r="D163" i="79"/>
  <c r="C163" i="79"/>
  <c r="M162" i="79"/>
  <c r="L162" i="79"/>
  <c r="K162" i="79"/>
  <c r="J162" i="79"/>
  <c r="I162" i="79"/>
  <c r="H162" i="79"/>
  <c r="G162" i="79"/>
  <c r="F162" i="79"/>
  <c r="E162" i="79"/>
  <c r="D162" i="79"/>
  <c r="C162" i="79"/>
  <c r="M161" i="79"/>
  <c r="L161" i="79"/>
  <c r="K161" i="79"/>
  <c r="J161" i="79"/>
  <c r="I161" i="79"/>
  <c r="H161" i="79"/>
  <c r="G161" i="79"/>
  <c r="F161" i="79"/>
  <c r="E161" i="79"/>
  <c r="D161" i="79"/>
  <c r="C161" i="79"/>
  <c r="M160" i="79"/>
  <c r="L160" i="79"/>
  <c r="K160" i="79"/>
  <c r="J160" i="79"/>
  <c r="I160" i="79"/>
  <c r="H160" i="79"/>
  <c r="G160" i="79"/>
  <c r="F160" i="79"/>
  <c r="E160" i="79"/>
  <c r="D160" i="79"/>
  <c r="C160" i="79"/>
  <c r="M159" i="79"/>
  <c r="L159" i="79"/>
  <c r="K159" i="79"/>
  <c r="J159" i="79"/>
  <c r="I159" i="79"/>
  <c r="H159" i="79"/>
  <c r="G159" i="79"/>
  <c r="F159" i="79"/>
  <c r="E159" i="79"/>
  <c r="D159" i="79"/>
  <c r="C159" i="79"/>
  <c r="M158" i="79"/>
  <c r="L158" i="79"/>
  <c r="K158" i="79"/>
  <c r="J158" i="79"/>
  <c r="I158" i="79"/>
  <c r="H158" i="79"/>
  <c r="G158" i="79"/>
  <c r="F158" i="79"/>
  <c r="E158" i="79"/>
  <c r="D158" i="79"/>
  <c r="C158" i="79"/>
  <c r="M157" i="79"/>
  <c r="L157" i="79"/>
  <c r="K157" i="79"/>
  <c r="J157" i="79"/>
  <c r="I157" i="79"/>
  <c r="H157" i="79"/>
  <c r="G157" i="79"/>
  <c r="F157" i="79"/>
  <c r="E157" i="79"/>
  <c r="D157" i="79"/>
  <c r="C157" i="79"/>
  <c r="M156" i="79"/>
  <c r="L156" i="79"/>
  <c r="K156" i="79"/>
  <c r="J156" i="79"/>
  <c r="I156" i="79"/>
  <c r="H156" i="79"/>
  <c r="G156" i="79"/>
  <c r="F156" i="79"/>
  <c r="E156" i="79"/>
  <c r="D156" i="79"/>
  <c r="C156" i="79"/>
  <c r="M155" i="79"/>
  <c r="L155" i="79"/>
  <c r="K155" i="79"/>
  <c r="J155" i="79"/>
  <c r="I155" i="79"/>
  <c r="H155" i="79"/>
  <c r="G155" i="79"/>
  <c r="F155" i="79"/>
  <c r="E155" i="79"/>
  <c r="D155" i="79"/>
  <c r="C155" i="79"/>
  <c r="M154" i="79"/>
  <c r="L154" i="79"/>
  <c r="K154" i="79"/>
  <c r="J154" i="79"/>
  <c r="I154" i="79"/>
  <c r="H154" i="79"/>
  <c r="G154" i="79"/>
  <c r="F154" i="79"/>
  <c r="E154" i="79"/>
  <c r="D154" i="79"/>
  <c r="C154" i="79"/>
  <c r="M153" i="79"/>
  <c r="L153" i="79"/>
  <c r="K153" i="79"/>
  <c r="J153" i="79"/>
  <c r="I153" i="79"/>
  <c r="H153" i="79"/>
  <c r="G153" i="79"/>
  <c r="F153" i="79"/>
  <c r="E153" i="79"/>
  <c r="D153" i="79"/>
  <c r="C153" i="79"/>
  <c r="M152" i="79"/>
  <c r="L152" i="79"/>
  <c r="K152" i="79"/>
  <c r="J152" i="79"/>
  <c r="I152" i="79"/>
  <c r="H152" i="79"/>
  <c r="G152" i="79"/>
  <c r="F152" i="79"/>
  <c r="E152" i="79"/>
  <c r="D152" i="79"/>
  <c r="C152" i="79"/>
  <c r="M151" i="79"/>
  <c r="L151" i="79"/>
  <c r="K151" i="79"/>
  <c r="J151" i="79"/>
  <c r="I151" i="79"/>
  <c r="H151" i="79"/>
  <c r="G151" i="79"/>
  <c r="F151" i="79"/>
  <c r="E151" i="79"/>
  <c r="D151" i="79"/>
  <c r="C151" i="79"/>
  <c r="M150" i="79"/>
  <c r="L150" i="79"/>
  <c r="K150" i="79"/>
  <c r="J150" i="79"/>
  <c r="I150" i="79"/>
  <c r="H150" i="79"/>
  <c r="G150" i="79"/>
  <c r="F150" i="79"/>
  <c r="E150" i="79"/>
  <c r="D150" i="79"/>
  <c r="C150" i="79"/>
  <c r="M149" i="79"/>
  <c r="L149" i="79"/>
  <c r="K149" i="79"/>
  <c r="J149" i="79"/>
  <c r="I149" i="79"/>
  <c r="H149" i="79"/>
  <c r="G149" i="79"/>
  <c r="F149" i="79"/>
  <c r="E149" i="79"/>
  <c r="D149" i="79"/>
  <c r="C149" i="79"/>
  <c r="M148" i="79"/>
  <c r="L148" i="79"/>
  <c r="K148" i="79"/>
  <c r="J148" i="79"/>
  <c r="I148" i="79"/>
  <c r="H148" i="79"/>
  <c r="G148" i="79"/>
  <c r="F148" i="79"/>
  <c r="E148" i="79"/>
  <c r="D148" i="79"/>
  <c r="C148" i="79"/>
  <c r="M147" i="79"/>
  <c r="L147" i="79"/>
  <c r="K147" i="79"/>
  <c r="J147" i="79"/>
  <c r="I147" i="79"/>
  <c r="H147" i="79"/>
  <c r="G147" i="79"/>
  <c r="F147" i="79"/>
  <c r="E147" i="79"/>
  <c r="D147" i="79"/>
  <c r="C147" i="79"/>
  <c r="M146" i="79"/>
  <c r="L146" i="79"/>
  <c r="K146" i="79"/>
  <c r="J146" i="79"/>
  <c r="I146" i="79"/>
  <c r="H146" i="79"/>
  <c r="G146" i="79"/>
  <c r="F146" i="79"/>
  <c r="E146" i="79"/>
  <c r="D146" i="79"/>
  <c r="C146" i="79"/>
  <c r="M145" i="79"/>
  <c r="L145" i="79"/>
  <c r="K145" i="79"/>
  <c r="J145" i="79"/>
  <c r="I145" i="79"/>
  <c r="H145" i="79"/>
  <c r="G145" i="79"/>
  <c r="F145" i="79"/>
  <c r="E145" i="79"/>
  <c r="D145" i="79"/>
  <c r="C145" i="79"/>
  <c r="M144" i="79"/>
  <c r="L144" i="79"/>
  <c r="K144" i="79"/>
  <c r="J144" i="79"/>
  <c r="I144" i="79"/>
  <c r="H144" i="79"/>
  <c r="G144" i="79"/>
  <c r="F144" i="79"/>
  <c r="E144" i="79"/>
  <c r="D144" i="79"/>
  <c r="C144" i="79"/>
  <c r="M143" i="79"/>
  <c r="L143" i="79"/>
  <c r="K143" i="79"/>
  <c r="J143" i="79"/>
  <c r="I143" i="79"/>
  <c r="H143" i="79"/>
  <c r="G143" i="79"/>
  <c r="F143" i="79"/>
  <c r="E143" i="79"/>
  <c r="D143" i="79"/>
  <c r="C143" i="79"/>
  <c r="M142" i="79"/>
  <c r="L142" i="79"/>
  <c r="K142" i="79"/>
  <c r="J142" i="79"/>
  <c r="I142" i="79"/>
  <c r="H142" i="79"/>
  <c r="G142" i="79"/>
  <c r="F142" i="79"/>
  <c r="E142" i="79"/>
  <c r="D142" i="79"/>
  <c r="C142" i="79"/>
  <c r="M141" i="79"/>
  <c r="L141" i="79"/>
  <c r="K141" i="79"/>
  <c r="J141" i="79"/>
  <c r="I141" i="79"/>
  <c r="H141" i="79"/>
  <c r="G141" i="79"/>
  <c r="F141" i="79"/>
  <c r="E141" i="79"/>
  <c r="D141" i="79"/>
  <c r="C141" i="79"/>
  <c r="M140" i="79"/>
  <c r="L140" i="79"/>
  <c r="K140" i="79"/>
  <c r="J140" i="79"/>
  <c r="I140" i="79"/>
  <c r="H140" i="79"/>
  <c r="G140" i="79"/>
  <c r="F140" i="79"/>
  <c r="E140" i="79"/>
  <c r="D140" i="79"/>
  <c r="C140" i="79"/>
  <c r="M139" i="79"/>
  <c r="L139" i="79"/>
  <c r="K139" i="79"/>
  <c r="J139" i="79"/>
  <c r="I139" i="79"/>
  <c r="H139" i="79"/>
  <c r="G139" i="79"/>
  <c r="F139" i="79"/>
  <c r="E139" i="79"/>
  <c r="D139" i="79"/>
  <c r="C139" i="79"/>
  <c r="M138" i="79"/>
  <c r="L138" i="79"/>
  <c r="K138" i="79"/>
  <c r="J138" i="79"/>
  <c r="I138" i="79"/>
  <c r="H138" i="79"/>
  <c r="G138" i="79"/>
  <c r="F138" i="79"/>
  <c r="E138" i="79"/>
  <c r="D138" i="79"/>
  <c r="C138" i="79"/>
  <c r="M137" i="79"/>
  <c r="L137" i="79"/>
  <c r="K137" i="79"/>
  <c r="J137" i="79"/>
  <c r="I137" i="79"/>
  <c r="H137" i="79"/>
  <c r="G137" i="79"/>
  <c r="F137" i="79"/>
  <c r="E137" i="79"/>
  <c r="D137" i="79"/>
  <c r="C137" i="79"/>
  <c r="M136" i="79"/>
  <c r="L136" i="79"/>
  <c r="K136" i="79"/>
  <c r="J136" i="79"/>
  <c r="I136" i="79"/>
  <c r="H136" i="79"/>
  <c r="G136" i="79"/>
  <c r="F136" i="79"/>
  <c r="E136" i="79"/>
  <c r="D136" i="79"/>
  <c r="C136" i="79"/>
  <c r="M135" i="79"/>
  <c r="L135" i="79"/>
  <c r="K135" i="79"/>
  <c r="J135" i="79"/>
  <c r="I135" i="79"/>
  <c r="H135" i="79"/>
  <c r="G135" i="79"/>
  <c r="F135" i="79"/>
  <c r="E135" i="79"/>
  <c r="D135" i="79"/>
  <c r="C135" i="79"/>
  <c r="M134" i="79"/>
  <c r="L134" i="79"/>
  <c r="K134" i="79"/>
  <c r="J134" i="79"/>
  <c r="I134" i="79"/>
  <c r="H134" i="79"/>
  <c r="G134" i="79"/>
  <c r="F134" i="79"/>
  <c r="E134" i="79"/>
  <c r="D134" i="79"/>
  <c r="C134" i="79"/>
  <c r="M133" i="79"/>
  <c r="L133" i="79"/>
  <c r="K133" i="79"/>
  <c r="J133" i="79"/>
  <c r="I133" i="79"/>
  <c r="H133" i="79"/>
  <c r="G133" i="79"/>
  <c r="F133" i="79"/>
  <c r="E133" i="79"/>
  <c r="D133" i="79"/>
  <c r="C133" i="79"/>
  <c r="M132" i="79"/>
  <c r="L132" i="79"/>
  <c r="K132" i="79"/>
  <c r="J132" i="79"/>
  <c r="I132" i="79"/>
  <c r="H132" i="79"/>
  <c r="G132" i="79"/>
  <c r="F132" i="79"/>
  <c r="E132" i="79"/>
  <c r="D132" i="79"/>
  <c r="C132" i="79"/>
  <c r="M131" i="79"/>
  <c r="L131" i="79"/>
  <c r="K131" i="79"/>
  <c r="J131" i="79"/>
  <c r="I131" i="79"/>
  <c r="H131" i="79"/>
  <c r="G131" i="79"/>
  <c r="F131" i="79"/>
  <c r="E131" i="79"/>
  <c r="D131" i="79"/>
  <c r="C131" i="79"/>
  <c r="M130" i="79"/>
  <c r="L130" i="79"/>
  <c r="K130" i="79"/>
  <c r="J130" i="79"/>
  <c r="I130" i="79"/>
  <c r="H130" i="79"/>
  <c r="G130" i="79"/>
  <c r="F130" i="79"/>
  <c r="E130" i="79"/>
  <c r="D130" i="79"/>
  <c r="C130" i="79"/>
  <c r="M129" i="79"/>
  <c r="L129" i="79"/>
  <c r="K129" i="79"/>
  <c r="J129" i="79"/>
  <c r="I129" i="79"/>
  <c r="H129" i="79"/>
  <c r="G129" i="79"/>
  <c r="F129" i="79"/>
  <c r="E129" i="79"/>
  <c r="D129" i="79"/>
  <c r="C129" i="79"/>
  <c r="M128" i="79"/>
  <c r="L128" i="79"/>
  <c r="K128" i="79"/>
  <c r="J128" i="79"/>
  <c r="I128" i="79"/>
  <c r="H128" i="79"/>
  <c r="G128" i="79"/>
  <c r="F128" i="79"/>
  <c r="E128" i="79"/>
  <c r="D128" i="79"/>
  <c r="C128" i="79"/>
  <c r="M127" i="79"/>
  <c r="L127" i="79"/>
  <c r="K127" i="79"/>
  <c r="J127" i="79"/>
  <c r="I127" i="79"/>
  <c r="H127" i="79"/>
  <c r="G127" i="79"/>
  <c r="F127" i="79"/>
  <c r="E127" i="79"/>
  <c r="D127" i="79"/>
  <c r="C127" i="79"/>
  <c r="M126" i="79"/>
  <c r="L126" i="79"/>
  <c r="K126" i="79"/>
  <c r="J126" i="79"/>
  <c r="I126" i="79"/>
  <c r="H126" i="79"/>
  <c r="G126" i="79"/>
  <c r="F126" i="79"/>
  <c r="E126" i="79"/>
  <c r="D126" i="79"/>
  <c r="C126" i="79"/>
  <c r="M125" i="79"/>
  <c r="L125" i="79"/>
  <c r="K125" i="79"/>
  <c r="J125" i="79"/>
  <c r="I125" i="79"/>
  <c r="H125" i="79"/>
  <c r="G125" i="79"/>
  <c r="F125" i="79"/>
  <c r="E125" i="79"/>
  <c r="D125" i="79"/>
  <c r="C125" i="79"/>
  <c r="M124" i="79"/>
  <c r="L124" i="79"/>
  <c r="K124" i="79"/>
  <c r="J124" i="79"/>
  <c r="I124" i="79"/>
  <c r="H124" i="79"/>
  <c r="G124" i="79"/>
  <c r="F124" i="79"/>
  <c r="E124" i="79"/>
  <c r="D124" i="79"/>
  <c r="C124" i="79"/>
  <c r="M123" i="79"/>
  <c r="L123" i="79"/>
  <c r="K123" i="79"/>
  <c r="J123" i="79"/>
  <c r="I123" i="79"/>
  <c r="H123" i="79"/>
  <c r="G123" i="79"/>
  <c r="F123" i="79"/>
  <c r="E123" i="79"/>
  <c r="D123" i="79"/>
  <c r="C123" i="79"/>
  <c r="M122" i="79"/>
  <c r="L122" i="79"/>
  <c r="K122" i="79"/>
  <c r="J122" i="79"/>
  <c r="I122" i="79"/>
  <c r="H122" i="79"/>
  <c r="G122" i="79"/>
  <c r="F122" i="79"/>
  <c r="E122" i="79"/>
  <c r="D122" i="79"/>
  <c r="C122" i="79"/>
  <c r="M121" i="79"/>
  <c r="L121" i="79"/>
  <c r="K121" i="79"/>
  <c r="J121" i="79"/>
  <c r="I121" i="79"/>
  <c r="H121" i="79"/>
  <c r="G121" i="79"/>
  <c r="F121" i="79"/>
  <c r="E121" i="79"/>
  <c r="D121" i="79"/>
  <c r="C121" i="79"/>
  <c r="M120" i="79"/>
  <c r="L120" i="79"/>
  <c r="K120" i="79"/>
  <c r="J120" i="79"/>
  <c r="I120" i="79"/>
  <c r="H120" i="79"/>
  <c r="G120" i="79"/>
  <c r="F120" i="79"/>
  <c r="E120" i="79"/>
  <c r="D120" i="79"/>
  <c r="C120" i="79"/>
  <c r="M119" i="79"/>
  <c r="L119" i="79"/>
  <c r="K119" i="79"/>
  <c r="J119" i="79"/>
  <c r="I119" i="79"/>
  <c r="H119" i="79"/>
  <c r="G119" i="79"/>
  <c r="F119" i="79"/>
  <c r="E119" i="79"/>
  <c r="D119" i="79"/>
  <c r="C119" i="79"/>
  <c r="M118" i="79"/>
  <c r="L118" i="79"/>
  <c r="K118" i="79"/>
  <c r="J118" i="79"/>
  <c r="I118" i="79"/>
  <c r="H118" i="79"/>
  <c r="G118" i="79"/>
  <c r="F118" i="79"/>
  <c r="E118" i="79"/>
  <c r="D118" i="79"/>
  <c r="C118" i="79"/>
  <c r="M117" i="79"/>
  <c r="L117" i="79"/>
  <c r="K117" i="79"/>
  <c r="J117" i="79"/>
  <c r="I117" i="79"/>
  <c r="H117" i="79"/>
  <c r="G117" i="79"/>
  <c r="F117" i="79"/>
  <c r="E117" i="79"/>
  <c r="D117" i="79"/>
  <c r="C117" i="79"/>
  <c r="M116" i="79"/>
  <c r="L116" i="79"/>
  <c r="K116" i="79"/>
  <c r="J116" i="79"/>
  <c r="I116" i="79"/>
  <c r="H116" i="79"/>
  <c r="G116" i="79"/>
  <c r="F116" i="79"/>
  <c r="E116" i="79"/>
  <c r="D116" i="79"/>
  <c r="C116" i="79"/>
  <c r="M115" i="79"/>
  <c r="L115" i="79"/>
  <c r="K115" i="79"/>
  <c r="J115" i="79"/>
  <c r="I115" i="79"/>
  <c r="H115" i="79"/>
  <c r="G115" i="79"/>
  <c r="F115" i="79"/>
  <c r="E115" i="79"/>
  <c r="D115" i="79"/>
  <c r="C115" i="79"/>
  <c r="M114" i="79"/>
  <c r="L114" i="79"/>
  <c r="K114" i="79"/>
  <c r="J114" i="79"/>
  <c r="I114" i="79"/>
  <c r="H114" i="79"/>
  <c r="G114" i="79"/>
  <c r="F114" i="79"/>
  <c r="E114" i="79"/>
  <c r="D114" i="79"/>
  <c r="C114" i="79"/>
  <c r="M113" i="79"/>
  <c r="L113" i="79"/>
  <c r="K113" i="79"/>
  <c r="J113" i="79"/>
  <c r="I113" i="79"/>
  <c r="H113" i="79"/>
  <c r="G113" i="79"/>
  <c r="F113" i="79"/>
  <c r="E113" i="79"/>
  <c r="D113" i="79"/>
  <c r="C113" i="79"/>
  <c r="M112" i="79"/>
  <c r="L112" i="79"/>
  <c r="K112" i="79"/>
  <c r="J112" i="79"/>
  <c r="I112" i="79"/>
  <c r="H112" i="79"/>
  <c r="G112" i="79"/>
  <c r="F112" i="79"/>
  <c r="E112" i="79"/>
  <c r="D112" i="79"/>
  <c r="C112" i="79"/>
  <c r="M111" i="79"/>
  <c r="L111" i="79"/>
  <c r="K111" i="79"/>
  <c r="J111" i="79"/>
  <c r="I111" i="79"/>
  <c r="H111" i="79"/>
  <c r="G111" i="79"/>
  <c r="F111" i="79"/>
  <c r="E111" i="79"/>
  <c r="D111" i="79"/>
  <c r="C111" i="79"/>
  <c r="M110" i="79"/>
  <c r="L110" i="79"/>
  <c r="K110" i="79"/>
  <c r="J110" i="79"/>
  <c r="I110" i="79"/>
  <c r="H110" i="79"/>
  <c r="G110" i="79"/>
  <c r="F110" i="79"/>
  <c r="E110" i="79"/>
  <c r="D110" i="79"/>
  <c r="C110" i="79"/>
  <c r="M109" i="79"/>
  <c r="L109" i="79"/>
  <c r="K109" i="79"/>
  <c r="J109" i="79"/>
  <c r="I109" i="79"/>
  <c r="H109" i="79"/>
  <c r="G109" i="79"/>
  <c r="F109" i="79"/>
  <c r="E109" i="79"/>
  <c r="D109" i="79"/>
  <c r="C109" i="79"/>
  <c r="M108" i="79"/>
  <c r="L108" i="79"/>
  <c r="K108" i="79"/>
  <c r="J108" i="79"/>
  <c r="I108" i="79"/>
  <c r="H108" i="79"/>
  <c r="G108" i="79"/>
  <c r="F108" i="79"/>
  <c r="E108" i="79"/>
  <c r="D108" i="79"/>
  <c r="C108" i="79"/>
  <c r="M107" i="79"/>
  <c r="L107" i="79"/>
  <c r="K107" i="79"/>
  <c r="J107" i="79"/>
  <c r="I107" i="79"/>
  <c r="H107" i="79"/>
  <c r="G107" i="79"/>
  <c r="F107" i="79"/>
  <c r="E107" i="79"/>
  <c r="D107" i="79"/>
  <c r="C107" i="79"/>
  <c r="M106" i="79"/>
  <c r="L106" i="79"/>
  <c r="K106" i="79"/>
  <c r="J106" i="79"/>
  <c r="I106" i="79"/>
  <c r="H106" i="79"/>
  <c r="G106" i="79"/>
  <c r="F106" i="79"/>
  <c r="E106" i="79"/>
  <c r="D106" i="79"/>
  <c r="C106" i="79"/>
  <c r="M105" i="79"/>
  <c r="L105" i="79"/>
  <c r="K105" i="79"/>
  <c r="J105" i="79"/>
  <c r="I105" i="79"/>
  <c r="H105" i="79"/>
  <c r="G105" i="79"/>
  <c r="F105" i="79"/>
  <c r="E105" i="79"/>
  <c r="D105" i="79"/>
  <c r="C105" i="79"/>
  <c r="M104" i="79"/>
  <c r="L104" i="79"/>
  <c r="K104" i="79"/>
  <c r="J104" i="79"/>
  <c r="I104" i="79"/>
  <c r="H104" i="79"/>
  <c r="G104" i="79"/>
  <c r="F104" i="79"/>
  <c r="E104" i="79"/>
  <c r="D104" i="79"/>
  <c r="C104" i="79"/>
  <c r="M103" i="79"/>
  <c r="L103" i="79"/>
  <c r="K103" i="79"/>
  <c r="J103" i="79"/>
  <c r="I103" i="79"/>
  <c r="H103" i="79"/>
  <c r="G103" i="79"/>
  <c r="F103" i="79"/>
  <c r="E103" i="79"/>
  <c r="D103" i="79"/>
  <c r="C103" i="79"/>
  <c r="M102" i="79"/>
  <c r="L102" i="79"/>
  <c r="K102" i="79"/>
  <c r="J102" i="79"/>
  <c r="I102" i="79"/>
  <c r="H102" i="79"/>
  <c r="G102" i="79"/>
  <c r="F102" i="79"/>
  <c r="E102" i="79"/>
  <c r="D102" i="79"/>
  <c r="C102" i="79"/>
  <c r="M101" i="79"/>
  <c r="L101" i="79"/>
  <c r="K101" i="79"/>
  <c r="J101" i="79"/>
  <c r="I101" i="79"/>
  <c r="H101" i="79"/>
  <c r="G101" i="79"/>
  <c r="F101" i="79"/>
  <c r="E101" i="79"/>
  <c r="D101" i="79"/>
  <c r="C101" i="79"/>
  <c r="M100" i="79"/>
  <c r="L100" i="79"/>
  <c r="K100" i="79"/>
  <c r="J100" i="79"/>
  <c r="I100" i="79"/>
  <c r="H100" i="79"/>
  <c r="G100" i="79"/>
  <c r="F100" i="79"/>
  <c r="E100" i="79"/>
  <c r="D100" i="79"/>
  <c r="C100" i="79"/>
  <c r="M99" i="79"/>
  <c r="L99" i="79"/>
  <c r="K99" i="79"/>
  <c r="J99" i="79"/>
  <c r="I99" i="79"/>
  <c r="H99" i="79"/>
  <c r="G99" i="79"/>
  <c r="F99" i="79"/>
  <c r="E99" i="79"/>
  <c r="D99" i="79"/>
  <c r="C99" i="79"/>
  <c r="M98" i="79"/>
  <c r="L98" i="79"/>
  <c r="K98" i="79"/>
  <c r="J98" i="79"/>
  <c r="I98" i="79"/>
  <c r="H98" i="79"/>
  <c r="G98" i="79"/>
  <c r="F98" i="79"/>
  <c r="E98" i="79"/>
  <c r="D98" i="79"/>
  <c r="C98" i="79"/>
  <c r="M97" i="79"/>
  <c r="L97" i="79"/>
  <c r="K97" i="79"/>
  <c r="J97" i="79"/>
  <c r="I97" i="79"/>
  <c r="H97" i="79"/>
  <c r="G97" i="79"/>
  <c r="F97" i="79"/>
  <c r="E97" i="79"/>
  <c r="D97" i="79"/>
  <c r="C97" i="79"/>
  <c r="M96" i="79"/>
  <c r="L96" i="79"/>
  <c r="K96" i="79"/>
  <c r="J96" i="79"/>
  <c r="I96" i="79"/>
  <c r="H96" i="79"/>
  <c r="G96" i="79"/>
  <c r="F96" i="79"/>
  <c r="E96" i="79"/>
  <c r="D96" i="79"/>
  <c r="C96" i="79"/>
  <c r="M95" i="79"/>
  <c r="L95" i="79"/>
  <c r="K95" i="79"/>
  <c r="J95" i="79"/>
  <c r="I95" i="79"/>
  <c r="H95" i="79"/>
  <c r="G95" i="79"/>
  <c r="F95" i="79"/>
  <c r="E95" i="79"/>
  <c r="D95" i="79"/>
  <c r="C95" i="79"/>
  <c r="M94" i="79"/>
  <c r="L94" i="79"/>
  <c r="K94" i="79"/>
  <c r="J94" i="79"/>
  <c r="I94" i="79"/>
  <c r="H94" i="79"/>
  <c r="G94" i="79"/>
  <c r="F94" i="79"/>
  <c r="E94" i="79"/>
  <c r="D94" i="79"/>
  <c r="C94" i="79"/>
  <c r="M93" i="79"/>
  <c r="L93" i="79"/>
  <c r="K93" i="79"/>
  <c r="J93" i="79"/>
  <c r="I93" i="79"/>
  <c r="H93" i="79"/>
  <c r="G93" i="79"/>
  <c r="F93" i="79"/>
  <c r="E93" i="79"/>
  <c r="D93" i="79"/>
  <c r="C93" i="79"/>
  <c r="M92" i="79"/>
  <c r="L92" i="79"/>
  <c r="K92" i="79"/>
  <c r="J92" i="79"/>
  <c r="I92" i="79"/>
  <c r="H92" i="79"/>
  <c r="G92" i="79"/>
  <c r="F92" i="79"/>
  <c r="E92" i="79"/>
  <c r="D92" i="79"/>
  <c r="C92" i="79"/>
  <c r="M91" i="79"/>
  <c r="L91" i="79"/>
  <c r="K91" i="79"/>
  <c r="J91" i="79"/>
  <c r="I91" i="79"/>
  <c r="H91" i="79"/>
  <c r="G91" i="79"/>
  <c r="F91" i="79"/>
  <c r="E91" i="79"/>
  <c r="D91" i="79"/>
  <c r="C91" i="79"/>
  <c r="M90" i="79"/>
  <c r="L90" i="79"/>
  <c r="K90" i="79"/>
  <c r="J90" i="79"/>
  <c r="I90" i="79"/>
  <c r="H90" i="79"/>
  <c r="G90" i="79"/>
  <c r="F90" i="79"/>
  <c r="E90" i="79"/>
  <c r="D90" i="79"/>
  <c r="C90" i="79"/>
  <c r="M89" i="79"/>
  <c r="L89" i="79"/>
  <c r="K89" i="79"/>
  <c r="J89" i="79"/>
  <c r="I89" i="79"/>
  <c r="H89" i="79"/>
  <c r="G89" i="79"/>
  <c r="F89" i="79"/>
  <c r="E89" i="79"/>
  <c r="D89" i="79"/>
  <c r="C89" i="79"/>
  <c r="M88" i="79"/>
  <c r="L88" i="79"/>
  <c r="K88" i="79"/>
  <c r="J88" i="79"/>
  <c r="I88" i="79"/>
  <c r="H88" i="79"/>
  <c r="G88" i="79"/>
  <c r="F88" i="79"/>
  <c r="E88" i="79"/>
  <c r="D88" i="79"/>
  <c r="C88" i="79"/>
  <c r="M87" i="79"/>
  <c r="L87" i="79"/>
  <c r="K87" i="79"/>
  <c r="J87" i="79"/>
  <c r="I87" i="79"/>
  <c r="H87" i="79"/>
  <c r="G87" i="79"/>
  <c r="F87" i="79"/>
  <c r="E87" i="79"/>
  <c r="D87" i="79"/>
  <c r="C87" i="79"/>
  <c r="M86" i="79"/>
  <c r="L86" i="79"/>
  <c r="K86" i="79"/>
  <c r="J86" i="79"/>
  <c r="I86" i="79"/>
  <c r="H86" i="79"/>
  <c r="G86" i="79"/>
  <c r="F86" i="79"/>
  <c r="E86" i="79"/>
  <c r="D86" i="79"/>
  <c r="C86" i="79"/>
  <c r="M85" i="79"/>
  <c r="L85" i="79"/>
  <c r="K85" i="79"/>
  <c r="J85" i="79"/>
  <c r="I85" i="79"/>
  <c r="H85" i="79"/>
  <c r="G85" i="79"/>
  <c r="F85" i="79"/>
  <c r="E85" i="79"/>
  <c r="D85" i="79"/>
  <c r="C85" i="79"/>
  <c r="M84" i="79"/>
  <c r="L84" i="79"/>
  <c r="K84" i="79"/>
  <c r="J84" i="79"/>
  <c r="I84" i="79"/>
  <c r="H84" i="79"/>
  <c r="G84" i="79"/>
  <c r="F84" i="79"/>
  <c r="E84" i="79"/>
  <c r="D84" i="79"/>
  <c r="C84" i="79"/>
  <c r="M83" i="79"/>
  <c r="L83" i="79"/>
  <c r="K83" i="79"/>
  <c r="J83" i="79"/>
  <c r="I83" i="79"/>
  <c r="H83" i="79"/>
  <c r="G83" i="79"/>
  <c r="F83" i="79"/>
  <c r="E83" i="79"/>
  <c r="D83" i="79"/>
  <c r="C83" i="79"/>
  <c r="M82" i="79"/>
  <c r="L82" i="79"/>
  <c r="K82" i="79"/>
  <c r="J82" i="79"/>
  <c r="I82" i="79"/>
  <c r="H82" i="79"/>
  <c r="G82" i="79"/>
  <c r="F82" i="79"/>
  <c r="E82" i="79"/>
  <c r="D82" i="79"/>
  <c r="C82" i="79"/>
  <c r="M81" i="79"/>
  <c r="L81" i="79"/>
  <c r="K81" i="79"/>
  <c r="J81" i="79"/>
  <c r="I81" i="79"/>
  <c r="H81" i="79"/>
  <c r="G81" i="79"/>
  <c r="F81" i="79"/>
  <c r="E81" i="79"/>
  <c r="D81" i="79"/>
  <c r="C81" i="79"/>
  <c r="M80" i="79"/>
  <c r="L80" i="79"/>
  <c r="K80" i="79"/>
  <c r="J80" i="79"/>
  <c r="I80" i="79"/>
  <c r="H80" i="79"/>
  <c r="G80" i="79"/>
  <c r="F80" i="79"/>
  <c r="E80" i="79"/>
  <c r="D80" i="79"/>
  <c r="C80" i="79"/>
  <c r="M79" i="79"/>
  <c r="L79" i="79"/>
  <c r="K79" i="79"/>
  <c r="J79" i="79"/>
  <c r="I79" i="79"/>
  <c r="H79" i="79"/>
  <c r="G79" i="79"/>
  <c r="F79" i="79"/>
  <c r="E79" i="79"/>
  <c r="D79" i="79"/>
  <c r="C79" i="79"/>
  <c r="M78" i="79"/>
  <c r="L78" i="79"/>
  <c r="K78" i="79"/>
  <c r="J78" i="79"/>
  <c r="I78" i="79"/>
  <c r="H78" i="79"/>
  <c r="G78" i="79"/>
  <c r="F78" i="79"/>
  <c r="E78" i="79"/>
  <c r="D78" i="79"/>
  <c r="C78" i="79"/>
  <c r="M77" i="79"/>
  <c r="L77" i="79"/>
  <c r="K77" i="79"/>
  <c r="J77" i="79"/>
  <c r="I77" i="79"/>
  <c r="H77" i="79"/>
  <c r="G77" i="79"/>
  <c r="F77" i="79"/>
  <c r="E77" i="79"/>
  <c r="D77" i="79"/>
  <c r="C77" i="79"/>
  <c r="M76" i="79"/>
  <c r="L76" i="79"/>
  <c r="K76" i="79"/>
  <c r="J76" i="79"/>
  <c r="I76" i="79"/>
  <c r="H76" i="79"/>
  <c r="G76" i="79"/>
  <c r="F76" i="79"/>
  <c r="E76" i="79"/>
  <c r="D76" i="79"/>
  <c r="C76" i="79"/>
  <c r="M75" i="79"/>
  <c r="L75" i="79"/>
  <c r="K75" i="79"/>
  <c r="J75" i="79"/>
  <c r="I75" i="79"/>
  <c r="H75" i="79"/>
  <c r="G75" i="79"/>
  <c r="F75" i="79"/>
  <c r="E75" i="79"/>
  <c r="D75" i="79"/>
  <c r="C75" i="79"/>
  <c r="M74" i="79"/>
  <c r="L74" i="79"/>
  <c r="K74" i="79"/>
  <c r="J74" i="79"/>
  <c r="I74" i="79"/>
  <c r="H74" i="79"/>
  <c r="G74" i="79"/>
  <c r="F74" i="79"/>
  <c r="E74" i="79"/>
  <c r="D74" i="79"/>
  <c r="C74" i="79"/>
  <c r="M73" i="79"/>
  <c r="L73" i="79"/>
  <c r="K73" i="79"/>
  <c r="J73" i="79"/>
  <c r="I73" i="79"/>
  <c r="H73" i="79"/>
  <c r="G73" i="79"/>
  <c r="F73" i="79"/>
  <c r="E73" i="79"/>
  <c r="D73" i="79"/>
  <c r="C73" i="79"/>
  <c r="M72" i="79"/>
  <c r="L72" i="79"/>
  <c r="K72" i="79"/>
  <c r="J72" i="79"/>
  <c r="I72" i="79"/>
  <c r="H72" i="79"/>
  <c r="G72" i="79"/>
  <c r="F72" i="79"/>
  <c r="E72" i="79"/>
  <c r="D72" i="79"/>
  <c r="C72" i="79"/>
  <c r="M71" i="79"/>
  <c r="L71" i="79"/>
  <c r="K71" i="79"/>
  <c r="J71" i="79"/>
  <c r="I71" i="79"/>
  <c r="H71" i="79"/>
  <c r="G71" i="79"/>
  <c r="F71" i="79"/>
  <c r="E71" i="79"/>
  <c r="D71" i="79"/>
  <c r="C71" i="79"/>
  <c r="M70" i="79"/>
  <c r="L70" i="79"/>
  <c r="K70" i="79"/>
  <c r="J70" i="79"/>
  <c r="I70" i="79"/>
  <c r="H70" i="79"/>
  <c r="G70" i="79"/>
  <c r="F70" i="79"/>
  <c r="E70" i="79"/>
  <c r="D70" i="79"/>
  <c r="C70" i="79"/>
  <c r="M69" i="79"/>
  <c r="L69" i="79"/>
  <c r="K69" i="79"/>
  <c r="J69" i="79"/>
  <c r="I69" i="79"/>
  <c r="H69" i="79"/>
  <c r="G69" i="79"/>
  <c r="F69" i="79"/>
  <c r="E69" i="79"/>
  <c r="D69" i="79"/>
  <c r="C69" i="79"/>
  <c r="M68" i="79"/>
  <c r="L68" i="79"/>
  <c r="K68" i="79"/>
  <c r="J68" i="79"/>
  <c r="I68" i="79"/>
  <c r="H68" i="79"/>
  <c r="G68" i="79"/>
  <c r="F68" i="79"/>
  <c r="E68" i="79"/>
  <c r="D68" i="79"/>
  <c r="C68" i="79"/>
  <c r="M67" i="79"/>
  <c r="L67" i="79"/>
  <c r="K67" i="79"/>
  <c r="J67" i="79"/>
  <c r="I67" i="79"/>
  <c r="H67" i="79"/>
  <c r="G67" i="79"/>
  <c r="F67" i="79"/>
  <c r="E67" i="79"/>
  <c r="D67" i="79"/>
  <c r="C67" i="79"/>
  <c r="M66" i="79"/>
  <c r="L66" i="79"/>
  <c r="K66" i="79"/>
  <c r="J66" i="79"/>
  <c r="I66" i="79"/>
  <c r="H66" i="79"/>
  <c r="G66" i="79"/>
  <c r="F66" i="79"/>
  <c r="E66" i="79"/>
  <c r="D66" i="79"/>
  <c r="C66" i="79"/>
  <c r="M65" i="79"/>
  <c r="L65" i="79"/>
  <c r="K65" i="79"/>
  <c r="J65" i="79"/>
  <c r="I65" i="79"/>
  <c r="H65" i="79"/>
  <c r="G65" i="79"/>
  <c r="F65" i="79"/>
  <c r="E65" i="79"/>
  <c r="D65" i="79"/>
  <c r="C65" i="79"/>
  <c r="M64" i="79"/>
  <c r="L64" i="79"/>
  <c r="K64" i="79"/>
  <c r="J64" i="79"/>
  <c r="I64" i="79"/>
  <c r="H64" i="79"/>
  <c r="G64" i="79"/>
  <c r="F64" i="79"/>
  <c r="E64" i="79"/>
  <c r="D64" i="79"/>
  <c r="C64" i="79"/>
  <c r="M63" i="79"/>
  <c r="L63" i="79"/>
  <c r="K63" i="79"/>
  <c r="J63" i="79"/>
  <c r="I63" i="79"/>
  <c r="H63" i="79"/>
  <c r="G63" i="79"/>
  <c r="F63" i="79"/>
  <c r="E63" i="79"/>
  <c r="D63" i="79"/>
  <c r="C63" i="79"/>
  <c r="M62" i="79"/>
  <c r="L62" i="79"/>
  <c r="K62" i="79"/>
  <c r="J62" i="79"/>
  <c r="I62" i="79"/>
  <c r="H62" i="79"/>
  <c r="G62" i="79"/>
  <c r="F62" i="79"/>
  <c r="E62" i="79"/>
  <c r="D62" i="79"/>
  <c r="C62" i="79"/>
  <c r="M61" i="79"/>
  <c r="L61" i="79"/>
  <c r="K61" i="79"/>
  <c r="J61" i="79"/>
  <c r="I61" i="79"/>
  <c r="H61" i="79"/>
  <c r="G61" i="79"/>
  <c r="F61" i="79"/>
  <c r="E61" i="79"/>
  <c r="D61" i="79"/>
  <c r="C61" i="79"/>
  <c r="M60" i="79"/>
  <c r="L60" i="79"/>
  <c r="K60" i="79"/>
  <c r="J60" i="79"/>
  <c r="I60" i="79"/>
  <c r="H60" i="79"/>
  <c r="G60" i="79"/>
  <c r="F60" i="79"/>
  <c r="E60" i="79"/>
  <c r="D60" i="79"/>
  <c r="C60" i="79"/>
  <c r="M59" i="79"/>
  <c r="L59" i="79"/>
  <c r="K59" i="79"/>
  <c r="J59" i="79"/>
  <c r="I59" i="79"/>
  <c r="H59" i="79"/>
  <c r="G59" i="79"/>
  <c r="F59" i="79"/>
  <c r="E59" i="79"/>
  <c r="D59" i="79"/>
  <c r="C59" i="79"/>
  <c r="M58" i="79"/>
  <c r="L58" i="79"/>
  <c r="K58" i="79"/>
  <c r="J58" i="79"/>
  <c r="I58" i="79"/>
  <c r="H58" i="79"/>
  <c r="G58" i="79"/>
  <c r="F58" i="79"/>
  <c r="E58" i="79"/>
  <c r="D58" i="79"/>
  <c r="C58" i="79"/>
  <c r="M57" i="79"/>
  <c r="L57" i="79"/>
  <c r="K57" i="79"/>
  <c r="J57" i="79"/>
  <c r="I57" i="79"/>
  <c r="H57" i="79"/>
  <c r="G57" i="79"/>
  <c r="F57" i="79"/>
  <c r="E57" i="79"/>
  <c r="D57" i="79"/>
  <c r="C57" i="79"/>
  <c r="M56" i="79"/>
  <c r="L56" i="79"/>
  <c r="K56" i="79"/>
  <c r="J56" i="79"/>
  <c r="I56" i="79"/>
  <c r="H56" i="79"/>
  <c r="G56" i="79"/>
  <c r="F56" i="79"/>
  <c r="E56" i="79"/>
  <c r="D56" i="79"/>
  <c r="C56" i="79"/>
  <c r="M55" i="79"/>
  <c r="L55" i="79"/>
  <c r="K55" i="79"/>
  <c r="J55" i="79"/>
  <c r="I55" i="79"/>
  <c r="H55" i="79"/>
  <c r="G55" i="79"/>
  <c r="F55" i="79"/>
  <c r="E55" i="79"/>
  <c r="D55" i="79"/>
  <c r="C55" i="79"/>
  <c r="M54" i="79"/>
  <c r="L54" i="79"/>
  <c r="K54" i="79"/>
  <c r="J54" i="79"/>
  <c r="I54" i="79"/>
  <c r="H54" i="79"/>
  <c r="G54" i="79"/>
  <c r="F54" i="79"/>
  <c r="E54" i="79"/>
  <c r="D54" i="79"/>
  <c r="C54" i="79"/>
  <c r="M53" i="79"/>
  <c r="L53" i="79"/>
  <c r="K53" i="79"/>
  <c r="J53" i="79"/>
  <c r="I53" i="79"/>
  <c r="H53" i="79"/>
  <c r="G53" i="79"/>
  <c r="F53" i="79"/>
  <c r="E53" i="79"/>
  <c r="D53" i="79"/>
  <c r="C53" i="79"/>
  <c r="M52" i="79"/>
  <c r="L52" i="79"/>
  <c r="K52" i="79"/>
  <c r="J52" i="79"/>
  <c r="I52" i="79"/>
  <c r="H52" i="79"/>
  <c r="G52" i="79"/>
  <c r="F52" i="79"/>
  <c r="E52" i="79"/>
  <c r="D52" i="79"/>
  <c r="C52" i="79"/>
  <c r="M51" i="79"/>
  <c r="L51" i="79"/>
  <c r="K51" i="79"/>
  <c r="J51" i="79"/>
  <c r="I51" i="79"/>
  <c r="H51" i="79"/>
  <c r="G51" i="79"/>
  <c r="F51" i="79"/>
  <c r="E51" i="79"/>
  <c r="D51" i="79"/>
  <c r="C51" i="79"/>
  <c r="M50" i="79"/>
  <c r="L50" i="79"/>
  <c r="K50" i="79"/>
  <c r="J50" i="79"/>
  <c r="I50" i="79"/>
  <c r="H50" i="79"/>
  <c r="G50" i="79"/>
  <c r="F50" i="79"/>
  <c r="E50" i="79"/>
  <c r="D50" i="79"/>
  <c r="C50" i="79"/>
  <c r="M49" i="79"/>
  <c r="L49" i="79"/>
  <c r="K49" i="79"/>
  <c r="J49" i="79"/>
  <c r="I49" i="79"/>
  <c r="H49" i="79"/>
  <c r="G49" i="79"/>
  <c r="F49" i="79"/>
  <c r="E49" i="79"/>
  <c r="D49" i="79"/>
  <c r="C49" i="79"/>
  <c r="M48" i="79"/>
  <c r="L48" i="79"/>
  <c r="K48" i="79"/>
  <c r="J48" i="79"/>
  <c r="I48" i="79"/>
  <c r="H48" i="79"/>
  <c r="G48" i="79"/>
  <c r="F48" i="79"/>
  <c r="E48" i="79"/>
  <c r="D48" i="79"/>
  <c r="C48" i="79"/>
  <c r="M47" i="79"/>
  <c r="L47" i="79"/>
  <c r="K47" i="79"/>
  <c r="J47" i="79"/>
  <c r="I47" i="79"/>
  <c r="H47" i="79"/>
  <c r="G47" i="79"/>
  <c r="F47" i="79"/>
  <c r="E47" i="79"/>
  <c r="D47" i="79"/>
  <c r="C47" i="79"/>
  <c r="M46" i="79"/>
  <c r="L46" i="79"/>
  <c r="K46" i="79"/>
  <c r="J46" i="79"/>
  <c r="I46" i="79"/>
  <c r="H46" i="79"/>
  <c r="G46" i="79"/>
  <c r="F46" i="79"/>
  <c r="E46" i="79"/>
  <c r="D46" i="79"/>
  <c r="C46" i="79"/>
  <c r="M45" i="79"/>
  <c r="L45" i="79"/>
  <c r="K45" i="79"/>
  <c r="J45" i="79"/>
  <c r="I45" i="79"/>
  <c r="H45" i="79"/>
  <c r="G45" i="79"/>
  <c r="F45" i="79"/>
  <c r="E45" i="79"/>
  <c r="D45" i="79"/>
  <c r="C45" i="79"/>
  <c r="M44" i="79"/>
  <c r="L44" i="79"/>
  <c r="K44" i="79"/>
  <c r="J44" i="79"/>
  <c r="I44" i="79"/>
  <c r="H44" i="79"/>
  <c r="G44" i="79"/>
  <c r="F44" i="79"/>
  <c r="E44" i="79"/>
  <c r="D44" i="79"/>
  <c r="C44" i="79"/>
  <c r="M43" i="79"/>
  <c r="L43" i="79"/>
  <c r="K43" i="79"/>
  <c r="J43" i="79"/>
  <c r="I43" i="79"/>
  <c r="H43" i="79"/>
  <c r="G43" i="79"/>
  <c r="F43" i="79"/>
  <c r="E43" i="79"/>
  <c r="D43" i="79"/>
  <c r="C43" i="79"/>
  <c r="M42" i="79"/>
  <c r="L42" i="79"/>
  <c r="K42" i="79"/>
  <c r="J42" i="79"/>
  <c r="I42" i="79"/>
  <c r="H42" i="79"/>
  <c r="G42" i="79"/>
  <c r="F42" i="79"/>
  <c r="E42" i="79"/>
  <c r="D42" i="79"/>
  <c r="C42" i="79"/>
  <c r="M41" i="79"/>
  <c r="L41" i="79"/>
  <c r="K41" i="79"/>
  <c r="J41" i="79"/>
  <c r="I41" i="79"/>
  <c r="H41" i="79"/>
  <c r="G41" i="79"/>
  <c r="F41" i="79"/>
  <c r="E41" i="79"/>
  <c r="D41" i="79"/>
  <c r="C41" i="79"/>
  <c r="M40" i="79"/>
  <c r="L40" i="79"/>
  <c r="K40" i="79"/>
  <c r="J40" i="79"/>
  <c r="I40" i="79"/>
  <c r="H40" i="79"/>
  <c r="G40" i="79"/>
  <c r="F40" i="79"/>
  <c r="E40" i="79"/>
  <c r="D40" i="79"/>
  <c r="C40" i="79"/>
  <c r="M39" i="79"/>
  <c r="L39" i="79"/>
  <c r="K39" i="79"/>
  <c r="J39" i="79"/>
  <c r="I39" i="79"/>
  <c r="H39" i="79"/>
  <c r="G39" i="79"/>
  <c r="F39" i="79"/>
  <c r="E39" i="79"/>
  <c r="D39" i="79"/>
  <c r="C39" i="79"/>
  <c r="M38" i="79"/>
  <c r="L38" i="79"/>
  <c r="K38" i="79"/>
  <c r="J38" i="79"/>
  <c r="I38" i="79"/>
  <c r="H38" i="79"/>
  <c r="G38" i="79"/>
  <c r="F38" i="79"/>
  <c r="E38" i="79"/>
  <c r="D38" i="79"/>
  <c r="C38" i="79"/>
  <c r="M37" i="79"/>
  <c r="L37" i="79"/>
  <c r="K37" i="79"/>
  <c r="J37" i="79"/>
  <c r="I37" i="79"/>
  <c r="H37" i="79"/>
  <c r="G37" i="79"/>
  <c r="F37" i="79"/>
  <c r="E37" i="79"/>
  <c r="D37" i="79"/>
  <c r="C37" i="79"/>
  <c r="M36" i="79"/>
  <c r="L36" i="79"/>
  <c r="K36" i="79"/>
  <c r="J36" i="79"/>
  <c r="I36" i="79"/>
  <c r="H36" i="79"/>
  <c r="G36" i="79"/>
  <c r="F36" i="79"/>
  <c r="E36" i="79"/>
  <c r="D36" i="79"/>
  <c r="C36" i="79"/>
  <c r="M35" i="79"/>
  <c r="L35" i="79"/>
  <c r="K35" i="79"/>
  <c r="J35" i="79"/>
  <c r="I35" i="79"/>
  <c r="H35" i="79"/>
  <c r="G35" i="79"/>
  <c r="F35" i="79"/>
  <c r="E35" i="79"/>
  <c r="D35" i="79"/>
  <c r="C35" i="79"/>
  <c r="M34" i="79"/>
  <c r="L34" i="79"/>
  <c r="K34" i="79"/>
  <c r="J34" i="79"/>
  <c r="I34" i="79"/>
  <c r="H34" i="79"/>
  <c r="G34" i="79"/>
  <c r="F34" i="79"/>
  <c r="E34" i="79"/>
  <c r="D34" i="79"/>
  <c r="C34" i="79"/>
  <c r="M33" i="79"/>
  <c r="L33" i="79"/>
  <c r="K33" i="79"/>
  <c r="J33" i="79"/>
  <c r="I33" i="79"/>
  <c r="H33" i="79"/>
  <c r="G33" i="79"/>
  <c r="F33" i="79"/>
  <c r="E33" i="79"/>
  <c r="D33" i="79"/>
  <c r="C33" i="79"/>
  <c r="M32" i="79"/>
  <c r="L32" i="79"/>
  <c r="K32" i="79"/>
  <c r="J32" i="79"/>
  <c r="I32" i="79"/>
  <c r="H32" i="79"/>
  <c r="G32" i="79"/>
  <c r="F32" i="79"/>
  <c r="E32" i="79"/>
  <c r="D32" i="79"/>
  <c r="C32" i="79"/>
  <c r="M31" i="79"/>
  <c r="L31" i="79"/>
  <c r="K31" i="79"/>
  <c r="J31" i="79"/>
  <c r="I31" i="79"/>
  <c r="H31" i="79"/>
  <c r="G31" i="79"/>
  <c r="F31" i="79"/>
  <c r="E31" i="79"/>
  <c r="D31" i="79"/>
  <c r="C31" i="79"/>
  <c r="M30" i="79"/>
  <c r="L30" i="79"/>
  <c r="K30" i="79"/>
  <c r="J30" i="79"/>
  <c r="I30" i="79"/>
  <c r="H30" i="79"/>
  <c r="G30" i="79"/>
  <c r="F30" i="79"/>
  <c r="E30" i="79"/>
  <c r="D30" i="79"/>
  <c r="C30" i="79"/>
  <c r="M29" i="79"/>
  <c r="L29" i="79"/>
  <c r="K29" i="79"/>
  <c r="J29" i="79"/>
  <c r="I29" i="79"/>
  <c r="H29" i="79"/>
  <c r="G29" i="79"/>
  <c r="F29" i="79"/>
  <c r="E29" i="79"/>
  <c r="D29" i="79"/>
  <c r="C29" i="79"/>
  <c r="M28" i="79"/>
  <c r="L28" i="79"/>
  <c r="K28" i="79"/>
  <c r="J28" i="79"/>
  <c r="I28" i="79"/>
  <c r="H28" i="79"/>
  <c r="G28" i="79"/>
  <c r="F28" i="79"/>
  <c r="E28" i="79"/>
  <c r="D28" i="79"/>
  <c r="C28" i="79"/>
  <c r="M27" i="79"/>
  <c r="L27" i="79"/>
  <c r="K27" i="79"/>
  <c r="J27" i="79"/>
  <c r="I27" i="79"/>
  <c r="H27" i="79"/>
  <c r="G27" i="79"/>
  <c r="F27" i="79"/>
  <c r="E27" i="79"/>
  <c r="D27" i="79"/>
  <c r="C27" i="79"/>
  <c r="M26" i="79"/>
  <c r="L26" i="79"/>
  <c r="K26" i="79"/>
  <c r="J26" i="79"/>
  <c r="I26" i="79"/>
  <c r="H26" i="79"/>
  <c r="G26" i="79"/>
  <c r="F26" i="79"/>
  <c r="E26" i="79"/>
  <c r="D26" i="79"/>
  <c r="C26" i="79"/>
  <c r="M25" i="79"/>
  <c r="L25" i="79"/>
  <c r="K25" i="79"/>
  <c r="J25" i="79"/>
  <c r="I25" i="79"/>
  <c r="H25" i="79"/>
  <c r="G25" i="79"/>
  <c r="F25" i="79"/>
  <c r="E25" i="79"/>
  <c r="D25" i="79"/>
  <c r="C25" i="79"/>
  <c r="M24" i="79"/>
  <c r="L24" i="79"/>
  <c r="K24" i="79"/>
  <c r="J24" i="79"/>
  <c r="I24" i="79"/>
  <c r="H24" i="79"/>
  <c r="G24" i="79"/>
  <c r="F24" i="79"/>
  <c r="E24" i="79"/>
  <c r="D24" i="79"/>
  <c r="C24" i="79"/>
  <c r="M23" i="79"/>
  <c r="L23" i="79"/>
  <c r="K23" i="79"/>
  <c r="J23" i="79"/>
  <c r="I23" i="79"/>
  <c r="H23" i="79"/>
  <c r="G23" i="79"/>
  <c r="F23" i="79"/>
  <c r="E23" i="79"/>
  <c r="D23" i="79"/>
  <c r="C23" i="79"/>
  <c r="M22" i="79"/>
  <c r="L22" i="79"/>
  <c r="K22" i="79"/>
  <c r="J22" i="79"/>
  <c r="I22" i="79"/>
  <c r="H22" i="79"/>
  <c r="G22" i="79"/>
  <c r="F22" i="79"/>
  <c r="E22" i="79"/>
  <c r="D22" i="79"/>
  <c r="C22" i="79"/>
  <c r="M21" i="79"/>
  <c r="L21" i="79"/>
  <c r="K21" i="79"/>
  <c r="J21" i="79"/>
  <c r="I21" i="79"/>
  <c r="H21" i="79"/>
  <c r="G21" i="79"/>
  <c r="F21" i="79"/>
  <c r="E21" i="79"/>
  <c r="D21" i="79"/>
  <c r="C21" i="79"/>
  <c r="M20" i="79"/>
  <c r="L20" i="79"/>
  <c r="K20" i="79"/>
  <c r="J20" i="79"/>
  <c r="I20" i="79"/>
  <c r="H20" i="79"/>
  <c r="G20" i="79"/>
  <c r="F20" i="79"/>
  <c r="E20" i="79"/>
  <c r="D20" i="79"/>
  <c r="C20" i="79"/>
  <c r="M19" i="79"/>
  <c r="L19" i="79"/>
  <c r="K19" i="79"/>
  <c r="J19" i="79"/>
  <c r="I19" i="79"/>
  <c r="H19" i="79"/>
  <c r="G19" i="79"/>
  <c r="F19" i="79"/>
  <c r="E19" i="79"/>
  <c r="D19" i="79"/>
  <c r="C19" i="79"/>
  <c r="M18" i="79"/>
  <c r="L18" i="79"/>
  <c r="K18" i="79"/>
  <c r="J18" i="79"/>
  <c r="I18" i="79"/>
  <c r="H18" i="79"/>
  <c r="G18" i="79"/>
  <c r="F18" i="79"/>
  <c r="E18" i="79"/>
  <c r="D18" i="79"/>
  <c r="C18" i="79"/>
  <c r="M17" i="79"/>
  <c r="L17" i="79"/>
  <c r="K17" i="79"/>
  <c r="J17" i="79"/>
  <c r="I17" i="79"/>
  <c r="H17" i="79"/>
  <c r="G17" i="79"/>
  <c r="F17" i="79"/>
  <c r="E17" i="79"/>
  <c r="D17" i="79"/>
  <c r="C17" i="79"/>
  <c r="M16" i="79"/>
  <c r="L16" i="79"/>
  <c r="K16" i="79"/>
  <c r="J16" i="79"/>
  <c r="I16" i="79"/>
  <c r="H16" i="79"/>
  <c r="G16" i="79"/>
  <c r="F16" i="79"/>
  <c r="E16" i="79"/>
  <c r="D16" i="79"/>
  <c r="C16" i="79"/>
  <c r="M15" i="79"/>
  <c r="L15" i="79"/>
  <c r="K15" i="79"/>
  <c r="J15" i="79"/>
  <c r="I15" i="79"/>
  <c r="H15" i="79"/>
  <c r="G15" i="79"/>
  <c r="F15" i="79"/>
  <c r="E15" i="79"/>
  <c r="D15" i="79"/>
  <c r="C15" i="79"/>
  <c r="M14" i="79"/>
  <c r="L14" i="79"/>
  <c r="K14" i="79"/>
  <c r="J14" i="79"/>
  <c r="I14" i="79"/>
  <c r="H14" i="79"/>
  <c r="G14" i="79"/>
  <c r="F14" i="79"/>
  <c r="E14" i="79"/>
  <c r="D14" i="79"/>
  <c r="C14" i="79"/>
  <c r="M13" i="79"/>
  <c r="L13" i="79"/>
  <c r="K13" i="79"/>
  <c r="J13" i="79"/>
  <c r="I13" i="79"/>
  <c r="H13" i="79"/>
  <c r="G13" i="79"/>
  <c r="F13" i="79"/>
  <c r="E13" i="79"/>
  <c r="D13" i="79"/>
  <c r="C13" i="79"/>
  <c r="M12" i="79"/>
  <c r="L12" i="79"/>
  <c r="K12" i="79"/>
  <c r="J12" i="79"/>
  <c r="I12" i="79"/>
  <c r="H12" i="79"/>
  <c r="G12" i="79"/>
  <c r="F12" i="79"/>
  <c r="E12" i="79"/>
  <c r="D12" i="79"/>
  <c r="C12" i="79"/>
  <c r="M11" i="79"/>
  <c r="L11" i="79"/>
  <c r="K11" i="79"/>
  <c r="J11" i="79"/>
  <c r="I11" i="79"/>
  <c r="H11" i="79"/>
  <c r="G11" i="79"/>
  <c r="F11" i="79"/>
  <c r="E11" i="79"/>
  <c r="D11" i="79"/>
  <c r="C11" i="79"/>
  <c r="M10" i="79"/>
  <c r="L10" i="79"/>
  <c r="K10" i="79"/>
  <c r="J10" i="79"/>
  <c r="I10" i="79"/>
  <c r="H10" i="79"/>
  <c r="G10" i="79"/>
  <c r="F10" i="79"/>
  <c r="E10" i="79"/>
  <c r="D10" i="79"/>
  <c r="C10" i="79"/>
  <c r="M9" i="79"/>
  <c r="L9" i="79"/>
  <c r="K9" i="79"/>
  <c r="J9" i="79"/>
  <c r="I9" i="79"/>
  <c r="H9" i="79"/>
  <c r="G9" i="79"/>
  <c r="F9" i="79"/>
  <c r="E9" i="79"/>
  <c r="D9" i="79"/>
  <c r="C9" i="79"/>
  <c r="M8" i="79"/>
  <c r="L8" i="79"/>
  <c r="K8" i="79"/>
  <c r="J8" i="79"/>
  <c r="I8" i="79"/>
  <c r="H8" i="79"/>
  <c r="G8" i="79"/>
  <c r="F8" i="79"/>
  <c r="E8" i="79"/>
  <c r="D8" i="79"/>
  <c r="C8" i="79"/>
  <c r="M7" i="79"/>
  <c r="L7" i="79"/>
  <c r="K7" i="79"/>
  <c r="J7" i="79"/>
  <c r="I7" i="79"/>
  <c r="H7" i="79"/>
  <c r="G7" i="79"/>
  <c r="F7" i="79"/>
  <c r="E7" i="79"/>
  <c r="D7" i="79"/>
  <c r="C7" i="79"/>
  <c r="M6" i="79"/>
  <c r="L6" i="79"/>
  <c r="K6" i="79"/>
  <c r="J6" i="79"/>
  <c r="I6" i="79"/>
  <c r="H6" i="79"/>
  <c r="G6" i="79"/>
  <c r="F6" i="79"/>
  <c r="E6" i="79"/>
  <c r="D6" i="79"/>
  <c r="C6" i="79"/>
  <c r="M5" i="79"/>
  <c r="L5" i="79"/>
  <c r="K5" i="79"/>
  <c r="J5" i="79"/>
  <c r="I5" i="79"/>
  <c r="H5" i="79"/>
  <c r="G5" i="79"/>
  <c r="F5" i="79"/>
  <c r="E5" i="79"/>
  <c r="D5" i="79"/>
  <c r="C5" i="79"/>
  <c r="M4" i="79"/>
  <c r="L4" i="79"/>
  <c r="K4" i="79"/>
  <c r="J4" i="79"/>
  <c r="I4" i="79"/>
  <c r="H4" i="79"/>
  <c r="G4" i="79"/>
  <c r="F4" i="79"/>
  <c r="E4" i="79"/>
  <c r="D4" i="79"/>
  <c r="C4" i="79"/>
  <c r="M3" i="79"/>
  <c r="L3" i="79"/>
  <c r="K3" i="79"/>
  <c r="J3" i="79"/>
  <c r="I3" i="79"/>
  <c r="H3" i="79"/>
  <c r="G3" i="79"/>
  <c r="F3" i="79"/>
  <c r="E3" i="79"/>
  <c r="D3" i="79"/>
  <c r="C3" i="79"/>
  <c r="M2" i="79"/>
  <c r="L2" i="79"/>
  <c r="K2" i="79"/>
  <c r="J2" i="79"/>
  <c r="I2" i="79"/>
  <c r="H2" i="79"/>
  <c r="G2" i="79"/>
  <c r="F2" i="79"/>
  <c r="E2" i="79"/>
  <c r="D2" i="79"/>
  <c r="C2" i="79"/>
  <c r="M208" i="78"/>
  <c r="L208" i="78"/>
  <c r="K208" i="78"/>
  <c r="J208" i="78"/>
  <c r="I208" i="78"/>
  <c r="H208" i="78"/>
  <c r="G208" i="78"/>
  <c r="F208" i="78"/>
  <c r="E208" i="78"/>
  <c r="D208" i="78"/>
  <c r="C208" i="78"/>
  <c r="M207" i="78"/>
  <c r="L207" i="78"/>
  <c r="K207" i="78"/>
  <c r="J207" i="78"/>
  <c r="I207" i="78"/>
  <c r="H207" i="78"/>
  <c r="G207" i="78"/>
  <c r="F207" i="78"/>
  <c r="E207" i="78"/>
  <c r="D207" i="78"/>
  <c r="C207" i="78"/>
  <c r="M206" i="78"/>
  <c r="L206" i="78"/>
  <c r="K206" i="78"/>
  <c r="J206" i="78"/>
  <c r="I206" i="78"/>
  <c r="H206" i="78"/>
  <c r="G206" i="78"/>
  <c r="F206" i="78"/>
  <c r="E206" i="78"/>
  <c r="D206" i="78"/>
  <c r="C206" i="78"/>
  <c r="M205" i="78"/>
  <c r="L205" i="78"/>
  <c r="K205" i="78"/>
  <c r="J205" i="78"/>
  <c r="I205" i="78"/>
  <c r="H205" i="78"/>
  <c r="G205" i="78"/>
  <c r="F205" i="78"/>
  <c r="E205" i="78"/>
  <c r="D205" i="78"/>
  <c r="C205" i="78"/>
  <c r="M204" i="78"/>
  <c r="L204" i="78"/>
  <c r="K204" i="78"/>
  <c r="J204" i="78"/>
  <c r="I204" i="78"/>
  <c r="H204" i="78"/>
  <c r="G204" i="78"/>
  <c r="F204" i="78"/>
  <c r="E204" i="78"/>
  <c r="D204" i="78"/>
  <c r="C204" i="78"/>
  <c r="M203" i="78"/>
  <c r="L203" i="78"/>
  <c r="K203" i="78"/>
  <c r="J203" i="78"/>
  <c r="I203" i="78"/>
  <c r="H203" i="78"/>
  <c r="G203" i="78"/>
  <c r="F203" i="78"/>
  <c r="E203" i="78"/>
  <c r="D203" i="78"/>
  <c r="C203" i="78"/>
  <c r="M202" i="78"/>
  <c r="L202" i="78"/>
  <c r="K202" i="78"/>
  <c r="J202" i="78"/>
  <c r="I202" i="78"/>
  <c r="H202" i="78"/>
  <c r="G202" i="78"/>
  <c r="F202" i="78"/>
  <c r="E202" i="78"/>
  <c r="D202" i="78"/>
  <c r="C202" i="78"/>
  <c r="M201" i="78"/>
  <c r="L201" i="78"/>
  <c r="K201" i="78"/>
  <c r="J201" i="78"/>
  <c r="I201" i="78"/>
  <c r="H201" i="78"/>
  <c r="G201" i="78"/>
  <c r="F201" i="78"/>
  <c r="E201" i="78"/>
  <c r="D201" i="78"/>
  <c r="C201" i="78"/>
  <c r="M200" i="78"/>
  <c r="L200" i="78"/>
  <c r="K200" i="78"/>
  <c r="J200" i="78"/>
  <c r="I200" i="78"/>
  <c r="H200" i="78"/>
  <c r="G200" i="78"/>
  <c r="F200" i="78"/>
  <c r="E200" i="78"/>
  <c r="D200" i="78"/>
  <c r="C200" i="78"/>
  <c r="M199" i="78"/>
  <c r="L199" i="78"/>
  <c r="K199" i="78"/>
  <c r="J199" i="78"/>
  <c r="I199" i="78"/>
  <c r="H199" i="78"/>
  <c r="G199" i="78"/>
  <c r="F199" i="78"/>
  <c r="E199" i="78"/>
  <c r="D199" i="78"/>
  <c r="C199" i="78"/>
  <c r="M198" i="78"/>
  <c r="L198" i="78"/>
  <c r="K198" i="78"/>
  <c r="J198" i="78"/>
  <c r="I198" i="78"/>
  <c r="H198" i="78"/>
  <c r="G198" i="78"/>
  <c r="F198" i="78"/>
  <c r="E198" i="78"/>
  <c r="D198" i="78"/>
  <c r="C198" i="78"/>
  <c r="M197" i="78"/>
  <c r="L197" i="78"/>
  <c r="K197" i="78"/>
  <c r="J197" i="78"/>
  <c r="I197" i="78"/>
  <c r="H197" i="78"/>
  <c r="G197" i="78"/>
  <c r="F197" i="78"/>
  <c r="E197" i="78"/>
  <c r="D197" i="78"/>
  <c r="C197" i="78"/>
  <c r="M196" i="78"/>
  <c r="L196" i="78"/>
  <c r="K196" i="78"/>
  <c r="J196" i="78"/>
  <c r="I196" i="78"/>
  <c r="H196" i="78"/>
  <c r="G196" i="78"/>
  <c r="F196" i="78"/>
  <c r="E196" i="78"/>
  <c r="D196" i="78"/>
  <c r="C196" i="78"/>
  <c r="M195" i="78"/>
  <c r="L195" i="78"/>
  <c r="K195" i="78"/>
  <c r="J195" i="78"/>
  <c r="I195" i="78"/>
  <c r="H195" i="78"/>
  <c r="G195" i="78"/>
  <c r="F195" i="78"/>
  <c r="E195" i="78"/>
  <c r="D195" i="78"/>
  <c r="C195" i="78"/>
  <c r="M194" i="78"/>
  <c r="L194" i="78"/>
  <c r="K194" i="78"/>
  <c r="J194" i="78"/>
  <c r="I194" i="78"/>
  <c r="H194" i="78"/>
  <c r="G194" i="78"/>
  <c r="F194" i="78"/>
  <c r="E194" i="78"/>
  <c r="D194" i="78"/>
  <c r="C194" i="78"/>
  <c r="M193" i="78"/>
  <c r="L193" i="78"/>
  <c r="K193" i="78"/>
  <c r="J193" i="78"/>
  <c r="I193" i="78"/>
  <c r="H193" i="78"/>
  <c r="G193" i="78"/>
  <c r="F193" i="78"/>
  <c r="E193" i="78"/>
  <c r="D193" i="78"/>
  <c r="C193" i="78"/>
  <c r="M192" i="78"/>
  <c r="L192" i="78"/>
  <c r="K192" i="78"/>
  <c r="J192" i="78"/>
  <c r="I192" i="78"/>
  <c r="H192" i="78"/>
  <c r="G192" i="78"/>
  <c r="F192" i="78"/>
  <c r="E192" i="78"/>
  <c r="D192" i="78"/>
  <c r="C192" i="78"/>
  <c r="M191" i="78"/>
  <c r="L191" i="78"/>
  <c r="K191" i="78"/>
  <c r="J191" i="78"/>
  <c r="I191" i="78"/>
  <c r="H191" i="78"/>
  <c r="G191" i="78"/>
  <c r="F191" i="78"/>
  <c r="E191" i="78"/>
  <c r="D191" i="78"/>
  <c r="C191" i="78"/>
  <c r="M190" i="78"/>
  <c r="L190" i="78"/>
  <c r="K190" i="78"/>
  <c r="J190" i="78"/>
  <c r="I190" i="78"/>
  <c r="H190" i="78"/>
  <c r="G190" i="78"/>
  <c r="F190" i="78"/>
  <c r="E190" i="78"/>
  <c r="D190" i="78"/>
  <c r="C190" i="78"/>
  <c r="M189" i="78"/>
  <c r="L189" i="78"/>
  <c r="K189" i="78"/>
  <c r="J189" i="78"/>
  <c r="I189" i="78"/>
  <c r="H189" i="78"/>
  <c r="G189" i="78"/>
  <c r="F189" i="78"/>
  <c r="E189" i="78"/>
  <c r="D189" i="78"/>
  <c r="C189" i="78"/>
  <c r="M188" i="78"/>
  <c r="L188" i="78"/>
  <c r="K188" i="78"/>
  <c r="J188" i="78"/>
  <c r="I188" i="78"/>
  <c r="H188" i="78"/>
  <c r="G188" i="78"/>
  <c r="F188" i="78"/>
  <c r="E188" i="78"/>
  <c r="D188" i="78"/>
  <c r="C188" i="78"/>
  <c r="M187" i="78"/>
  <c r="L187" i="78"/>
  <c r="K187" i="78"/>
  <c r="J187" i="78"/>
  <c r="I187" i="78"/>
  <c r="H187" i="78"/>
  <c r="G187" i="78"/>
  <c r="F187" i="78"/>
  <c r="E187" i="78"/>
  <c r="D187" i="78"/>
  <c r="C187" i="78"/>
  <c r="M186" i="78"/>
  <c r="L186" i="78"/>
  <c r="K186" i="78"/>
  <c r="J186" i="78"/>
  <c r="I186" i="78"/>
  <c r="H186" i="78"/>
  <c r="G186" i="78"/>
  <c r="F186" i="78"/>
  <c r="E186" i="78"/>
  <c r="D186" i="78"/>
  <c r="C186" i="78"/>
  <c r="M185" i="78"/>
  <c r="L185" i="78"/>
  <c r="K185" i="78"/>
  <c r="J185" i="78"/>
  <c r="I185" i="78"/>
  <c r="H185" i="78"/>
  <c r="G185" i="78"/>
  <c r="F185" i="78"/>
  <c r="E185" i="78"/>
  <c r="D185" i="78"/>
  <c r="C185" i="78"/>
  <c r="M184" i="78"/>
  <c r="L184" i="78"/>
  <c r="K184" i="78"/>
  <c r="J184" i="78"/>
  <c r="I184" i="78"/>
  <c r="H184" i="78"/>
  <c r="G184" i="78"/>
  <c r="F184" i="78"/>
  <c r="E184" i="78"/>
  <c r="D184" i="78"/>
  <c r="C184" i="78"/>
  <c r="M183" i="78"/>
  <c r="L183" i="78"/>
  <c r="K183" i="78"/>
  <c r="J183" i="78"/>
  <c r="I183" i="78"/>
  <c r="H183" i="78"/>
  <c r="G183" i="78"/>
  <c r="F183" i="78"/>
  <c r="E183" i="78"/>
  <c r="D183" i="78"/>
  <c r="C183" i="78"/>
  <c r="M182" i="78"/>
  <c r="L182" i="78"/>
  <c r="K182" i="78"/>
  <c r="J182" i="78"/>
  <c r="I182" i="78"/>
  <c r="H182" i="78"/>
  <c r="G182" i="78"/>
  <c r="F182" i="78"/>
  <c r="E182" i="78"/>
  <c r="D182" i="78"/>
  <c r="C182" i="78"/>
  <c r="M181" i="78"/>
  <c r="L181" i="78"/>
  <c r="K181" i="78"/>
  <c r="J181" i="78"/>
  <c r="I181" i="78"/>
  <c r="H181" i="78"/>
  <c r="G181" i="78"/>
  <c r="F181" i="78"/>
  <c r="E181" i="78"/>
  <c r="D181" i="78"/>
  <c r="C181" i="78"/>
  <c r="M180" i="78"/>
  <c r="L180" i="78"/>
  <c r="K180" i="78"/>
  <c r="J180" i="78"/>
  <c r="I180" i="78"/>
  <c r="H180" i="78"/>
  <c r="G180" i="78"/>
  <c r="F180" i="78"/>
  <c r="E180" i="78"/>
  <c r="D180" i="78"/>
  <c r="C180" i="78"/>
  <c r="M179" i="78"/>
  <c r="L179" i="78"/>
  <c r="K179" i="78"/>
  <c r="J179" i="78"/>
  <c r="I179" i="78"/>
  <c r="H179" i="78"/>
  <c r="G179" i="78"/>
  <c r="F179" i="78"/>
  <c r="E179" i="78"/>
  <c r="D179" i="78"/>
  <c r="C179" i="78"/>
  <c r="M178" i="78"/>
  <c r="L178" i="78"/>
  <c r="K178" i="78"/>
  <c r="J178" i="78"/>
  <c r="I178" i="78"/>
  <c r="H178" i="78"/>
  <c r="G178" i="78"/>
  <c r="F178" i="78"/>
  <c r="E178" i="78"/>
  <c r="D178" i="78"/>
  <c r="C178" i="78"/>
  <c r="M177" i="78"/>
  <c r="L177" i="78"/>
  <c r="K177" i="78"/>
  <c r="J177" i="78"/>
  <c r="I177" i="78"/>
  <c r="H177" i="78"/>
  <c r="G177" i="78"/>
  <c r="F177" i="78"/>
  <c r="E177" i="78"/>
  <c r="D177" i="78"/>
  <c r="C177" i="78"/>
  <c r="M176" i="78"/>
  <c r="L176" i="78"/>
  <c r="K176" i="78"/>
  <c r="J176" i="78"/>
  <c r="I176" i="78"/>
  <c r="H176" i="78"/>
  <c r="G176" i="78"/>
  <c r="F176" i="78"/>
  <c r="E176" i="78"/>
  <c r="D176" i="78"/>
  <c r="C176" i="78"/>
  <c r="M175" i="78"/>
  <c r="L175" i="78"/>
  <c r="K175" i="78"/>
  <c r="J175" i="78"/>
  <c r="I175" i="78"/>
  <c r="H175" i="78"/>
  <c r="G175" i="78"/>
  <c r="F175" i="78"/>
  <c r="E175" i="78"/>
  <c r="D175" i="78"/>
  <c r="C175" i="78"/>
  <c r="M174" i="78"/>
  <c r="L174" i="78"/>
  <c r="K174" i="78"/>
  <c r="J174" i="78"/>
  <c r="I174" i="78"/>
  <c r="H174" i="78"/>
  <c r="G174" i="78"/>
  <c r="F174" i="78"/>
  <c r="E174" i="78"/>
  <c r="D174" i="78"/>
  <c r="C174" i="78"/>
  <c r="M173" i="78"/>
  <c r="L173" i="78"/>
  <c r="K173" i="78"/>
  <c r="J173" i="78"/>
  <c r="I173" i="78"/>
  <c r="H173" i="78"/>
  <c r="G173" i="78"/>
  <c r="F173" i="78"/>
  <c r="E173" i="78"/>
  <c r="D173" i="78"/>
  <c r="C173" i="78"/>
  <c r="M172" i="78"/>
  <c r="L172" i="78"/>
  <c r="K172" i="78"/>
  <c r="J172" i="78"/>
  <c r="I172" i="78"/>
  <c r="H172" i="78"/>
  <c r="G172" i="78"/>
  <c r="F172" i="78"/>
  <c r="E172" i="78"/>
  <c r="D172" i="78"/>
  <c r="C172" i="78"/>
  <c r="M171" i="78"/>
  <c r="L171" i="78"/>
  <c r="K171" i="78"/>
  <c r="J171" i="78"/>
  <c r="I171" i="78"/>
  <c r="H171" i="78"/>
  <c r="G171" i="78"/>
  <c r="F171" i="78"/>
  <c r="E171" i="78"/>
  <c r="D171" i="78"/>
  <c r="C171" i="78"/>
  <c r="M170" i="78"/>
  <c r="L170" i="78"/>
  <c r="K170" i="78"/>
  <c r="J170" i="78"/>
  <c r="I170" i="78"/>
  <c r="H170" i="78"/>
  <c r="G170" i="78"/>
  <c r="F170" i="78"/>
  <c r="E170" i="78"/>
  <c r="D170" i="78"/>
  <c r="C170" i="78"/>
  <c r="M169" i="78"/>
  <c r="L169" i="78"/>
  <c r="K169" i="78"/>
  <c r="J169" i="78"/>
  <c r="I169" i="78"/>
  <c r="H169" i="78"/>
  <c r="G169" i="78"/>
  <c r="F169" i="78"/>
  <c r="E169" i="78"/>
  <c r="D169" i="78"/>
  <c r="C169" i="78"/>
  <c r="M168" i="78"/>
  <c r="L168" i="78"/>
  <c r="K168" i="78"/>
  <c r="J168" i="78"/>
  <c r="I168" i="78"/>
  <c r="H168" i="78"/>
  <c r="G168" i="78"/>
  <c r="F168" i="78"/>
  <c r="E168" i="78"/>
  <c r="D168" i="78"/>
  <c r="C168" i="78"/>
  <c r="M167" i="78"/>
  <c r="L167" i="78"/>
  <c r="K167" i="78"/>
  <c r="J167" i="78"/>
  <c r="I167" i="78"/>
  <c r="H167" i="78"/>
  <c r="G167" i="78"/>
  <c r="F167" i="78"/>
  <c r="E167" i="78"/>
  <c r="D167" i="78"/>
  <c r="C167" i="78"/>
  <c r="M166" i="78"/>
  <c r="L166" i="78"/>
  <c r="K166" i="78"/>
  <c r="J166" i="78"/>
  <c r="I166" i="78"/>
  <c r="H166" i="78"/>
  <c r="G166" i="78"/>
  <c r="F166" i="78"/>
  <c r="E166" i="78"/>
  <c r="D166" i="78"/>
  <c r="C166" i="78"/>
  <c r="M165" i="78"/>
  <c r="L165" i="78"/>
  <c r="K165" i="78"/>
  <c r="J165" i="78"/>
  <c r="I165" i="78"/>
  <c r="H165" i="78"/>
  <c r="G165" i="78"/>
  <c r="F165" i="78"/>
  <c r="E165" i="78"/>
  <c r="D165" i="78"/>
  <c r="C165" i="78"/>
  <c r="M164" i="78"/>
  <c r="L164" i="78"/>
  <c r="K164" i="78"/>
  <c r="J164" i="78"/>
  <c r="I164" i="78"/>
  <c r="H164" i="78"/>
  <c r="G164" i="78"/>
  <c r="F164" i="78"/>
  <c r="E164" i="78"/>
  <c r="D164" i="78"/>
  <c r="C164" i="78"/>
  <c r="M163" i="78"/>
  <c r="L163" i="78"/>
  <c r="K163" i="78"/>
  <c r="J163" i="78"/>
  <c r="I163" i="78"/>
  <c r="H163" i="78"/>
  <c r="G163" i="78"/>
  <c r="F163" i="78"/>
  <c r="E163" i="78"/>
  <c r="D163" i="78"/>
  <c r="C163" i="78"/>
  <c r="M162" i="78"/>
  <c r="L162" i="78"/>
  <c r="K162" i="78"/>
  <c r="J162" i="78"/>
  <c r="I162" i="78"/>
  <c r="H162" i="78"/>
  <c r="G162" i="78"/>
  <c r="F162" i="78"/>
  <c r="E162" i="78"/>
  <c r="D162" i="78"/>
  <c r="C162" i="78"/>
  <c r="M161" i="78"/>
  <c r="L161" i="78"/>
  <c r="K161" i="78"/>
  <c r="J161" i="78"/>
  <c r="I161" i="78"/>
  <c r="H161" i="78"/>
  <c r="G161" i="78"/>
  <c r="F161" i="78"/>
  <c r="E161" i="78"/>
  <c r="D161" i="78"/>
  <c r="C161" i="78"/>
  <c r="M160" i="78"/>
  <c r="L160" i="78"/>
  <c r="K160" i="78"/>
  <c r="J160" i="78"/>
  <c r="I160" i="78"/>
  <c r="H160" i="78"/>
  <c r="G160" i="78"/>
  <c r="F160" i="78"/>
  <c r="E160" i="78"/>
  <c r="D160" i="78"/>
  <c r="C160" i="78"/>
  <c r="M159" i="78"/>
  <c r="L159" i="78"/>
  <c r="K159" i="78"/>
  <c r="J159" i="78"/>
  <c r="I159" i="78"/>
  <c r="H159" i="78"/>
  <c r="G159" i="78"/>
  <c r="F159" i="78"/>
  <c r="E159" i="78"/>
  <c r="D159" i="78"/>
  <c r="C159" i="78"/>
  <c r="M158" i="78"/>
  <c r="L158" i="78"/>
  <c r="K158" i="78"/>
  <c r="J158" i="78"/>
  <c r="I158" i="78"/>
  <c r="H158" i="78"/>
  <c r="G158" i="78"/>
  <c r="F158" i="78"/>
  <c r="E158" i="78"/>
  <c r="D158" i="78"/>
  <c r="C158" i="78"/>
  <c r="M157" i="78"/>
  <c r="L157" i="78"/>
  <c r="K157" i="78"/>
  <c r="J157" i="78"/>
  <c r="I157" i="78"/>
  <c r="H157" i="78"/>
  <c r="G157" i="78"/>
  <c r="F157" i="78"/>
  <c r="E157" i="78"/>
  <c r="D157" i="78"/>
  <c r="C157" i="78"/>
  <c r="M156" i="78"/>
  <c r="L156" i="78"/>
  <c r="K156" i="78"/>
  <c r="J156" i="78"/>
  <c r="I156" i="78"/>
  <c r="H156" i="78"/>
  <c r="G156" i="78"/>
  <c r="F156" i="78"/>
  <c r="E156" i="78"/>
  <c r="D156" i="78"/>
  <c r="C156" i="78"/>
  <c r="M155" i="78"/>
  <c r="L155" i="78"/>
  <c r="K155" i="78"/>
  <c r="J155" i="78"/>
  <c r="I155" i="78"/>
  <c r="H155" i="78"/>
  <c r="G155" i="78"/>
  <c r="F155" i="78"/>
  <c r="E155" i="78"/>
  <c r="D155" i="78"/>
  <c r="C155" i="78"/>
  <c r="M154" i="78"/>
  <c r="L154" i="78"/>
  <c r="K154" i="78"/>
  <c r="J154" i="78"/>
  <c r="I154" i="78"/>
  <c r="H154" i="78"/>
  <c r="G154" i="78"/>
  <c r="F154" i="78"/>
  <c r="E154" i="78"/>
  <c r="D154" i="78"/>
  <c r="C154" i="78"/>
  <c r="M153" i="78"/>
  <c r="L153" i="78"/>
  <c r="K153" i="78"/>
  <c r="J153" i="78"/>
  <c r="I153" i="78"/>
  <c r="H153" i="78"/>
  <c r="G153" i="78"/>
  <c r="F153" i="78"/>
  <c r="E153" i="78"/>
  <c r="D153" i="78"/>
  <c r="C153" i="78"/>
  <c r="M152" i="78"/>
  <c r="L152" i="78"/>
  <c r="K152" i="78"/>
  <c r="J152" i="78"/>
  <c r="I152" i="78"/>
  <c r="H152" i="78"/>
  <c r="G152" i="78"/>
  <c r="F152" i="78"/>
  <c r="E152" i="78"/>
  <c r="D152" i="78"/>
  <c r="C152" i="78"/>
  <c r="M151" i="78"/>
  <c r="L151" i="78"/>
  <c r="K151" i="78"/>
  <c r="J151" i="78"/>
  <c r="I151" i="78"/>
  <c r="H151" i="78"/>
  <c r="G151" i="78"/>
  <c r="F151" i="78"/>
  <c r="E151" i="78"/>
  <c r="D151" i="78"/>
  <c r="C151" i="78"/>
  <c r="M150" i="78"/>
  <c r="L150" i="78"/>
  <c r="K150" i="78"/>
  <c r="J150" i="78"/>
  <c r="I150" i="78"/>
  <c r="H150" i="78"/>
  <c r="G150" i="78"/>
  <c r="F150" i="78"/>
  <c r="E150" i="78"/>
  <c r="D150" i="78"/>
  <c r="C150" i="78"/>
  <c r="M149" i="78"/>
  <c r="L149" i="78"/>
  <c r="K149" i="78"/>
  <c r="J149" i="78"/>
  <c r="I149" i="78"/>
  <c r="H149" i="78"/>
  <c r="G149" i="78"/>
  <c r="F149" i="78"/>
  <c r="E149" i="78"/>
  <c r="D149" i="78"/>
  <c r="C149" i="78"/>
  <c r="M148" i="78"/>
  <c r="L148" i="78"/>
  <c r="K148" i="78"/>
  <c r="J148" i="78"/>
  <c r="I148" i="78"/>
  <c r="H148" i="78"/>
  <c r="G148" i="78"/>
  <c r="F148" i="78"/>
  <c r="E148" i="78"/>
  <c r="D148" i="78"/>
  <c r="C148" i="78"/>
  <c r="M147" i="78"/>
  <c r="L147" i="78"/>
  <c r="K147" i="78"/>
  <c r="J147" i="78"/>
  <c r="I147" i="78"/>
  <c r="H147" i="78"/>
  <c r="G147" i="78"/>
  <c r="F147" i="78"/>
  <c r="E147" i="78"/>
  <c r="D147" i="78"/>
  <c r="C147" i="78"/>
  <c r="M146" i="78"/>
  <c r="L146" i="78"/>
  <c r="K146" i="78"/>
  <c r="J146" i="78"/>
  <c r="I146" i="78"/>
  <c r="H146" i="78"/>
  <c r="G146" i="78"/>
  <c r="F146" i="78"/>
  <c r="E146" i="78"/>
  <c r="D146" i="78"/>
  <c r="C146" i="78"/>
  <c r="M145" i="78"/>
  <c r="L145" i="78"/>
  <c r="K145" i="78"/>
  <c r="J145" i="78"/>
  <c r="I145" i="78"/>
  <c r="H145" i="78"/>
  <c r="G145" i="78"/>
  <c r="F145" i="78"/>
  <c r="E145" i="78"/>
  <c r="D145" i="78"/>
  <c r="C145" i="78"/>
  <c r="M144" i="78"/>
  <c r="L144" i="78"/>
  <c r="K144" i="78"/>
  <c r="J144" i="78"/>
  <c r="I144" i="78"/>
  <c r="H144" i="78"/>
  <c r="G144" i="78"/>
  <c r="F144" i="78"/>
  <c r="E144" i="78"/>
  <c r="D144" i="78"/>
  <c r="C144" i="78"/>
  <c r="M143" i="78"/>
  <c r="L143" i="78"/>
  <c r="K143" i="78"/>
  <c r="J143" i="78"/>
  <c r="I143" i="78"/>
  <c r="H143" i="78"/>
  <c r="G143" i="78"/>
  <c r="F143" i="78"/>
  <c r="E143" i="78"/>
  <c r="D143" i="78"/>
  <c r="C143" i="78"/>
  <c r="M142" i="78"/>
  <c r="L142" i="78"/>
  <c r="K142" i="78"/>
  <c r="J142" i="78"/>
  <c r="I142" i="78"/>
  <c r="H142" i="78"/>
  <c r="G142" i="78"/>
  <c r="F142" i="78"/>
  <c r="E142" i="78"/>
  <c r="D142" i="78"/>
  <c r="C142" i="78"/>
  <c r="M141" i="78"/>
  <c r="L141" i="78"/>
  <c r="K141" i="78"/>
  <c r="J141" i="78"/>
  <c r="I141" i="78"/>
  <c r="H141" i="78"/>
  <c r="G141" i="78"/>
  <c r="F141" i="78"/>
  <c r="E141" i="78"/>
  <c r="D141" i="78"/>
  <c r="C141" i="78"/>
  <c r="M140" i="78"/>
  <c r="L140" i="78"/>
  <c r="K140" i="78"/>
  <c r="J140" i="78"/>
  <c r="I140" i="78"/>
  <c r="H140" i="78"/>
  <c r="G140" i="78"/>
  <c r="F140" i="78"/>
  <c r="E140" i="78"/>
  <c r="D140" i="78"/>
  <c r="C140" i="78"/>
  <c r="M139" i="78"/>
  <c r="L139" i="78"/>
  <c r="K139" i="78"/>
  <c r="J139" i="78"/>
  <c r="I139" i="78"/>
  <c r="H139" i="78"/>
  <c r="G139" i="78"/>
  <c r="F139" i="78"/>
  <c r="E139" i="78"/>
  <c r="D139" i="78"/>
  <c r="C139" i="78"/>
  <c r="M138" i="78"/>
  <c r="L138" i="78"/>
  <c r="K138" i="78"/>
  <c r="J138" i="78"/>
  <c r="I138" i="78"/>
  <c r="H138" i="78"/>
  <c r="G138" i="78"/>
  <c r="F138" i="78"/>
  <c r="E138" i="78"/>
  <c r="D138" i="78"/>
  <c r="C138" i="78"/>
  <c r="M137" i="78"/>
  <c r="L137" i="78"/>
  <c r="K137" i="78"/>
  <c r="J137" i="78"/>
  <c r="I137" i="78"/>
  <c r="H137" i="78"/>
  <c r="G137" i="78"/>
  <c r="F137" i="78"/>
  <c r="E137" i="78"/>
  <c r="D137" i="78"/>
  <c r="C137" i="78"/>
  <c r="M136" i="78"/>
  <c r="L136" i="78"/>
  <c r="K136" i="78"/>
  <c r="J136" i="78"/>
  <c r="I136" i="78"/>
  <c r="H136" i="78"/>
  <c r="G136" i="78"/>
  <c r="F136" i="78"/>
  <c r="E136" i="78"/>
  <c r="D136" i="78"/>
  <c r="C136" i="78"/>
  <c r="M135" i="78"/>
  <c r="L135" i="78"/>
  <c r="K135" i="78"/>
  <c r="J135" i="78"/>
  <c r="I135" i="78"/>
  <c r="H135" i="78"/>
  <c r="G135" i="78"/>
  <c r="F135" i="78"/>
  <c r="E135" i="78"/>
  <c r="D135" i="78"/>
  <c r="C135" i="78"/>
  <c r="M134" i="78"/>
  <c r="L134" i="78"/>
  <c r="K134" i="78"/>
  <c r="J134" i="78"/>
  <c r="I134" i="78"/>
  <c r="H134" i="78"/>
  <c r="G134" i="78"/>
  <c r="F134" i="78"/>
  <c r="E134" i="78"/>
  <c r="D134" i="78"/>
  <c r="C134" i="78"/>
  <c r="M133" i="78"/>
  <c r="L133" i="78"/>
  <c r="K133" i="78"/>
  <c r="J133" i="78"/>
  <c r="I133" i="78"/>
  <c r="H133" i="78"/>
  <c r="G133" i="78"/>
  <c r="F133" i="78"/>
  <c r="E133" i="78"/>
  <c r="D133" i="78"/>
  <c r="C133" i="78"/>
  <c r="M132" i="78"/>
  <c r="L132" i="78"/>
  <c r="K132" i="78"/>
  <c r="J132" i="78"/>
  <c r="I132" i="78"/>
  <c r="H132" i="78"/>
  <c r="G132" i="78"/>
  <c r="F132" i="78"/>
  <c r="E132" i="78"/>
  <c r="D132" i="78"/>
  <c r="C132" i="78"/>
  <c r="M131" i="78"/>
  <c r="L131" i="78"/>
  <c r="K131" i="78"/>
  <c r="J131" i="78"/>
  <c r="I131" i="78"/>
  <c r="H131" i="78"/>
  <c r="G131" i="78"/>
  <c r="F131" i="78"/>
  <c r="E131" i="78"/>
  <c r="D131" i="78"/>
  <c r="C131" i="78"/>
  <c r="M130" i="78"/>
  <c r="L130" i="78"/>
  <c r="K130" i="78"/>
  <c r="J130" i="78"/>
  <c r="I130" i="78"/>
  <c r="H130" i="78"/>
  <c r="G130" i="78"/>
  <c r="F130" i="78"/>
  <c r="E130" i="78"/>
  <c r="D130" i="78"/>
  <c r="C130" i="78"/>
  <c r="M129" i="78"/>
  <c r="L129" i="78"/>
  <c r="K129" i="78"/>
  <c r="J129" i="78"/>
  <c r="I129" i="78"/>
  <c r="H129" i="78"/>
  <c r="G129" i="78"/>
  <c r="F129" i="78"/>
  <c r="E129" i="78"/>
  <c r="D129" i="78"/>
  <c r="C129" i="78"/>
  <c r="M128" i="78"/>
  <c r="L128" i="78"/>
  <c r="K128" i="78"/>
  <c r="J128" i="78"/>
  <c r="I128" i="78"/>
  <c r="H128" i="78"/>
  <c r="G128" i="78"/>
  <c r="F128" i="78"/>
  <c r="E128" i="78"/>
  <c r="D128" i="78"/>
  <c r="C128" i="78"/>
  <c r="M127" i="78"/>
  <c r="L127" i="78"/>
  <c r="K127" i="78"/>
  <c r="J127" i="78"/>
  <c r="I127" i="78"/>
  <c r="H127" i="78"/>
  <c r="G127" i="78"/>
  <c r="F127" i="78"/>
  <c r="E127" i="78"/>
  <c r="D127" i="78"/>
  <c r="C127" i="78"/>
  <c r="M126" i="78"/>
  <c r="L126" i="78"/>
  <c r="K126" i="78"/>
  <c r="J126" i="78"/>
  <c r="I126" i="78"/>
  <c r="H126" i="78"/>
  <c r="G126" i="78"/>
  <c r="F126" i="78"/>
  <c r="E126" i="78"/>
  <c r="D126" i="78"/>
  <c r="C126" i="78"/>
  <c r="M125" i="78"/>
  <c r="L125" i="78"/>
  <c r="K125" i="78"/>
  <c r="J125" i="78"/>
  <c r="I125" i="78"/>
  <c r="H125" i="78"/>
  <c r="G125" i="78"/>
  <c r="F125" i="78"/>
  <c r="E125" i="78"/>
  <c r="D125" i="78"/>
  <c r="C125" i="78"/>
  <c r="M124" i="78"/>
  <c r="L124" i="78"/>
  <c r="K124" i="78"/>
  <c r="J124" i="78"/>
  <c r="I124" i="78"/>
  <c r="H124" i="78"/>
  <c r="G124" i="78"/>
  <c r="F124" i="78"/>
  <c r="E124" i="78"/>
  <c r="D124" i="78"/>
  <c r="C124" i="78"/>
  <c r="M123" i="78"/>
  <c r="L123" i="78"/>
  <c r="K123" i="78"/>
  <c r="J123" i="78"/>
  <c r="I123" i="78"/>
  <c r="H123" i="78"/>
  <c r="G123" i="78"/>
  <c r="F123" i="78"/>
  <c r="E123" i="78"/>
  <c r="D123" i="78"/>
  <c r="C123" i="78"/>
  <c r="M122" i="78"/>
  <c r="L122" i="78"/>
  <c r="K122" i="78"/>
  <c r="J122" i="78"/>
  <c r="I122" i="78"/>
  <c r="H122" i="78"/>
  <c r="G122" i="78"/>
  <c r="F122" i="78"/>
  <c r="E122" i="78"/>
  <c r="D122" i="78"/>
  <c r="C122" i="78"/>
  <c r="M121" i="78"/>
  <c r="L121" i="78"/>
  <c r="K121" i="78"/>
  <c r="J121" i="78"/>
  <c r="I121" i="78"/>
  <c r="H121" i="78"/>
  <c r="G121" i="78"/>
  <c r="F121" i="78"/>
  <c r="E121" i="78"/>
  <c r="D121" i="78"/>
  <c r="C121" i="78"/>
  <c r="M120" i="78"/>
  <c r="L120" i="78"/>
  <c r="K120" i="78"/>
  <c r="J120" i="78"/>
  <c r="I120" i="78"/>
  <c r="H120" i="78"/>
  <c r="G120" i="78"/>
  <c r="F120" i="78"/>
  <c r="E120" i="78"/>
  <c r="D120" i="78"/>
  <c r="C120" i="78"/>
  <c r="M119" i="78"/>
  <c r="L119" i="78"/>
  <c r="K119" i="78"/>
  <c r="J119" i="78"/>
  <c r="I119" i="78"/>
  <c r="H119" i="78"/>
  <c r="G119" i="78"/>
  <c r="F119" i="78"/>
  <c r="E119" i="78"/>
  <c r="D119" i="78"/>
  <c r="C119" i="78"/>
  <c r="M118" i="78"/>
  <c r="L118" i="78"/>
  <c r="K118" i="78"/>
  <c r="J118" i="78"/>
  <c r="I118" i="78"/>
  <c r="H118" i="78"/>
  <c r="G118" i="78"/>
  <c r="F118" i="78"/>
  <c r="E118" i="78"/>
  <c r="D118" i="78"/>
  <c r="C118" i="78"/>
  <c r="M117" i="78"/>
  <c r="L117" i="78"/>
  <c r="K117" i="78"/>
  <c r="J117" i="78"/>
  <c r="I117" i="78"/>
  <c r="H117" i="78"/>
  <c r="G117" i="78"/>
  <c r="F117" i="78"/>
  <c r="E117" i="78"/>
  <c r="D117" i="78"/>
  <c r="C117" i="78"/>
  <c r="M116" i="78"/>
  <c r="L116" i="78"/>
  <c r="K116" i="78"/>
  <c r="J116" i="78"/>
  <c r="I116" i="78"/>
  <c r="H116" i="78"/>
  <c r="G116" i="78"/>
  <c r="F116" i="78"/>
  <c r="E116" i="78"/>
  <c r="D116" i="78"/>
  <c r="C116" i="78"/>
  <c r="M115" i="78"/>
  <c r="L115" i="78"/>
  <c r="K115" i="78"/>
  <c r="J115" i="78"/>
  <c r="I115" i="78"/>
  <c r="H115" i="78"/>
  <c r="G115" i="78"/>
  <c r="F115" i="78"/>
  <c r="E115" i="78"/>
  <c r="D115" i="78"/>
  <c r="C115" i="78"/>
  <c r="M114" i="78"/>
  <c r="L114" i="78"/>
  <c r="K114" i="78"/>
  <c r="J114" i="78"/>
  <c r="I114" i="78"/>
  <c r="H114" i="78"/>
  <c r="G114" i="78"/>
  <c r="F114" i="78"/>
  <c r="E114" i="78"/>
  <c r="D114" i="78"/>
  <c r="C114" i="78"/>
  <c r="M113" i="78"/>
  <c r="L113" i="78"/>
  <c r="K113" i="78"/>
  <c r="J113" i="78"/>
  <c r="I113" i="78"/>
  <c r="H113" i="78"/>
  <c r="G113" i="78"/>
  <c r="F113" i="78"/>
  <c r="E113" i="78"/>
  <c r="D113" i="78"/>
  <c r="C113" i="78"/>
  <c r="M112" i="78"/>
  <c r="L112" i="78"/>
  <c r="K112" i="78"/>
  <c r="J112" i="78"/>
  <c r="I112" i="78"/>
  <c r="H112" i="78"/>
  <c r="G112" i="78"/>
  <c r="F112" i="78"/>
  <c r="E112" i="78"/>
  <c r="D112" i="78"/>
  <c r="C112" i="78"/>
  <c r="M111" i="78"/>
  <c r="L111" i="78"/>
  <c r="K111" i="78"/>
  <c r="J111" i="78"/>
  <c r="I111" i="78"/>
  <c r="H111" i="78"/>
  <c r="G111" i="78"/>
  <c r="F111" i="78"/>
  <c r="E111" i="78"/>
  <c r="D111" i="78"/>
  <c r="C111" i="78"/>
  <c r="M110" i="78"/>
  <c r="L110" i="78"/>
  <c r="K110" i="78"/>
  <c r="J110" i="78"/>
  <c r="I110" i="78"/>
  <c r="H110" i="78"/>
  <c r="G110" i="78"/>
  <c r="F110" i="78"/>
  <c r="E110" i="78"/>
  <c r="D110" i="78"/>
  <c r="C110" i="78"/>
  <c r="M109" i="78"/>
  <c r="L109" i="78"/>
  <c r="K109" i="78"/>
  <c r="J109" i="78"/>
  <c r="I109" i="78"/>
  <c r="H109" i="78"/>
  <c r="G109" i="78"/>
  <c r="F109" i="78"/>
  <c r="E109" i="78"/>
  <c r="D109" i="78"/>
  <c r="C109" i="78"/>
  <c r="M108" i="78"/>
  <c r="L108" i="78"/>
  <c r="K108" i="78"/>
  <c r="J108" i="78"/>
  <c r="I108" i="78"/>
  <c r="H108" i="78"/>
  <c r="G108" i="78"/>
  <c r="F108" i="78"/>
  <c r="E108" i="78"/>
  <c r="D108" i="78"/>
  <c r="C108" i="78"/>
  <c r="M107" i="78"/>
  <c r="L107" i="78"/>
  <c r="K107" i="78"/>
  <c r="J107" i="78"/>
  <c r="I107" i="78"/>
  <c r="H107" i="78"/>
  <c r="G107" i="78"/>
  <c r="F107" i="78"/>
  <c r="E107" i="78"/>
  <c r="D107" i="78"/>
  <c r="C107" i="78"/>
  <c r="M106" i="78"/>
  <c r="L106" i="78"/>
  <c r="K106" i="78"/>
  <c r="J106" i="78"/>
  <c r="I106" i="78"/>
  <c r="H106" i="78"/>
  <c r="G106" i="78"/>
  <c r="F106" i="78"/>
  <c r="E106" i="78"/>
  <c r="D106" i="78"/>
  <c r="C106" i="78"/>
  <c r="M105" i="78"/>
  <c r="L105" i="78"/>
  <c r="K105" i="78"/>
  <c r="J105" i="78"/>
  <c r="I105" i="78"/>
  <c r="H105" i="78"/>
  <c r="G105" i="78"/>
  <c r="F105" i="78"/>
  <c r="E105" i="78"/>
  <c r="D105" i="78"/>
  <c r="C105" i="78"/>
  <c r="M104" i="78"/>
  <c r="L104" i="78"/>
  <c r="K104" i="78"/>
  <c r="J104" i="78"/>
  <c r="I104" i="78"/>
  <c r="H104" i="78"/>
  <c r="G104" i="78"/>
  <c r="F104" i="78"/>
  <c r="E104" i="78"/>
  <c r="D104" i="78"/>
  <c r="C104" i="78"/>
  <c r="M103" i="78"/>
  <c r="L103" i="78"/>
  <c r="K103" i="78"/>
  <c r="J103" i="78"/>
  <c r="I103" i="78"/>
  <c r="H103" i="78"/>
  <c r="G103" i="78"/>
  <c r="F103" i="78"/>
  <c r="E103" i="78"/>
  <c r="D103" i="78"/>
  <c r="C103" i="78"/>
  <c r="M102" i="78"/>
  <c r="L102" i="78"/>
  <c r="K102" i="78"/>
  <c r="J102" i="78"/>
  <c r="I102" i="78"/>
  <c r="H102" i="78"/>
  <c r="G102" i="78"/>
  <c r="F102" i="78"/>
  <c r="E102" i="78"/>
  <c r="D102" i="78"/>
  <c r="C102" i="78"/>
  <c r="M101" i="78"/>
  <c r="L101" i="78"/>
  <c r="K101" i="78"/>
  <c r="J101" i="78"/>
  <c r="I101" i="78"/>
  <c r="H101" i="78"/>
  <c r="G101" i="78"/>
  <c r="F101" i="78"/>
  <c r="E101" i="78"/>
  <c r="D101" i="78"/>
  <c r="C101" i="78"/>
  <c r="M100" i="78"/>
  <c r="L100" i="78"/>
  <c r="K100" i="78"/>
  <c r="J100" i="78"/>
  <c r="I100" i="78"/>
  <c r="H100" i="78"/>
  <c r="G100" i="78"/>
  <c r="F100" i="78"/>
  <c r="E100" i="78"/>
  <c r="D100" i="78"/>
  <c r="C100" i="78"/>
  <c r="M99" i="78"/>
  <c r="L99" i="78"/>
  <c r="K99" i="78"/>
  <c r="J99" i="78"/>
  <c r="I99" i="78"/>
  <c r="H99" i="78"/>
  <c r="G99" i="78"/>
  <c r="F99" i="78"/>
  <c r="E99" i="78"/>
  <c r="D99" i="78"/>
  <c r="C99" i="78"/>
  <c r="M98" i="78"/>
  <c r="L98" i="78"/>
  <c r="K98" i="78"/>
  <c r="J98" i="78"/>
  <c r="I98" i="78"/>
  <c r="H98" i="78"/>
  <c r="G98" i="78"/>
  <c r="F98" i="78"/>
  <c r="E98" i="78"/>
  <c r="D98" i="78"/>
  <c r="C98" i="78"/>
  <c r="M97" i="78"/>
  <c r="L97" i="78"/>
  <c r="K97" i="78"/>
  <c r="J97" i="78"/>
  <c r="I97" i="78"/>
  <c r="H97" i="78"/>
  <c r="G97" i="78"/>
  <c r="F97" i="78"/>
  <c r="E97" i="78"/>
  <c r="D97" i="78"/>
  <c r="C97" i="78"/>
  <c r="M96" i="78"/>
  <c r="L96" i="78"/>
  <c r="K96" i="78"/>
  <c r="J96" i="78"/>
  <c r="I96" i="78"/>
  <c r="H96" i="78"/>
  <c r="G96" i="78"/>
  <c r="F96" i="78"/>
  <c r="E96" i="78"/>
  <c r="D96" i="78"/>
  <c r="C96" i="78"/>
  <c r="M95" i="78"/>
  <c r="L95" i="78"/>
  <c r="K95" i="78"/>
  <c r="J95" i="78"/>
  <c r="I95" i="78"/>
  <c r="H95" i="78"/>
  <c r="G95" i="78"/>
  <c r="F95" i="78"/>
  <c r="E95" i="78"/>
  <c r="D95" i="78"/>
  <c r="C95" i="78"/>
  <c r="M94" i="78"/>
  <c r="L94" i="78"/>
  <c r="K94" i="78"/>
  <c r="J94" i="78"/>
  <c r="I94" i="78"/>
  <c r="H94" i="78"/>
  <c r="G94" i="78"/>
  <c r="F94" i="78"/>
  <c r="E94" i="78"/>
  <c r="D94" i="78"/>
  <c r="C94" i="78"/>
  <c r="M93" i="78"/>
  <c r="L93" i="78"/>
  <c r="K93" i="78"/>
  <c r="J93" i="78"/>
  <c r="I93" i="78"/>
  <c r="H93" i="78"/>
  <c r="G93" i="78"/>
  <c r="F93" i="78"/>
  <c r="E93" i="78"/>
  <c r="D93" i="78"/>
  <c r="C93" i="78"/>
  <c r="M92" i="78"/>
  <c r="L92" i="78"/>
  <c r="K92" i="78"/>
  <c r="J92" i="78"/>
  <c r="I92" i="78"/>
  <c r="H92" i="78"/>
  <c r="G92" i="78"/>
  <c r="F92" i="78"/>
  <c r="E92" i="78"/>
  <c r="D92" i="78"/>
  <c r="C92" i="78"/>
  <c r="M91" i="78"/>
  <c r="L91" i="78"/>
  <c r="K91" i="78"/>
  <c r="J91" i="78"/>
  <c r="I91" i="78"/>
  <c r="H91" i="78"/>
  <c r="G91" i="78"/>
  <c r="F91" i="78"/>
  <c r="E91" i="78"/>
  <c r="D91" i="78"/>
  <c r="C91" i="78"/>
  <c r="M90" i="78"/>
  <c r="L90" i="78"/>
  <c r="K90" i="78"/>
  <c r="J90" i="78"/>
  <c r="I90" i="78"/>
  <c r="H90" i="78"/>
  <c r="G90" i="78"/>
  <c r="F90" i="78"/>
  <c r="E90" i="78"/>
  <c r="D90" i="78"/>
  <c r="C90" i="78"/>
  <c r="M89" i="78"/>
  <c r="L89" i="78"/>
  <c r="K89" i="78"/>
  <c r="J89" i="78"/>
  <c r="I89" i="78"/>
  <c r="H89" i="78"/>
  <c r="G89" i="78"/>
  <c r="F89" i="78"/>
  <c r="E89" i="78"/>
  <c r="D89" i="78"/>
  <c r="C89" i="78"/>
  <c r="M88" i="78"/>
  <c r="L88" i="78"/>
  <c r="K88" i="78"/>
  <c r="J88" i="78"/>
  <c r="I88" i="78"/>
  <c r="H88" i="78"/>
  <c r="G88" i="78"/>
  <c r="F88" i="78"/>
  <c r="E88" i="78"/>
  <c r="D88" i="78"/>
  <c r="C88" i="78"/>
  <c r="M87" i="78"/>
  <c r="L87" i="78"/>
  <c r="K87" i="78"/>
  <c r="J87" i="78"/>
  <c r="I87" i="78"/>
  <c r="H87" i="78"/>
  <c r="G87" i="78"/>
  <c r="F87" i="78"/>
  <c r="E87" i="78"/>
  <c r="D87" i="78"/>
  <c r="C87" i="78"/>
  <c r="M86" i="78"/>
  <c r="L86" i="78"/>
  <c r="K86" i="78"/>
  <c r="J86" i="78"/>
  <c r="I86" i="78"/>
  <c r="H86" i="78"/>
  <c r="G86" i="78"/>
  <c r="F86" i="78"/>
  <c r="E86" i="78"/>
  <c r="D86" i="78"/>
  <c r="C86" i="78"/>
  <c r="M85" i="78"/>
  <c r="L85" i="78"/>
  <c r="K85" i="78"/>
  <c r="J85" i="78"/>
  <c r="I85" i="78"/>
  <c r="H85" i="78"/>
  <c r="G85" i="78"/>
  <c r="F85" i="78"/>
  <c r="E85" i="78"/>
  <c r="D85" i="78"/>
  <c r="C85" i="78"/>
  <c r="M84" i="78"/>
  <c r="L84" i="78"/>
  <c r="K84" i="78"/>
  <c r="J84" i="78"/>
  <c r="I84" i="78"/>
  <c r="H84" i="78"/>
  <c r="G84" i="78"/>
  <c r="F84" i="78"/>
  <c r="E84" i="78"/>
  <c r="D84" i="78"/>
  <c r="C84" i="78"/>
  <c r="M83" i="78"/>
  <c r="L83" i="78"/>
  <c r="K83" i="78"/>
  <c r="J83" i="78"/>
  <c r="I83" i="78"/>
  <c r="H83" i="78"/>
  <c r="G83" i="78"/>
  <c r="F83" i="78"/>
  <c r="E83" i="78"/>
  <c r="D83" i="78"/>
  <c r="C83" i="78"/>
  <c r="M82" i="78"/>
  <c r="L82" i="78"/>
  <c r="K82" i="78"/>
  <c r="J82" i="78"/>
  <c r="I82" i="78"/>
  <c r="H82" i="78"/>
  <c r="G82" i="78"/>
  <c r="F82" i="78"/>
  <c r="E82" i="78"/>
  <c r="D82" i="78"/>
  <c r="C82" i="78"/>
  <c r="M81" i="78"/>
  <c r="L81" i="78"/>
  <c r="K81" i="78"/>
  <c r="J81" i="78"/>
  <c r="I81" i="78"/>
  <c r="H81" i="78"/>
  <c r="G81" i="78"/>
  <c r="F81" i="78"/>
  <c r="E81" i="78"/>
  <c r="D81" i="78"/>
  <c r="C81" i="78"/>
  <c r="M80" i="78"/>
  <c r="L80" i="78"/>
  <c r="K80" i="78"/>
  <c r="J80" i="78"/>
  <c r="I80" i="78"/>
  <c r="H80" i="78"/>
  <c r="G80" i="78"/>
  <c r="F80" i="78"/>
  <c r="E80" i="78"/>
  <c r="D80" i="78"/>
  <c r="C80" i="78"/>
  <c r="M79" i="78"/>
  <c r="L79" i="78"/>
  <c r="K79" i="78"/>
  <c r="J79" i="78"/>
  <c r="I79" i="78"/>
  <c r="H79" i="78"/>
  <c r="G79" i="78"/>
  <c r="F79" i="78"/>
  <c r="E79" i="78"/>
  <c r="D79" i="78"/>
  <c r="C79" i="78"/>
  <c r="M78" i="78"/>
  <c r="L78" i="78"/>
  <c r="K78" i="78"/>
  <c r="J78" i="78"/>
  <c r="I78" i="78"/>
  <c r="H78" i="78"/>
  <c r="G78" i="78"/>
  <c r="F78" i="78"/>
  <c r="E78" i="78"/>
  <c r="D78" i="78"/>
  <c r="C78" i="78"/>
  <c r="M77" i="78"/>
  <c r="L77" i="78"/>
  <c r="K77" i="78"/>
  <c r="J77" i="78"/>
  <c r="I77" i="78"/>
  <c r="H77" i="78"/>
  <c r="G77" i="78"/>
  <c r="F77" i="78"/>
  <c r="E77" i="78"/>
  <c r="D77" i="78"/>
  <c r="C77" i="78"/>
  <c r="M76" i="78"/>
  <c r="L76" i="78"/>
  <c r="K76" i="78"/>
  <c r="J76" i="78"/>
  <c r="I76" i="78"/>
  <c r="H76" i="78"/>
  <c r="G76" i="78"/>
  <c r="F76" i="78"/>
  <c r="E76" i="78"/>
  <c r="D76" i="78"/>
  <c r="C76" i="78"/>
  <c r="M75" i="78"/>
  <c r="L75" i="78"/>
  <c r="K75" i="78"/>
  <c r="J75" i="78"/>
  <c r="I75" i="78"/>
  <c r="H75" i="78"/>
  <c r="G75" i="78"/>
  <c r="F75" i="78"/>
  <c r="E75" i="78"/>
  <c r="D75" i="78"/>
  <c r="C75" i="78"/>
  <c r="M74" i="78"/>
  <c r="L74" i="78"/>
  <c r="K74" i="78"/>
  <c r="J74" i="78"/>
  <c r="I74" i="78"/>
  <c r="H74" i="78"/>
  <c r="G74" i="78"/>
  <c r="F74" i="78"/>
  <c r="E74" i="78"/>
  <c r="D74" i="78"/>
  <c r="C74" i="78"/>
  <c r="M73" i="78"/>
  <c r="L73" i="78"/>
  <c r="K73" i="78"/>
  <c r="J73" i="78"/>
  <c r="I73" i="78"/>
  <c r="H73" i="78"/>
  <c r="G73" i="78"/>
  <c r="F73" i="78"/>
  <c r="E73" i="78"/>
  <c r="D73" i="78"/>
  <c r="C73" i="78"/>
  <c r="M72" i="78"/>
  <c r="L72" i="78"/>
  <c r="K72" i="78"/>
  <c r="J72" i="78"/>
  <c r="I72" i="78"/>
  <c r="H72" i="78"/>
  <c r="G72" i="78"/>
  <c r="F72" i="78"/>
  <c r="E72" i="78"/>
  <c r="D72" i="78"/>
  <c r="C72" i="78"/>
  <c r="M71" i="78"/>
  <c r="L71" i="78"/>
  <c r="K71" i="78"/>
  <c r="J71" i="78"/>
  <c r="I71" i="78"/>
  <c r="H71" i="78"/>
  <c r="G71" i="78"/>
  <c r="F71" i="78"/>
  <c r="E71" i="78"/>
  <c r="D71" i="78"/>
  <c r="C71" i="78"/>
  <c r="M70" i="78"/>
  <c r="L70" i="78"/>
  <c r="K70" i="78"/>
  <c r="J70" i="78"/>
  <c r="I70" i="78"/>
  <c r="H70" i="78"/>
  <c r="G70" i="78"/>
  <c r="F70" i="78"/>
  <c r="E70" i="78"/>
  <c r="D70" i="78"/>
  <c r="C70" i="78"/>
  <c r="M69" i="78"/>
  <c r="L69" i="78"/>
  <c r="K69" i="78"/>
  <c r="J69" i="78"/>
  <c r="I69" i="78"/>
  <c r="H69" i="78"/>
  <c r="G69" i="78"/>
  <c r="F69" i="78"/>
  <c r="E69" i="78"/>
  <c r="D69" i="78"/>
  <c r="C69" i="78"/>
  <c r="M68" i="78"/>
  <c r="L68" i="78"/>
  <c r="K68" i="78"/>
  <c r="J68" i="78"/>
  <c r="I68" i="78"/>
  <c r="H68" i="78"/>
  <c r="G68" i="78"/>
  <c r="F68" i="78"/>
  <c r="E68" i="78"/>
  <c r="D68" i="78"/>
  <c r="C68" i="78"/>
  <c r="M67" i="78"/>
  <c r="L67" i="78"/>
  <c r="K67" i="78"/>
  <c r="J67" i="78"/>
  <c r="I67" i="78"/>
  <c r="H67" i="78"/>
  <c r="G67" i="78"/>
  <c r="F67" i="78"/>
  <c r="E67" i="78"/>
  <c r="D67" i="78"/>
  <c r="C67" i="78"/>
  <c r="M66" i="78"/>
  <c r="L66" i="78"/>
  <c r="K66" i="78"/>
  <c r="J66" i="78"/>
  <c r="I66" i="78"/>
  <c r="H66" i="78"/>
  <c r="G66" i="78"/>
  <c r="F66" i="78"/>
  <c r="E66" i="78"/>
  <c r="D66" i="78"/>
  <c r="C66" i="78"/>
  <c r="M65" i="78"/>
  <c r="L65" i="78"/>
  <c r="K65" i="78"/>
  <c r="J65" i="78"/>
  <c r="I65" i="78"/>
  <c r="H65" i="78"/>
  <c r="G65" i="78"/>
  <c r="F65" i="78"/>
  <c r="E65" i="78"/>
  <c r="D65" i="78"/>
  <c r="C65" i="78"/>
  <c r="M64" i="78"/>
  <c r="L64" i="78"/>
  <c r="K64" i="78"/>
  <c r="J64" i="78"/>
  <c r="I64" i="78"/>
  <c r="H64" i="78"/>
  <c r="G64" i="78"/>
  <c r="F64" i="78"/>
  <c r="E64" i="78"/>
  <c r="D64" i="78"/>
  <c r="C64" i="78"/>
  <c r="M63" i="78"/>
  <c r="L63" i="78"/>
  <c r="K63" i="78"/>
  <c r="J63" i="78"/>
  <c r="I63" i="78"/>
  <c r="H63" i="78"/>
  <c r="G63" i="78"/>
  <c r="F63" i="78"/>
  <c r="E63" i="78"/>
  <c r="D63" i="78"/>
  <c r="C63" i="78"/>
  <c r="M62" i="78"/>
  <c r="L62" i="78"/>
  <c r="K62" i="78"/>
  <c r="J62" i="78"/>
  <c r="I62" i="78"/>
  <c r="H62" i="78"/>
  <c r="G62" i="78"/>
  <c r="F62" i="78"/>
  <c r="E62" i="78"/>
  <c r="D62" i="78"/>
  <c r="C62" i="78"/>
  <c r="M61" i="78"/>
  <c r="L61" i="78"/>
  <c r="K61" i="78"/>
  <c r="J61" i="78"/>
  <c r="I61" i="78"/>
  <c r="H61" i="78"/>
  <c r="G61" i="78"/>
  <c r="F61" i="78"/>
  <c r="E61" i="78"/>
  <c r="D61" i="78"/>
  <c r="C61" i="78"/>
  <c r="M60" i="78"/>
  <c r="L60" i="78"/>
  <c r="K60" i="78"/>
  <c r="J60" i="78"/>
  <c r="I60" i="78"/>
  <c r="H60" i="78"/>
  <c r="G60" i="78"/>
  <c r="F60" i="78"/>
  <c r="E60" i="78"/>
  <c r="D60" i="78"/>
  <c r="C60" i="78"/>
  <c r="M59" i="78"/>
  <c r="L59" i="78"/>
  <c r="K59" i="78"/>
  <c r="J59" i="78"/>
  <c r="I59" i="78"/>
  <c r="H59" i="78"/>
  <c r="G59" i="78"/>
  <c r="F59" i="78"/>
  <c r="E59" i="78"/>
  <c r="D59" i="78"/>
  <c r="C59" i="78"/>
  <c r="M58" i="78"/>
  <c r="L58" i="78"/>
  <c r="K58" i="78"/>
  <c r="J58" i="78"/>
  <c r="I58" i="78"/>
  <c r="H58" i="78"/>
  <c r="G58" i="78"/>
  <c r="F58" i="78"/>
  <c r="E58" i="78"/>
  <c r="D58" i="78"/>
  <c r="C58" i="78"/>
  <c r="M57" i="78"/>
  <c r="L57" i="78"/>
  <c r="K57" i="78"/>
  <c r="J57" i="78"/>
  <c r="I57" i="78"/>
  <c r="H57" i="78"/>
  <c r="G57" i="78"/>
  <c r="F57" i="78"/>
  <c r="E57" i="78"/>
  <c r="D57" i="78"/>
  <c r="C57" i="78"/>
  <c r="M56" i="78"/>
  <c r="L56" i="78"/>
  <c r="K56" i="78"/>
  <c r="J56" i="78"/>
  <c r="I56" i="78"/>
  <c r="H56" i="78"/>
  <c r="G56" i="78"/>
  <c r="F56" i="78"/>
  <c r="E56" i="78"/>
  <c r="D56" i="78"/>
  <c r="C56" i="78"/>
  <c r="M55" i="78"/>
  <c r="L55" i="78"/>
  <c r="K55" i="78"/>
  <c r="J55" i="78"/>
  <c r="I55" i="78"/>
  <c r="H55" i="78"/>
  <c r="G55" i="78"/>
  <c r="F55" i="78"/>
  <c r="E55" i="78"/>
  <c r="D55" i="78"/>
  <c r="C55" i="78"/>
  <c r="M54" i="78"/>
  <c r="L54" i="78"/>
  <c r="K54" i="78"/>
  <c r="J54" i="78"/>
  <c r="I54" i="78"/>
  <c r="H54" i="78"/>
  <c r="G54" i="78"/>
  <c r="F54" i="78"/>
  <c r="E54" i="78"/>
  <c r="D54" i="78"/>
  <c r="C54" i="78"/>
  <c r="M53" i="78"/>
  <c r="L53" i="78"/>
  <c r="K53" i="78"/>
  <c r="J53" i="78"/>
  <c r="I53" i="78"/>
  <c r="H53" i="78"/>
  <c r="G53" i="78"/>
  <c r="F53" i="78"/>
  <c r="E53" i="78"/>
  <c r="D53" i="78"/>
  <c r="C53" i="78"/>
  <c r="M52" i="78"/>
  <c r="L52" i="78"/>
  <c r="K52" i="78"/>
  <c r="J52" i="78"/>
  <c r="I52" i="78"/>
  <c r="H52" i="78"/>
  <c r="G52" i="78"/>
  <c r="F52" i="78"/>
  <c r="E52" i="78"/>
  <c r="D52" i="78"/>
  <c r="C52" i="78"/>
  <c r="M51" i="78"/>
  <c r="L51" i="78"/>
  <c r="K51" i="78"/>
  <c r="J51" i="78"/>
  <c r="I51" i="78"/>
  <c r="H51" i="78"/>
  <c r="G51" i="78"/>
  <c r="F51" i="78"/>
  <c r="E51" i="78"/>
  <c r="D51" i="78"/>
  <c r="C51" i="78"/>
  <c r="M50" i="78"/>
  <c r="L50" i="78"/>
  <c r="K50" i="78"/>
  <c r="J50" i="78"/>
  <c r="I50" i="78"/>
  <c r="H50" i="78"/>
  <c r="G50" i="78"/>
  <c r="F50" i="78"/>
  <c r="E50" i="78"/>
  <c r="D50" i="78"/>
  <c r="C50" i="78"/>
  <c r="M49" i="78"/>
  <c r="L49" i="78"/>
  <c r="K49" i="78"/>
  <c r="J49" i="78"/>
  <c r="I49" i="78"/>
  <c r="H49" i="78"/>
  <c r="G49" i="78"/>
  <c r="F49" i="78"/>
  <c r="E49" i="78"/>
  <c r="D49" i="78"/>
  <c r="C49" i="78"/>
  <c r="M48" i="78"/>
  <c r="L48" i="78"/>
  <c r="K48" i="78"/>
  <c r="J48" i="78"/>
  <c r="I48" i="78"/>
  <c r="H48" i="78"/>
  <c r="G48" i="78"/>
  <c r="F48" i="78"/>
  <c r="E48" i="78"/>
  <c r="D48" i="78"/>
  <c r="C48" i="78"/>
  <c r="M47" i="78"/>
  <c r="L47" i="78"/>
  <c r="K47" i="78"/>
  <c r="J47" i="78"/>
  <c r="I47" i="78"/>
  <c r="H47" i="78"/>
  <c r="G47" i="78"/>
  <c r="F47" i="78"/>
  <c r="E47" i="78"/>
  <c r="D47" i="78"/>
  <c r="C47" i="78"/>
  <c r="M46" i="78"/>
  <c r="L46" i="78"/>
  <c r="K46" i="78"/>
  <c r="J46" i="78"/>
  <c r="I46" i="78"/>
  <c r="H46" i="78"/>
  <c r="G46" i="78"/>
  <c r="F46" i="78"/>
  <c r="E46" i="78"/>
  <c r="D46" i="78"/>
  <c r="C46" i="78"/>
  <c r="M45" i="78"/>
  <c r="L45" i="78"/>
  <c r="K45" i="78"/>
  <c r="J45" i="78"/>
  <c r="I45" i="78"/>
  <c r="H45" i="78"/>
  <c r="G45" i="78"/>
  <c r="F45" i="78"/>
  <c r="E45" i="78"/>
  <c r="D45" i="78"/>
  <c r="C45" i="78"/>
  <c r="M44" i="78"/>
  <c r="L44" i="78"/>
  <c r="K44" i="78"/>
  <c r="J44" i="78"/>
  <c r="I44" i="78"/>
  <c r="H44" i="78"/>
  <c r="G44" i="78"/>
  <c r="F44" i="78"/>
  <c r="E44" i="78"/>
  <c r="D44" i="78"/>
  <c r="C44" i="78"/>
  <c r="M43" i="78"/>
  <c r="L43" i="78"/>
  <c r="K43" i="78"/>
  <c r="J43" i="78"/>
  <c r="I43" i="78"/>
  <c r="H43" i="78"/>
  <c r="G43" i="78"/>
  <c r="F43" i="78"/>
  <c r="E43" i="78"/>
  <c r="D43" i="78"/>
  <c r="C43" i="78"/>
  <c r="M42" i="78"/>
  <c r="L42" i="78"/>
  <c r="K42" i="78"/>
  <c r="J42" i="78"/>
  <c r="I42" i="78"/>
  <c r="H42" i="78"/>
  <c r="G42" i="78"/>
  <c r="F42" i="78"/>
  <c r="E42" i="78"/>
  <c r="D42" i="78"/>
  <c r="C42" i="78"/>
  <c r="M41" i="78"/>
  <c r="L41" i="78"/>
  <c r="K41" i="78"/>
  <c r="J41" i="78"/>
  <c r="I41" i="78"/>
  <c r="H41" i="78"/>
  <c r="G41" i="78"/>
  <c r="F41" i="78"/>
  <c r="E41" i="78"/>
  <c r="D41" i="78"/>
  <c r="C41" i="78"/>
  <c r="M40" i="78"/>
  <c r="L40" i="78"/>
  <c r="K40" i="78"/>
  <c r="J40" i="78"/>
  <c r="I40" i="78"/>
  <c r="H40" i="78"/>
  <c r="G40" i="78"/>
  <c r="F40" i="78"/>
  <c r="E40" i="78"/>
  <c r="D40" i="78"/>
  <c r="C40" i="78"/>
  <c r="M39" i="78"/>
  <c r="L39" i="78"/>
  <c r="K39" i="78"/>
  <c r="J39" i="78"/>
  <c r="I39" i="78"/>
  <c r="H39" i="78"/>
  <c r="G39" i="78"/>
  <c r="F39" i="78"/>
  <c r="E39" i="78"/>
  <c r="D39" i="78"/>
  <c r="C39" i="78"/>
  <c r="M38" i="78"/>
  <c r="L38" i="78"/>
  <c r="K38" i="78"/>
  <c r="J38" i="78"/>
  <c r="I38" i="78"/>
  <c r="H38" i="78"/>
  <c r="G38" i="78"/>
  <c r="F38" i="78"/>
  <c r="E38" i="78"/>
  <c r="D38" i="78"/>
  <c r="C38" i="78"/>
  <c r="M37" i="78"/>
  <c r="L37" i="78"/>
  <c r="K37" i="78"/>
  <c r="J37" i="78"/>
  <c r="I37" i="78"/>
  <c r="H37" i="78"/>
  <c r="G37" i="78"/>
  <c r="F37" i="78"/>
  <c r="E37" i="78"/>
  <c r="D37" i="78"/>
  <c r="C37" i="78"/>
  <c r="M36" i="78"/>
  <c r="L36" i="78"/>
  <c r="K36" i="78"/>
  <c r="J36" i="78"/>
  <c r="I36" i="78"/>
  <c r="H36" i="78"/>
  <c r="G36" i="78"/>
  <c r="F36" i="78"/>
  <c r="E36" i="78"/>
  <c r="D36" i="78"/>
  <c r="C36" i="78"/>
  <c r="M35" i="78"/>
  <c r="L35" i="78"/>
  <c r="K35" i="78"/>
  <c r="J35" i="78"/>
  <c r="I35" i="78"/>
  <c r="H35" i="78"/>
  <c r="G35" i="78"/>
  <c r="F35" i="78"/>
  <c r="E35" i="78"/>
  <c r="D35" i="78"/>
  <c r="C35" i="78"/>
  <c r="M34" i="78"/>
  <c r="L34" i="78"/>
  <c r="K34" i="78"/>
  <c r="J34" i="78"/>
  <c r="I34" i="78"/>
  <c r="H34" i="78"/>
  <c r="G34" i="78"/>
  <c r="F34" i="78"/>
  <c r="E34" i="78"/>
  <c r="D34" i="78"/>
  <c r="C34" i="78"/>
  <c r="M33" i="78"/>
  <c r="L33" i="78"/>
  <c r="K33" i="78"/>
  <c r="J33" i="78"/>
  <c r="I33" i="78"/>
  <c r="H33" i="78"/>
  <c r="G33" i="78"/>
  <c r="F33" i="78"/>
  <c r="E33" i="78"/>
  <c r="D33" i="78"/>
  <c r="C33" i="78"/>
  <c r="M32" i="78"/>
  <c r="L32" i="78"/>
  <c r="K32" i="78"/>
  <c r="J32" i="78"/>
  <c r="I32" i="78"/>
  <c r="H32" i="78"/>
  <c r="G32" i="78"/>
  <c r="F32" i="78"/>
  <c r="E32" i="78"/>
  <c r="D32" i="78"/>
  <c r="C32" i="78"/>
  <c r="M31" i="78"/>
  <c r="L31" i="78"/>
  <c r="K31" i="78"/>
  <c r="J31" i="78"/>
  <c r="I31" i="78"/>
  <c r="H31" i="78"/>
  <c r="G31" i="78"/>
  <c r="F31" i="78"/>
  <c r="E31" i="78"/>
  <c r="D31" i="78"/>
  <c r="C31" i="78"/>
  <c r="M30" i="78"/>
  <c r="L30" i="78"/>
  <c r="K30" i="78"/>
  <c r="J30" i="78"/>
  <c r="I30" i="78"/>
  <c r="H30" i="78"/>
  <c r="G30" i="78"/>
  <c r="F30" i="78"/>
  <c r="E30" i="78"/>
  <c r="D30" i="78"/>
  <c r="C30" i="78"/>
  <c r="M29" i="78"/>
  <c r="L29" i="78"/>
  <c r="K29" i="78"/>
  <c r="J29" i="78"/>
  <c r="I29" i="78"/>
  <c r="H29" i="78"/>
  <c r="G29" i="78"/>
  <c r="F29" i="78"/>
  <c r="E29" i="78"/>
  <c r="D29" i="78"/>
  <c r="C29" i="78"/>
  <c r="M28" i="78"/>
  <c r="L28" i="78"/>
  <c r="K28" i="78"/>
  <c r="J28" i="78"/>
  <c r="I28" i="78"/>
  <c r="H28" i="78"/>
  <c r="G28" i="78"/>
  <c r="F28" i="78"/>
  <c r="E28" i="78"/>
  <c r="D28" i="78"/>
  <c r="C28" i="78"/>
  <c r="M27" i="78"/>
  <c r="L27" i="78"/>
  <c r="K27" i="78"/>
  <c r="J27" i="78"/>
  <c r="I27" i="78"/>
  <c r="H27" i="78"/>
  <c r="G27" i="78"/>
  <c r="F27" i="78"/>
  <c r="E27" i="78"/>
  <c r="D27" i="78"/>
  <c r="C27" i="78"/>
  <c r="M26" i="78"/>
  <c r="L26" i="78"/>
  <c r="K26" i="78"/>
  <c r="J26" i="78"/>
  <c r="I26" i="78"/>
  <c r="H26" i="78"/>
  <c r="G26" i="78"/>
  <c r="F26" i="78"/>
  <c r="E26" i="78"/>
  <c r="D26" i="78"/>
  <c r="C26" i="78"/>
  <c r="M25" i="78"/>
  <c r="L25" i="78"/>
  <c r="K25" i="78"/>
  <c r="J25" i="78"/>
  <c r="I25" i="78"/>
  <c r="H25" i="78"/>
  <c r="G25" i="78"/>
  <c r="F25" i="78"/>
  <c r="E25" i="78"/>
  <c r="D25" i="78"/>
  <c r="C25" i="78"/>
  <c r="M24" i="78"/>
  <c r="L24" i="78"/>
  <c r="K24" i="78"/>
  <c r="J24" i="78"/>
  <c r="I24" i="78"/>
  <c r="H24" i="78"/>
  <c r="G24" i="78"/>
  <c r="F24" i="78"/>
  <c r="E24" i="78"/>
  <c r="D24" i="78"/>
  <c r="C24" i="78"/>
  <c r="M23" i="78"/>
  <c r="L23" i="78"/>
  <c r="K23" i="78"/>
  <c r="J23" i="78"/>
  <c r="I23" i="78"/>
  <c r="H23" i="78"/>
  <c r="G23" i="78"/>
  <c r="F23" i="78"/>
  <c r="E23" i="78"/>
  <c r="D23" i="78"/>
  <c r="C23" i="78"/>
  <c r="M22" i="78"/>
  <c r="L22" i="78"/>
  <c r="K22" i="78"/>
  <c r="J22" i="78"/>
  <c r="I22" i="78"/>
  <c r="H22" i="78"/>
  <c r="G22" i="78"/>
  <c r="F22" i="78"/>
  <c r="E22" i="78"/>
  <c r="D22" i="78"/>
  <c r="C22" i="78"/>
  <c r="M21" i="78"/>
  <c r="L21" i="78"/>
  <c r="K21" i="78"/>
  <c r="J21" i="78"/>
  <c r="I21" i="78"/>
  <c r="H21" i="78"/>
  <c r="G21" i="78"/>
  <c r="F21" i="78"/>
  <c r="E21" i="78"/>
  <c r="D21" i="78"/>
  <c r="C21" i="78"/>
  <c r="M20" i="78"/>
  <c r="L20" i="78"/>
  <c r="K20" i="78"/>
  <c r="J20" i="78"/>
  <c r="I20" i="78"/>
  <c r="H20" i="78"/>
  <c r="G20" i="78"/>
  <c r="F20" i="78"/>
  <c r="E20" i="78"/>
  <c r="D20" i="78"/>
  <c r="C20" i="78"/>
  <c r="M19" i="78"/>
  <c r="L19" i="78"/>
  <c r="K19" i="78"/>
  <c r="J19" i="78"/>
  <c r="I19" i="78"/>
  <c r="H19" i="78"/>
  <c r="G19" i="78"/>
  <c r="F19" i="78"/>
  <c r="E19" i="78"/>
  <c r="D19" i="78"/>
  <c r="C19" i="78"/>
  <c r="M18" i="78"/>
  <c r="L18" i="78"/>
  <c r="K18" i="78"/>
  <c r="J18" i="78"/>
  <c r="I18" i="78"/>
  <c r="H18" i="78"/>
  <c r="G18" i="78"/>
  <c r="F18" i="78"/>
  <c r="E18" i="78"/>
  <c r="D18" i="78"/>
  <c r="C18" i="78"/>
  <c r="M17" i="78"/>
  <c r="L17" i="78"/>
  <c r="K17" i="78"/>
  <c r="J17" i="78"/>
  <c r="I17" i="78"/>
  <c r="H17" i="78"/>
  <c r="G17" i="78"/>
  <c r="F17" i="78"/>
  <c r="E17" i="78"/>
  <c r="D17" i="78"/>
  <c r="C17" i="78"/>
  <c r="M16" i="78"/>
  <c r="L16" i="78"/>
  <c r="K16" i="78"/>
  <c r="J16" i="78"/>
  <c r="I16" i="78"/>
  <c r="H16" i="78"/>
  <c r="G16" i="78"/>
  <c r="F16" i="78"/>
  <c r="E16" i="78"/>
  <c r="D16" i="78"/>
  <c r="C16" i="78"/>
  <c r="M15" i="78"/>
  <c r="L15" i="78"/>
  <c r="K15" i="78"/>
  <c r="J15" i="78"/>
  <c r="I15" i="78"/>
  <c r="H15" i="78"/>
  <c r="G15" i="78"/>
  <c r="F15" i="78"/>
  <c r="E15" i="78"/>
  <c r="D15" i="78"/>
  <c r="C15" i="78"/>
  <c r="M14" i="78"/>
  <c r="L14" i="78"/>
  <c r="K14" i="78"/>
  <c r="J14" i="78"/>
  <c r="I14" i="78"/>
  <c r="H14" i="78"/>
  <c r="G14" i="78"/>
  <c r="F14" i="78"/>
  <c r="E14" i="78"/>
  <c r="D14" i="78"/>
  <c r="C14" i="78"/>
  <c r="M13" i="78"/>
  <c r="L13" i="78"/>
  <c r="K13" i="78"/>
  <c r="J13" i="78"/>
  <c r="I13" i="78"/>
  <c r="H13" i="78"/>
  <c r="G13" i="78"/>
  <c r="F13" i="78"/>
  <c r="E13" i="78"/>
  <c r="D13" i="78"/>
  <c r="C13" i="78"/>
  <c r="M12" i="78"/>
  <c r="L12" i="78"/>
  <c r="K12" i="78"/>
  <c r="J12" i="78"/>
  <c r="I12" i="78"/>
  <c r="H12" i="78"/>
  <c r="G12" i="78"/>
  <c r="F12" i="78"/>
  <c r="E12" i="78"/>
  <c r="D12" i="78"/>
  <c r="C12" i="78"/>
  <c r="M11" i="78"/>
  <c r="L11" i="78"/>
  <c r="K11" i="78"/>
  <c r="J11" i="78"/>
  <c r="I11" i="78"/>
  <c r="H11" i="78"/>
  <c r="G11" i="78"/>
  <c r="F11" i="78"/>
  <c r="E11" i="78"/>
  <c r="D11" i="78"/>
  <c r="C11" i="78"/>
  <c r="M10" i="78"/>
  <c r="L10" i="78"/>
  <c r="K10" i="78"/>
  <c r="J10" i="78"/>
  <c r="I10" i="78"/>
  <c r="H10" i="78"/>
  <c r="G10" i="78"/>
  <c r="F10" i="78"/>
  <c r="E10" i="78"/>
  <c r="D10" i="78"/>
  <c r="C10" i="78"/>
  <c r="M9" i="78"/>
  <c r="L9" i="78"/>
  <c r="K9" i="78"/>
  <c r="J9" i="78"/>
  <c r="I9" i="78"/>
  <c r="H9" i="78"/>
  <c r="G9" i="78"/>
  <c r="F9" i="78"/>
  <c r="E9" i="78"/>
  <c r="D9" i="78"/>
  <c r="C9" i="78"/>
  <c r="M8" i="78"/>
  <c r="L8" i="78"/>
  <c r="K8" i="78"/>
  <c r="J8" i="78"/>
  <c r="I8" i="78"/>
  <c r="H8" i="78"/>
  <c r="G8" i="78"/>
  <c r="F8" i="78"/>
  <c r="E8" i="78"/>
  <c r="D8" i="78"/>
  <c r="C8" i="78"/>
  <c r="M7" i="78"/>
  <c r="L7" i="78"/>
  <c r="K7" i="78"/>
  <c r="J7" i="78"/>
  <c r="I7" i="78"/>
  <c r="H7" i="78"/>
  <c r="G7" i="78"/>
  <c r="F7" i="78"/>
  <c r="E7" i="78"/>
  <c r="D7" i="78"/>
  <c r="C7" i="78"/>
  <c r="M6" i="78"/>
  <c r="L6" i="78"/>
  <c r="K6" i="78"/>
  <c r="J6" i="78"/>
  <c r="I6" i="78"/>
  <c r="H6" i="78"/>
  <c r="G6" i="78"/>
  <c r="F6" i="78"/>
  <c r="E6" i="78"/>
  <c r="D6" i="78"/>
  <c r="C6" i="78"/>
  <c r="M5" i="78"/>
  <c r="L5" i="78"/>
  <c r="K5" i="78"/>
  <c r="J5" i="78"/>
  <c r="I5" i="78"/>
  <c r="H5" i="78"/>
  <c r="G5" i="78"/>
  <c r="F5" i="78"/>
  <c r="E5" i="78"/>
  <c r="D5" i="78"/>
  <c r="C5" i="78"/>
  <c r="M4" i="78"/>
  <c r="L4" i="78"/>
  <c r="K4" i="78"/>
  <c r="J4" i="78"/>
  <c r="I4" i="78"/>
  <c r="H4" i="78"/>
  <c r="G4" i="78"/>
  <c r="F4" i="78"/>
  <c r="E4" i="78"/>
  <c r="D4" i="78"/>
  <c r="C4" i="78"/>
  <c r="M3" i="78"/>
  <c r="L3" i="78"/>
  <c r="K3" i="78"/>
  <c r="J3" i="78"/>
  <c r="I3" i="78"/>
  <c r="H3" i="78"/>
  <c r="G3" i="78"/>
  <c r="F3" i="78"/>
  <c r="C3" i="78"/>
  <c r="M2" i="78"/>
  <c r="L2" i="78"/>
  <c r="K2" i="78"/>
  <c r="J2" i="78"/>
  <c r="I2" i="78"/>
  <c r="H2" i="78"/>
  <c r="G2" i="78"/>
  <c r="F2" i="78"/>
  <c r="E2" i="78"/>
  <c r="D2" i="78"/>
  <c r="C2" i="78"/>
  <c r="L208" i="81"/>
  <c r="K208" i="81"/>
  <c r="J208" i="81"/>
  <c r="I208" i="81"/>
  <c r="H208" i="81"/>
  <c r="G208" i="81"/>
  <c r="F208" i="81"/>
  <c r="E208" i="81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K73" i="292" s="1"/>
  <c r="L73" i="292" s="1"/>
  <c r="M73" i="292" s="1"/>
  <c r="C6" i="313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I19" i="292" s="1"/>
  <c r="E4" i="292"/>
  <c r="E19" i="292" s="1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D6" i="25"/>
  <c r="S43" i="283"/>
  <c r="Q43" i="283"/>
  <c r="O43" i="283"/>
  <c r="M43" i="283"/>
  <c r="J43" i="283"/>
  <c r="H43" i="283"/>
  <c r="F43" i="283"/>
  <c r="C43" i="283"/>
  <c r="B43" i="283"/>
  <c r="T107" i="289"/>
  <c r="R107" i="289"/>
  <c r="P107" i="289"/>
  <c r="N107" i="289"/>
  <c r="M107" i="289"/>
  <c r="K107" i="289"/>
  <c r="I107" i="289"/>
  <c r="G107" i="289"/>
  <c r="E107" i="289"/>
  <c r="D107" i="289"/>
  <c r="C107" i="289"/>
  <c r="B107" i="289"/>
  <c r="T7" i="286"/>
  <c r="R7" i="286"/>
  <c r="P7" i="286"/>
  <c r="N7" i="286"/>
  <c r="M7" i="286"/>
  <c r="L7" i="286"/>
  <c r="J7" i="286"/>
  <c r="H7" i="286"/>
  <c r="F7" i="286"/>
  <c r="C7" i="286"/>
  <c r="B7" i="286"/>
  <c r="T12" i="279"/>
  <c r="R12" i="279"/>
  <c r="P12" i="279"/>
  <c r="N12" i="279"/>
  <c r="M12" i="279"/>
  <c r="L12" i="279"/>
  <c r="J12" i="279"/>
  <c r="H12" i="279"/>
  <c r="F12" i="279"/>
  <c r="D12" i="279"/>
  <c r="C12" i="279"/>
  <c r="B12" i="279"/>
  <c r="T16" i="287"/>
  <c r="R16" i="287"/>
  <c r="P16" i="287"/>
  <c r="N16" i="287"/>
  <c r="M16" i="287"/>
  <c r="L16" i="287"/>
  <c r="J16" i="287"/>
  <c r="H16" i="287"/>
  <c r="F16" i="287"/>
  <c r="D16" i="287"/>
  <c r="C16" i="287"/>
  <c r="B16" i="287"/>
  <c r="T132" i="285"/>
  <c r="R132" i="285"/>
  <c r="P132" i="285"/>
  <c r="N132" i="285"/>
  <c r="M132" i="285"/>
  <c r="L132" i="285"/>
  <c r="J132" i="285"/>
  <c r="H132" i="285"/>
  <c r="F132" i="285"/>
  <c r="D132" i="285"/>
  <c r="C132" i="285"/>
  <c r="B132" i="285"/>
  <c r="T26" i="287"/>
  <c r="R26" i="287"/>
  <c r="P26" i="287"/>
  <c r="N26" i="287"/>
  <c r="M26" i="287"/>
  <c r="L26" i="287"/>
  <c r="J26" i="287"/>
  <c r="H26" i="287"/>
  <c r="F26" i="287"/>
  <c r="C26" i="287"/>
  <c r="B26" i="287"/>
  <c r="T63" i="284"/>
  <c r="R63" i="284"/>
  <c r="P63" i="284"/>
  <c r="N63" i="284"/>
  <c r="M63" i="284"/>
  <c r="L63" i="284"/>
  <c r="J63" i="284"/>
  <c r="H63" i="284"/>
  <c r="F63" i="284"/>
  <c r="D63" i="284"/>
  <c r="C63" i="284"/>
  <c r="B63" i="284"/>
  <c r="T7" i="288"/>
  <c r="R7" i="288"/>
  <c r="P7" i="288"/>
  <c r="N7" i="288"/>
  <c r="M7" i="288"/>
  <c r="L7" i="288"/>
  <c r="J7" i="288"/>
  <c r="H7" i="288"/>
  <c r="F7" i="288"/>
  <c r="D7" i="288"/>
  <c r="C7" i="288"/>
  <c r="B7" i="288"/>
  <c r="T11" i="288"/>
  <c r="R11" i="288"/>
  <c r="P11" i="288"/>
  <c r="N11" i="288"/>
  <c r="M11" i="288"/>
  <c r="L11" i="288"/>
  <c r="J11" i="288"/>
  <c r="H11" i="288"/>
  <c r="F11" i="288"/>
  <c r="D11" i="288"/>
  <c r="C11" i="288"/>
  <c r="B11" i="288"/>
  <c r="T59" i="282"/>
  <c r="R59" i="282"/>
  <c r="P59" i="282"/>
  <c r="N59" i="282"/>
  <c r="M59" i="282"/>
  <c r="L59" i="282"/>
  <c r="J59" i="282"/>
  <c r="H59" i="282"/>
  <c r="F59" i="282"/>
  <c r="C59" i="282"/>
  <c r="B59" i="282"/>
  <c r="T21" i="287"/>
  <c r="R21" i="287"/>
  <c r="P21" i="287"/>
  <c r="N21" i="287"/>
  <c r="M21" i="287"/>
  <c r="L21" i="287"/>
  <c r="J21" i="287"/>
  <c r="H21" i="287"/>
  <c r="F21" i="287"/>
  <c r="D21" i="287"/>
  <c r="C21" i="287"/>
  <c r="B21" i="287"/>
  <c r="T42" i="283"/>
  <c r="R42" i="283"/>
  <c r="P42" i="283"/>
  <c r="N42" i="283"/>
  <c r="M42" i="283"/>
  <c r="L42" i="283"/>
  <c r="J42" i="283"/>
  <c r="H42" i="283"/>
  <c r="F42" i="283"/>
  <c r="D42" i="283"/>
  <c r="C42" i="283"/>
  <c r="B42" i="283"/>
  <c r="T29" i="281"/>
  <c r="R29" i="281"/>
  <c r="P29" i="281"/>
  <c r="N29" i="281"/>
  <c r="M29" i="281"/>
  <c r="L29" i="281"/>
  <c r="J29" i="281"/>
  <c r="H29" i="281"/>
  <c r="F29" i="281"/>
  <c r="D29" i="281"/>
  <c r="C29" i="281"/>
  <c r="B29" i="281"/>
  <c r="T62" i="284"/>
  <c r="R62" i="284"/>
  <c r="P62" i="284"/>
  <c r="N62" i="284"/>
  <c r="M62" i="284"/>
  <c r="L62" i="284"/>
  <c r="J62" i="284"/>
  <c r="H62" i="284"/>
  <c r="F62" i="284"/>
  <c r="D62" i="284"/>
  <c r="C62" i="284"/>
  <c r="B62" i="284"/>
  <c r="T131" i="285"/>
  <c r="R131" i="285"/>
  <c r="P131" i="285"/>
  <c r="N131" i="285"/>
  <c r="M131" i="285"/>
  <c r="L131" i="285"/>
  <c r="J131" i="285"/>
  <c r="H131" i="285"/>
  <c r="F131" i="285"/>
  <c r="D131" i="285"/>
  <c r="C131" i="285"/>
  <c r="B131" i="285"/>
  <c r="T20" i="287"/>
  <c r="R20" i="287"/>
  <c r="P20" i="287"/>
  <c r="N20" i="287"/>
  <c r="M20" i="287"/>
  <c r="L20" i="287"/>
  <c r="J20" i="287"/>
  <c r="H20" i="287"/>
  <c r="F20" i="287"/>
  <c r="D20" i="287"/>
  <c r="C20" i="287"/>
  <c r="B20" i="287"/>
  <c r="T21" i="277"/>
  <c r="R21" i="277"/>
  <c r="P21" i="277"/>
  <c r="N21" i="277"/>
  <c r="M21" i="277"/>
  <c r="L21" i="277"/>
  <c r="J21" i="277"/>
  <c r="H21" i="277"/>
  <c r="F21" i="277"/>
  <c r="D21" i="277"/>
  <c r="C21" i="277"/>
  <c r="B21" i="277"/>
  <c r="T58" i="282"/>
  <c r="R58" i="282"/>
  <c r="P58" i="282"/>
  <c r="N58" i="282"/>
  <c r="M58" i="282"/>
  <c r="L58" i="282"/>
  <c r="J58" i="282"/>
  <c r="H58" i="282"/>
  <c r="F58" i="282"/>
  <c r="D58" i="282"/>
  <c r="C58" i="282"/>
  <c r="B58" i="282"/>
  <c r="T130" i="285"/>
  <c r="R130" i="285"/>
  <c r="P130" i="285"/>
  <c r="N130" i="285"/>
  <c r="M130" i="285"/>
  <c r="L130" i="285"/>
  <c r="J130" i="285"/>
  <c r="H130" i="285"/>
  <c r="F130" i="285"/>
  <c r="D130" i="285"/>
  <c r="C130" i="285"/>
  <c r="B130" i="285"/>
  <c r="T106" i="289"/>
  <c r="R106" i="289"/>
  <c r="P106" i="289"/>
  <c r="N106" i="289"/>
  <c r="M106" i="289"/>
  <c r="L106" i="289"/>
  <c r="J106" i="289"/>
  <c r="H106" i="289"/>
  <c r="F106" i="289"/>
  <c r="D106" i="289"/>
  <c r="C106" i="289"/>
  <c r="B106" i="289"/>
  <c r="T129" i="285"/>
  <c r="R129" i="285"/>
  <c r="P129" i="285"/>
  <c r="N129" i="285"/>
  <c r="M129" i="285"/>
  <c r="J129" i="285"/>
  <c r="F129" i="285"/>
  <c r="D129" i="285"/>
  <c r="C129" i="285"/>
  <c r="B129" i="285"/>
  <c r="R128" i="285"/>
  <c r="N128" i="285"/>
  <c r="M128" i="285"/>
  <c r="J128" i="285"/>
  <c r="F128" i="285"/>
  <c r="D128" i="285"/>
  <c r="C128" i="285"/>
  <c r="B128" i="285"/>
  <c r="R127" i="285"/>
  <c r="N127" i="285"/>
  <c r="M127" i="285"/>
  <c r="J127" i="285"/>
  <c r="G127" i="285"/>
  <c r="F127" i="285"/>
  <c r="D127" i="285"/>
  <c r="C127" i="285"/>
  <c r="B127" i="285"/>
  <c r="S11" i="290"/>
  <c r="R11" i="290"/>
  <c r="O11" i="290"/>
  <c r="N11" i="290"/>
  <c r="M11" i="290"/>
  <c r="J11" i="290"/>
  <c r="G11" i="290"/>
  <c r="F11" i="290"/>
  <c r="D11" i="290"/>
  <c r="C11" i="290"/>
  <c r="B11" i="290"/>
  <c r="S24" i="286"/>
  <c r="R24" i="286"/>
  <c r="O24" i="286"/>
  <c r="N24" i="286"/>
  <c r="M24" i="286"/>
  <c r="J24" i="286"/>
  <c r="F24" i="286"/>
  <c r="D24" i="286"/>
  <c r="B24" i="286"/>
  <c r="S105" i="289"/>
  <c r="O105" i="289"/>
  <c r="M105" i="289"/>
  <c r="G105" i="289"/>
  <c r="D105" i="289"/>
  <c r="C94" i="13"/>
  <c r="C105" i="289"/>
  <c r="B105" i="289"/>
  <c r="T57" i="282"/>
  <c r="P57" i="282"/>
  <c r="M57" i="282"/>
  <c r="L57" i="282"/>
  <c r="H57" i="282"/>
  <c r="D57" i="282"/>
  <c r="C57" i="282"/>
  <c r="B57" i="282"/>
  <c r="T61" i="284"/>
  <c r="P61" i="284"/>
  <c r="M61" i="284"/>
  <c r="L61" i="284"/>
  <c r="H61" i="284"/>
  <c r="D61" i="284"/>
  <c r="C61" i="284"/>
  <c r="B61" i="284"/>
  <c r="Q41" i="283"/>
  <c r="M41" i="283"/>
  <c r="I41" i="283"/>
  <c r="E41" i="283"/>
  <c r="D41" i="283"/>
  <c r="C41" i="283"/>
  <c r="B41" i="283"/>
  <c r="Q126" i="285"/>
  <c r="M126" i="285"/>
  <c r="J126" i="285"/>
  <c r="I126" i="285"/>
  <c r="F126" i="285"/>
  <c r="E126" i="285"/>
  <c r="D126" i="285"/>
  <c r="B126" i="285"/>
  <c r="S60" i="284"/>
  <c r="R60" i="284"/>
  <c r="O60" i="284"/>
  <c r="N60" i="284"/>
  <c r="M60" i="284"/>
  <c r="J60" i="284"/>
  <c r="F60" i="284"/>
  <c r="D60" i="284"/>
  <c r="C60" i="284"/>
  <c r="B60" i="284"/>
  <c r="R19" i="287"/>
  <c r="N19" i="287"/>
  <c r="M19" i="287"/>
  <c r="J19" i="287"/>
  <c r="F19" i="287"/>
  <c r="D19" i="287"/>
  <c r="C19" i="287"/>
  <c r="B19" i="287"/>
  <c r="R56" i="282"/>
  <c r="N56" i="282"/>
  <c r="M56" i="282"/>
  <c r="J56" i="282"/>
  <c r="G56" i="282"/>
  <c r="F56" i="282"/>
  <c r="D56" i="282"/>
  <c r="C56" i="282"/>
  <c r="B56" i="282"/>
  <c r="S18" i="281"/>
  <c r="R18" i="281"/>
  <c r="O18" i="281"/>
  <c r="N18" i="281"/>
  <c r="M18" i="281"/>
  <c r="J18" i="281"/>
  <c r="G18" i="281"/>
  <c r="F18" i="281"/>
  <c r="D18" i="281"/>
  <c r="C92" i="13"/>
  <c r="C18" i="281"/>
  <c r="B18" i="281"/>
  <c r="T40" i="283"/>
  <c r="S40" i="283"/>
  <c r="P40" i="283"/>
  <c r="O40" i="283"/>
  <c r="M40" i="283"/>
  <c r="L40" i="283"/>
  <c r="K40" i="283"/>
  <c r="H40" i="283"/>
  <c r="G40" i="283"/>
  <c r="D40" i="283"/>
  <c r="C40" i="283"/>
  <c r="B40" i="283"/>
  <c r="T125" i="285"/>
  <c r="S125" i="285"/>
  <c r="P125" i="285"/>
  <c r="O125" i="285"/>
  <c r="M125" i="285"/>
  <c r="L125" i="285"/>
  <c r="K125" i="285"/>
  <c r="H125" i="285"/>
  <c r="G125" i="285"/>
  <c r="D125" i="285"/>
  <c r="C125" i="285"/>
  <c r="B125" i="285"/>
  <c r="T59" i="284"/>
  <c r="S59" i="284"/>
  <c r="P59" i="284"/>
  <c r="O59" i="284"/>
  <c r="M59" i="284"/>
  <c r="L59" i="284"/>
  <c r="K59" i="284"/>
  <c r="H59" i="284"/>
  <c r="G59" i="284"/>
  <c r="D59" i="284"/>
  <c r="C59" i="284"/>
  <c r="B59" i="284"/>
  <c r="T15" i="286"/>
  <c r="S15" i="286"/>
  <c r="P15" i="286"/>
  <c r="O15" i="286"/>
  <c r="M15" i="286"/>
  <c r="L15" i="286"/>
  <c r="K15" i="286"/>
  <c r="H15" i="286"/>
  <c r="G15" i="286"/>
  <c r="D15" i="286"/>
  <c r="C15" i="286"/>
  <c r="B15" i="286"/>
  <c r="T12" i="277"/>
  <c r="Q12" i="277"/>
  <c r="P12" i="277"/>
  <c r="M12" i="277"/>
  <c r="L12" i="277"/>
  <c r="I12" i="277"/>
  <c r="H12" i="277"/>
  <c r="E12" i="277"/>
  <c r="D12" i="277"/>
  <c r="C12" i="277"/>
  <c r="B12" i="277"/>
  <c r="T26" i="280"/>
  <c r="Q26" i="280"/>
  <c r="P26" i="280"/>
  <c r="M26" i="280"/>
  <c r="L26" i="280"/>
  <c r="I26" i="280"/>
  <c r="H26" i="280"/>
  <c r="E26" i="280"/>
  <c r="D26" i="280"/>
  <c r="C26" i="280"/>
  <c r="B26" i="280"/>
  <c r="T51" i="281"/>
  <c r="Q51" i="281"/>
  <c r="P51" i="281"/>
  <c r="M51" i="281"/>
  <c r="L51" i="281"/>
  <c r="I51" i="281"/>
  <c r="H51" i="281"/>
  <c r="E51" i="281"/>
  <c r="D51" i="281"/>
  <c r="C51" i="281"/>
  <c r="B51" i="281"/>
  <c r="T39" i="283"/>
  <c r="Q39" i="283"/>
  <c r="P39" i="283"/>
  <c r="M39" i="283"/>
  <c r="L39" i="283"/>
  <c r="I39" i="283"/>
  <c r="H39" i="283"/>
  <c r="E39" i="283"/>
  <c r="D39" i="283"/>
  <c r="C39" i="283"/>
  <c r="B39" i="283"/>
  <c r="T20" i="280"/>
  <c r="Q20" i="280"/>
  <c r="P20" i="280"/>
  <c r="M20" i="280"/>
  <c r="L20" i="280"/>
  <c r="I20" i="280"/>
  <c r="H20" i="280"/>
  <c r="E20" i="280"/>
  <c r="D20" i="280"/>
  <c r="C20" i="280"/>
  <c r="B20" i="280"/>
  <c r="R40" i="281"/>
  <c r="Q40" i="281"/>
  <c r="N40" i="281"/>
  <c r="M40" i="281"/>
  <c r="I40" i="281"/>
  <c r="E40" i="281"/>
  <c r="D40" i="281"/>
  <c r="C40" i="281"/>
  <c r="B40" i="281"/>
  <c r="Q50" i="280"/>
  <c r="M50" i="280"/>
  <c r="I50" i="280"/>
  <c r="G50" i="280"/>
  <c r="E50" i="280"/>
  <c r="D50" i="280"/>
  <c r="C50" i="280"/>
  <c r="B50" i="280"/>
  <c r="S94" i="278"/>
  <c r="Q94" i="278"/>
  <c r="O94" i="278"/>
  <c r="M94" i="278"/>
  <c r="J94" i="278"/>
  <c r="I94" i="278"/>
  <c r="G94" i="278"/>
  <c r="F94" i="278"/>
  <c r="D94" i="278"/>
  <c r="C94" i="278"/>
  <c r="B94" i="278"/>
  <c r="S12" i="280"/>
  <c r="R12" i="280"/>
  <c r="O12" i="280"/>
  <c r="N12" i="280"/>
  <c r="M12" i="280"/>
  <c r="J12" i="280"/>
  <c r="G12" i="280"/>
  <c r="F12" i="280"/>
  <c r="D12" i="280"/>
  <c r="C12" i="280"/>
  <c r="B12" i="280"/>
  <c r="S104" i="289"/>
  <c r="R104" i="289"/>
  <c r="O104" i="289"/>
  <c r="N104" i="289"/>
  <c r="M104" i="289"/>
  <c r="J104" i="289"/>
  <c r="G104" i="289"/>
  <c r="F104" i="289"/>
  <c r="D104" i="289"/>
  <c r="C104" i="289"/>
  <c r="B104" i="289"/>
  <c r="S39" i="281"/>
  <c r="R39" i="281"/>
  <c r="O39" i="281"/>
  <c r="N39" i="281"/>
  <c r="M39" i="281"/>
  <c r="J39" i="281"/>
  <c r="G39" i="281"/>
  <c r="F39" i="281"/>
  <c r="D39" i="281"/>
  <c r="C39" i="281"/>
  <c r="B39" i="281"/>
  <c r="S124" i="285"/>
  <c r="R124" i="285"/>
  <c r="O124" i="285"/>
  <c r="N124" i="285"/>
  <c r="M124" i="285"/>
  <c r="J124" i="285"/>
  <c r="G124" i="285"/>
  <c r="F124" i="285"/>
  <c r="D124" i="285"/>
  <c r="C124" i="285"/>
  <c r="B124" i="285"/>
  <c r="S123" i="285"/>
  <c r="R123" i="285"/>
  <c r="O123" i="285"/>
  <c r="N123" i="285"/>
  <c r="M123" i="285"/>
  <c r="J123" i="285"/>
  <c r="G123" i="285"/>
  <c r="F123" i="285"/>
  <c r="D123" i="285"/>
  <c r="C123" i="285"/>
  <c r="B123" i="285"/>
  <c r="S58" i="284"/>
  <c r="R58" i="284"/>
  <c r="O58" i="284"/>
  <c r="N58" i="284"/>
  <c r="M58" i="284"/>
  <c r="J58" i="284"/>
  <c r="G58" i="284"/>
  <c r="F58" i="284"/>
  <c r="D58" i="284"/>
  <c r="C58" i="284"/>
  <c r="B58" i="284"/>
  <c r="S46" i="280"/>
  <c r="R46" i="280"/>
  <c r="O46" i="280"/>
  <c r="N46" i="280"/>
  <c r="M46" i="280"/>
  <c r="J46" i="280"/>
  <c r="G46" i="280"/>
  <c r="F46" i="280"/>
  <c r="D46" i="280"/>
  <c r="C46" i="280"/>
  <c r="B46" i="280"/>
  <c r="S19" i="280"/>
  <c r="R19" i="280"/>
  <c r="O19" i="280"/>
  <c r="N19" i="280"/>
  <c r="M19" i="280"/>
  <c r="J19" i="280"/>
  <c r="G19" i="280"/>
  <c r="F19" i="280"/>
  <c r="D19" i="280"/>
  <c r="C19" i="280"/>
  <c r="B19" i="280"/>
  <c r="S11" i="286"/>
  <c r="R11" i="286"/>
  <c r="O11" i="286"/>
  <c r="N11" i="286"/>
  <c r="M11" i="286"/>
  <c r="J11" i="286"/>
  <c r="F11" i="286"/>
  <c r="D11" i="286"/>
  <c r="C11" i="286"/>
  <c r="B11" i="286"/>
  <c r="S103" i="289"/>
  <c r="O103" i="289"/>
  <c r="M103" i="289"/>
  <c r="K103" i="289"/>
  <c r="G103" i="289"/>
  <c r="D103" i="289"/>
  <c r="C103" i="289"/>
  <c r="B103" i="289"/>
  <c r="S9" i="280"/>
  <c r="O9" i="280"/>
  <c r="M9" i="280"/>
  <c r="K9" i="280"/>
  <c r="G9" i="280"/>
  <c r="D9" i="280"/>
  <c r="C90" i="13"/>
  <c r="C9" i="280"/>
  <c r="B9" i="280"/>
  <c r="T10" i="290"/>
  <c r="P10" i="290"/>
  <c r="M10" i="290"/>
  <c r="L10" i="290"/>
  <c r="H10" i="290"/>
  <c r="D10" i="290"/>
  <c r="C10" i="290"/>
  <c r="B10" i="290"/>
  <c r="T122" i="285"/>
  <c r="P122" i="285"/>
  <c r="M122" i="285"/>
  <c r="L122" i="285"/>
  <c r="H122" i="285"/>
  <c r="D122" i="285"/>
  <c r="C122" i="285"/>
  <c r="B122" i="285"/>
  <c r="T11" i="281"/>
  <c r="P11" i="281"/>
  <c r="M11" i="281"/>
  <c r="L11" i="281"/>
  <c r="H11" i="281"/>
  <c r="D11" i="281"/>
  <c r="C11" i="281"/>
  <c r="B11" i="281"/>
  <c r="T121" i="285"/>
  <c r="P121" i="285"/>
  <c r="M121" i="285"/>
  <c r="L121" i="285"/>
  <c r="H121" i="285"/>
  <c r="D121" i="285"/>
  <c r="C121" i="285"/>
  <c r="B121" i="285"/>
  <c r="T102" i="289"/>
  <c r="P102" i="289"/>
  <c r="M102" i="289"/>
  <c r="L102" i="289"/>
  <c r="H102" i="289"/>
  <c r="D102" i="289"/>
  <c r="C102" i="289"/>
  <c r="B102" i="289"/>
  <c r="T55" i="282"/>
  <c r="P55" i="282"/>
  <c r="M55" i="282"/>
  <c r="L55" i="282"/>
  <c r="H55" i="282"/>
  <c r="D55" i="282"/>
  <c r="C55" i="282"/>
  <c r="B55" i="282"/>
  <c r="T38" i="283"/>
  <c r="P38" i="283"/>
  <c r="M38" i="283"/>
  <c r="L38" i="283"/>
  <c r="H38" i="283"/>
  <c r="D38" i="283"/>
  <c r="C38" i="283"/>
  <c r="B38" i="283"/>
  <c r="T93" i="278"/>
  <c r="P93" i="278"/>
  <c r="M93" i="278"/>
  <c r="L93" i="278"/>
  <c r="H93" i="278"/>
  <c r="D93" i="278"/>
  <c r="C93" i="278"/>
  <c r="B93" i="278"/>
  <c r="T54" i="282"/>
  <c r="P54" i="282"/>
  <c r="M54" i="282"/>
  <c r="L54" i="282"/>
  <c r="H54" i="282"/>
  <c r="D54" i="282"/>
  <c r="C54" i="282"/>
  <c r="B54" i="282"/>
  <c r="R92" i="278"/>
  <c r="Q92" i="278"/>
  <c r="N92" i="278"/>
  <c r="M92" i="278"/>
  <c r="I92" i="278"/>
  <c r="E92" i="278"/>
  <c r="D92" i="278"/>
  <c r="C92" i="278"/>
  <c r="B92" i="278"/>
  <c r="Q53" i="282"/>
  <c r="M53" i="282"/>
  <c r="J53" i="282"/>
  <c r="I53" i="282"/>
  <c r="F53" i="282"/>
  <c r="E53" i="282"/>
  <c r="D53" i="282"/>
  <c r="C53" i="282"/>
  <c r="B53" i="282"/>
  <c r="R29" i="286"/>
  <c r="Q29" i="286"/>
  <c r="N29" i="286"/>
  <c r="M29" i="286"/>
  <c r="I29" i="286"/>
  <c r="E29" i="286"/>
  <c r="D29" i="286"/>
  <c r="B29" i="286"/>
  <c r="S57" i="284"/>
  <c r="R57" i="284"/>
  <c r="O57" i="284"/>
  <c r="N57" i="284"/>
  <c r="M57" i="284"/>
  <c r="J57" i="284"/>
  <c r="F57" i="284"/>
  <c r="D57" i="284"/>
  <c r="C57" i="284"/>
  <c r="B57" i="284"/>
  <c r="R15" i="281"/>
  <c r="N15" i="281"/>
  <c r="M15" i="281"/>
  <c r="J15" i="281"/>
  <c r="G15" i="281"/>
  <c r="F15" i="281"/>
  <c r="D15" i="281"/>
  <c r="C15" i="281"/>
  <c r="B15" i="281"/>
  <c r="S50" i="281"/>
  <c r="R50" i="281"/>
  <c r="O50" i="281"/>
  <c r="N50" i="281"/>
  <c r="M50" i="281"/>
  <c r="J50" i="281"/>
  <c r="F50" i="281"/>
  <c r="D50" i="281"/>
  <c r="C50" i="281"/>
  <c r="B50" i="281"/>
  <c r="R91" i="278"/>
  <c r="N91" i="278"/>
  <c r="M91" i="278"/>
  <c r="J91" i="278"/>
  <c r="G91" i="278"/>
  <c r="F91" i="278"/>
  <c r="D91" i="278"/>
  <c r="C91" i="278"/>
  <c r="B91" i="278"/>
  <c r="S25" i="281"/>
  <c r="R25" i="281"/>
  <c r="O25" i="281"/>
  <c r="N25" i="281"/>
  <c r="M25" i="281"/>
  <c r="J25" i="281"/>
  <c r="H25" i="281"/>
  <c r="F25" i="281"/>
  <c r="D25" i="281"/>
  <c r="C25" i="281"/>
  <c r="B25" i="281"/>
  <c r="T120" i="285"/>
  <c r="R120" i="285"/>
  <c r="P120" i="285"/>
  <c r="N120" i="285"/>
  <c r="M120" i="285"/>
  <c r="L120" i="285"/>
  <c r="J120" i="285"/>
  <c r="H120" i="285"/>
  <c r="F120" i="285"/>
  <c r="D120" i="285"/>
  <c r="C120" i="285"/>
  <c r="B120" i="285"/>
  <c r="T101" i="289"/>
  <c r="R101" i="289"/>
  <c r="P101" i="289"/>
  <c r="N101" i="289"/>
  <c r="M101" i="289"/>
  <c r="L101" i="289"/>
  <c r="J101" i="289"/>
  <c r="H101" i="289"/>
  <c r="F101" i="289"/>
  <c r="D101" i="289"/>
  <c r="C101" i="289"/>
  <c r="B101" i="289"/>
  <c r="T56" i="284"/>
  <c r="R56" i="284"/>
  <c r="P56" i="284"/>
  <c r="N56" i="284"/>
  <c r="M56" i="284"/>
  <c r="L56" i="284"/>
  <c r="J56" i="284"/>
  <c r="H56" i="284"/>
  <c r="F56" i="284"/>
  <c r="D56" i="284"/>
  <c r="C56" i="284"/>
  <c r="B56" i="284"/>
  <c r="T90" i="278"/>
  <c r="R90" i="278"/>
  <c r="P90" i="278"/>
  <c r="N90" i="278"/>
  <c r="M90" i="278"/>
  <c r="L90" i="278"/>
  <c r="J90" i="278"/>
  <c r="H90" i="278"/>
  <c r="F90" i="278"/>
  <c r="D90" i="278"/>
  <c r="C90" i="278"/>
  <c r="B90" i="278"/>
  <c r="T33" i="290"/>
  <c r="R33" i="290"/>
  <c r="P33" i="290"/>
  <c r="N33" i="290"/>
  <c r="M33" i="290"/>
  <c r="L33" i="290"/>
  <c r="J33" i="290"/>
  <c r="H33" i="290"/>
  <c r="F33" i="290"/>
  <c r="D33" i="290"/>
  <c r="C33" i="290"/>
  <c r="B33" i="290"/>
  <c r="T119" i="285"/>
  <c r="R119" i="285"/>
  <c r="P119" i="285"/>
  <c r="N119" i="285"/>
  <c r="M119" i="285"/>
  <c r="L119" i="285"/>
  <c r="J119" i="285"/>
  <c r="H119" i="285"/>
  <c r="F119" i="285"/>
  <c r="D119" i="285"/>
  <c r="C119" i="285"/>
  <c r="B119" i="285"/>
  <c r="T37" i="283"/>
  <c r="R37" i="283"/>
  <c r="P37" i="283"/>
  <c r="N37" i="283"/>
  <c r="M37" i="283"/>
  <c r="L37" i="283"/>
  <c r="J37" i="283"/>
  <c r="H37" i="283"/>
  <c r="F37" i="283"/>
  <c r="D37" i="283"/>
  <c r="C37" i="283"/>
  <c r="B37" i="283"/>
  <c r="T52" i="282"/>
  <c r="R52" i="282"/>
  <c r="P52" i="282"/>
  <c r="N52" i="282"/>
  <c r="M52" i="282"/>
  <c r="L52" i="282"/>
  <c r="J52" i="282"/>
  <c r="H52" i="282"/>
  <c r="F52" i="282"/>
  <c r="D52" i="282"/>
  <c r="C52" i="282"/>
  <c r="B52" i="282"/>
  <c r="T55" i="284"/>
  <c r="R55" i="284"/>
  <c r="P55" i="284"/>
  <c r="N55" i="284"/>
  <c r="M55" i="284"/>
  <c r="L55" i="284"/>
  <c r="J55" i="284"/>
  <c r="H55" i="284"/>
  <c r="F55" i="284"/>
  <c r="D55" i="284"/>
  <c r="C55" i="284"/>
  <c r="B55" i="284"/>
  <c r="T118" i="285"/>
  <c r="R118" i="285"/>
  <c r="P118" i="285"/>
  <c r="N118" i="285"/>
  <c r="M118" i="285"/>
  <c r="L118" i="285"/>
  <c r="J118" i="285"/>
  <c r="H118" i="285"/>
  <c r="F118" i="285"/>
  <c r="D118" i="285"/>
  <c r="C118" i="285"/>
  <c r="B118" i="285"/>
  <c r="T25" i="279"/>
  <c r="R25" i="279"/>
  <c r="P25" i="279"/>
  <c r="N25" i="279"/>
  <c r="M25" i="279"/>
  <c r="L25" i="279"/>
  <c r="J25" i="279"/>
  <c r="H25" i="279"/>
  <c r="F25" i="279"/>
  <c r="D25" i="279"/>
  <c r="C25" i="279"/>
  <c r="B25" i="279"/>
  <c r="T31" i="287"/>
  <c r="R31" i="287"/>
  <c r="P31" i="287"/>
  <c r="N31" i="287"/>
  <c r="M31" i="287"/>
  <c r="L31" i="287"/>
  <c r="J31" i="287"/>
  <c r="H31" i="287"/>
  <c r="F31" i="287"/>
  <c r="D31" i="287"/>
  <c r="C31" i="287"/>
  <c r="B31" i="287"/>
  <c r="T36" i="283"/>
  <c r="R36" i="283"/>
  <c r="P36" i="283"/>
  <c r="N36" i="283"/>
  <c r="M36" i="283"/>
  <c r="L36" i="283"/>
  <c r="J36" i="283"/>
  <c r="H36" i="283"/>
  <c r="F36" i="283"/>
  <c r="D36" i="283"/>
  <c r="C36" i="283"/>
  <c r="B36" i="283"/>
  <c r="T15" i="288"/>
  <c r="R15" i="288"/>
  <c r="P15" i="288"/>
  <c r="N15" i="288"/>
  <c r="M15" i="288"/>
  <c r="L15" i="288"/>
  <c r="J15" i="288"/>
  <c r="H15" i="288"/>
  <c r="F15" i="288"/>
  <c r="D15" i="288"/>
  <c r="C15" i="288"/>
  <c r="B15" i="288"/>
  <c r="T49" i="281"/>
  <c r="R49" i="281"/>
  <c r="P49" i="281"/>
  <c r="N49" i="281"/>
  <c r="M49" i="281"/>
  <c r="L49" i="281"/>
  <c r="J49" i="281"/>
  <c r="H49" i="281"/>
  <c r="F49" i="281"/>
  <c r="D49" i="281"/>
  <c r="B49" i="281"/>
  <c r="S15" i="279"/>
  <c r="Q15" i="279"/>
  <c r="O15" i="279"/>
  <c r="M15" i="279"/>
  <c r="I15" i="279"/>
  <c r="G15" i="279"/>
  <c r="E15" i="279"/>
  <c r="D15" i="279"/>
  <c r="C15" i="279"/>
  <c r="B15" i="279"/>
  <c r="S54" i="284"/>
  <c r="Q54" i="284"/>
  <c r="O54" i="284"/>
  <c r="M54" i="284"/>
  <c r="I54" i="284"/>
  <c r="G54" i="284"/>
  <c r="E54" i="284"/>
  <c r="D54" i="284"/>
  <c r="C54" i="284"/>
  <c r="B54" i="284"/>
  <c r="S14" i="286"/>
  <c r="Q14" i="286"/>
  <c r="O14" i="286"/>
  <c r="M14" i="286"/>
  <c r="I14" i="286"/>
  <c r="G14" i="286"/>
  <c r="E14" i="286"/>
  <c r="D14" i="286"/>
  <c r="C86" i="13"/>
  <c r="C14" i="286"/>
  <c r="B14" i="286"/>
  <c r="T42" i="280"/>
  <c r="R42" i="280"/>
  <c r="P42" i="280"/>
  <c r="N42" i="280"/>
  <c r="M42" i="280"/>
  <c r="L42" i="280"/>
  <c r="J42" i="280"/>
  <c r="H42" i="280"/>
  <c r="F42" i="280"/>
  <c r="D42" i="280"/>
  <c r="C42" i="280"/>
  <c r="B42" i="280"/>
  <c r="T100" i="289"/>
  <c r="R100" i="289"/>
  <c r="P100" i="289"/>
  <c r="N100" i="289"/>
  <c r="M100" i="289"/>
  <c r="L100" i="289"/>
  <c r="J100" i="289"/>
  <c r="H100" i="289"/>
  <c r="F100" i="289"/>
  <c r="D100" i="289"/>
  <c r="C100" i="289"/>
  <c r="B100" i="289"/>
  <c r="T89" i="278"/>
  <c r="R89" i="278"/>
  <c r="P89" i="278"/>
  <c r="N89" i="278"/>
  <c r="M89" i="278"/>
  <c r="L89" i="278"/>
  <c r="J89" i="278"/>
  <c r="H89" i="278"/>
  <c r="F89" i="278"/>
  <c r="D89" i="278"/>
  <c r="C89" i="278"/>
  <c r="B89" i="278"/>
  <c r="T23" i="286"/>
  <c r="R23" i="286"/>
  <c r="P23" i="286"/>
  <c r="N23" i="286"/>
  <c r="M23" i="286"/>
  <c r="L23" i="286"/>
  <c r="J23" i="286"/>
  <c r="H23" i="286"/>
  <c r="F23" i="286"/>
  <c r="D23" i="286"/>
  <c r="C23" i="286"/>
  <c r="B23" i="286"/>
  <c r="T7" i="281"/>
  <c r="R7" i="281"/>
  <c r="P7" i="281"/>
  <c r="N7" i="281"/>
  <c r="M7" i="281"/>
  <c r="L7" i="281"/>
  <c r="J7" i="281"/>
  <c r="H7" i="281"/>
  <c r="F7" i="281"/>
  <c r="D7" i="281"/>
  <c r="C7" i="281"/>
  <c r="B7" i="281"/>
  <c r="T117" i="285"/>
  <c r="R117" i="285"/>
  <c r="P117" i="285"/>
  <c r="N117" i="285"/>
  <c r="M117" i="285"/>
  <c r="L117" i="285"/>
  <c r="J117" i="285"/>
  <c r="H117" i="285"/>
  <c r="F117" i="285"/>
  <c r="D117" i="285"/>
  <c r="B117" i="285"/>
  <c r="S88" i="278"/>
  <c r="Q88" i="278"/>
  <c r="O88" i="278"/>
  <c r="M88" i="278"/>
  <c r="I88" i="278"/>
  <c r="G88" i="278"/>
  <c r="E88" i="278"/>
  <c r="D88" i="278"/>
  <c r="C88" i="278"/>
  <c r="B88" i="278"/>
  <c r="S35" i="288"/>
  <c r="Q35" i="288"/>
  <c r="O35" i="288"/>
  <c r="M35" i="288"/>
  <c r="I35" i="288"/>
  <c r="G35" i="288"/>
  <c r="E35" i="288"/>
  <c r="D35" i="288"/>
  <c r="C35" i="288"/>
  <c r="B35" i="288"/>
  <c r="S87" i="278"/>
  <c r="Q87" i="278"/>
  <c r="O87" i="278"/>
  <c r="M87" i="278"/>
  <c r="I87" i="278"/>
  <c r="G87" i="278"/>
  <c r="E87" i="278"/>
  <c r="D87" i="278"/>
  <c r="C87" i="278"/>
  <c r="B87" i="278"/>
  <c r="S23" i="280"/>
  <c r="Q23" i="280"/>
  <c r="O23" i="280"/>
  <c r="M23" i="280"/>
  <c r="I23" i="280"/>
  <c r="G23" i="280"/>
  <c r="E23" i="280"/>
  <c r="D23" i="280"/>
  <c r="C23" i="280"/>
  <c r="B23" i="280"/>
  <c r="S55" i="281"/>
  <c r="Q55" i="281"/>
  <c r="O55" i="281"/>
  <c r="M55" i="281"/>
  <c r="I55" i="281"/>
  <c r="G55" i="281"/>
  <c r="E55" i="281"/>
  <c r="D55" i="281"/>
  <c r="C55" i="281"/>
  <c r="B55" i="281"/>
  <c r="S99" i="289"/>
  <c r="Q99" i="289"/>
  <c r="O99" i="289"/>
  <c r="M99" i="289"/>
  <c r="I99" i="289"/>
  <c r="G99" i="289"/>
  <c r="E99" i="289"/>
  <c r="D99" i="289"/>
  <c r="C99" i="289"/>
  <c r="B99" i="289"/>
  <c r="S21" i="286"/>
  <c r="Q21" i="286"/>
  <c r="O21" i="286"/>
  <c r="M21" i="286"/>
  <c r="I21" i="286"/>
  <c r="G21" i="286"/>
  <c r="E21" i="286"/>
  <c r="D21" i="286"/>
  <c r="C21" i="286"/>
  <c r="B21" i="286"/>
  <c r="S116" i="285"/>
  <c r="Q116" i="285"/>
  <c r="O116" i="285"/>
  <c r="M116" i="285"/>
  <c r="I116" i="285"/>
  <c r="G116" i="285"/>
  <c r="E116" i="285"/>
  <c r="D116" i="285"/>
  <c r="C116" i="285"/>
  <c r="B116" i="285"/>
  <c r="S86" i="278"/>
  <c r="Q86" i="278"/>
  <c r="O86" i="278"/>
  <c r="M86" i="278"/>
  <c r="I86" i="278"/>
  <c r="G86" i="278"/>
  <c r="E86" i="278"/>
  <c r="D86" i="278"/>
  <c r="C86" i="278"/>
  <c r="B86" i="278"/>
  <c r="S85" i="278"/>
  <c r="Q85" i="278"/>
  <c r="O85" i="278"/>
  <c r="M85" i="278"/>
  <c r="I85" i="278"/>
  <c r="G85" i="278"/>
  <c r="E85" i="278"/>
  <c r="D85" i="278"/>
  <c r="C85" i="278"/>
  <c r="B85" i="278"/>
  <c r="S56" i="280"/>
  <c r="Q56" i="280"/>
  <c r="O56" i="280"/>
  <c r="M56" i="280"/>
  <c r="I56" i="280"/>
  <c r="G56" i="280"/>
  <c r="E56" i="280"/>
  <c r="D56" i="280"/>
  <c r="C84" i="13"/>
  <c r="C56" i="280"/>
  <c r="B56" i="280"/>
  <c r="T17" i="286"/>
  <c r="R17" i="286"/>
  <c r="P17" i="286"/>
  <c r="N17" i="286"/>
  <c r="M17" i="286"/>
  <c r="L17" i="286"/>
  <c r="J17" i="286"/>
  <c r="H17" i="286"/>
  <c r="F17" i="286"/>
  <c r="D17" i="286"/>
  <c r="B17" i="286"/>
  <c r="S20" i="279"/>
  <c r="Q20" i="279"/>
  <c r="O20" i="279"/>
  <c r="M20" i="279"/>
  <c r="I20" i="279"/>
  <c r="G20" i="279"/>
  <c r="E20" i="279"/>
  <c r="D20" i="279"/>
  <c r="C20" i="279"/>
  <c r="B20" i="279"/>
  <c r="S30" i="288"/>
  <c r="Q30" i="288"/>
  <c r="O30" i="288"/>
  <c r="M30" i="288"/>
  <c r="I30" i="288"/>
  <c r="G30" i="288"/>
  <c r="E30" i="288"/>
  <c r="D30" i="288"/>
  <c r="C30" i="288"/>
  <c r="B30" i="288"/>
  <c r="S8" i="279"/>
  <c r="Q8" i="279"/>
  <c r="O8" i="279"/>
  <c r="M8" i="279"/>
  <c r="I8" i="279"/>
  <c r="G8" i="279"/>
  <c r="E8" i="279"/>
  <c r="D8" i="279"/>
  <c r="C8" i="279"/>
  <c r="B8" i="279"/>
  <c r="S98" i="289"/>
  <c r="Q98" i="289"/>
  <c r="O98" i="289"/>
  <c r="M98" i="289"/>
  <c r="I98" i="289"/>
  <c r="G98" i="289"/>
  <c r="E98" i="289"/>
  <c r="C98" i="289"/>
  <c r="B98" i="289"/>
  <c r="S47" i="281"/>
  <c r="Q47" i="281"/>
  <c r="O47" i="281"/>
  <c r="M47" i="281"/>
  <c r="I47" i="281"/>
  <c r="G47" i="281"/>
  <c r="E47" i="281"/>
  <c r="D47" i="281"/>
  <c r="C47" i="281"/>
  <c r="B47" i="281"/>
  <c r="S6" i="286"/>
  <c r="Q6" i="286"/>
  <c r="O6" i="286"/>
  <c r="M6" i="286"/>
  <c r="I6" i="286"/>
  <c r="G6" i="286"/>
  <c r="E6" i="286"/>
  <c r="D6" i="286"/>
  <c r="C6" i="286"/>
  <c r="B6" i="286"/>
  <c r="S115" i="285"/>
  <c r="Q115" i="285"/>
  <c r="O115" i="285"/>
  <c r="M115" i="285"/>
  <c r="I115" i="285"/>
  <c r="G115" i="285"/>
  <c r="E115" i="285"/>
  <c r="C115" i="285"/>
  <c r="B115" i="285"/>
  <c r="S114" i="285"/>
  <c r="Q114" i="285"/>
  <c r="O114" i="285"/>
  <c r="M114" i="285"/>
  <c r="K114" i="285"/>
  <c r="I114" i="285"/>
  <c r="G114" i="285"/>
  <c r="E114" i="285"/>
  <c r="D114" i="285"/>
  <c r="C114" i="285"/>
  <c r="B114" i="285"/>
  <c r="S84" i="278"/>
  <c r="Q84" i="278"/>
  <c r="O84" i="278"/>
  <c r="M84" i="278"/>
  <c r="K84" i="278"/>
  <c r="I84" i="278"/>
  <c r="G84" i="278"/>
  <c r="E84" i="278"/>
  <c r="D84" i="278"/>
  <c r="C84" i="278"/>
  <c r="B84" i="278"/>
  <c r="S97" i="289"/>
  <c r="Q97" i="289"/>
  <c r="O97" i="289"/>
  <c r="M97" i="289"/>
  <c r="K97" i="289"/>
  <c r="I97" i="289"/>
  <c r="G97" i="289"/>
  <c r="E97" i="289"/>
  <c r="C82" i="13"/>
  <c r="C97" i="289"/>
  <c r="B97" i="289"/>
  <c r="T83" i="278"/>
  <c r="R83" i="278"/>
  <c r="P83" i="278"/>
  <c r="N83" i="278"/>
  <c r="M83" i="278"/>
  <c r="L83" i="278"/>
  <c r="J83" i="278"/>
  <c r="H83" i="278"/>
  <c r="F83" i="278"/>
  <c r="D83" i="278"/>
  <c r="C83" i="278"/>
  <c r="B83" i="278"/>
  <c r="T96" i="289"/>
  <c r="R96" i="289"/>
  <c r="P96" i="289"/>
  <c r="N96" i="289"/>
  <c r="M96" i="289"/>
  <c r="L96" i="289"/>
  <c r="J96" i="289"/>
  <c r="H96" i="289"/>
  <c r="F96" i="289"/>
  <c r="D96" i="289"/>
  <c r="C96" i="289"/>
  <c r="B96" i="289"/>
  <c r="T51" i="282"/>
  <c r="R51" i="282"/>
  <c r="P51" i="282"/>
  <c r="N51" i="282"/>
  <c r="M51" i="282"/>
  <c r="L51" i="282"/>
  <c r="J51" i="282"/>
  <c r="H51" i="282"/>
  <c r="F51" i="282"/>
  <c r="D51" i="282"/>
  <c r="C51" i="282"/>
  <c r="B51" i="282"/>
  <c r="T19" i="288"/>
  <c r="R19" i="288"/>
  <c r="P19" i="288"/>
  <c r="N19" i="288"/>
  <c r="M19" i="288"/>
  <c r="L19" i="288"/>
  <c r="J19" i="288"/>
  <c r="H19" i="288"/>
  <c r="F19" i="288"/>
  <c r="D19" i="288"/>
  <c r="C19" i="288"/>
  <c r="B19" i="288"/>
  <c r="T30" i="279"/>
  <c r="R30" i="279"/>
  <c r="P30" i="279"/>
  <c r="N30" i="279"/>
  <c r="M30" i="279"/>
  <c r="L30" i="279"/>
  <c r="J30" i="279"/>
  <c r="H30" i="279"/>
  <c r="F30" i="279"/>
  <c r="D30" i="279"/>
  <c r="C30" i="279"/>
  <c r="B30" i="279"/>
  <c r="T53" i="284"/>
  <c r="R53" i="284"/>
  <c r="P53" i="284"/>
  <c r="N53" i="284"/>
  <c r="M53" i="284"/>
  <c r="L53" i="284"/>
  <c r="J53" i="284"/>
  <c r="H53" i="284"/>
  <c r="F53" i="284"/>
  <c r="D53" i="284"/>
  <c r="C53" i="284"/>
  <c r="B53" i="284"/>
  <c r="T82" i="278"/>
  <c r="R82" i="278"/>
  <c r="P82" i="278"/>
  <c r="N82" i="278"/>
  <c r="M82" i="278"/>
  <c r="L82" i="278"/>
  <c r="J82" i="278"/>
  <c r="H82" i="278"/>
  <c r="F82" i="278"/>
  <c r="D82" i="278"/>
  <c r="C82" i="278"/>
  <c r="B82" i="278"/>
  <c r="T15" i="287"/>
  <c r="R15" i="287"/>
  <c r="P15" i="287"/>
  <c r="N15" i="287"/>
  <c r="M15" i="287"/>
  <c r="L15" i="287"/>
  <c r="J15" i="287"/>
  <c r="H15" i="287"/>
  <c r="F15" i="287"/>
  <c r="D15" i="287"/>
  <c r="C15" i="287"/>
  <c r="B15" i="287"/>
  <c r="T10" i="286"/>
  <c r="R10" i="286"/>
  <c r="P10" i="286"/>
  <c r="N10" i="286"/>
  <c r="M10" i="286"/>
  <c r="L10" i="286"/>
  <c r="J10" i="286"/>
  <c r="H10" i="286"/>
  <c r="F10" i="286"/>
  <c r="D10" i="286"/>
  <c r="C10" i="286"/>
  <c r="B10" i="286"/>
  <c r="S43" i="281"/>
  <c r="Q43" i="281"/>
  <c r="O43" i="281"/>
  <c r="M43" i="281"/>
  <c r="K43" i="281"/>
  <c r="I43" i="281"/>
  <c r="G43" i="281"/>
  <c r="E43" i="281"/>
  <c r="C43" i="281"/>
  <c r="B43" i="281"/>
  <c r="S52" i="284"/>
  <c r="Q52" i="284"/>
  <c r="O52" i="284"/>
  <c r="M52" i="284"/>
  <c r="K52" i="284"/>
  <c r="I52" i="284"/>
  <c r="G52" i="284"/>
  <c r="E52" i="284"/>
  <c r="D52" i="284"/>
  <c r="C52" i="284"/>
  <c r="B52" i="284"/>
  <c r="S51" i="284"/>
  <c r="Q51" i="284"/>
  <c r="O51" i="284"/>
  <c r="M51" i="284"/>
  <c r="K51" i="284"/>
  <c r="I51" i="284"/>
  <c r="G51" i="284"/>
  <c r="E51" i="284"/>
  <c r="D51" i="284"/>
  <c r="C51" i="284"/>
  <c r="B51" i="284"/>
  <c r="S113" i="285"/>
  <c r="Q113" i="285"/>
  <c r="O113" i="285"/>
  <c r="M113" i="285"/>
  <c r="K113" i="285"/>
  <c r="I113" i="285"/>
  <c r="G113" i="285"/>
  <c r="E113" i="285"/>
  <c r="C113" i="285"/>
  <c r="B113" i="285"/>
  <c r="S35" i="283"/>
  <c r="Q35" i="283"/>
  <c r="O35" i="283"/>
  <c r="M35" i="283"/>
  <c r="I35" i="283"/>
  <c r="G35" i="283"/>
  <c r="E35" i="283"/>
  <c r="D35" i="283"/>
  <c r="C35" i="283"/>
  <c r="B35" i="283"/>
  <c r="S50" i="282"/>
  <c r="Q50" i="282"/>
  <c r="O50" i="282"/>
  <c r="M50" i="282"/>
  <c r="I50" i="282"/>
  <c r="G50" i="282"/>
  <c r="E50" i="282"/>
  <c r="D50" i="282"/>
  <c r="C50" i="282"/>
  <c r="B50" i="282"/>
  <c r="T50" i="284"/>
  <c r="R50" i="284"/>
  <c r="P50" i="284"/>
  <c r="N50" i="284"/>
  <c r="M50" i="284"/>
  <c r="L50" i="284"/>
  <c r="J50" i="284"/>
  <c r="H50" i="284"/>
  <c r="F50" i="284"/>
  <c r="B50" i="284"/>
  <c r="S55" i="280"/>
  <c r="Q55" i="280"/>
  <c r="O55" i="280"/>
  <c r="M55" i="280"/>
  <c r="I55" i="280"/>
  <c r="G55" i="280"/>
  <c r="E55" i="280"/>
  <c r="D55" i="280"/>
  <c r="C79" i="13"/>
  <c r="C55" i="280"/>
  <c r="B55" i="280"/>
  <c r="T64" i="281"/>
  <c r="R64" i="281"/>
  <c r="P64" i="281"/>
  <c r="N64" i="281"/>
  <c r="M64" i="281"/>
  <c r="L64" i="281"/>
  <c r="J64" i="281"/>
  <c r="H64" i="281"/>
  <c r="F64" i="281"/>
  <c r="D64" i="281"/>
  <c r="B64" i="281"/>
  <c r="S81" i="278"/>
  <c r="Q81" i="278"/>
  <c r="O81" i="278"/>
  <c r="M81" i="278"/>
  <c r="I81" i="278"/>
  <c r="G81" i="278"/>
  <c r="E81" i="278"/>
  <c r="D81" i="278"/>
  <c r="C81" i="278"/>
  <c r="B81" i="278"/>
  <c r="S17" i="281"/>
  <c r="Q17" i="281"/>
  <c r="O17" i="281"/>
  <c r="M17" i="281"/>
  <c r="I17" i="281"/>
  <c r="G17" i="281"/>
  <c r="E17" i="281"/>
  <c r="D17" i="281"/>
  <c r="C17" i="281"/>
  <c r="B17" i="281"/>
  <c r="S80" i="278"/>
  <c r="Q80" i="278"/>
  <c r="O80" i="278"/>
  <c r="M80" i="278"/>
  <c r="I80" i="278"/>
  <c r="G80" i="278"/>
  <c r="E80" i="278"/>
  <c r="D80" i="278"/>
  <c r="C80" i="278"/>
  <c r="B80" i="278"/>
  <c r="S34" i="280"/>
  <c r="Q34" i="280"/>
  <c r="O34" i="280"/>
  <c r="M34" i="280"/>
  <c r="I34" i="280"/>
  <c r="G34" i="280"/>
  <c r="E34" i="280"/>
  <c r="D34" i="280"/>
  <c r="C34" i="280"/>
  <c r="B34" i="280"/>
  <c r="S79" i="278"/>
  <c r="Q79" i="278"/>
  <c r="O79" i="278"/>
  <c r="M79" i="278"/>
  <c r="I79" i="278"/>
  <c r="G79" i="278"/>
  <c r="E79" i="278"/>
  <c r="D79" i="278"/>
  <c r="C77" i="13"/>
  <c r="C79" i="278"/>
  <c r="B79" i="278"/>
  <c r="T8" i="280"/>
  <c r="R8" i="280"/>
  <c r="P8" i="280"/>
  <c r="N8" i="280"/>
  <c r="M8" i="280"/>
  <c r="L8" i="280"/>
  <c r="J8" i="280"/>
  <c r="H8" i="280"/>
  <c r="F8" i="280"/>
  <c r="D8" i="280"/>
  <c r="B8" i="280"/>
  <c r="S112" i="285"/>
  <c r="Q112" i="285"/>
  <c r="O112" i="285"/>
  <c r="M112" i="285"/>
  <c r="I112" i="285"/>
  <c r="G112" i="285"/>
  <c r="E112" i="285"/>
  <c r="D112" i="285"/>
  <c r="C112" i="285"/>
  <c r="B112" i="285"/>
  <c r="S111" i="285"/>
  <c r="Q111" i="285"/>
  <c r="O111" i="285"/>
  <c r="M111" i="285"/>
  <c r="I111" i="285"/>
  <c r="G111" i="285"/>
  <c r="E111" i="285"/>
  <c r="C111" i="285"/>
  <c r="B111" i="285"/>
  <c r="S49" i="282"/>
  <c r="Q49" i="282"/>
  <c r="O49" i="282"/>
  <c r="M49" i="282"/>
  <c r="I49" i="282"/>
  <c r="G49" i="282"/>
  <c r="E49" i="282"/>
  <c r="D49" i="282"/>
  <c r="C49" i="282"/>
  <c r="B49" i="282"/>
  <c r="S110" i="285"/>
  <c r="Q110" i="285"/>
  <c r="O110" i="285"/>
  <c r="M110" i="285"/>
  <c r="I110" i="285"/>
  <c r="G110" i="285"/>
  <c r="E110" i="285"/>
  <c r="D110" i="285"/>
  <c r="C110" i="285"/>
  <c r="B110" i="285"/>
  <c r="S24" i="290"/>
  <c r="Q24" i="290"/>
  <c r="O24" i="290"/>
  <c r="M24" i="290"/>
  <c r="I24" i="290"/>
  <c r="G24" i="290"/>
  <c r="E24" i="290"/>
  <c r="C24" i="290"/>
  <c r="B24" i="290"/>
  <c r="S7" i="280"/>
  <c r="Q7" i="280"/>
  <c r="O7" i="280"/>
  <c r="M7" i="280"/>
  <c r="I7" i="280"/>
  <c r="G7" i="280"/>
  <c r="E7" i="280"/>
  <c r="D7" i="280"/>
  <c r="C75" i="13"/>
  <c r="C7" i="280"/>
  <c r="B7" i="280"/>
  <c r="T20" i="277"/>
  <c r="R20" i="277"/>
  <c r="P20" i="277"/>
  <c r="N20" i="277"/>
  <c r="M20" i="277"/>
  <c r="L20" i="277"/>
  <c r="J20" i="277"/>
  <c r="H20" i="277"/>
  <c r="F20" i="277"/>
  <c r="D20" i="277"/>
  <c r="C20" i="277"/>
  <c r="B20" i="277"/>
  <c r="T48" i="282"/>
  <c r="R48" i="282"/>
  <c r="P48" i="282"/>
  <c r="N48" i="282"/>
  <c r="M48" i="282"/>
  <c r="L48" i="282"/>
  <c r="J48" i="282"/>
  <c r="H48" i="282"/>
  <c r="F48" i="282"/>
  <c r="C48" i="282"/>
  <c r="B48" i="282"/>
  <c r="T19" i="279"/>
  <c r="R19" i="279"/>
  <c r="P19" i="279"/>
  <c r="N19" i="279"/>
  <c r="M19" i="279"/>
  <c r="L19" i="279"/>
  <c r="J19" i="279"/>
  <c r="H19" i="279"/>
  <c r="F19" i="279"/>
  <c r="D19" i="279"/>
  <c r="C19" i="279"/>
  <c r="B19" i="279"/>
  <c r="T47" i="282"/>
  <c r="R47" i="282"/>
  <c r="P47" i="282"/>
  <c r="N47" i="282"/>
  <c r="M47" i="282"/>
  <c r="L47" i="282"/>
  <c r="J47" i="282"/>
  <c r="H47" i="282"/>
  <c r="F47" i="282"/>
  <c r="B47" i="282"/>
  <c r="S46" i="282"/>
  <c r="Q46" i="282"/>
  <c r="O46" i="282"/>
  <c r="M46" i="282"/>
  <c r="I46" i="282"/>
  <c r="G46" i="282"/>
  <c r="E46" i="282"/>
  <c r="D46" i="282"/>
  <c r="C46" i="282"/>
  <c r="B46" i="282"/>
  <c r="S95" i="289"/>
  <c r="Q95" i="289"/>
  <c r="O95" i="289"/>
  <c r="M95" i="289"/>
  <c r="I95" i="289"/>
  <c r="G95" i="289"/>
  <c r="E95" i="289"/>
  <c r="D95" i="289"/>
  <c r="C95" i="289"/>
  <c r="B95" i="289"/>
  <c r="S30" i="291"/>
  <c r="Q30" i="291"/>
  <c r="O30" i="291"/>
  <c r="M30" i="291"/>
  <c r="I30" i="291"/>
  <c r="G30" i="291"/>
  <c r="E30" i="291"/>
  <c r="D30" i="291"/>
  <c r="C30" i="291"/>
  <c r="B30" i="291"/>
  <c r="T78" i="278"/>
  <c r="R78" i="278"/>
  <c r="P78" i="278"/>
  <c r="N78" i="278"/>
  <c r="M78" i="278"/>
  <c r="L78" i="278"/>
  <c r="J78" i="278"/>
  <c r="H78" i="278"/>
  <c r="F78" i="278"/>
  <c r="D78" i="278"/>
  <c r="C78" i="278"/>
  <c r="B78" i="278"/>
  <c r="T45" i="282"/>
  <c r="R45" i="282"/>
  <c r="P45" i="282"/>
  <c r="N45" i="282"/>
  <c r="M45" i="282"/>
  <c r="L45" i="282"/>
  <c r="J45" i="282"/>
  <c r="H45" i="282"/>
  <c r="F45" i="282"/>
  <c r="D45" i="282"/>
  <c r="C45" i="282"/>
  <c r="B45" i="282"/>
  <c r="T109" i="285"/>
  <c r="R109" i="285"/>
  <c r="P109" i="285"/>
  <c r="N109" i="285"/>
  <c r="M109" i="285"/>
  <c r="L109" i="285"/>
  <c r="J109" i="285"/>
  <c r="H109" i="285"/>
  <c r="F109" i="285"/>
  <c r="D109" i="285"/>
  <c r="C109" i="285"/>
  <c r="B109" i="285"/>
  <c r="T77" i="278"/>
  <c r="R77" i="278"/>
  <c r="P77" i="278"/>
  <c r="N77" i="278"/>
  <c r="M77" i="278"/>
  <c r="L77" i="278"/>
  <c r="J77" i="278"/>
  <c r="H77" i="278"/>
  <c r="F77" i="278"/>
  <c r="D77" i="278"/>
  <c r="C77" i="278"/>
  <c r="B77" i="278"/>
  <c r="T26" i="286"/>
  <c r="R26" i="286"/>
  <c r="P26" i="286"/>
  <c r="N26" i="286"/>
  <c r="M26" i="286"/>
  <c r="L26" i="286"/>
  <c r="J26" i="286"/>
  <c r="H26" i="286"/>
  <c r="F26" i="286"/>
  <c r="C26" i="286"/>
  <c r="B26" i="286"/>
  <c r="S76" i="278"/>
  <c r="Q76" i="278"/>
  <c r="O76" i="278"/>
  <c r="M76" i="278"/>
  <c r="K76" i="278"/>
  <c r="I76" i="278"/>
  <c r="G76" i="278"/>
  <c r="E76" i="278"/>
  <c r="D76" i="278"/>
  <c r="C76" i="278"/>
  <c r="B76" i="278"/>
  <c r="S33" i="280"/>
  <c r="Q33" i="280"/>
  <c r="O33" i="280"/>
  <c r="M33" i="280"/>
  <c r="K33" i="280"/>
  <c r="I33" i="280"/>
  <c r="G33" i="280"/>
  <c r="E33" i="280"/>
  <c r="D33" i="280"/>
  <c r="C33" i="280"/>
  <c r="B33" i="280"/>
  <c r="S108" i="285"/>
  <c r="Q108" i="285"/>
  <c r="O108" i="285"/>
  <c r="M108" i="285"/>
  <c r="K108" i="285"/>
  <c r="I108" i="285"/>
  <c r="G108" i="285"/>
  <c r="E108" i="285"/>
  <c r="C108" i="285"/>
  <c r="B108" i="285"/>
  <c r="S107" i="285"/>
  <c r="Q107" i="285"/>
  <c r="O107" i="285"/>
  <c r="M107" i="285"/>
  <c r="K107" i="285"/>
  <c r="I107" i="285"/>
  <c r="G107" i="285"/>
  <c r="E107" i="285"/>
  <c r="D107" i="285"/>
  <c r="C72" i="13"/>
  <c r="C107" i="285"/>
  <c r="B107" i="285"/>
  <c r="T7" i="287"/>
  <c r="R7" i="287"/>
  <c r="P7" i="287"/>
  <c r="N7" i="287"/>
  <c r="M7" i="287"/>
  <c r="L7" i="287"/>
  <c r="J7" i="287"/>
  <c r="H7" i="287"/>
  <c r="F7" i="287"/>
  <c r="D7" i="287"/>
  <c r="C7" i="287"/>
  <c r="B7" i="287"/>
  <c r="S106" i="285"/>
  <c r="Q106" i="285"/>
  <c r="O106" i="285"/>
  <c r="M106" i="285"/>
  <c r="K106" i="285"/>
  <c r="I106" i="285"/>
  <c r="G106" i="285"/>
  <c r="E106" i="285"/>
  <c r="C106" i="285"/>
  <c r="B106" i="285"/>
  <c r="S14" i="279"/>
  <c r="Q14" i="279"/>
  <c r="O14" i="279"/>
  <c r="M14" i="279"/>
  <c r="K14" i="279"/>
  <c r="I14" i="279"/>
  <c r="G14" i="279"/>
  <c r="E14" i="279"/>
  <c r="D14" i="279"/>
  <c r="C14" i="279"/>
  <c r="B14" i="279"/>
  <c r="S30" i="287"/>
  <c r="Q30" i="287"/>
  <c r="O30" i="287"/>
  <c r="M30" i="287"/>
  <c r="K30" i="287"/>
  <c r="I30" i="287"/>
  <c r="G30" i="287"/>
  <c r="E30" i="287"/>
  <c r="D30" i="287"/>
  <c r="C30" i="287"/>
  <c r="B30" i="287"/>
  <c r="S18" i="288"/>
  <c r="Q18" i="288"/>
  <c r="O18" i="288"/>
  <c r="M18" i="288"/>
  <c r="K18" i="288"/>
  <c r="I18" i="288"/>
  <c r="G18" i="288"/>
  <c r="E18" i="288"/>
  <c r="D18" i="288"/>
  <c r="C18" i="288"/>
  <c r="B18" i="288"/>
  <c r="S54" i="280"/>
  <c r="Q54" i="280"/>
  <c r="O54" i="280"/>
  <c r="M54" i="280"/>
  <c r="K54" i="280"/>
  <c r="I54" i="280"/>
  <c r="G54" i="280"/>
  <c r="E54" i="280"/>
  <c r="D54" i="280"/>
  <c r="C70" i="13"/>
  <c r="C54" i="280"/>
  <c r="B54" i="280"/>
  <c r="T49" i="280"/>
  <c r="R49" i="280"/>
  <c r="P49" i="280"/>
  <c r="N49" i="280"/>
  <c r="M49" i="280"/>
  <c r="L49" i="280"/>
  <c r="J49" i="280"/>
  <c r="H49" i="280"/>
  <c r="F49" i="280"/>
  <c r="D49" i="280"/>
  <c r="C49" i="280"/>
  <c r="B49" i="280"/>
  <c r="T105" i="285"/>
  <c r="R105" i="285"/>
  <c r="P105" i="285"/>
  <c r="N105" i="285"/>
  <c r="M105" i="285"/>
  <c r="L105" i="285"/>
  <c r="J105" i="285"/>
  <c r="H105" i="285"/>
  <c r="F105" i="285"/>
  <c r="D105" i="285"/>
  <c r="C105" i="285"/>
  <c r="B105" i="285"/>
  <c r="T32" i="290"/>
  <c r="R32" i="290"/>
  <c r="P32" i="290"/>
  <c r="N32" i="290"/>
  <c r="M32" i="290"/>
  <c r="L32" i="290"/>
  <c r="J32" i="290"/>
  <c r="H32" i="290"/>
  <c r="F32" i="290"/>
  <c r="D32" i="290"/>
  <c r="C32" i="290"/>
  <c r="B32" i="290"/>
  <c r="T34" i="283"/>
  <c r="R34" i="283"/>
  <c r="P34" i="283"/>
  <c r="N34" i="283"/>
  <c r="M34" i="283"/>
  <c r="L34" i="283"/>
  <c r="J34" i="283"/>
  <c r="H34" i="283"/>
  <c r="F34" i="283"/>
  <c r="D34" i="283"/>
  <c r="C34" i="283"/>
  <c r="B34" i="283"/>
  <c r="S104" i="285"/>
  <c r="Q104" i="285"/>
  <c r="O104" i="285"/>
  <c r="M104" i="285"/>
  <c r="K104" i="285"/>
  <c r="I104" i="285"/>
  <c r="G104" i="285"/>
  <c r="E104" i="285"/>
  <c r="D104" i="285"/>
  <c r="C104" i="285"/>
  <c r="B104" i="285"/>
  <c r="S41" i="280"/>
  <c r="Q41" i="280"/>
  <c r="O41" i="280"/>
  <c r="M41" i="280"/>
  <c r="K41" i="280"/>
  <c r="I41" i="280"/>
  <c r="G41" i="280"/>
  <c r="E41" i="280"/>
  <c r="C41" i="280"/>
  <c r="B41" i="280"/>
  <c r="S14" i="288"/>
  <c r="Q14" i="288"/>
  <c r="O14" i="288"/>
  <c r="M14" i="288"/>
  <c r="K14" i="288"/>
  <c r="I14" i="288"/>
  <c r="G14" i="288"/>
  <c r="E14" i="288"/>
  <c r="D14" i="288"/>
  <c r="C14" i="288"/>
  <c r="B14" i="288"/>
  <c r="S75" i="278"/>
  <c r="Q75" i="278"/>
  <c r="O75" i="278"/>
  <c r="M75" i="278"/>
  <c r="K75" i="278"/>
  <c r="I75" i="278"/>
  <c r="G75" i="278"/>
  <c r="E75" i="278"/>
  <c r="D75" i="278"/>
  <c r="C75" i="278"/>
  <c r="B75" i="278"/>
  <c r="S103" i="285"/>
  <c r="Q103" i="285"/>
  <c r="O103" i="285"/>
  <c r="M103" i="285"/>
  <c r="K103" i="285"/>
  <c r="I103" i="285"/>
  <c r="G103" i="285"/>
  <c r="E103" i="285"/>
  <c r="C103" i="285"/>
  <c r="B103" i="285"/>
  <c r="S102" i="285"/>
  <c r="Q102" i="285"/>
  <c r="O102" i="285"/>
  <c r="M102" i="285"/>
  <c r="K102" i="285"/>
  <c r="I102" i="285"/>
  <c r="G102" i="285"/>
  <c r="E102" i="285"/>
  <c r="C68" i="13"/>
  <c r="C102" i="285"/>
  <c r="B102" i="285"/>
  <c r="T74" i="278"/>
  <c r="R74" i="278"/>
  <c r="P74" i="278"/>
  <c r="N74" i="278"/>
  <c r="M74" i="278"/>
  <c r="L74" i="278"/>
  <c r="J74" i="278"/>
  <c r="H74" i="278"/>
  <c r="F74" i="278"/>
  <c r="D74" i="278"/>
  <c r="C74" i="278"/>
  <c r="B74" i="278"/>
  <c r="T49" i="284"/>
  <c r="R49" i="284"/>
  <c r="P49" i="284"/>
  <c r="N49" i="284"/>
  <c r="M49" i="284"/>
  <c r="L49" i="284"/>
  <c r="J49" i="284"/>
  <c r="H49" i="284"/>
  <c r="F49" i="284"/>
  <c r="C49" i="284"/>
  <c r="B49" i="284"/>
  <c r="S73" i="278"/>
  <c r="Q73" i="278"/>
  <c r="O73" i="278"/>
  <c r="M73" i="278"/>
  <c r="I73" i="278"/>
  <c r="G73" i="278"/>
  <c r="E73" i="278"/>
  <c r="D73" i="278"/>
  <c r="C73" i="278"/>
  <c r="B73" i="278"/>
  <c r="S101" i="285"/>
  <c r="Q101" i="285"/>
  <c r="O101" i="285"/>
  <c r="M101" i="285"/>
  <c r="I101" i="285"/>
  <c r="G101" i="285"/>
  <c r="E101" i="285"/>
  <c r="D101" i="285"/>
  <c r="C101" i="285"/>
  <c r="B101" i="285"/>
  <c r="T19" i="277"/>
  <c r="R19" i="277"/>
  <c r="P19" i="277"/>
  <c r="N19" i="277"/>
  <c r="M19" i="277"/>
  <c r="L19" i="277"/>
  <c r="J19" i="277"/>
  <c r="H19" i="277"/>
  <c r="F19" i="277"/>
  <c r="D19" i="277"/>
  <c r="C19" i="277"/>
  <c r="B19" i="277"/>
  <c r="T100" i="285"/>
  <c r="R100" i="285"/>
  <c r="P100" i="285"/>
  <c r="N100" i="285"/>
  <c r="M100" i="285"/>
  <c r="L100" i="285"/>
  <c r="J100" i="285"/>
  <c r="H100" i="285"/>
  <c r="F100" i="285"/>
  <c r="D100" i="285"/>
  <c r="C100" i="285"/>
  <c r="B100" i="285"/>
  <c r="T48" i="284"/>
  <c r="R48" i="284"/>
  <c r="P48" i="284"/>
  <c r="N48" i="284"/>
  <c r="M48" i="284"/>
  <c r="L48" i="284"/>
  <c r="J48" i="284"/>
  <c r="H48" i="284"/>
  <c r="F48" i="284"/>
  <c r="D48" i="284"/>
  <c r="C48" i="284"/>
  <c r="B48" i="284"/>
  <c r="T38" i="280"/>
  <c r="R38" i="280"/>
  <c r="P38" i="280"/>
  <c r="N38" i="280"/>
  <c r="M38" i="280"/>
  <c r="L38" i="280"/>
  <c r="J38" i="280"/>
  <c r="H38" i="280"/>
  <c r="F38" i="280"/>
  <c r="D38" i="280"/>
  <c r="B38" i="280"/>
  <c r="S16" i="280"/>
  <c r="Q16" i="280"/>
  <c r="O16" i="280"/>
  <c r="M16" i="280"/>
  <c r="I16" i="280"/>
  <c r="G16" i="280"/>
  <c r="E16" i="280"/>
  <c r="D16" i="280"/>
  <c r="C16" i="280"/>
  <c r="B16" i="280"/>
  <c r="S25" i="277"/>
  <c r="Q25" i="277"/>
  <c r="O25" i="277"/>
  <c r="M25" i="277"/>
  <c r="I25" i="277"/>
  <c r="G25" i="277"/>
  <c r="E25" i="277"/>
  <c r="D25" i="277"/>
  <c r="C25" i="277"/>
  <c r="B25" i="277"/>
  <c r="S72" i="278"/>
  <c r="Q72" i="278"/>
  <c r="O72" i="278"/>
  <c r="M72" i="278"/>
  <c r="I72" i="278"/>
  <c r="G72" i="278"/>
  <c r="E72" i="278"/>
  <c r="D72" i="278"/>
  <c r="C72" i="278"/>
  <c r="B72" i="278"/>
  <c r="S94" i="289"/>
  <c r="Q94" i="289"/>
  <c r="O94" i="289"/>
  <c r="M94" i="289"/>
  <c r="I94" i="289"/>
  <c r="G94" i="289"/>
  <c r="E94" i="289"/>
  <c r="C94" i="289"/>
  <c r="B94" i="289"/>
  <c r="S99" i="285"/>
  <c r="Q99" i="285"/>
  <c r="O99" i="285"/>
  <c r="M99" i="285"/>
  <c r="I99" i="285"/>
  <c r="G99" i="285"/>
  <c r="E99" i="285"/>
  <c r="D99" i="285"/>
  <c r="C65" i="13"/>
  <c r="C99" i="285"/>
  <c r="B99" i="285"/>
  <c r="T11" i="277"/>
  <c r="R11" i="277"/>
  <c r="P11" i="277"/>
  <c r="N11" i="277"/>
  <c r="M11" i="277"/>
  <c r="L11" i="277"/>
  <c r="J11" i="277"/>
  <c r="H11" i="277"/>
  <c r="F11" i="277"/>
  <c r="D11" i="277"/>
  <c r="C11" i="277"/>
  <c r="B11" i="277"/>
  <c r="T44" i="282"/>
  <c r="R44" i="282"/>
  <c r="P44" i="282"/>
  <c r="N44" i="282"/>
  <c r="M44" i="282"/>
  <c r="L44" i="282"/>
  <c r="J44" i="282"/>
  <c r="H44" i="282"/>
  <c r="F44" i="282"/>
  <c r="C44" i="282"/>
  <c r="B44" i="282"/>
  <c r="T43" i="282"/>
  <c r="R43" i="282"/>
  <c r="P43" i="282"/>
  <c r="N43" i="282"/>
  <c r="M43" i="282"/>
  <c r="L43" i="282"/>
  <c r="J43" i="282"/>
  <c r="H43" i="282"/>
  <c r="F43" i="282"/>
  <c r="D43" i="282"/>
  <c r="C43" i="282"/>
  <c r="B43" i="282"/>
  <c r="T98" i="285"/>
  <c r="R98" i="285"/>
  <c r="P98" i="285"/>
  <c r="N98" i="285"/>
  <c r="M98" i="285"/>
  <c r="L98" i="285"/>
  <c r="J98" i="285"/>
  <c r="H98" i="285"/>
  <c r="F98" i="285"/>
  <c r="D98" i="285"/>
  <c r="C98" i="285"/>
  <c r="B98" i="285"/>
  <c r="T97" i="285"/>
  <c r="R97" i="285"/>
  <c r="P97" i="285"/>
  <c r="N97" i="285"/>
  <c r="M97" i="285"/>
  <c r="L97" i="285"/>
  <c r="J97" i="285"/>
  <c r="H97" i="285"/>
  <c r="F97" i="285"/>
  <c r="B97" i="285"/>
  <c r="S47" i="284"/>
  <c r="Q47" i="284"/>
  <c r="O47" i="284"/>
  <c r="M47" i="284"/>
  <c r="I47" i="284"/>
  <c r="G47" i="284"/>
  <c r="E47" i="284"/>
  <c r="D47" i="284"/>
  <c r="C63" i="13"/>
  <c r="C47" i="284"/>
  <c r="B47" i="284"/>
  <c r="T71" i="278"/>
  <c r="R71" i="278"/>
  <c r="P71" i="278"/>
  <c r="N71" i="278"/>
  <c r="M71" i="278"/>
  <c r="L71" i="278"/>
  <c r="J71" i="278"/>
  <c r="H71" i="278"/>
  <c r="F71" i="278"/>
  <c r="D71" i="278"/>
  <c r="C71" i="278"/>
  <c r="B71" i="278"/>
  <c r="T96" i="285"/>
  <c r="R96" i="285"/>
  <c r="P96" i="285"/>
  <c r="N96" i="285"/>
  <c r="M96" i="285"/>
  <c r="L96" i="285"/>
  <c r="J96" i="285"/>
  <c r="H96" i="285"/>
  <c r="F96" i="285"/>
  <c r="D96" i="285"/>
  <c r="C96" i="285"/>
  <c r="B96" i="285"/>
  <c r="T93" i="289"/>
  <c r="R93" i="289"/>
  <c r="P93" i="289"/>
  <c r="N93" i="289"/>
  <c r="M93" i="289"/>
  <c r="L93" i="289"/>
  <c r="J93" i="289"/>
  <c r="H93" i="289"/>
  <c r="F93" i="289"/>
  <c r="D93" i="289"/>
  <c r="C93" i="289"/>
  <c r="B93" i="289"/>
  <c r="T33" i="283"/>
  <c r="R33" i="283"/>
  <c r="P33" i="283"/>
  <c r="N33" i="283"/>
  <c r="M33" i="283"/>
  <c r="L33" i="283"/>
  <c r="J33" i="283"/>
  <c r="H33" i="283"/>
  <c r="C33" i="283"/>
  <c r="B33" i="283"/>
  <c r="T45" i="280"/>
  <c r="R45" i="280"/>
  <c r="P45" i="280"/>
  <c r="N45" i="280"/>
  <c r="M45" i="280"/>
  <c r="L45" i="280"/>
  <c r="J45" i="280"/>
  <c r="H45" i="280"/>
  <c r="F45" i="280"/>
  <c r="D45" i="280"/>
  <c r="C45" i="280"/>
  <c r="B45" i="280"/>
  <c r="T95" i="285"/>
  <c r="R95" i="285"/>
  <c r="P95" i="285"/>
  <c r="N95" i="285"/>
  <c r="M95" i="285"/>
  <c r="L95" i="285"/>
  <c r="J95" i="285"/>
  <c r="H95" i="285"/>
  <c r="F95" i="285"/>
  <c r="D95" i="285"/>
  <c r="C95" i="285"/>
  <c r="B95" i="285"/>
  <c r="T94" i="285"/>
  <c r="R94" i="285"/>
  <c r="P94" i="285"/>
  <c r="N94" i="285"/>
  <c r="M94" i="285"/>
  <c r="L94" i="285"/>
  <c r="J94" i="285"/>
  <c r="H94" i="285"/>
  <c r="F94" i="285"/>
  <c r="D94" i="285"/>
  <c r="C94" i="285"/>
  <c r="B94" i="285"/>
  <c r="T42" i="282"/>
  <c r="R42" i="282"/>
  <c r="P42" i="282"/>
  <c r="N42" i="282"/>
  <c r="M42" i="282"/>
  <c r="L42" i="282"/>
  <c r="J42" i="282"/>
  <c r="H42" i="282"/>
  <c r="F42" i="282"/>
  <c r="D42" i="282"/>
  <c r="C42" i="282"/>
  <c r="B42" i="282"/>
  <c r="T12" i="287"/>
  <c r="R12" i="287"/>
  <c r="P12" i="287"/>
  <c r="N12" i="287"/>
  <c r="M12" i="287"/>
  <c r="L12" i="287"/>
  <c r="J12" i="287"/>
  <c r="H12" i="287"/>
  <c r="F12" i="287"/>
  <c r="C12" i="287"/>
  <c r="B12" i="287"/>
  <c r="T7" i="290"/>
  <c r="R7" i="290"/>
  <c r="P7" i="290"/>
  <c r="N7" i="290"/>
  <c r="M7" i="290"/>
  <c r="L7" i="290"/>
  <c r="J7" i="290"/>
  <c r="H7" i="290"/>
  <c r="F7" i="290"/>
  <c r="D7" i="290"/>
  <c r="C7" i="290"/>
  <c r="B7" i="290"/>
  <c r="C62" i="13"/>
  <c r="T53" i="280"/>
  <c r="R53" i="280"/>
  <c r="P53" i="280"/>
  <c r="N53" i="280"/>
  <c r="M53" i="280"/>
  <c r="L53" i="280"/>
  <c r="J53" i="280"/>
  <c r="H53" i="280"/>
  <c r="F53" i="280"/>
  <c r="C53" i="280"/>
  <c r="B53" i="280"/>
  <c r="S92" i="289"/>
  <c r="Q92" i="289"/>
  <c r="O92" i="289"/>
  <c r="M92" i="289"/>
  <c r="K92" i="289"/>
  <c r="I92" i="289"/>
  <c r="G92" i="289"/>
  <c r="E92" i="289"/>
  <c r="D92" i="289"/>
  <c r="C92" i="289"/>
  <c r="B92" i="289"/>
  <c r="S32" i="283"/>
  <c r="Q32" i="283"/>
  <c r="O32" i="283"/>
  <c r="M32" i="283"/>
  <c r="K32" i="283"/>
  <c r="I32" i="283"/>
  <c r="G32" i="283"/>
  <c r="E32" i="283"/>
  <c r="D32" i="283"/>
  <c r="C32" i="283"/>
  <c r="B32" i="283"/>
  <c r="S41" i="282"/>
  <c r="Q41" i="282"/>
  <c r="O41" i="282"/>
  <c r="M41" i="282"/>
  <c r="K41" i="282"/>
  <c r="I41" i="282"/>
  <c r="G41" i="282"/>
  <c r="E41" i="282"/>
  <c r="C41" i="282"/>
  <c r="B41" i="282"/>
  <c r="S70" i="278"/>
  <c r="Q70" i="278"/>
  <c r="O70" i="278"/>
  <c r="M70" i="278"/>
  <c r="K70" i="278"/>
  <c r="I70" i="278"/>
  <c r="G70" i="278"/>
  <c r="E70" i="278"/>
  <c r="D70" i="278"/>
  <c r="C70" i="278"/>
  <c r="B70" i="278"/>
  <c r="S15" i="280"/>
  <c r="Q15" i="280"/>
  <c r="O15" i="280"/>
  <c r="M15" i="280"/>
  <c r="K15" i="280"/>
  <c r="I15" i="280"/>
  <c r="G15" i="280"/>
  <c r="E15" i="280"/>
  <c r="D15" i="280"/>
  <c r="C15" i="280"/>
  <c r="B15" i="280"/>
  <c r="S34" i="290"/>
  <c r="Q34" i="290"/>
  <c r="O34" i="290"/>
  <c r="M34" i="290"/>
  <c r="K34" i="290"/>
  <c r="I34" i="290"/>
  <c r="G34" i="290"/>
  <c r="E34" i="290"/>
  <c r="C60" i="13"/>
  <c r="C34" i="290"/>
  <c r="B34" i="290"/>
  <c r="T37" i="280"/>
  <c r="R37" i="280"/>
  <c r="P37" i="280"/>
  <c r="N37" i="280"/>
  <c r="M37" i="280"/>
  <c r="L37" i="280"/>
  <c r="J37" i="280"/>
  <c r="H37" i="280"/>
  <c r="F37" i="280"/>
  <c r="D37" i="280"/>
  <c r="C37" i="280"/>
  <c r="B37" i="280"/>
  <c r="T31" i="283"/>
  <c r="R31" i="283"/>
  <c r="P31" i="283"/>
  <c r="N31" i="283"/>
  <c r="M31" i="283"/>
  <c r="L31" i="283"/>
  <c r="J31" i="283"/>
  <c r="H31" i="283"/>
  <c r="F31" i="283"/>
  <c r="D31" i="283"/>
  <c r="C31" i="283"/>
  <c r="B31" i="283"/>
  <c r="S63" i="281"/>
  <c r="Q63" i="281"/>
  <c r="O63" i="281"/>
  <c r="M63" i="281"/>
  <c r="K63" i="281"/>
  <c r="I63" i="281"/>
  <c r="G63" i="281"/>
  <c r="E63" i="281"/>
  <c r="D63" i="281"/>
  <c r="C58" i="13"/>
  <c r="C63" i="281"/>
  <c r="B63" i="281"/>
  <c r="T34" i="288"/>
  <c r="R34" i="288"/>
  <c r="P34" i="288"/>
  <c r="N34" i="288"/>
  <c r="M34" i="288"/>
  <c r="L34" i="288"/>
  <c r="J34" i="288"/>
  <c r="H34" i="288"/>
  <c r="F34" i="288"/>
  <c r="D34" i="288"/>
  <c r="C34" i="288"/>
  <c r="B34" i="288"/>
  <c r="T11" i="280"/>
  <c r="R11" i="280"/>
  <c r="P11" i="280"/>
  <c r="N11" i="280"/>
  <c r="M11" i="280"/>
  <c r="L11" i="280"/>
  <c r="J11" i="280"/>
  <c r="H11" i="280"/>
  <c r="F11" i="280"/>
  <c r="D11" i="280"/>
  <c r="C11" i="280"/>
  <c r="B11" i="280"/>
  <c r="T6" i="280"/>
  <c r="R6" i="280"/>
  <c r="P6" i="280"/>
  <c r="N6" i="280"/>
  <c r="M6" i="280"/>
  <c r="L6" i="280"/>
  <c r="J6" i="280"/>
  <c r="H6" i="280"/>
  <c r="F6" i="280"/>
  <c r="D6" i="280"/>
  <c r="B6" i="280"/>
  <c r="T40" i="282"/>
  <c r="R40" i="282"/>
  <c r="P40" i="282"/>
  <c r="N40" i="282"/>
  <c r="M40" i="282"/>
  <c r="L40" i="282"/>
  <c r="J40" i="282"/>
  <c r="H40" i="282"/>
  <c r="F40" i="282"/>
  <c r="C40" i="282"/>
  <c r="B40" i="282"/>
  <c r="T17" i="288"/>
  <c r="R17" i="288"/>
  <c r="P17" i="288"/>
  <c r="N17" i="288"/>
  <c r="M17" i="288"/>
  <c r="L17" i="288"/>
  <c r="J17" i="288"/>
  <c r="H17" i="288"/>
  <c r="F17" i="288"/>
  <c r="D17" i="288"/>
  <c r="C17" i="288"/>
  <c r="B17" i="288"/>
  <c r="T48" i="280"/>
  <c r="R48" i="280"/>
  <c r="P48" i="280"/>
  <c r="N48" i="280"/>
  <c r="M48" i="280"/>
  <c r="L48" i="280"/>
  <c r="J48" i="280"/>
  <c r="H48" i="280"/>
  <c r="F48" i="280"/>
  <c r="D48" i="280"/>
  <c r="C48" i="280"/>
  <c r="B48" i="280"/>
  <c r="T6" i="290"/>
  <c r="R6" i="290"/>
  <c r="P6" i="290"/>
  <c r="N6" i="290"/>
  <c r="M6" i="290"/>
  <c r="L6" i="290"/>
  <c r="J6" i="290"/>
  <c r="H6" i="290"/>
  <c r="F6" i="290"/>
  <c r="C6" i="290"/>
  <c r="B6" i="290"/>
  <c r="T39" i="282"/>
  <c r="R39" i="282"/>
  <c r="P39" i="282"/>
  <c r="N39" i="282"/>
  <c r="M39" i="282"/>
  <c r="L39" i="282"/>
  <c r="J39" i="282"/>
  <c r="H39" i="282"/>
  <c r="F39" i="282"/>
  <c r="D39" i="282"/>
  <c r="C39" i="282"/>
  <c r="B39" i="282"/>
  <c r="T31" i="290"/>
  <c r="R31" i="290"/>
  <c r="P31" i="290"/>
  <c r="N31" i="290"/>
  <c r="M31" i="290"/>
  <c r="L31" i="290"/>
  <c r="J31" i="290"/>
  <c r="H31" i="290"/>
  <c r="F31" i="290"/>
  <c r="D31" i="290"/>
  <c r="C31" i="290"/>
  <c r="B31" i="290"/>
  <c r="T30" i="283"/>
  <c r="R30" i="283"/>
  <c r="P30" i="283"/>
  <c r="N30" i="283"/>
  <c r="M30" i="283"/>
  <c r="L30" i="283"/>
  <c r="J30" i="283"/>
  <c r="H30" i="283"/>
  <c r="F30" i="283"/>
  <c r="C30" i="283"/>
  <c r="B30" i="283"/>
  <c r="T46" i="284"/>
  <c r="R46" i="284"/>
  <c r="P46" i="284"/>
  <c r="N46" i="284"/>
  <c r="M46" i="284"/>
  <c r="L46" i="284"/>
  <c r="J46" i="284"/>
  <c r="H46" i="284"/>
  <c r="F46" i="284"/>
  <c r="D46" i="284"/>
  <c r="C46" i="284"/>
  <c r="B46" i="284"/>
  <c r="T25" i="280"/>
  <c r="R25" i="280"/>
  <c r="P25" i="280"/>
  <c r="N25" i="280"/>
  <c r="M25" i="280"/>
  <c r="L25" i="280"/>
  <c r="J25" i="280"/>
  <c r="H25" i="280"/>
  <c r="F25" i="280"/>
  <c r="D25" i="280"/>
  <c r="C25" i="280"/>
  <c r="B25" i="280"/>
  <c r="T18" i="279"/>
  <c r="R18" i="279"/>
  <c r="P18" i="279"/>
  <c r="N18" i="279"/>
  <c r="M18" i="279"/>
  <c r="L18" i="279"/>
  <c r="J18" i="279"/>
  <c r="H18" i="279"/>
  <c r="F18" i="279"/>
  <c r="D18" i="279"/>
  <c r="C18" i="279"/>
  <c r="B18" i="279"/>
  <c r="T93" i="285"/>
  <c r="R93" i="285"/>
  <c r="P93" i="285"/>
  <c r="N93" i="285"/>
  <c r="M93" i="285"/>
  <c r="L93" i="285"/>
  <c r="J93" i="285"/>
  <c r="H93" i="285"/>
  <c r="F93" i="285"/>
  <c r="D93" i="285"/>
  <c r="C93" i="285"/>
  <c r="B93" i="285"/>
  <c r="T30" i="290"/>
  <c r="R30" i="290"/>
  <c r="P30" i="290"/>
  <c r="N30" i="290"/>
  <c r="M30" i="290"/>
  <c r="L30" i="290"/>
  <c r="J30" i="290"/>
  <c r="H30" i="290"/>
  <c r="F30" i="290"/>
  <c r="D30" i="290"/>
  <c r="C30" i="290"/>
  <c r="B30" i="290"/>
  <c r="T29" i="283"/>
  <c r="R29" i="283"/>
  <c r="P29" i="283"/>
  <c r="N29" i="283"/>
  <c r="M29" i="283"/>
  <c r="L29" i="283"/>
  <c r="J29" i="283"/>
  <c r="H29" i="283"/>
  <c r="F29" i="283"/>
  <c r="D29" i="283"/>
  <c r="C29" i="283"/>
  <c r="B29" i="283"/>
  <c r="T38" i="282"/>
  <c r="R38" i="282"/>
  <c r="P38" i="282"/>
  <c r="N38" i="282"/>
  <c r="M38" i="282"/>
  <c r="L38" i="282"/>
  <c r="J38" i="282"/>
  <c r="H38" i="282"/>
  <c r="F38" i="282"/>
  <c r="D38" i="282"/>
  <c r="C38" i="282"/>
  <c r="B38" i="282"/>
  <c r="T18" i="280"/>
  <c r="R18" i="280"/>
  <c r="P18" i="280"/>
  <c r="N18" i="280"/>
  <c r="M18" i="280"/>
  <c r="L18" i="280"/>
  <c r="J18" i="280"/>
  <c r="H18" i="280"/>
  <c r="F18" i="280"/>
  <c r="D18" i="280"/>
  <c r="B18" i="280"/>
  <c r="S14" i="287"/>
  <c r="Q14" i="287"/>
  <c r="O14" i="287"/>
  <c r="M14" i="287"/>
  <c r="I14" i="287"/>
  <c r="G14" i="287"/>
  <c r="E14" i="287"/>
  <c r="D14" i="287"/>
  <c r="C14" i="287"/>
  <c r="B14" i="287"/>
  <c r="S37" i="282"/>
  <c r="Q37" i="282"/>
  <c r="O37" i="282"/>
  <c r="M37" i="282"/>
  <c r="I37" i="282"/>
  <c r="G37" i="282"/>
  <c r="E37" i="282"/>
  <c r="C55" i="13"/>
  <c r="C37" i="282"/>
  <c r="B37" i="282"/>
  <c r="T69" i="278"/>
  <c r="R69" i="278"/>
  <c r="P69" i="278"/>
  <c r="N69" i="278"/>
  <c r="M69" i="278"/>
  <c r="L69" i="278"/>
  <c r="J69" i="278"/>
  <c r="H69" i="278"/>
  <c r="F69" i="278"/>
  <c r="D69" i="278"/>
  <c r="C69" i="278"/>
  <c r="B69" i="278"/>
  <c r="T36" i="282"/>
  <c r="R36" i="282"/>
  <c r="P36" i="282"/>
  <c r="N36" i="282"/>
  <c r="M36" i="282"/>
  <c r="L36" i="282"/>
  <c r="J36" i="282"/>
  <c r="H36" i="282"/>
  <c r="F36" i="282"/>
  <c r="D36" i="282"/>
  <c r="C36" i="282"/>
  <c r="B36" i="282"/>
  <c r="T35" i="282"/>
  <c r="R35" i="282"/>
  <c r="P35" i="282"/>
  <c r="N35" i="282"/>
  <c r="M35" i="282"/>
  <c r="L35" i="282"/>
  <c r="J35" i="282"/>
  <c r="H35" i="282"/>
  <c r="F35" i="282"/>
  <c r="C35" i="282"/>
  <c r="B35" i="282"/>
  <c r="T68" i="278"/>
  <c r="R68" i="278"/>
  <c r="P68" i="278"/>
  <c r="N68" i="278"/>
  <c r="M68" i="278"/>
  <c r="L68" i="278"/>
  <c r="J68" i="278"/>
  <c r="H68" i="278"/>
  <c r="F68" i="278"/>
  <c r="D68" i="278"/>
  <c r="C68" i="278"/>
  <c r="B68" i="278"/>
  <c r="T6" i="281"/>
  <c r="R6" i="281"/>
  <c r="P6" i="281"/>
  <c r="N6" i="281"/>
  <c r="M6" i="281"/>
  <c r="L6" i="281"/>
  <c r="J6" i="281"/>
  <c r="H6" i="281"/>
  <c r="F6" i="281"/>
  <c r="D6" i="281"/>
  <c r="C6" i="281"/>
  <c r="B6" i="281"/>
  <c r="T92" i="285"/>
  <c r="R92" i="285"/>
  <c r="P92" i="285"/>
  <c r="N92" i="285"/>
  <c r="M92" i="285"/>
  <c r="L92" i="285"/>
  <c r="J92" i="285"/>
  <c r="H92" i="285"/>
  <c r="B92" i="285"/>
  <c r="S45" i="284"/>
  <c r="Q45" i="284"/>
  <c r="O45" i="284"/>
  <c r="M45" i="284"/>
  <c r="I45" i="284"/>
  <c r="G45" i="284"/>
  <c r="E45" i="284"/>
  <c r="D45" i="284"/>
  <c r="C45" i="284"/>
  <c r="B45" i="284"/>
  <c r="S25" i="286"/>
  <c r="Q25" i="286"/>
  <c r="O25" i="286"/>
  <c r="M25" i="286"/>
  <c r="L25" i="286"/>
  <c r="K25" i="286"/>
  <c r="H25" i="286"/>
  <c r="G25" i="286"/>
  <c r="C53" i="13"/>
  <c r="C25" i="286"/>
  <c r="B25" i="286"/>
  <c r="T28" i="283"/>
  <c r="Q28" i="283"/>
  <c r="P28" i="283"/>
  <c r="M28" i="283"/>
  <c r="L28" i="283"/>
  <c r="I28" i="283"/>
  <c r="H28" i="283"/>
  <c r="E28" i="283"/>
  <c r="D28" i="283"/>
  <c r="C28" i="283"/>
  <c r="B28" i="283"/>
  <c r="T91" i="289"/>
  <c r="Q91" i="289"/>
  <c r="P91" i="289"/>
  <c r="M91" i="289"/>
  <c r="L91" i="289"/>
  <c r="I91" i="289"/>
  <c r="H91" i="289"/>
  <c r="E91" i="289"/>
  <c r="D91" i="289"/>
  <c r="C91" i="289"/>
  <c r="B91" i="289"/>
  <c r="T90" i="289"/>
  <c r="Q90" i="289"/>
  <c r="P90" i="289"/>
  <c r="M90" i="289"/>
  <c r="L90" i="289"/>
  <c r="I90" i="289"/>
  <c r="H90" i="289"/>
  <c r="E90" i="289"/>
  <c r="D90" i="289"/>
  <c r="C90" i="289"/>
  <c r="B90" i="289"/>
  <c r="T24" i="281"/>
  <c r="Q24" i="281"/>
  <c r="P24" i="281"/>
  <c r="M24" i="281"/>
  <c r="L24" i="281"/>
  <c r="I24" i="281"/>
  <c r="H24" i="281"/>
  <c r="E24" i="281"/>
  <c r="D24" i="281"/>
  <c r="C24" i="281"/>
  <c r="B24" i="281"/>
  <c r="T36" i="281"/>
  <c r="Q36" i="281"/>
  <c r="P36" i="281"/>
  <c r="M36" i="281"/>
  <c r="L36" i="281"/>
  <c r="I36" i="281"/>
  <c r="H36" i="281"/>
  <c r="E36" i="281"/>
  <c r="D36" i="281"/>
  <c r="C36" i="281"/>
  <c r="B36" i="281"/>
  <c r="T23" i="290"/>
  <c r="Q23" i="290"/>
  <c r="P23" i="290"/>
  <c r="M23" i="290"/>
  <c r="L23" i="290"/>
  <c r="I23" i="290"/>
  <c r="H23" i="290"/>
  <c r="E23" i="290"/>
  <c r="D23" i="290"/>
  <c r="C23" i="290"/>
  <c r="B23" i="290"/>
  <c r="T67" i="278"/>
  <c r="Q67" i="278"/>
  <c r="P67" i="278"/>
  <c r="M67" i="278"/>
  <c r="L67" i="278"/>
  <c r="I67" i="278"/>
  <c r="H67" i="278"/>
  <c r="E67" i="278"/>
  <c r="D67" i="278"/>
  <c r="C67" i="278"/>
  <c r="B67" i="278"/>
  <c r="T91" i="285"/>
  <c r="Q91" i="285"/>
  <c r="P91" i="285"/>
  <c r="M91" i="285"/>
  <c r="L91" i="285"/>
  <c r="I91" i="285"/>
  <c r="H91" i="285"/>
  <c r="E91" i="285"/>
  <c r="C91" i="285"/>
  <c r="B91" i="285"/>
  <c r="T22" i="290"/>
  <c r="Q22" i="290"/>
  <c r="P22" i="290"/>
  <c r="M22" i="290"/>
  <c r="L22" i="290"/>
  <c r="I22" i="290"/>
  <c r="H22" i="290"/>
  <c r="E22" i="290"/>
  <c r="D22" i="290"/>
  <c r="C22" i="290"/>
  <c r="B22" i="290"/>
  <c r="T90" i="285"/>
  <c r="Q90" i="285"/>
  <c r="P90" i="285"/>
  <c r="M90" i="285"/>
  <c r="L90" i="285"/>
  <c r="I90" i="285"/>
  <c r="H90" i="285"/>
  <c r="E90" i="285"/>
  <c r="D90" i="285"/>
  <c r="C90" i="285"/>
  <c r="B90" i="285"/>
  <c r="T44" i="284"/>
  <c r="Q44" i="284"/>
  <c r="P44" i="284"/>
  <c r="M44" i="284"/>
  <c r="L44" i="284"/>
  <c r="I44" i="284"/>
  <c r="H44" i="284"/>
  <c r="E44" i="284"/>
  <c r="C44" i="284"/>
  <c r="B44" i="284"/>
  <c r="T23" i="281"/>
  <c r="P23" i="281"/>
  <c r="M23" i="281"/>
  <c r="L23" i="281"/>
  <c r="H23" i="281"/>
  <c r="D23" i="281"/>
  <c r="C23" i="281"/>
  <c r="B23" i="281"/>
  <c r="T34" i="282"/>
  <c r="P34" i="282"/>
  <c r="M34" i="282"/>
  <c r="L34" i="282"/>
  <c r="H34" i="282"/>
  <c r="D34" i="282"/>
  <c r="C34" i="282"/>
  <c r="B34" i="282"/>
  <c r="T6" i="287"/>
  <c r="P6" i="287"/>
  <c r="M6" i="287"/>
  <c r="L6" i="287"/>
  <c r="H6" i="287"/>
  <c r="C6" i="287"/>
  <c r="B6" i="287"/>
  <c r="Q7" i="291"/>
  <c r="M7" i="291"/>
  <c r="I7" i="291"/>
  <c r="E7" i="291"/>
  <c r="D7" i="291"/>
  <c r="C7" i="291"/>
  <c r="B7" i="291"/>
  <c r="R27" i="283"/>
  <c r="N27" i="283"/>
  <c r="M27" i="283"/>
  <c r="J27" i="283"/>
  <c r="F27" i="283"/>
  <c r="D27" i="283"/>
  <c r="C27" i="283"/>
  <c r="B27" i="283"/>
  <c r="S89" i="285"/>
  <c r="O89" i="285"/>
  <c r="M89" i="285"/>
  <c r="K89" i="285"/>
  <c r="G89" i="285"/>
  <c r="D89" i="285"/>
  <c r="C89" i="285"/>
  <c r="B89" i="285"/>
  <c r="S89" i="289"/>
  <c r="O89" i="289"/>
  <c r="M89" i="289"/>
  <c r="K89" i="289"/>
  <c r="G89" i="289"/>
  <c r="D89" i="289"/>
  <c r="C89" i="289"/>
  <c r="B89" i="289"/>
  <c r="S88" i="289"/>
  <c r="O88" i="289"/>
  <c r="M88" i="289"/>
  <c r="K88" i="289"/>
  <c r="G88" i="289"/>
  <c r="D88" i="289"/>
  <c r="C88" i="289"/>
  <c r="B88" i="289"/>
  <c r="S33" i="282"/>
  <c r="O33" i="282"/>
  <c r="M33" i="282"/>
  <c r="K33" i="282"/>
  <c r="G33" i="282"/>
  <c r="D33" i="282"/>
  <c r="C33" i="282"/>
  <c r="B33" i="282"/>
  <c r="T23" i="288"/>
  <c r="P23" i="288"/>
  <c r="M23" i="288"/>
  <c r="L23" i="288"/>
  <c r="H23" i="288"/>
  <c r="D23" i="288"/>
  <c r="C23" i="288"/>
  <c r="B23" i="288"/>
  <c r="Q66" i="278"/>
  <c r="M66" i="278"/>
  <c r="I66" i="278"/>
  <c r="E66" i="278"/>
  <c r="D66" i="278"/>
  <c r="C66" i="278"/>
  <c r="B66" i="278"/>
  <c r="Q16" i="281"/>
  <c r="M16" i="281"/>
  <c r="I16" i="281"/>
  <c r="E16" i="281"/>
  <c r="C16" i="281"/>
  <c r="B16" i="281"/>
  <c r="Q32" i="282"/>
  <c r="M32" i="282"/>
  <c r="I32" i="282"/>
  <c r="E32" i="282"/>
  <c r="D32" i="282"/>
  <c r="C32" i="282"/>
  <c r="B32" i="282"/>
  <c r="Q7" i="279"/>
  <c r="M7" i="279"/>
  <c r="I7" i="279"/>
  <c r="E7" i="279"/>
  <c r="D7" i="279"/>
  <c r="C7" i="279"/>
  <c r="B7" i="279"/>
  <c r="Q60" i="281"/>
  <c r="M60" i="281"/>
  <c r="I60" i="281"/>
  <c r="E60" i="281"/>
  <c r="C60" i="281"/>
  <c r="B60" i="281"/>
  <c r="R38" i="281"/>
  <c r="N38" i="281"/>
  <c r="M38" i="281"/>
  <c r="J38" i="281"/>
  <c r="F38" i="281"/>
  <c r="D38" i="281"/>
  <c r="C38" i="281"/>
  <c r="B38" i="281"/>
  <c r="R16" i="290"/>
  <c r="N16" i="290"/>
  <c r="M16" i="290"/>
  <c r="J16" i="290"/>
  <c r="F16" i="290"/>
  <c r="D16" i="290"/>
  <c r="C16" i="290"/>
  <c r="B16" i="290"/>
  <c r="R14" i="280"/>
  <c r="N14" i="280"/>
  <c r="M14" i="280"/>
  <c r="J14" i="280"/>
  <c r="F14" i="280"/>
  <c r="C14" i="280"/>
  <c r="B14" i="280"/>
  <c r="R15" i="290"/>
  <c r="N15" i="290"/>
  <c r="M15" i="290"/>
  <c r="J15" i="290"/>
  <c r="F15" i="290"/>
  <c r="D15" i="290"/>
  <c r="C15" i="290"/>
  <c r="B15" i="290"/>
  <c r="S88" i="285"/>
  <c r="O88" i="285"/>
  <c r="M88" i="285"/>
  <c r="K88" i="285"/>
  <c r="G88" i="285"/>
  <c r="D88" i="285"/>
  <c r="C88" i="285"/>
  <c r="B88" i="285"/>
  <c r="S64" i="278"/>
  <c r="O64" i="278"/>
  <c r="M64" i="278"/>
  <c r="K64" i="278"/>
  <c r="G64" i="278"/>
  <c r="D64" i="278"/>
  <c r="C64" i="278"/>
  <c r="B64" i="278"/>
  <c r="S11" i="287"/>
  <c r="O11" i="287"/>
  <c r="M11" i="287"/>
  <c r="K11" i="287"/>
  <c r="G11" i="287"/>
  <c r="D11" i="287"/>
  <c r="C11" i="287"/>
  <c r="B11" i="287"/>
  <c r="S42" i="284"/>
  <c r="O42" i="284"/>
  <c r="M42" i="284"/>
  <c r="K42" i="284"/>
  <c r="G42" i="284"/>
  <c r="D42" i="284"/>
  <c r="C42" i="284"/>
  <c r="B42" i="284"/>
  <c r="S26" i="283"/>
  <c r="O26" i="283"/>
  <c r="M26" i="283"/>
  <c r="K26" i="283"/>
  <c r="G26" i="283"/>
  <c r="C48" i="13"/>
  <c r="C26" i="283"/>
  <c r="B26" i="283"/>
  <c r="T87" i="285"/>
  <c r="P87" i="285"/>
  <c r="M87" i="285"/>
  <c r="L87" i="285"/>
  <c r="H87" i="285"/>
  <c r="D87" i="285"/>
  <c r="C87" i="285"/>
  <c r="B87" i="285"/>
  <c r="T27" i="288"/>
  <c r="P27" i="288"/>
  <c r="M27" i="288"/>
  <c r="L27" i="288"/>
  <c r="H27" i="288"/>
  <c r="D27" i="288"/>
  <c r="C27" i="288"/>
  <c r="B27" i="288"/>
  <c r="T86" i="285"/>
  <c r="P86" i="285"/>
  <c r="M86" i="285"/>
  <c r="L86" i="285"/>
  <c r="H86" i="285"/>
  <c r="D86" i="285"/>
  <c r="C86" i="285"/>
  <c r="B86" i="285"/>
  <c r="T87" i="289"/>
  <c r="P87" i="289"/>
  <c r="M87" i="289"/>
  <c r="L87" i="289"/>
  <c r="H87" i="289"/>
  <c r="C87" i="289"/>
  <c r="B87" i="289"/>
  <c r="T13" i="286"/>
  <c r="P13" i="286"/>
  <c r="M13" i="286"/>
  <c r="L13" i="286"/>
  <c r="H13" i="286"/>
  <c r="D13" i="286"/>
  <c r="C13" i="286"/>
  <c r="B13" i="286"/>
  <c r="T21" i="281"/>
  <c r="P21" i="281"/>
  <c r="M21" i="281"/>
  <c r="L21" i="281"/>
  <c r="H21" i="281"/>
  <c r="D21" i="281"/>
  <c r="C21" i="281"/>
  <c r="B21" i="281"/>
  <c r="T41" i="284"/>
  <c r="P41" i="284"/>
  <c r="M41" i="284"/>
  <c r="L41" i="284"/>
  <c r="H41" i="284"/>
  <c r="C41" i="284"/>
  <c r="B41" i="284"/>
  <c r="T40" i="280"/>
  <c r="P40" i="280"/>
  <c r="M40" i="280"/>
  <c r="L40" i="280"/>
  <c r="H40" i="280"/>
  <c r="D40" i="280"/>
  <c r="C40" i="280"/>
  <c r="B40" i="280"/>
  <c r="T31" i="282"/>
  <c r="P31" i="282"/>
  <c r="M31" i="282"/>
  <c r="L31" i="282"/>
  <c r="H31" i="282"/>
  <c r="D31" i="282"/>
  <c r="C31" i="282"/>
  <c r="B31" i="282"/>
  <c r="T20" i="290"/>
  <c r="P20" i="290"/>
  <c r="M20" i="290"/>
  <c r="L20" i="290"/>
  <c r="H20" i="290"/>
  <c r="C20" i="290"/>
  <c r="B20" i="290"/>
  <c r="T85" i="285"/>
  <c r="P85" i="285"/>
  <c r="M85" i="285"/>
  <c r="L85" i="285"/>
  <c r="H85" i="285"/>
  <c r="D85" i="285"/>
  <c r="C85" i="285"/>
  <c r="B85" i="285"/>
  <c r="T25" i="283"/>
  <c r="P25" i="283"/>
  <c r="M25" i="283"/>
  <c r="L25" i="283"/>
  <c r="H25" i="283"/>
  <c r="D25" i="283"/>
  <c r="C25" i="283"/>
  <c r="B25" i="283"/>
  <c r="T84" i="285"/>
  <c r="P84" i="285"/>
  <c r="M84" i="285"/>
  <c r="L84" i="285"/>
  <c r="H84" i="285"/>
  <c r="D84" i="285"/>
  <c r="C84" i="285"/>
  <c r="B84" i="285"/>
  <c r="T63" i="278"/>
  <c r="P63" i="278"/>
  <c r="M63" i="278"/>
  <c r="L63" i="278"/>
  <c r="H63" i="278"/>
  <c r="D63" i="278"/>
  <c r="C63" i="278"/>
  <c r="B63" i="278"/>
  <c r="T40" i="284"/>
  <c r="P40" i="284"/>
  <c r="M40" i="284"/>
  <c r="L40" i="284"/>
  <c r="H40" i="284"/>
  <c r="D40" i="284"/>
  <c r="C40" i="284"/>
  <c r="B40" i="284"/>
  <c r="T19" i="290"/>
  <c r="P19" i="290"/>
  <c r="M19" i="290"/>
  <c r="L19" i="290"/>
  <c r="H19" i="290"/>
  <c r="D19" i="290"/>
  <c r="C19" i="290"/>
  <c r="B19" i="290"/>
  <c r="T24" i="283"/>
  <c r="P24" i="283"/>
  <c r="M24" i="283"/>
  <c r="L24" i="283"/>
  <c r="H24" i="283"/>
  <c r="C24" i="283"/>
  <c r="B24" i="283"/>
  <c r="T83" i="285"/>
  <c r="P83" i="285"/>
  <c r="M83" i="285"/>
  <c r="L83" i="285"/>
  <c r="H83" i="285"/>
  <c r="D83" i="285"/>
  <c r="C83" i="285"/>
  <c r="B83" i="285"/>
  <c r="T62" i="278"/>
  <c r="P62" i="278"/>
  <c r="M62" i="278"/>
  <c r="L62" i="278"/>
  <c r="H62" i="278"/>
  <c r="D62" i="278"/>
  <c r="C62" i="278"/>
  <c r="B62" i="278"/>
  <c r="T62" i="281"/>
  <c r="P62" i="281"/>
  <c r="M62" i="281"/>
  <c r="L62" i="281"/>
  <c r="H62" i="281"/>
  <c r="C62" i="281"/>
  <c r="B62" i="281"/>
  <c r="Q35" i="291"/>
  <c r="M35" i="291"/>
  <c r="I35" i="291"/>
  <c r="E35" i="291"/>
  <c r="D35" i="291"/>
  <c r="C35" i="291"/>
  <c r="B35" i="291"/>
  <c r="Q38" i="288"/>
  <c r="M38" i="288"/>
  <c r="I38" i="288"/>
  <c r="E38" i="288"/>
  <c r="C38" i="288"/>
  <c r="B38" i="288"/>
  <c r="R82" i="285"/>
  <c r="N82" i="285"/>
  <c r="M82" i="285"/>
  <c r="J82" i="285"/>
  <c r="F82" i="285"/>
  <c r="C82" i="285"/>
  <c r="B82" i="285"/>
  <c r="R86" i="289"/>
  <c r="N86" i="289"/>
  <c r="M86" i="289"/>
  <c r="J86" i="289"/>
  <c r="F86" i="289"/>
  <c r="D86" i="289"/>
  <c r="C86" i="289"/>
  <c r="B86" i="289"/>
  <c r="R5" i="286"/>
  <c r="N5" i="286"/>
  <c r="M5" i="286"/>
  <c r="J5" i="286"/>
  <c r="F5" i="286"/>
  <c r="D5" i="286"/>
  <c r="C5" i="286"/>
  <c r="B5" i="286"/>
  <c r="R10" i="281"/>
  <c r="N10" i="281"/>
  <c r="M10" i="281"/>
  <c r="J10" i="281"/>
  <c r="F10" i="281"/>
  <c r="C10" i="281"/>
  <c r="B10" i="281"/>
  <c r="R28" i="290"/>
  <c r="N28" i="290"/>
  <c r="M28" i="290"/>
  <c r="J28" i="290"/>
  <c r="F28" i="290"/>
  <c r="D28" i="290"/>
  <c r="C28" i="290"/>
  <c r="B28" i="290"/>
  <c r="R61" i="278"/>
  <c r="N61" i="278"/>
  <c r="M61" i="278"/>
  <c r="J61" i="278"/>
  <c r="F61" i="278"/>
  <c r="D61" i="278"/>
  <c r="C61" i="278"/>
  <c r="B61" i="278"/>
  <c r="R81" i="285"/>
  <c r="N81" i="285"/>
  <c r="M81" i="285"/>
  <c r="J81" i="285"/>
  <c r="F81" i="285"/>
  <c r="D81" i="285"/>
  <c r="B81" i="285"/>
  <c r="S30" i="282"/>
  <c r="O30" i="282"/>
  <c r="M30" i="282"/>
  <c r="G30" i="282"/>
  <c r="D30" i="282"/>
  <c r="C30" i="282"/>
  <c r="B30" i="282"/>
  <c r="S60" i="278"/>
  <c r="O60" i="278"/>
  <c r="M60" i="278"/>
  <c r="G60" i="278"/>
  <c r="D60" i="278"/>
  <c r="C60" i="278"/>
  <c r="B60" i="278"/>
  <c r="S22" i="288"/>
  <c r="O22" i="288"/>
  <c r="M22" i="288"/>
  <c r="G22" i="288"/>
  <c r="D22" i="288"/>
  <c r="C22" i="288"/>
  <c r="B22" i="288"/>
  <c r="S52" i="280"/>
  <c r="O52" i="280"/>
  <c r="M52" i="280"/>
  <c r="G52" i="280"/>
  <c r="C44" i="13"/>
  <c r="C52" i="280"/>
  <c r="B52" i="280"/>
  <c r="T85" i="289"/>
  <c r="P85" i="289"/>
  <c r="M85" i="289"/>
  <c r="L85" i="289"/>
  <c r="H85" i="289"/>
  <c r="D85" i="289"/>
  <c r="C85" i="289"/>
  <c r="B85" i="289"/>
  <c r="T80" i="285"/>
  <c r="P80" i="285"/>
  <c r="M80" i="285"/>
  <c r="L80" i="285"/>
  <c r="H80" i="285"/>
  <c r="D80" i="285"/>
  <c r="C80" i="285"/>
  <c r="B80" i="285"/>
  <c r="Q79" i="285"/>
  <c r="M79" i="285"/>
  <c r="I79" i="285"/>
  <c r="E79" i="285"/>
  <c r="C79" i="285"/>
  <c r="B79" i="285"/>
  <c r="Q78" i="285"/>
  <c r="M78" i="285"/>
  <c r="I78" i="285"/>
  <c r="E78" i="285"/>
  <c r="D78" i="285"/>
  <c r="C78" i="285"/>
  <c r="B78" i="285"/>
  <c r="Q59" i="278"/>
  <c r="M59" i="278"/>
  <c r="I59" i="278"/>
  <c r="E59" i="278"/>
  <c r="C59" i="278"/>
  <c r="B59" i="278"/>
  <c r="Q5" i="290"/>
  <c r="M5" i="290"/>
  <c r="I5" i="290"/>
  <c r="E5" i="290"/>
  <c r="D5" i="290"/>
  <c r="C5" i="290"/>
  <c r="B5" i="290"/>
  <c r="Q29" i="282"/>
  <c r="M29" i="282"/>
  <c r="I29" i="282"/>
  <c r="E29" i="282"/>
  <c r="D29" i="282"/>
  <c r="C29" i="282"/>
  <c r="B29" i="282"/>
  <c r="Q23" i="283"/>
  <c r="M23" i="283"/>
  <c r="I23" i="283"/>
  <c r="E23" i="283"/>
  <c r="C23" i="283"/>
  <c r="B23" i="283"/>
  <c r="Q10" i="287"/>
  <c r="M10" i="287"/>
  <c r="I10" i="287"/>
  <c r="E10" i="287"/>
  <c r="D10" i="287"/>
  <c r="C10" i="287"/>
  <c r="B10" i="287"/>
  <c r="Q58" i="278"/>
  <c r="M58" i="278"/>
  <c r="J58" i="278"/>
  <c r="I58" i="278"/>
  <c r="F58" i="278"/>
  <c r="E58" i="278"/>
  <c r="D58" i="278"/>
  <c r="C58" i="278"/>
  <c r="B58" i="278"/>
  <c r="R84" i="289"/>
  <c r="Q84" i="289"/>
  <c r="N84" i="289"/>
  <c r="M84" i="289"/>
  <c r="I84" i="289"/>
  <c r="E84" i="289"/>
  <c r="D84" i="289"/>
  <c r="C84" i="289"/>
  <c r="B84" i="289"/>
  <c r="R83" i="289"/>
  <c r="N83" i="289"/>
  <c r="M83" i="289"/>
  <c r="J83" i="289"/>
  <c r="G83" i="289"/>
  <c r="F83" i="289"/>
  <c r="C83" i="289"/>
  <c r="B83" i="289"/>
  <c r="S82" i="289"/>
  <c r="R82" i="289"/>
  <c r="O82" i="289"/>
  <c r="N82" i="289"/>
  <c r="M82" i="289"/>
  <c r="J82" i="289"/>
  <c r="F82" i="289"/>
  <c r="D82" i="289"/>
  <c r="C82" i="289"/>
  <c r="B82" i="289"/>
  <c r="R57" i="278"/>
  <c r="N57" i="278"/>
  <c r="M57" i="278"/>
  <c r="J57" i="278"/>
  <c r="G57" i="278"/>
  <c r="F57" i="278"/>
  <c r="D57" i="278"/>
  <c r="C57" i="278"/>
  <c r="B57" i="278"/>
  <c r="S22" i="283"/>
  <c r="R22" i="283"/>
  <c r="O22" i="283"/>
  <c r="N22" i="283"/>
  <c r="M22" i="283"/>
  <c r="J22" i="283"/>
  <c r="F22" i="283"/>
  <c r="D22" i="283"/>
  <c r="C22" i="283"/>
  <c r="B22" i="283"/>
  <c r="R22" i="286"/>
  <c r="N22" i="286"/>
  <c r="M22" i="286"/>
  <c r="J22" i="286"/>
  <c r="G22" i="286"/>
  <c r="C22" i="286"/>
  <c r="B22" i="286"/>
  <c r="S29" i="279"/>
  <c r="R29" i="279"/>
  <c r="O29" i="279"/>
  <c r="N29" i="279"/>
  <c r="M29" i="279"/>
  <c r="J29" i="279"/>
  <c r="F29" i="279"/>
  <c r="D29" i="279"/>
  <c r="C29" i="279"/>
  <c r="B29" i="279"/>
  <c r="R10" i="288"/>
  <c r="N10" i="288"/>
  <c r="M10" i="288"/>
  <c r="J10" i="288"/>
  <c r="G10" i="288"/>
  <c r="F10" i="288"/>
  <c r="C10" i="288"/>
  <c r="B10" i="288"/>
  <c r="S33" i="281"/>
  <c r="R33" i="281"/>
  <c r="O33" i="281"/>
  <c r="N33" i="281"/>
  <c r="M33" i="281"/>
  <c r="K33" i="281"/>
  <c r="J33" i="281"/>
  <c r="G33" i="281"/>
  <c r="F33" i="281"/>
  <c r="D33" i="281"/>
  <c r="C42" i="13"/>
  <c r="C33" i="281"/>
  <c r="B33" i="281"/>
  <c r="T77" i="285"/>
  <c r="S77" i="285"/>
  <c r="P77" i="285"/>
  <c r="O77" i="285"/>
  <c r="M77" i="285"/>
  <c r="L77" i="285"/>
  <c r="K77" i="285"/>
  <c r="H77" i="285"/>
  <c r="G77" i="285"/>
  <c r="D77" i="285"/>
  <c r="C77" i="285"/>
  <c r="B77" i="285"/>
  <c r="T56" i="278"/>
  <c r="S56" i="278"/>
  <c r="P56" i="278"/>
  <c r="O56" i="278"/>
  <c r="M56" i="278"/>
  <c r="L56" i="278"/>
  <c r="K56" i="278"/>
  <c r="H56" i="278"/>
  <c r="G56" i="278"/>
  <c r="C41" i="13"/>
  <c r="C56" i="278"/>
  <c r="B56" i="278"/>
  <c r="T76" i="285"/>
  <c r="O76" i="285"/>
  <c r="M76" i="285"/>
  <c r="K76" i="285"/>
  <c r="G76" i="285"/>
  <c r="C76" i="285"/>
  <c r="B76" i="285"/>
  <c r="S36" i="280"/>
  <c r="O36" i="280"/>
  <c r="M36" i="280"/>
  <c r="K36" i="280"/>
  <c r="G36" i="280"/>
  <c r="D36" i="280"/>
  <c r="C36" i="280"/>
  <c r="B36" i="280"/>
  <c r="S39" i="284"/>
  <c r="O39" i="284"/>
  <c r="M39" i="284"/>
  <c r="K39" i="284"/>
  <c r="G39" i="284"/>
  <c r="D39" i="284"/>
  <c r="C39" i="284"/>
  <c r="B39" i="284"/>
  <c r="S55" i="278"/>
  <c r="O55" i="278"/>
  <c r="M55" i="278"/>
  <c r="K55" i="278"/>
  <c r="G55" i="278"/>
  <c r="C55" i="278"/>
  <c r="B55" i="278"/>
  <c r="S5" i="280"/>
  <c r="O5" i="280"/>
  <c r="M5" i="280"/>
  <c r="K5" i="280"/>
  <c r="G5" i="280"/>
  <c r="D5" i="280"/>
  <c r="C40" i="13"/>
  <c r="C5" i="280"/>
  <c r="B5" i="280"/>
  <c r="T54" i="278"/>
  <c r="R54" i="278"/>
  <c r="P54" i="278"/>
  <c r="N54" i="278"/>
  <c r="M54" i="278"/>
  <c r="L54" i="278"/>
  <c r="J54" i="278"/>
  <c r="H54" i="278"/>
  <c r="F54" i="278"/>
  <c r="D54" i="278"/>
  <c r="C54" i="278"/>
  <c r="B54" i="278"/>
  <c r="T13" i="287"/>
  <c r="R13" i="287"/>
  <c r="P13" i="287"/>
  <c r="N13" i="287"/>
  <c r="M13" i="287"/>
  <c r="L13" i="287"/>
  <c r="J13" i="287"/>
  <c r="H13" i="287"/>
  <c r="C13" i="287"/>
  <c r="B13" i="287"/>
  <c r="T53" i="278"/>
  <c r="R53" i="278"/>
  <c r="P53" i="278"/>
  <c r="N53" i="278"/>
  <c r="M53" i="278"/>
  <c r="L53" i="278"/>
  <c r="J53" i="278"/>
  <c r="H53" i="278"/>
  <c r="F53" i="278"/>
  <c r="D53" i="278"/>
  <c r="C53" i="278"/>
  <c r="B53" i="278"/>
  <c r="T81" i="289"/>
  <c r="R81" i="289"/>
  <c r="P81" i="289"/>
  <c r="N81" i="289"/>
  <c r="M81" i="289"/>
  <c r="L81" i="289"/>
  <c r="J81" i="289"/>
  <c r="H81" i="289"/>
  <c r="F81" i="289"/>
  <c r="D81" i="289"/>
  <c r="C81" i="289"/>
  <c r="B81" i="289"/>
  <c r="S52" i="278"/>
  <c r="Q52" i="278"/>
  <c r="O52" i="278"/>
  <c r="M52" i="278"/>
  <c r="K52" i="278"/>
  <c r="I52" i="278"/>
  <c r="G52" i="278"/>
  <c r="E52" i="278"/>
  <c r="C38" i="13"/>
  <c r="C52" i="278"/>
  <c r="B52" i="278"/>
  <c r="T80" i="289"/>
  <c r="R80" i="289"/>
  <c r="P80" i="289"/>
  <c r="N80" i="289"/>
  <c r="M80" i="289"/>
  <c r="L80" i="289"/>
  <c r="J80" i="289"/>
  <c r="H80" i="289"/>
  <c r="F80" i="289"/>
  <c r="D80" i="289"/>
  <c r="C80" i="289"/>
  <c r="B80" i="289"/>
  <c r="T79" i="289"/>
  <c r="R79" i="289"/>
  <c r="P79" i="289"/>
  <c r="N79" i="289"/>
  <c r="M79" i="289"/>
  <c r="L79" i="289"/>
  <c r="J79" i="289"/>
  <c r="H79" i="289"/>
  <c r="F79" i="289"/>
  <c r="D79" i="289"/>
  <c r="C79" i="289"/>
  <c r="B79" i="289"/>
  <c r="T21" i="283"/>
  <c r="R21" i="283"/>
  <c r="P21" i="283"/>
  <c r="N21" i="283"/>
  <c r="M21" i="283"/>
  <c r="L21" i="283"/>
  <c r="J21" i="283"/>
  <c r="H21" i="283"/>
  <c r="F21" i="283"/>
  <c r="D21" i="283"/>
  <c r="C21" i="283"/>
  <c r="B21" i="283"/>
  <c r="T18" i="291"/>
  <c r="R18" i="291"/>
  <c r="P18" i="291"/>
  <c r="N18" i="291"/>
  <c r="M18" i="291"/>
  <c r="L18" i="291"/>
  <c r="J18" i="291"/>
  <c r="H18" i="291"/>
  <c r="F18" i="291"/>
  <c r="D18" i="291"/>
  <c r="C18" i="291"/>
  <c r="B18" i="291"/>
  <c r="T28" i="282"/>
  <c r="R28" i="282"/>
  <c r="P28" i="282"/>
  <c r="N28" i="282"/>
  <c r="M28" i="282"/>
  <c r="L28" i="282"/>
  <c r="J28" i="282"/>
  <c r="H28" i="282"/>
  <c r="F28" i="282"/>
  <c r="D28" i="282"/>
  <c r="C28" i="282"/>
  <c r="B28" i="282"/>
  <c r="T78" i="289"/>
  <c r="R78" i="289"/>
  <c r="P78" i="289"/>
  <c r="N78" i="289"/>
  <c r="M78" i="289"/>
  <c r="L78" i="289"/>
  <c r="J78" i="289"/>
  <c r="H78" i="289"/>
  <c r="F78" i="289"/>
  <c r="D78" i="289"/>
  <c r="C78" i="289"/>
  <c r="B78" i="289"/>
  <c r="T75" i="285"/>
  <c r="R75" i="285"/>
  <c r="P75" i="285"/>
  <c r="N75" i="285"/>
  <c r="M75" i="285"/>
  <c r="L75" i="285"/>
  <c r="J75" i="285"/>
  <c r="H75" i="285"/>
  <c r="F75" i="285"/>
  <c r="C75" i="285"/>
  <c r="B75" i="285"/>
  <c r="T51" i="278"/>
  <c r="R51" i="278"/>
  <c r="P51" i="278"/>
  <c r="N51" i="278"/>
  <c r="M51" i="278"/>
  <c r="L51" i="278"/>
  <c r="J51" i="278"/>
  <c r="H51" i="278"/>
  <c r="F51" i="278"/>
  <c r="D51" i="278"/>
  <c r="C51" i="278"/>
  <c r="B51" i="278"/>
  <c r="T74" i="285"/>
  <c r="R74" i="285"/>
  <c r="P74" i="285"/>
  <c r="N74" i="285"/>
  <c r="M74" i="285"/>
  <c r="L74" i="285"/>
  <c r="J74" i="285"/>
  <c r="H74" i="285"/>
  <c r="F74" i="285"/>
  <c r="D74" i="285"/>
  <c r="C74" i="285"/>
  <c r="B74" i="285"/>
  <c r="T77" i="289"/>
  <c r="R77" i="289"/>
  <c r="P77" i="289"/>
  <c r="N77" i="289"/>
  <c r="M77" i="289"/>
  <c r="L77" i="289"/>
  <c r="J77" i="289"/>
  <c r="H77" i="289"/>
  <c r="F77" i="289"/>
  <c r="C77" i="289"/>
  <c r="B77" i="289"/>
  <c r="S50" i="278"/>
  <c r="Q50" i="278"/>
  <c r="O50" i="278"/>
  <c r="M50" i="278"/>
  <c r="K50" i="278"/>
  <c r="I50" i="278"/>
  <c r="G50" i="278"/>
  <c r="E50" i="278"/>
  <c r="D50" i="278"/>
  <c r="C50" i="278"/>
  <c r="B50" i="278"/>
  <c r="S76" i="289"/>
  <c r="Q76" i="289"/>
  <c r="O76" i="289"/>
  <c r="M76" i="289"/>
  <c r="K76" i="289"/>
  <c r="I76" i="289"/>
  <c r="G76" i="289"/>
  <c r="E76" i="289"/>
  <c r="D76" i="289"/>
  <c r="C76" i="289"/>
  <c r="B76" i="289"/>
  <c r="S49" i="278"/>
  <c r="Q49" i="278"/>
  <c r="O49" i="278"/>
  <c r="M49" i="278"/>
  <c r="K49" i="278"/>
  <c r="I49" i="278"/>
  <c r="G49" i="278"/>
  <c r="E49" i="278"/>
  <c r="C49" i="278"/>
  <c r="B49" i="278"/>
  <c r="T75" i="289"/>
  <c r="R75" i="289"/>
  <c r="P75" i="289"/>
  <c r="N75" i="289"/>
  <c r="M75" i="289"/>
  <c r="L75" i="289"/>
  <c r="J75" i="289"/>
  <c r="H75" i="289"/>
  <c r="D75" i="289"/>
  <c r="C75" i="289"/>
  <c r="B75" i="289"/>
  <c r="S48" i="278"/>
  <c r="Q48" i="278"/>
  <c r="O48" i="278"/>
  <c r="M48" i="278"/>
  <c r="K48" i="278"/>
  <c r="I48" i="278"/>
  <c r="G48" i="278"/>
  <c r="E48" i="278"/>
  <c r="C48" i="278"/>
  <c r="B48" i="278"/>
  <c r="S20" i="283"/>
  <c r="Q20" i="283"/>
  <c r="O20" i="283"/>
  <c r="M20" i="283"/>
  <c r="K20" i="283"/>
  <c r="I20" i="283"/>
  <c r="G20" i="283"/>
  <c r="E20" i="283"/>
  <c r="D20" i="283"/>
  <c r="C35" i="13"/>
  <c r="C20" i="283"/>
  <c r="B20" i="283"/>
  <c r="T74" i="289"/>
  <c r="R74" i="289"/>
  <c r="P74" i="289"/>
  <c r="N74" i="289"/>
  <c r="M74" i="289"/>
  <c r="L74" i="289"/>
  <c r="J74" i="289"/>
  <c r="H74" i="289"/>
  <c r="F74" i="289"/>
  <c r="D74" i="289"/>
  <c r="C74" i="289"/>
  <c r="B74" i="289"/>
  <c r="T4" i="280"/>
  <c r="R4" i="280"/>
  <c r="P4" i="280"/>
  <c r="N4" i="280"/>
  <c r="M4" i="280"/>
  <c r="L4" i="280"/>
  <c r="J4" i="280"/>
  <c r="H4" i="280"/>
  <c r="C4" i="280"/>
  <c r="B4" i="280"/>
  <c r="S47" i="278"/>
  <c r="Q47" i="278"/>
  <c r="O47" i="278"/>
  <c r="M47" i="278"/>
  <c r="K47" i="278"/>
  <c r="I47" i="278"/>
  <c r="G47" i="278"/>
  <c r="E47" i="278"/>
  <c r="D47" i="278"/>
  <c r="C47" i="278"/>
  <c r="B47" i="278"/>
  <c r="S73" i="289"/>
  <c r="Q73" i="289"/>
  <c r="O73" i="289"/>
  <c r="M73" i="289"/>
  <c r="K73" i="289"/>
  <c r="I73" i="289"/>
  <c r="G73" i="289"/>
  <c r="E73" i="289"/>
  <c r="D73" i="289"/>
  <c r="C73" i="289"/>
  <c r="B73" i="289"/>
  <c r="S46" i="278"/>
  <c r="Q46" i="278"/>
  <c r="O46" i="278"/>
  <c r="M46" i="278"/>
  <c r="K46" i="278"/>
  <c r="I46" i="278"/>
  <c r="G46" i="278"/>
  <c r="E46" i="278"/>
  <c r="D46" i="278"/>
  <c r="C46" i="278"/>
  <c r="B46" i="278"/>
  <c r="S30" i="280"/>
  <c r="Q30" i="280"/>
  <c r="O30" i="280"/>
  <c r="M30" i="280"/>
  <c r="K30" i="280"/>
  <c r="I30" i="280"/>
  <c r="G30" i="280"/>
  <c r="E30" i="280"/>
  <c r="D30" i="280"/>
  <c r="C30" i="280"/>
  <c r="B30" i="280"/>
  <c r="S73" i="285"/>
  <c r="Q73" i="285"/>
  <c r="O73" i="285"/>
  <c r="M73" i="285"/>
  <c r="K73" i="285"/>
  <c r="I73" i="285"/>
  <c r="G73" i="285"/>
  <c r="E73" i="285"/>
  <c r="C73" i="285"/>
  <c r="B73" i="285"/>
  <c r="S72" i="289"/>
  <c r="Q72" i="289"/>
  <c r="O72" i="289"/>
  <c r="M72" i="289"/>
  <c r="K72" i="289"/>
  <c r="I72" i="289"/>
  <c r="G72" i="289"/>
  <c r="E72" i="289"/>
  <c r="D72" i="289"/>
  <c r="C72" i="289"/>
  <c r="B72" i="289"/>
  <c r="S45" i="278"/>
  <c r="Q45" i="278"/>
  <c r="O45" i="278"/>
  <c r="M45" i="278"/>
  <c r="K45" i="278"/>
  <c r="I45" i="278"/>
  <c r="G45" i="278"/>
  <c r="E45" i="278"/>
  <c r="D45" i="278"/>
  <c r="C45" i="278"/>
  <c r="B45" i="278"/>
  <c r="S27" i="282"/>
  <c r="Q27" i="282"/>
  <c r="O27" i="282"/>
  <c r="M27" i="282"/>
  <c r="K27" i="282"/>
  <c r="I27" i="282"/>
  <c r="G27" i="282"/>
  <c r="E27" i="282"/>
  <c r="C27" i="282"/>
  <c r="B27" i="282"/>
  <c r="S71" i="289"/>
  <c r="Q71" i="289"/>
  <c r="O71" i="289"/>
  <c r="M71" i="289"/>
  <c r="K71" i="289"/>
  <c r="I71" i="289"/>
  <c r="G71" i="289"/>
  <c r="E71" i="289"/>
  <c r="D71" i="289"/>
  <c r="C71" i="289"/>
  <c r="B71" i="289"/>
  <c r="S38" i="284"/>
  <c r="Q38" i="284"/>
  <c r="O38" i="284"/>
  <c r="M38" i="284"/>
  <c r="K38" i="284"/>
  <c r="I38" i="284"/>
  <c r="G38" i="284"/>
  <c r="E38" i="284"/>
  <c r="D38" i="284"/>
  <c r="C38" i="284"/>
  <c r="B38" i="284"/>
  <c r="S37" i="284"/>
  <c r="Q37" i="284"/>
  <c r="O37" i="284"/>
  <c r="M37" i="284"/>
  <c r="K37" i="284"/>
  <c r="I37" i="284"/>
  <c r="G37" i="284"/>
  <c r="E37" i="284"/>
  <c r="C37" i="284"/>
  <c r="B37" i="284"/>
  <c r="S72" i="285"/>
  <c r="Q72" i="285"/>
  <c r="O72" i="285"/>
  <c r="M72" i="285"/>
  <c r="K72" i="285"/>
  <c r="I72" i="285"/>
  <c r="G72" i="285"/>
  <c r="E72" i="285"/>
  <c r="D72" i="285"/>
  <c r="C72" i="285"/>
  <c r="B72" i="285"/>
  <c r="S44" i="278"/>
  <c r="Q44" i="278"/>
  <c r="O44" i="278"/>
  <c r="M44" i="278"/>
  <c r="K44" i="278"/>
  <c r="I44" i="278"/>
  <c r="G44" i="278"/>
  <c r="E44" i="278"/>
  <c r="D44" i="278"/>
  <c r="C44" i="278"/>
  <c r="B44" i="278"/>
  <c r="S71" i="285"/>
  <c r="Q71" i="285"/>
  <c r="O71" i="285"/>
  <c r="M71" i="285"/>
  <c r="K71" i="285"/>
  <c r="I71" i="285"/>
  <c r="G71" i="285"/>
  <c r="E71" i="285"/>
  <c r="D71" i="285"/>
  <c r="C71" i="285"/>
  <c r="B71" i="285"/>
  <c r="S47" i="280"/>
  <c r="Q47" i="280"/>
  <c r="O47" i="280"/>
  <c r="M47" i="280"/>
  <c r="K47" i="280"/>
  <c r="I47" i="280"/>
  <c r="G47" i="280"/>
  <c r="E47" i="280"/>
  <c r="C47" i="280"/>
  <c r="B47" i="280"/>
  <c r="S70" i="289"/>
  <c r="Q70" i="289"/>
  <c r="O70" i="289"/>
  <c r="M70" i="289"/>
  <c r="K70" i="289"/>
  <c r="I70" i="289"/>
  <c r="G70" i="289"/>
  <c r="E70" i="289"/>
  <c r="D70" i="289"/>
  <c r="C70" i="289"/>
  <c r="B70" i="289"/>
  <c r="S70" i="285"/>
  <c r="Q70" i="285"/>
  <c r="O70" i="285"/>
  <c r="M70" i="285"/>
  <c r="K70" i="285"/>
  <c r="I70" i="285"/>
  <c r="G70" i="285"/>
  <c r="E70" i="285"/>
  <c r="D70" i="285"/>
  <c r="C70" i="285"/>
  <c r="B70" i="285"/>
  <c r="S36" i="284"/>
  <c r="Q36" i="284"/>
  <c r="O36" i="284"/>
  <c r="M36" i="284"/>
  <c r="K36" i="284"/>
  <c r="I36" i="284"/>
  <c r="G36" i="284"/>
  <c r="E36" i="284"/>
  <c r="D36" i="284"/>
  <c r="C36" i="284"/>
  <c r="B36" i="284"/>
  <c r="S43" i="278"/>
  <c r="Q43" i="278"/>
  <c r="O43" i="278"/>
  <c r="M43" i="278"/>
  <c r="K43" i="278"/>
  <c r="I43" i="278"/>
  <c r="G43" i="278"/>
  <c r="E43" i="278"/>
  <c r="D43" i="278"/>
  <c r="C43" i="278"/>
  <c r="B43" i="278"/>
  <c r="S69" i="289"/>
  <c r="Q69" i="289"/>
  <c r="O69" i="289"/>
  <c r="M69" i="289"/>
  <c r="K69" i="289"/>
  <c r="I69" i="289"/>
  <c r="G69" i="289"/>
  <c r="E69" i="289"/>
  <c r="C69" i="289"/>
  <c r="B69" i="289"/>
  <c r="S69" i="285"/>
  <c r="Q69" i="285"/>
  <c r="O69" i="285"/>
  <c r="M69" i="285"/>
  <c r="K69" i="285"/>
  <c r="I69" i="285"/>
  <c r="G69" i="285"/>
  <c r="E69" i="285"/>
  <c r="C69" i="285"/>
  <c r="B69" i="285"/>
  <c r="S68" i="289"/>
  <c r="Q68" i="289"/>
  <c r="O68" i="289"/>
  <c r="M68" i="289"/>
  <c r="K68" i="289"/>
  <c r="I68" i="289"/>
  <c r="G68" i="289"/>
  <c r="E68" i="289"/>
  <c r="D68" i="289"/>
  <c r="C68" i="289"/>
  <c r="B68" i="289"/>
  <c r="T19" i="283"/>
  <c r="R19" i="283"/>
  <c r="P19" i="283"/>
  <c r="N19" i="283"/>
  <c r="M19" i="283"/>
  <c r="L19" i="283"/>
  <c r="J19" i="283"/>
  <c r="H19" i="283"/>
  <c r="C19" i="283"/>
  <c r="B19" i="283"/>
  <c r="S24" i="280"/>
  <c r="Q24" i="280"/>
  <c r="O24" i="280"/>
  <c r="M24" i="280"/>
  <c r="K24" i="280"/>
  <c r="I24" i="280"/>
  <c r="G24" i="280"/>
  <c r="E24" i="280"/>
  <c r="C24" i="280"/>
  <c r="B24" i="280"/>
  <c r="S68" i="285"/>
  <c r="Q68" i="285"/>
  <c r="O68" i="285"/>
  <c r="M68" i="285"/>
  <c r="K68" i="285"/>
  <c r="I68" i="285"/>
  <c r="G68" i="285"/>
  <c r="E68" i="285"/>
  <c r="D68" i="285"/>
  <c r="C68" i="285"/>
  <c r="B68" i="285"/>
  <c r="S67" i="289"/>
  <c r="Q67" i="289"/>
  <c r="O67" i="289"/>
  <c r="M67" i="289"/>
  <c r="K67" i="289"/>
  <c r="I67" i="289"/>
  <c r="G67" i="289"/>
  <c r="E67" i="289"/>
  <c r="D67" i="289"/>
  <c r="C67" i="289"/>
  <c r="B67" i="289"/>
  <c r="S66" i="289"/>
  <c r="Q66" i="289"/>
  <c r="O66" i="289"/>
  <c r="M66" i="289"/>
  <c r="K66" i="289"/>
  <c r="I66" i="289"/>
  <c r="G66" i="289"/>
  <c r="E66" i="289"/>
  <c r="C66" i="289"/>
  <c r="B66" i="289"/>
  <c r="S9" i="288"/>
  <c r="Q9" i="288"/>
  <c r="O9" i="288"/>
  <c r="M9" i="288"/>
  <c r="K9" i="288"/>
  <c r="I9" i="288"/>
  <c r="G9" i="288"/>
  <c r="E9" i="288"/>
  <c r="D9" i="288"/>
  <c r="C9" i="288"/>
  <c r="B9" i="288"/>
  <c r="S28" i="286"/>
  <c r="Q28" i="286"/>
  <c r="O28" i="286"/>
  <c r="M28" i="286"/>
  <c r="K28" i="286"/>
  <c r="I28" i="286"/>
  <c r="G28" i="286"/>
  <c r="E28" i="286"/>
  <c r="D28" i="286"/>
  <c r="C32" i="13"/>
  <c r="C28" i="286"/>
  <c r="B28" i="286"/>
  <c r="T35" i="284"/>
  <c r="R35" i="284"/>
  <c r="P35" i="284"/>
  <c r="N35" i="284"/>
  <c r="M35" i="284"/>
  <c r="L35" i="284"/>
  <c r="J35" i="284"/>
  <c r="H35" i="284"/>
  <c r="F35" i="284"/>
  <c r="D35" i="284"/>
  <c r="C35" i="284"/>
  <c r="B35" i="284"/>
  <c r="T37" i="288"/>
  <c r="R37" i="288"/>
  <c r="P37" i="288"/>
  <c r="N37" i="288"/>
  <c r="M37" i="288"/>
  <c r="L37" i="288"/>
  <c r="J37" i="288"/>
  <c r="H37" i="288"/>
  <c r="F37" i="288"/>
  <c r="D37" i="288"/>
  <c r="C37" i="288"/>
  <c r="B37" i="288"/>
  <c r="T34" i="284"/>
  <c r="R34" i="284"/>
  <c r="P34" i="284"/>
  <c r="N34" i="284"/>
  <c r="M34" i="284"/>
  <c r="L34" i="284"/>
  <c r="J34" i="284"/>
  <c r="H34" i="284"/>
  <c r="F34" i="284"/>
  <c r="D34" i="284"/>
  <c r="C34" i="284"/>
  <c r="B34" i="284"/>
  <c r="T67" i="285"/>
  <c r="R67" i="285"/>
  <c r="P67" i="285"/>
  <c r="N67" i="285"/>
  <c r="M67" i="285"/>
  <c r="L67" i="285"/>
  <c r="J67" i="285"/>
  <c r="H67" i="285"/>
  <c r="F67" i="285"/>
  <c r="D67" i="285"/>
  <c r="C67" i="285"/>
  <c r="B67" i="285"/>
  <c r="T12" i="286"/>
  <c r="R12" i="286"/>
  <c r="P12" i="286"/>
  <c r="N12" i="286"/>
  <c r="M12" i="286"/>
  <c r="L12" i="286"/>
  <c r="J12" i="286"/>
  <c r="H12" i="286"/>
  <c r="C12" i="286"/>
  <c r="B12" i="286"/>
  <c r="T65" i="289"/>
  <c r="R65" i="289"/>
  <c r="P65" i="289"/>
  <c r="N65" i="289"/>
  <c r="M65" i="289"/>
  <c r="L65" i="289"/>
  <c r="J65" i="289"/>
  <c r="H65" i="289"/>
  <c r="C65" i="289"/>
  <c r="B65" i="289"/>
  <c r="T16" i="277"/>
  <c r="R16" i="277"/>
  <c r="P16" i="277"/>
  <c r="N16" i="277"/>
  <c r="M16" i="277"/>
  <c r="L16" i="277"/>
  <c r="J16" i="277"/>
  <c r="H16" i="277"/>
  <c r="F16" i="277"/>
  <c r="D16" i="277"/>
  <c r="C16" i="277"/>
  <c r="B16" i="277"/>
  <c r="T28" i="279"/>
  <c r="R28" i="279"/>
  <c r="P28" i="279"/>
  <c r="N28" i="279"/>
  <c r="M28" i="279"/>
  <c r="L28" i="279"/>
  <c r="J28" i="279"/>
  <c r="H28" i="279"/>
  <c r="F28" i="279"/>
  <c r="C28" i="279"/>
  <c r="B28" i="279"/>
  <c r="T33" i="284"/>
  <c r="R33" i="284"/>
  <c r="P33" i="284"/>
  <c r="N33" i="284"/>
  <c r="M33" i="284"/>
  <c r="L33" i="284"/>
  <c r="J33" i="284"/>
  <c r="H33" i="284"/>
  <c r="B33" i="284"/>
  <c r="S64" i="289"/>
  <c r="Q64" i="289"/>
  <c r="O64" i="289"/>
  <c r="M64" i="289"/>
  <c r="I64" i="289"/>
  <c r="G64" i="289"/>
  <c r="E64" i="289"/>
  <c r="C64" i="289"/>
  <c r="B64" i="289"/>
  <c r="S18" i="277"/>
  <c r="Q18" i="277"/>
  <c r="O18" i="277"/>
  <c r="M18" i="277"/>
  <c r="I18" i="277"/>
  <c r="G18" i="277"/>
  <c r="E18" i="277"/>
  <c r="D18" i="277"/>
  <c r="C18" i="277"/>
  <c r="B18" i="277"/>
  <c r="S14" i="291"/>
  <c r="Q14" i="291"/>
  <c r="O14" i="291"/>
  <c r="M14" i="291"/>
  <c r="I14" i="291"/>
  <c r="G14" i="291"/>
  <c r="E14" i="291"/>
  <c r="D14" i="291"/>
  <c r="C14" i="291"/>
  <c r="B14" i="291"/>
  <c r="S13" i="291"/>
  <c r="Q13" i="291"/>
  <c r="O13" i="291"/>
  <c r="M13" i="291"/>
  <c r="I13" i="291"/>
  <c r="G13" i="291"/>
  <c r="E13" i="291"/>
  <c r="C13" i="291"/>
  <c r="B13" i="291"/>
  <c r="S42" i="278"/>
  <c r="Q42" i="278"/>
  <c r="O42" i="278"/>
  <c r="M42" i="278"/>
  <c r="I42" i="278"/>
  <c r="G42" i="278"/>
  <c r="E42" i="278"/>
  <c r="C42" i="278"/>
  <c r="B42" i="278"/>
  <c r="S66" i="285"/>
  <c r="Q66" i="285"/>
  <c r="O66" i="285"/>
  <c r="M66" i="285"/>
  <c r="I66" i="285"/>
  <c r="G66" i="285"/>
  <c r="E66" i="285"/>
  <c r="D66" i="285"/>
  <c r="C66" i="285"/>
  <c r="B66" i="285"/>
  <c r="S63" i="289"/>
  <c r="Q63" i="289"/>
  <c r="O63" i="289"/>
  <c r="M63" i="289"/>
  <c r="I63" i="289"/>
  <c r="G63" i="289"/>
  <c r="E63" i="289"/>
  <c r="D63" i="289"/>
  <c r="C63" i="289"/>
  <c r="B63" i="289"/>
  <c r="S26" i="282"/>
  <c r="Q26" i="282"/>
  <c r="O26" i="282"/>
  <c r="M26" i="282"/>
  <c r="I26" i="282"/>
  <c r="G26" i="282"/>
  <c r="E26" i="282"/>
  <c r="D26" i="282"/>
  <c r="C26" i="282"/>
  <c r="B26" i="282"/>
  <c r="S65" i="285"/>
  <c r="Q65" i="285"/>
  <c r="O65" i="285"/>
  <c r="M65" i="285"/>
  <c r="I65" i="285"/>
  <c r="G65" i="285"/>
  <c r="E65" i="285"/>
  <c r="C65" i="285"/>
  <c r="B65" i="285"/>
  <c r="S14" i="281"/>
  <c r="Q14" i="281"/>
  <c r="O14" i="281"/>
  <c r="M14" i="281"/>
  <c r="I14" i="281"/>
  <c r="G14" i="281"/>
  <c r="E14" i="281"/>
  <c r="D14" i="281"/>
  <c r="C14" i="281"/>
  <c r="B14" i="281"/>
  <c r="S64" i="285"/>
  <c r="Q64" i="285"/>
  <c r="O64" i="285"/>
  <c r="M64" i="285"/>
  <c r="I64" i="285"/>
  <c r="G64" i="285"/>
  <c r="E64" i="285"/>
  <c r="D64" i="285"/>
  <c r="C64" i="285"/>
  <c r="B64" i="285"/>
  <c r="S32" i="284"/>
  <c r="Q32" i="284"/>
  <c r="O32" i="284"/>
  <c r="M32" i="284"/>
  <c r="I32" i="284"/>
  <c r="G32" i="284"/>
  <c r="E32" i="284"/>
  <c r="D32" i="284"/>
  <c r="C32" i="284"/>
  <c r="B32" i="284"/>
  <c r="S62" i="289"/>
  <c r="Q62" i="289"/>
  <c r="O62" i="289"/>
  <c r="M62" i="289"/>
  <c r="I62" i="289"/>
  <c r="G62" i="289"/>
  <c r="E62" i="289"/>
  <c r="D62" i="289"/>
  <c r="C62" i="289"/>
  <c r="B62" i="289"/>
  <c r="S44" i="280"/>
  <c r="Q44" i="280"/>
  <c r="O44" i="280"/>
  <c r="M44" i="280"/>
  <c r="I44" i="280"/>
  <c r="G44" i="280"/>
  <c r="E44" i="280"/>
  <c r="C44" i="280"/>
  <c r="B44" i="280"/>
  <c r="S63" i="285"/>
  <c r="Q63" i="285"/>
  <c r="O63" i="285"/>
  <c r="M63" i="285"/>
  <c r="I63" i="285"/>
  <c r="G63" i="285"/>
  <c r="E63" i="285"/>
  <c r="D63" i="285"/>
  <c r="C63" i="285"/>
  <c r="B63" i="285"/>
  <c r="S9" i="281"/>
  <c r="Q9" i="281"/>
  <c r="O9" i="281"/>
  <c r="M9" i="281"/>
  <c r="I9" i="281"/>
  <c r="G9" i="281"/>
  <c r="E9" i="281"/>
  <c r="D9" i="281"/>
  <c r="C9" i="281"/>
  <c r="B9" i="281"/>
  <c r="S6" i="288"/>
  <c r="Q6" i="288"/>
  <c r="O6" i="288"/>
  <c r="M6" i="288"/>
  <c r="I6" i="288"/>
  <c r="G6" i="288"/>
  <c r="E6" i="288"/>
  <c r="C6" i="288"/>
  <c r="B6" i="288"/>
  <c r="S62" i="285"/>
  <c r="Q62" i="285"/>
  <c r="O62" i="285"/>
  <c r="M62" i="285"/>
  <c r="I62" i="285"/>
  <c r="G62" i="285"/>
  <c r="E62" i="285"/>
  <c r="D62" i="285"/>
  <c r="C62" i="285"/>
  <c r="B62" i="285"/>
  <c r="S41" i="278"/>
  <c r="Q41" i="278"/>
  <c r="O41" i="278"/>
  <c r="M41" i="278"/>
  <c r="I41" i="278"/>
  <c r="G41" i="278"/>
  <c r="E41" i="278"/>
  <c r="D41" i="278"/>
  <c r="C41" i="278"/>
  <c r="B41" i="278"/>
  <c r="S5" i="288"/>
  <c r="Q5" i="288"/>
  <c r="O5" i="288"/>
  <c r="M5" i="288"/>
  <c r="K5" i="288"/>
  <c r="I5" i="288"/>
  <c r="G5" i="288"/>
  <c r="E5" i="288"/>
  <c r="C5" i="288"/>
  <c r="B5" i="288"/>
  <c r="S18" i="283"/>
  <c r="Q18" i="283"/>
  <c r="O18" i="283"/>
  <c r="M18" i="283"/>
  <c r="K18" i="283"/>
  <c r="I18" i="283"/>
  <c r="G18" i="283"/>
  <c r="E18" i="283"/>
  <c r="D18" i="283"/>
  <c r="C18" i="283"/>
  <c r="B18" i="283"/>
  <c r="S34" i="291"/>
  <c r="Q34" i="291"/>
  <c r="O34" i="291"/>
  <c r="M34" i="291"/>
  <c r="K34" i="291"/>
  <c r="I34" i="291"/>
  <c r="G34" i="291"/>
  <c r="E34" i="291"/>
  <c r="D34" i="291"/>
  <c r="C34" i="291"/>
  <c r="B34" i="291"/>
  <c r="S17" i="283"/>
  <c r="Q17" i="283"/>
  <c r="O17" i="283"/>
  <c r="M17" i="283"/>
  <c r="K17" i="283"/>
  <c r="I17" i="283"/>
  <c r="G17" i="283"/>
  <c r="E17" i="283"/>
  <c r="D17" i="283"/>
  <c r="C30" i="13"/>
  <c r="C17" i="283"/>
  <c r="B17" i="283"/>
  <c r="T61" i="285"/>
  <c r="R61" i="285"/>
  <c r="P61" i="285"/>
  <c r="N61" i="285"/>
  <c r="M61" i="285"/>
  <c r="L61" i="285"/>
  <c r="J61" i="285"/>
  <c r="H61" i="285"/>
  <c r="C61" i="285"/>
  <c r="B61" i="285"/>
  <c r="T40" i="278"/>
  <c r="R40" i="278"/>
  <c r="P40" i="278"/>
  <c r="N40" i="278"/>
  <c r="M40" i="278"/>
  <c r="L40" i="278"/>
  <c r="J40" i="278"/>
  <c r="H40" i="278"/>
  <c r="F40" i="278"/>
  <c r="D40" i="278"/>
  <c r="C40" i="278"/>
  <c r="B40" i="278"/>
  <c r="T61" i="289"/>
  <c r="R61" i="289"/>
  <c r="P61" i="289"/>
  <c r="N61" i="289"/>
  <c r="M61" i="289"/>
  <c r="L61" i="289"/>
  <c r="J61" i="289"/>
  <c r="H61" i="289"/>
  <c r="F61" i="289"/>
  <c r="D61" i="289"/>
  <c r="C61" i="289"/>
  <c r="B61" i="289"/>
  <c r="T9" i="290"/>
  <c r="R9" i="290"/>
  <c r="P9" i="290"/>
  <c r="N9" i="290"/>
  <c r="M9" i="290"/>
  <c r="L9" i="290"/>
  <c r="J9" i="290"/>
  <c r="H9" i="290"/>
  <c r="F9" i="290"/>
  <c r="D9" i="290"/>
  <c r="C9" i="290"/>
  <c r="B9" i="290"/>
  <c r="T60" i="285"/>
  <c r="R60" i="285"/>
  <c r="P60" i="285"/>
  <c r="N60" i="285"/>
  <c r="M60" i="285"/>
  <c r="L60" i="285"/>
  <c r="J60" i="285"/>
  <c r="H60" i="285"/>
  <c r="F60" i="285"/>
  <c r="D60" i="285"/>
  <c r="C60" i="285"/>
  <c r="B60" i="285"/>
  <c r="T25" i="282"/>
  <c r="R25" i="282"/>
  <c r="P25" i="282"/>
  <c r="N25" i="282"/>
  <c r="M25" i="282"/>
  <c r="L25" i="282"/>
  <c r="J25" i="282"/>
  <c r="H25" i="282"/>
  <c r="C25" i="282"/>
  <c r="B25" i="282"/>
  <c r="T24" i="277"/>
  <c r="R24" i="277"/>
  <c r="P24" i="277"/>
  <c r="N24" i="277"/>
  <c r="M24" i="277"/>
  <c r="L24" i="277"/>
  <c r="J24" i="277"/>
  <c r="H24" i="277"/>
  <c r="F24" i="277"/>
  <c r="C24" i="277"/>
  <c r="B24" i="277"/>
  <c r="T39" i="278"/>
  <c r="R39" i="278"/>
  <c r="P39" i="278"/>
  <c r="N39" i="278"/>
  <c r="M39" i="278"/>
  <c r="L39" i="278"/>
  <c r="J39" i="278"/>
  <c r="H39" i="278"/>
  <c r="C39" i="278"/>
  <c r="B39" i="278"/>
  <c r="T31" i="284"/>
  <c r="R31" i="284"/>
  <c r="P31" i="284"/>
  <c r="N31" i="284"/>
  <c r="M31" i="284"/>
  <c r="L31" i="284"/>
  <c r="J31" i="284"/>
  <c r="H31" i="284"/>
  <c r="F31" i="284"/>
  <c r="D31" i="284"/>
  <c r="C31" i="284"/>
  <c r="B31" i="284"/>
  <c r="T9" i="287"/>
  <c r="R9" i="287"/>
  <c r="P9" i="287"/>
  <c r="N9" i="287"/>
  <c r="M9" i="287"/>
  <c r="L9" i="287"/>
  <c r="J9" i="287"/>
  <c r="H9" i="287"/>
  <c r="F9" i="287"/>
  <c r="C9" i="287"/>
  <c r="B9" i="287"/>
  <c r="T27" i="279"/>
  <c r="R27" i="279"/>
  <c r="P27" i="279"/>
  <c r="N27" i="279"/>
  <c r="M27" i="279"/>
  <c r="L27" i="279"/>
  <c r="J27" i="279"/>
  <c r="H27" i="279"/>
  <c r="F27" i="279"/>
  <c r="D27" i="279"/>
  <c r="C27" i="279"/>
  <c r="B27" i="279"/>
  <c r="T60" i="289"/>
  <c r="R60" i="289"/>
  <c r="P60" i="289"/>
  <c r="N60" i="289"/>
  <c r="M60" i="289"/>
  <c r="L60" i="289"/>
  <c r="J60" i="289"/>
  <c r="H60" i="289"/>
  <c r="F60" i="289"/>
  <c r="D60" i="289"/>
  <c r="C60" i="289"/>
  <c r="B60" i="289"/>
  <c r="T4" i="290"/>
  <c r="R4" i="290"/>
  <c r="P4" i="290"/>
  <c r="N4" i="290"/>
  <c r="M4" i="290"/>
  <c r="L4" i="290"/>
  <c r="J4" i="290"/>
  <c r="H4" i="290"/>
  <c r="C4" i="290"/>
  <c r="B4" i="290"/>
  <c r="T59" i="289"/>
  <c r="R59" i="289"/>
  <c r="P59" i="289"/>
  <c r="N59" i="289"/>
  <c r="M59" i="289"/>
  <c r="L59" i="289"/>
  <c r="J59" i="289"/>
  <c r="H59" i="289"/>
  <c r="F59" i="289"/>
  <c r="D59" i="289"/>
  <c r="C59" i="289"/>
  <c r="B59" i="289"/>
  <c r="T33" i="288"/>
  <c r="R33" i="288"/>
  <c r="P33" i="288"/>
  <c r="N33" i="288"/>
  <c r="M33" i="288"/>
  <c r="L33" i="288"/>
  <c r="J33" i="288"/>
  <c r="H33" i="288"/>
  <c r="F33" i="288"/>
  <c r="D33" i="288"/>
  <c r="C33" i="288"/>
  <c r="B33" i="288"/>
  <c r="T24" i="282"/>
  <c r="R24" i="282"/>
  <c r="P24" i="282"/>
  <c r="N24" i="282"/>
  <c r="M24" i="282"/>
  <c r="L24" i="282"/>
  <c r="J24" i="282"/>
  <c r="H24" i="282"/>
  <c r="D24" i="282"/>
  <c r="C24" i="282"/>
  <c r="B24" i="282"/>
  <c r="S13" i="288"/>
  <c r="Q13" i="288"/>
  <c r="O13" i="288"/>
  <c r="M13" i="288"/>
  <c r="K13" i="288"/>
  <c r="I13" i="288"/>
  <c r="G13" i="288"/>
  <c r="E13" i="288"/>
  <c r="D13" i="288"/>
  <c r="C13" i="288"/>
  <c r="B13" i="288"/>
  <c r="S59" i="285"/>
  <c r="Q59" i="285"/>
  <c r="O59" i="285"/>
  <c r="M59" i="285"/>
  <c r="K59" i="285"/>
  <c r="I59" i="285"/>
  <c r="G59" i="285"/>
  <c r="E59" i="285"/>
  <c r="D59" i="285"/>
  <c r="C59" i="285"/>
  <c r="B59" i="285"/>
  <c r="S58" i="289"/>
  <c r="Q58" i="289"/>
  <c r="O58" i="289"/>
  <c r="M58" i="289"/>
  <c r="K58" i="289"/>
  <c r="I58" i="289"/>
  <c r="G58" i="289"/>
  <c r="E58" i="289"/>
  <c r="D58" i="289"/>
  <c r="C58" i="289"/>
  <c r="B58" i="289"/>
  <c r="S4" i="288"/>
  <c r="Q4" i="288"/>
  <c r="O4" i="288"/>
  <c r="M4" i="288"/>
  <c r="K4" i="288"/>
  <c r="I4" i="288"/>
  <c r="G4" i="288"/>
  <c r="E4" i="288"/>
  <c r="C4" i="288"/>
  <c r="B4" i="288"/>
  <c r="S57" i="289"/>
  <c r="Q57" i="289"/>
  <c r="O57" i="289"/>
  <c r="M57" i="289"/>
  <c r="K57" i="289"/>
  <c r="I57" i="289"/>
  <c r="G57" i="289"/>
  <c r="E57" i="289"/>
  <c r="D57" i="289"/>
  <c r="C57" i="289"/>
  <c r="B57" i="289"/>
  <c r="S58" i="285"/>
  <c r="Q58" i="285"/>
  <c r="O58" i="285"/>
  <c r="M58" i="285"/>
  <c r="K58" i="285"/>
  <c r="I58" i="285"/>
  <c r="G58" i="285"/>
  <c r="E58" i="285"/>
  <c r="D58" i="285"/>
  <c r="C58" i="285"/>
  <c r="B58" i="285"/>
  <c r="S61" i="281"/>
  <c r="Q61" i="281"/>
  <c r="O61" i="281"/>
  <c r="M61" i="281"/>
  <c r="K61" i="281"/>
  <c r="I61" i="281"/>
  <c r="G61" i="281"/>
  <c r="E61" i="281"/>
  <c r="C28" i="13"/>
  <c r="C61" i="281"/>
  <c r="B61" i="281"/>
  <c r="T56" i="289"/>
  <c r="R56" i="289"/>
  <c r="P56" i="289"/>
  <c r="N56" i="289"/>
  <c r="M56" i="289"/>
  <c r="L56" i="289"/>
  <c r="J56" i="289"/>
  <c r="H56" i="289"/>
  <c r="F56" i="289"/>
  <c r="D56" i="289"/>
  <c r="C56" i="289"/>
  <c r="B56" i="289"/>
  <c r="T6" i="279"/>
  <c r="R6" i="279"/>
  <c r="P6" i="279"/>
  <c r="N6" i="279"/>
  <c r="M6" i="279"/>
  <c r="L6" i="279"/>
  <c r="J6" i="279"/>
  <c r="H6" i="279"/>
  <c r="F6" i="279"/>
  <c r="D6" i="279"/>
  <c r="C6" i="279"/>
  <c r="B6" i="279"/>
  <c r="T29" i="288"/>
  <c r="R29" i="288"/>
  <c r="P29" i="288"/>
  <c r="N29" i="288"/>
  <c r="M29" i="288"/>
  <c r="L29" i="288"/>
  <c r="J29" i="288"/>
  <c r="H29" i="288"/>
  <c r="F29" i="288"/>
  <c r="D29" i="288"/>
  <c r="C29" i="288"/>
  <c r="B29" i="288"/>
  <c r="S21" i="288"/>
  <c r="Q21" i="288"/>
  <c r="O21" i="288"/>
  <c r="M21" i="288"/>
  <c r="K21" i="288"/>
  <c r="I21" i="288"/>
  <c r="G21" i="288"/>
  <c r="E21" i="288"/>
  <c r="C21" i="288"/>
  <c r="B21" i="288"/>
  <c r="S57" i="285"/>
  <c r="Q57" i="285"/>
  <c r="O57" i="285"/>
  <c r="M57" i="285"/>
  <c r="K57" i="285"/>
  <c r="I57" i="285"/>
  <c r="G57" i="285"/>
  <c r="E57" i="285"/>
  <c r="D57" i="285"/>
  <c r="C57" i="285"/>
  <c r="B57" i="285"/>
  <c r="S55" i="289"/>
  <c r="Q55" i="289"/>
  <c r="O55" i="289"/>
  <c r="M55" i="289"/>
  <c r="K55" i="289"/>
  <c r="I55" i="289"/>
  <c r="G55" i="289"/>
  <c r="E55" i="289"/>
  <c r="D55" i="289"/>
  <c r="C55" i="289"/>
  <c r="B55" i="289"/>
  <c r="S25" i="287"/>
  <c r="Q25" i="287"/>
  <c r="O25" i="287"/>
  <c r="M25" i="287"/>
  <c r="K25" i="287"/>
  <c r="I25" i="287"/>
  <c r="G25" i="287"/>
  <c r="E25" i="287"/>
  <c r="D25" i="287"/>
  <c r="C25" i="287"/>
  <c r="B25" i="287"/>
  <c r="S30" i="284"/>
  <c r="Q30" i="284"/>
  <c r="O30" i="284"/>
  <c r="M30" i="284"/>
  <c r="K30" i="284"/>
  <c r="I30" i="284"/>
  <c r="G30" i="284"/>
  <c r="E30" i="284"/>
  <c r="C30" i="284"/>
  <c r="B30" i="284"/>
  <c r="S56" i="285"/>
  <c r="Q56" i="285"/>
  <c r="O56" i="285"/>
  <c r="M56" i="285"/>
  <c r="K56" i="285"/>
  <c r="I56" i="285"/>
  <c r="G56" i="285"/>
  <c r="E56" i="285"/>
  <c r="C56" i="285"/>
  <c r="B56" i="285"/>
  <c r="S29" i="284"/>
  <c r="Q29" i="284"/>
  <c r="O29" i="284"/>
  <c r="M29" i="284"/>
  <c r="K29" i="284"/>
  <c r="I29" i="284"/>
  <c r="G29" i="284"/>
  <c r="E29" i="284"/>
  <c r="D29" i="284"/>
  <c r="C29" i="284"/>
  <c r="B29" i="284"/>
  <c r="S55" i="285"/>
  <c r="Q55" i="285"/>
  <c r="O55" i="285"/>
  <c r="M55" i="285"/>
  <c r="K55" i="285"/>
  <c r="I55" i="285"/>
  <c r="G55" i="285"/>
  <c r="E55" i="285"/>
  <c r="D55" i="285"/>
  <c r="C55" i="285"/>
  <c r="B55" i="285"/>
  <c r="S28" i="284"/>
  <c r="Q28" i="284"/>
  <c r="O28" i="284"/>
  <c r="M28" i="284"/>
  <c r="K28" i="284"/>
  <c r="I28" i="284"/>
  <c r="G28" i="284"/>
  <c r="E28" i="284"/>
  <c r="D28" i="284"/>
  <c r="C28" i="284"/>
  <c r="B28" i="284"/>
  <c r="S54" i="289"/>
  <c r="Q54" i="289"/>
  <c r="O54" i="289"/>
  <c r="M54" i="289"/>
  <c r="K54" i="289"/>
  <c r="I54" i="289"/>
  <c r="G54" i="289"/>
  <c r="E54" i="289"/>
  <c r="D54" i="289"/>
  <c r="C54" i="289"/>
  <c r="B54" i="289"/>
  <c r="S23" i="282"/>
  <c r="Q23" i="282"/>
  <c r="O23" i="282"/>
  <c r="M23" i="282"/>
  <c r="K23" i="282"/>
  <c r="I23" i="282"/>
  <c r="G23" i="282"/>
  <c r="E23" i="282"/>
  <c r="D23" i="282"/>
  <c r="C23" i="282"/>
  <c r="B23" i="282"/>
  <c r="S53" i="289"/>
  <c r="Q53" i="289"/>
  <c r="O53" i="289"/>
  <c r="M53" i="289"/>
  <c r="K53" i="289"/>
  <c r="I53" i="289"/>
  <c r="G53" i="289"/>
  <c r="E53" i="289"/>
  <c r="C53" i="289"/>
  <c r="B53" i="289"/>
  <c r="S54" i="285"/>
  <c r="Q54" i="285"/>
  <c r="O54" i="285"/>
  <c r="M54" i="285"/>
  <c r="K54" i="285"/>
  <c r="I54" i="285"/>
  <c r="G54" i="285"/>
  <c r="E54" i="285"/>
  <c r="D54" i="285"/>
  <c r="C54" i="285"/>
  <c r="B54" i="285"/>
  <c r="S33" i="291"/>
  <c r="Q33" i="291"/>
  <c r="O33" i="291"/>
  <c r="M33" i="291"/>
  <c r="K33" i="291"/>
  <c r="I33" i="291"/>
  <c r="G33" i="291"/>
  <c r="E33" i="291"/>
  <c r="D33" i="291"/>
  <c r="C33" i="291"/>
  <c r="B33" i="291"/>
  <c r="T20" i="286"/>
  <c r="R20" i="286"/>
  <c r="P20" i="286"/>
  <c r="N20" i="286"/>
  <c r="M20" i="286"/>
  <c r="L20" i="286"/>
  <c r="J20" i="286"/>
  <c r="H20" i="286"/>
  <c r="F20" i="286"/>
  <c r="D20" i="286"/>
  <c r="C20" i="286"/>
  <c r="B20" i="286"/>
  <c r="T27" i="284"/>
  <c r="R27" i="284"/>
  <c r="P27" i="284"/>
  <c r="N27" i="284"/>
  <c r="M27" i="284"/>
  <c r="L27" i="284"/>
  <c r="J27" i="284"/>
  <c r="H27" i="284"/>
  <c r="C27" i="284"/>
  <c r="B27" i="284"/>
  <c r="S46" i="281"/>
  <c r="Q46" i="281"/>
  <c r="O46" i="281"/>
  <c r="M46" i="281"/>
  <c r="K46" i="281"/>
  <c r="I46" i="281"/>
  <c r="G46" i="281"/>
  <c r="E46" i="281"/>
  <c r="D46" i="281"/>
  <c r="C46" i="281"/>
  <c r="B46" i="281"/>
  <c r="S52" i="289"/>
  <c r="Q52" i="289"/>
  <c r="O52" i="289"/>
  <c r="M52" i="289"/>
  <c r="K52" i="289"/>
  <c r="I52" i="289"/>
  <c r="G52" i="289"/>
  <c r="E52" i="289"/>
  <c r="D52" i="289"/>
  <c r="C52" i="289"/>
  <c r="B52" i="289"/>
  <c r="S19" i="286"/>
  <c r="Q19" i="286"/>
  <c r="O19" i="286"/>
  <c r="M19" i="286"/>
  <c r="I19" i="286"/>
  <c r="G19" i="286"/>
  <c r="E19" i="286"/>
  <c r="D19" i="286"/>
  <c r="C25" i="13"/>
  <c r="C19" i="286"/>
  <c r="B19" i="286"/>
  <c r="T51" i="289"/>
  <c r="R51" i="289"/>
  <c r="P51" i="289"/>
  <c r="N51" i="289"/>
  <c r="M51" i="289"/>
  <c r="L51" i="289"/>
  <c r="J51" i="289"/>
  <c r="H51" i="289"/>
  <c r="F51" i="289"/>
  <c r="D51" i="289"/>
  <c r="C51" i="289"/>
  <c r="B51" i="289"/>
  <c r="T50" i="289"/>
  <c r="R50" i="289"/>
  <c r="P50" i="289"/>
  <c r="N50" i="289"/>
  <c r="M50" i="289"/>
  <c r="L50" i="289"/>
  <c r="J50" i="289"/>
  <c r="H50" i="289"/>
  <c r="F50" i="289"/>
  <c r="D50" i="289"/>
  <c r="C50" i="289"/>
  <c r="B50" i="289"/>
  <c r="T10" i="280"/>
  <c r="R10" i="280"/>
  <c r="P10" i="280"/>
  <c r="N10" i="280"/>
  <c r="M10" i="280"/>
  <c r="L10" i="280"/>
  <c r="J10" i="280"/>
  <c r="H10" i="280"/>
  <c r="C10" i="280"/>
  <c r="B10" i="280"/>
  <c r="T53" i="285"/>
  <c r="R53" i="285"/>
  <c r="P53" i="285"/>
  <c r="N53" i="285"/>
  <c r="M53" i="285"/>
  <c r="L53" i="285"/>
  <c r="J53" i="285"/>
  <c r="H53" i="285"/>
  <c r="F53" i="285"/>
  <c r="D53" i="285"/>
  <c r="C53" i="285"/>
  <c r="B53" i="285"/>
  <c r="T49" i="289"/>
  <c r="R49" i="289"/>
  <c r="P49" i="289"/>
  <c r="N49" i="289"/>
  <c r="M49" i="289"/>
  <c r="L49" i="289"/>
  <c r="J49" i="289"/>
  <c r="H49" i="289"/>
  <c r="F49" i="289"/>
  <c r="D49" i="289"/>
  <c r="C49" i="289"/>
  <c r="B49" i="289"/>
  <c r="T52" i="285"/>
  <c r="R52" i="285"/>
  <c r="P52" i="285"/>
  <c r="N52" i="285"/>
  <c r="M52" i="285"/>
  <c r="L52" i="285"/>
  <c r="J52" i="285"/>
  <c r="H52" i="285"/>
  <c r="F52" i="285"/>
  <c r="D52" i="285"/>
  <c r="C52" i="285"/>
  <c r="B52" i="285"/>
  <c r="T38" i="278"/>
  <c r="R38" i="278"/>
  <c r="P38" i="278"/>
  <c r="N38" i="278"/>
  <c r="M38" i="278"/>
  <c r="L38" i="278"/>
  <c r="J38" i="278"/>
  <c r="H38" i="278"/>
  <c r="F38" i="278"/>
  <c r="D38" i="278"/>
  <c r="C38" i="278"/>
  <c r="B38" i="278"/>
  <c r="T48" i="289"/>
  <c r="R48" i="289"/>
  <c r="P48" i="289"/>
  <c r="N48" i="289"/>
  <c r="M48" i="289"/>
  <c r="L48" i="289"/>
  <c r="J48" i="289"/>
  <c r="H48" i="289"/>
  <c r="F48" i="289"/>
  <c r="B48" i="289"/>
  <c r="S37" i="278"/>
  <c r="Q37" i="278"/>
  <c r="O37" i="278"/>
  <c r="M37" i="278"/>
  <c r="I37" i="278"/>
  <c r="G37" i="278"/>
  <c r="E37" i="278"/>
  <c r="D37" i="278"/>
  <c r="C37" i="278"/>
  <c r="B37" i="278"/>
  <c r="S8" i="281"/>
  <c r="Q8" i="281"/>
  <c r="O8" i="281"/>
  <c r="M8" i="281"/>
  <c r="I8" i="281"/>
  <c r="G8" i="281"/>
  <c r="E8" i="281"/>
  <c r="C8" i="281"/>
  <c r="B8" i="281"/>
  <c r="S47" i="289"/>
  <c r="Q47" i="289"/>
  <c r="O47" i="289"/>
  <c r="M47" i="289"/>
  <c r="I47" i="289"/>
  <c r="G47" i="289"/>
  <c r="E47" i="289"/>
  <c r="C47" i="289"/>
  <c r="B47" i="289"/>
  <c r="S22" i="282"/>
  <c r="Q22" i="282"/>
  <c r="O22" i="282"/>
  <c r="M22" i="282"/>
  <c r="I22" i="282"/>
  <c r="G22" i="282"/>
  <c r="E22" i="282"/>
  <c r="D22" i="282"/>
  <c r="C22" i="282"/>
  <c r="B22" i="282"/>
  <c r="S36" i="278"/>
  <c r="Q36" i="278"/>
  <c r="O36" i="278"/>
  <c r="M36" i="278"/>
  <c r="I36" i="278"/>
  <c r="G36" i="278"/>
  <c r="E36" i="278"/>
  <c r="C36" i="278"/>
  <c r="B36" i="278"/>
  <c r="S18" i="286"/>
  <c r="Q18" i="286"/>
  <c r="O18" i="286"/>
  <c r="M18" i="286"/>
  <c r="I18" i="286"/>
  <c r="G18" i="286"/>
  <c r="E18" i="286"/>
  <c r="C18" i="286"/>
  <c r="B18" i="286"/>
  <c r="S35" i="278"/>
  <c r="Q35" i="278"/>
  <c r="O35" i="278"/>
  <c r="M35" i="278"/>
  <c r="I35" i="278"/>
  <c r="G35" i="278"/>
  <c r="E35" i="278"/>
  <c r="C35" i="278"/>
  <c r="B35" i="278"/>
  <c r="S34" i="278"/>
  <c r="Q34" i="278"/>
  <c r="O34" i="278"/>
  <c r="M34" i="278"/>
  <c r="I34" i="278"/>
  <c r="G34" i="278"/>
  <c r="E34" i="278"/>
  <c r="D34" i="278"/>
  <c r="C34" i="278"/>
  <c r="B34" i="278"/>
  <c r="S33" i="278"/>
  <c r="Q33" i="278"/>
  <c r="O33" i="278"/>
  <c r="M33" i="278"/>
  <c r="I33" i="278"/>
  <c r="G33" i="278"/>
  <c r="E33" i="278"/>
  <c r="D33" i="278"/>
  <c r="C33" i="278"/>
  <c r="B33" i="278"/>
  <c r="C23" i="13"/>
  <c r="S18" i="287"/>
  <c r="Q18" i="287"/>
  <c r="O18" i="287"/>
  <c r="M18" i="287"/>
  <c r="I18" i="287"/>
  <c r="G18" i="287"/>
  <c r="E18" i="287"/>
  <c r="D18" i="287"/>
  <c r="C18" i="287"/>
  <c r="B18" i="287"/>
  <c r="S51" i="285"/>
  <c r="Q51" i="285"/>
  <c r="O51" i="285"/>
  <c r="M51" i="285"/>
  <c r="I51" i="285"/>
  <c r="G51" i="285"/>
  <c r="E51" i="285"/>
  <c r="C51" i="285"/>
  <c r="B51" i="285"/>
  <c r="S32" i="278"/>
  <c r="Q32" i="278"/>
  <c r="O32" i="278"/>
  <c r="M32" i="278"/>
  <c r="I32" i="278"/>
  <c r="G32" i="278"/>
  <c r="E32" i="278"/>
  <c r="D32" i="278"/>
  <c r="C32" i="278"/>
  <c r="B32" i="278"/>
  <c r="S46" i="289"/>
  <c r="Q46" i="289"/>
  <c r="O46" i="289"/>
  <c r="M46" i="289"/>
  <c r="I46" i="289"/>
  <c r="G46" i="289"/>
  <c r="E46" i="289"/>
  <c r="D46" i="289"/>
  <c r="C46" i="289"/>
  <c r="B46" i="289"/>
  <c r="T20" i="281"/>
  <c r="R20" i="281"/>
  <c r="P20" i="281"/>
  <c r="N20" i="281"/>
  <c r="M20" i="281"/>
  <c r="L20" i="281"/>
  <c r="J20" i="281"/>
  <c r="H20" i="281"/>
  <c r="F20" i="281"/>
  <c r="D20" i="281"/>
  <c r="C20" i="281"/>
  <c r="B20" i="281"/>
  <c r="T45" i="289"/>
  <c r="R45" i="289"/>
  <c r="P45" i="289"/>
  <c r="N45" i="289"/>
  <c r="M45" i="289"/>
  <c r="L45" i="289"/>
  <c r="J45" i="289"/>
  <c r="H45" i="289"/>
  <c r="F45" i="289"/>
  <c r="D45" i="289"/>
  <c r="C45" i="289"/>
  <c r="B45" i="289"/>
  <c r="T16" i="283"/>
  <c r="R16" i="283"/>
  <c r="P16" i="283"/>
  <c r="N16" i="283"/>
  <c r="M16" i="283"/>
  <c r="L16" i="283"/>
  <c r="J16" i="283"/>
  <c r="H16" i="283"/>
  <c r="C16" i="283"/>
  <c r="B16" i="283"/>
  <c r="T44" i="289"/>
  <c r="R44" i="289"/>
  <c r="P44" i="289"/>
  <c r="N44" i="289"/>
  <c r="M44" i="289"/>
  <c r="L44" i="289"/>
  <c r="J44" i="289"/>
  <c r="H44" i="289"/>
  <c r="F44" i="289"/>
  <c r="D44" i="289"/>
  <c r="C44" i="289"/>
  <c r="B44" i="289"/>
  <c r="T22" i="281"/>
  <c r="R22" i="281"/>
  <c r="P22" i="281"/>
  <c r="N22" i="281"/>
  <c r="M22" i="281"/>
  <c r="L22" i="281"/>
  <c r="J22" i="281"/>
  <c r="H22" i="281"/>
  <c r="C22" i="281"/>
  <c r="B22" i="281"/>
  <c r="T50" i="285"/>
  <c r="R50" i="285"/>
  <c r="P50" i="285"/>
  <c r="N50" i="285"/>
  <c r="M50" i="285"/>
  <c r="L50" i="285"/>
  <c r="J50" i="285"/>
  <c r="H50" i="285"/>
  <c r="F50" i="285"/>
  <c r="D50" i="285"/>
  <c r="C50" i="285"/>
  <c r="B50" i="285"/>
  <c r="T43" i="289"/>
  <c r="R43" i="289"/>
  <c r="P43" i="289"/>
  <c r="N43" i="289"/>
  <c r="M43" i="289"/>
  <c r="L43" i="289"/>
  <c r="J43" i="289"/>
  <c r="H43" i="289"/>
  <c r="F43" i="289"/>
  <c r="D43" i="289"/>
  <c r="C43" i="289"/>
  <c r="B43" i="289"/>
  <c r="T42" i="289"/>
  <c r="R42" i="289"/>
  <c r="P42" i="289"/>
  <c r="N42" i="289"/>
  <c r="M42" i="289"/>
  <c r="L42" i="289"/>
  <c r="J42" i="289"/>
  <c r="H42" i="289"/>
  <c r="C42" i="289"/>
  <c r="B42" i="289"/>
  <c r="T31" i="278"/>
  <c r="R31" i="278"/>
  <c r="P31" i="278"/>
  <c r="N31" i="278"/>
  <c r="M31" i="278"/>
  <c r="L31" i="278"/>
  <c r="J31" i="278"/>
  <c r="H31" i="278"/>
  <c r="F31" i="278"/>
  <c r="D31" i="278"/>
  <c r="C31" i="278"/>
  <c r="B31" i="278"/>
  <c r="T41" i="289"/>
  <c r="R41" i="289"/>
  <c r="P41" i="289"/>
  <c r="N41" i="289"/>
  <c r="M41" i="289"/>
  <c r="L41" i="289"/>
  <c r="J41" i="289"/>
  <c r="H41" i="289"/>
  <c r="F41" i="289"/>
  <c r="D41" i="289"/>
  <c r="C41" i="289"/>
  <c r="B41" i="289"/>
  <c r="T24" i="287"/>
  <c r="R24" i="287"/>
  <c r="P24" i="287"/>
  <c r="N24" i="287"/>
  <c r="M24" i="287"/>
  <c r="L24" i="287"/>
  <c r="J24" i="287"/>
  <c r="H24" i="287"/>
  <c r="F24" i="287"/>
  <c r="D24" i="287"/>
  <c r="C24" i="287"/>
  <c r="B24" i="287"/>
  <c r="T32" i="279"/>
  <c r="R32" i="279"/>
  <c r="P32" i="279"/>
  <c r="N32" i="279"/>
  <c r="M32" i="279"/>
  <c r="L32" i="279"/>
  <c r="J32" i="279"/>
  <c r="H32" i="279"/>
  <c r="F32" i="279"/>
  <c r="D32" i="279"/>
  <c r="B32" i="279"/>
  <c r="S49" i="285"/>
  <c r="Q49" i="285"/>
  <c r="O49" i="285"/>
  <c r="M49" i="285"/>
  <c r="I49" i="285"/>
  <c r="G49" i="285"/>
  <c r="E49" i="285"/>
  <c r="C49" i="285"/>
  <c r="B49" i="285"/>
  <c r="S17" i="287"/>
  <c r="Q17" i="287"/>
  <c r="O17" i="287"/>
  <c r="M17" i="287"/>
  <c r="I17" i="287"/>
  <c r="G17" i="287"/>
  <c r="E17" i="287"/>
  <c r="C17" i="287"/>
  <c r="B17" i="287"/>
  <c r="S40" i="289"/>
  <c r="Q40" i="289"/>
  <c r="O40" i="289"/>
  <c r="M40" i="289"/>
  <c r="I40" i="289"/>
  <c r="G40" i="289"/>
  <c r="E40" i="289"/>
  <c r="D40" i="289"/>
  <c r="C40" i="289"/>
  <c r="B40" i="289"/>
  <c r="S21" i="282"/>
  <c r="Q21" i="282"/>
  <c r="O21" i="282"/>
  <c r="M21" i="282"/>
  <c r="J21" i="282"/>
  <c r="I21" i="282"/>
  <c r="F21" i="282"/>
  <c r="E21" i="282"/>
  <c r="D21" i="282"/>
  <c r="C21" i="282"/>
  <c r="B21" i="282"/>
  <c r="R8" i="277"/>
  <c r="Q8" i="277"/>
  <c r="N8" i="277"/>
  <c r="M8" i="277"/>
  <c r="I8" i="277"/>
  <c r="G8" i="277"/>
  <c r="E8" i="277"/>
  <c r="D8" i="277"/>
  <c r="C8" i="277"/>
  <c r="B8" i="277"/>
  <c r="S15" i="283"/>
  <c r="Q15" i="283"/>
  <c r="O15" i="283"/>
  <c r="M15" i="283"/>
  <c r="J15" i="283"/>
  <c r="I15" i="283"/>
  <c r="E15" i="283"/>
  <c r="C15" i="283"/>
  <c r="B15" i="283"/>
  <c r="S39" i="289"/>
  <c r="R39" i="289"/>
  <c r="O39" i="289"/>
  <c r="N39" i="289"/>
  <c r="M39" i="289"/>
  <c r="K39" i="289"/>
  <c r="J39" i="289"/>
  <c r="G39" i="289"/>
  <c r="F39" i="289"/>
  <c r="D39" i="289"/>
  <c r="C39" i="289"/>
  <c r="B39" i="289"/>
  <c r="S9" i="286"/>
  <c r="R9" i="286"/>
  <c r="O9" i="286"/>
  <c r="N9" i="286"/>
  <c r="M9" i="286"/>
  <c r="K9" i="286"/>
  <c r="J9" i="286"/>
  <c r="G9" i="286"/>
  <c r="F9" i="286"/>
  <c r="D9" i="286"/>
  <c r="C20" i="13"/>
  <c r="C9" i="286"/>
  <c r="B9" i="286"/>
  <c r="T38" i="289"/>
  <c r="S38" i="289"/>
  <c r="P38" i="289"/>
  <c r="O38" i="289"/>
  <c r="M38" i="289"/>
  <c r="L38" i="289"/>
  <c r="K38" i="289"/>
  <c r="H38" i="289"/>
  <c r="G38" i="289"/>
  <c r="C38" i="289"/>
  <c r="B38" i="289"/>
  <c r="T26" i="284"/>
  <c r="S26" i="284"/>
  <c r="P26" i="284"/>
  <c r="O26" i="284"/>
  <c r="M26" i="284"/>
  <c r="L26" i="284"/>
  <c r="K26" i="284"/>
  <c r="H26" i="284"/>
  <c r="G26" i="284"/>
  <c r="C26" i="284"/>
  <c r="B26" i="284"/>
  <c r="T48" i="285"/>
  <c r="S48" i="285"/>
  <c r="P48" i="285"/>
  <c r="O48" i="285"/>
  <c r="M48" i="285"/>
  <c r="L48" i="285"/>
  <c r="K48" i="285"/>
  <c r="H48" i="285"/>
  <c r="G48" i="285"/>
  <c r="D48" i="285"/>
  <c r="C48" i="285"/>
  <c r="B48" i="285"/>
  <c r="T14" i="283"/>
  <c r="S14" i="283"/>
  <c r="P14" i="283"/>
  <c r="N14" i="283"/>
  <c r="M14" i="283"/>
  <c r="L14" i="283"/>
  <c r="J14" i="283"/>
  <c r="H14" i="283"/>
  <c r="C14" i="283"/>
  <c r="B14" i="283"/>
  <c r="T13" i="283"/>
  <c r="R13" i="283"/>
  <c r="P13" i="283"/>
  <c r="N13" i="283"/>
  <c r="M13" i="283"/>
  <c r="L13" i="283"/>
  <c r="J13" i="283"/>
  <c r="H13" i="283"/>
  <c r="C13" i="283"/>
  <c r="B13" i="283"/>
  <c r="S37" i="289"/>
  <c r="Q37" i="289"/>
  <c r="O37" i="289"/>
  <c r="M37" i="289"/>
  <c r="K37" i="289"/>
  <c r="I37" i="289"/>
  <c r="G37" i="289"/>
  <c r="E37" i="289"/>
  <c r="C18" i="13"/>
  <c r="C37" i="289"/>
  <c r="B37" i="289"/>
  <c r="T8" i="290"/>
  <c r="R8" i="290"/>
  <c r="P8" i="290"/>
  <c r="N8" i="290"/>
  <c r="M8" i="290"/>
  <c r="L8" i="290"/>
  <c r="J8" i="290"/>
  <c r="H8" i="290"/>
  <c r="C8" i="290"/>
  <c r="B8" i="290"/>
  <c r="T16" i="286"/>
  <c r="R16" i="286"/>
  <c r="P16" i="286"/>
  <c r="N16" i="286"/>
  <c r="M16" i="286"/>
  <c r="L16" i="286"/>
  <c r="J16" i="286"/>
  <c r="H16" i="286"/>
  <c r="C16" i="286"/>
  <c r="B16" i="286"/>
  <c r="S25" i="284"/>
  <c r="Q25" i="284"/>
  <c r="O25" i="284"/>
  <c r="M25" i="284"/>
  <c r="K25" i="284"/>
  <c r="I25" i="284"/>
  <c r="G25" i="284"/>
  <c r="E25" i="284"/>
  <c r="D25" i="284"/>
  <c r="C25" i="284"/>
  <c r="B25" i="284"/>
  <c r="S36" i="289"/>
  <c r="Q36" i="289"/>
  <c r="O36" i="289"/>
  <c r="M36" i="289"/>
  <c r="K36" i="289"/>
  <c r="I36" i="289"/>
  <c r="G36" i="289"/>
  <c r="E36" i="289"/>
  <c r="C36" i="289"/>
  <c r="B36" i="289"/>
  <c r="S30" i="278"/>
  <c r="Q30" i="278"/>
  <c r="O30" i="278"/>
  <c r="M30" i="278"/>
  <c r="K30" i="278"/>
  <c r="I30" i="278"/>
  <c r="G30" i="278"/>
  <c r="E30" i="278"/>
  <c r="C30" i="278"/>
  <c r="B30" i="278"/>
  <c r="S29" i="287"/>
  <c r="Q29" i="287"/>
  <c r="O29" i="287"/>
  <c r="M29" i="287"/>
  <c r="K29" i="287"/>
  <c r="I29" i="287"/>
  <c r="G29" i="287"/>
  <c r="E29" i="287"/>
  <c r="D29" i="287"/>
  <c r="C29" i="287"/>
  <c r="B29" i="287"/>
  <c r="S7" i="277"/>
  <c r="Q7" i="277"/>
  <c r="O7" i="277"/>
  <c r="M7" i="277"/>
  <c r="K7" i="277"/>
  <c r="I7" i="277"/>
  <c r="G7" i="277"/>
  <c r="E7" i="277"/>
  <c r="D7" i="277"/>
  <c r="C7" i="277"/>
  <c r="B7" i="277"/>
  <c r="S12" i="283"/>
  <c r="Q12" i="283"/>
  <c r="O12" i="283"/>
  <c r="M12" i="283"/>
  <c r="K12" i="283"/>
  <c r="I12" i="283"/>
  <c r="G12" i="283"/>
  <c r="E12" i="283"/>
  <c r="C12" i="283"/>
  <c r="B12" i="283"/>
  <c r="S18" i="290"/>
  <c r="Q18" i="290"/>
  <c r="O18" i="290"/>
  <c r="M18" i="290"/>
  <c r="K18" i="290"/>
  <c r="I18" i="290"/>
  <c r="G18" i="290"/>
  <c r="E18" i="290"/>
  <c r="D18" i="290"/>
  <c r="C18" i="290"/>
  <c r="B18" i="290"/>
  <c r="S47" i="285"/>
  <c r="Q47" i="285"/>
  <c r="O47" i="285"/>
  <c r="M47" i="285"/>
  <c r="K47" i="285"/>
  <c r="I47" i="285"/>
  <c r="G47" i="285"/>
  <c r="E47" i="285"/>
  <c r="D47" i="285"/>
  <c r="C47" i="285"/>
  <c r="B47" i="285"/>
  <c r="S32" i="291"/>
  <c r="Q32" i="291"/>
  <c r="O32" i="291"/>
  <c r="M32" i="291"/>
  <c r="K32" i="291"/>
  <c r="I32" i="291"/>
  <c r="G32" i="291"/>
  <c r="E32" i="291"/>
  <c r="D32" i="291"/>
  <c r="C32" i="291"/>
  <c r="B32" i="291"/>
  <c r="S46" i="285"/>
  <c r="Q46" i="285"/>
  <c r="O46" i="285"/>
  <c r="M46" i="285"/>
  <c r="K46" i="285"/>
  <c r="I46" i="285"/>
  <c r="G46" i="285"/>
  <c r="E46" i="285"/>
  <c r="D46" i="285"/>
  <c r="C16" i="13"/>
  <c r="C46" i="285"/>
  <c r="B46" i="285"/>
  <c r="T24" i="284"/>
  <c r="R24" i="284"/>
  <c r="P24" i="284"/>
  <c r="N24" i="284"/>
  <c r="M24" i="284"/>
  <c r="L24" i="284"/>
  <c r="J24" i="284"/>
  <c r="H24" i="284"/>
  <c r="F24" i="284"/>
  <c r="D24" i="284"/>
  <c r="C24" i="284"/>
  <c r="B24" i="284"/>
  <c r="T45" i="285"/>
  <c r="R45" i="285"/>
  <c r="P45" i="285"/>
  <c r="N45" i="285"/>
  <c r="M45" i="285"/>
  <c r="L45" i="285"/>
  <c r="J45" i="285"/>
  <c r="H45" i="285"/>
  <c r="C45" i="285"/>
  <c r="B45" i="285"/>
  <c r="T20" i="282"/>
  <c r="R20" i="282"/>
  <c r="P20" i="282"/>
  <c r="N20" i="282"/>
  <c r="M20" i="282"/>
  <c r="L20" i="282"/>
  <c r="J20" i="282"/>
  <c r="H20" i="282"/>
  <c r="C20" i="282"/>
  <c r="B20" i="282"/>
  <c r="T23" i="284"/>
  <c r="R23" i="284"/>
  <c r="P23" i="284"/>
  <c r="N23" i="284"/>
  <c r="M23" i="284"/>
  <c r="L23" i="284"/>
  <c r="J23" i="284"/>
  <c r="H23" i="284"/>
  <c r="F23" i="284"/>
  <c r="D23" i="284"/>
  <c r="C23" i="284"/>
  <c r="B23" i="284"/>
  <c r="T35" i="289"/>
  <c r="R35" i="289"/>
  <c r="P35" i="289"/>
  <c r="N35" i="289"/>
  <c r="M35" i="289"/>
  <c r="L35" i="289"/>
  <c r="J35" i="289"/>
  <c r="H35" i="289"/>
  <c r="C35" i="289"/>
  <c r="B35" i="289"/>
  <c r="T34" i="289"/>
  <c r="R34" i="289"/>
  <c r="P34" i="289"/>
  <c r="N34" i="289"/>
  <c r="M34" i="289"/>
  <c r="L34" i="289"/>
  <c r="J34" i="289"/>
  <c r="H34" i="289"/>
  <c r="F34" i="289"/>
  <c r="D34" i="289"/>
  <c r="C34" i="289"/>
  <c r="B34" i="289"/>
  <c r="T44" i="285"/>
  <c r="R44" i="285"/>
  <c r="P44" i="285"/>
  <c r="N44" i="285"/>
  <c r="M44" i="285"/>
  <c r="L44" i="285"/>
  <c r="J44" i="285"/>
  <c r="H44" i="285"/>
  <c r="F44" i="285"/>
  <c r="D44" i="285"/>
  <c r="C44" i="285"/>
  <c r="B44" i="285"/>
  <c r="T22" i="284"/>
  <c r="R22" i="284"/>
  <c r="P22" i="284"/>
  <c r="N22" i="284"/>
  <c r="M22" i="284"/>
  <c r="L22" i="284"/>
  <c r="J22" i="284"/>
  <c r="H22" i="284"/>
  <c r="F22" i="284"/>
  <c r="D22" i="284"/>
  <c r="C22" i="284"/>
  <c r="B22" i="284"/>
  <c r="T59" i="281"/>
  <c r="R59" i="281"/>
  <c r="P59" i="281"/>
  <c r="N59" i="281"/>
  <c r="M59" i="281"/>
  <c r="L59" i="281"/>
  <c r="J59" i="281"/>
  <c r="H59" i="281"/>
  <c r="F59" i="281"/>
  <c r="D59" i="281"/>
  <c r="C59" i="281"/>
  <c r="B59" i="281"/>
  <c r="S33" i="289"/>
  <c r="Q33" i="289"/>
  <c r="O33" i="289"/>
  <c r="M33" i="289"/>
  <c r="K33" i="289"/>
  <c r="I33" i="289"/>
  <c r="G33" i="289"/>
  <c r="E33" i="289"/>
  <c r="D33" i="289"/>
  <c r="C33" i="289"/>
  <c r="B33" i="289"/>
  <c r="S43" i="285"/>
  <c r="Q43" i="285"/>
  <c r="O43" i="285"/>
  <c r="M43" i="285"/>
  <c r="K43" i="285"/>
  <c r="I43" i="285"/>
  <c r="G43" i="285"/>
  <c r="E43" i="285"/>
  <c r="C14" i="13"/>
  <c r="C43" i="285"/>
  <c r="B43" i="285"/>
  <c r="T32" i="289"/>
  <c r="R32" i="289"/>
  <c r="P32" i="289"/>
  <c r="N32" i="289"/>
  <c r="M32" i="289"/>
  <c r="L32" i="289"/>
  <c r="J32" i="289"/>
  <c r="H32" i="289"/>
  <c r="C32" i="289"/>
  <c r="B32" i="289"/>
  <c r="T13" i="281"/>
  <c r="R13" i="281"/>
  <c r="P13" i="281"/>
  <c r="N13" i="281"/>
  <c r="M13" i="281"/>
  <c r="L13" i="281"/>
  <c r="J13" i="281"/>
  <c r="H13" i="281"/>
  <c r="F13" i="281"/>
  <c r="D13" i="281"/>
  <c r="C13" i="281"/>
  <c r="B13" i="281"/>
  <c r="T31" i="289"/>
  <c r="R31" i="289"/>
  <c r="P31" i="289"/>
  <c r="N31" i="289"/>
  <c r="M31" i="289"/>
  <c r="L31" i="289"/>
  <c r="J31" i="289"/>
  <c r="H31" i="289"/>
  <c r="C31" i="289"/>
  <c r="B31" i="289"/>
  <c r="T21" i="284"/>
  <c r="R21" i="284"/>
  <c r="P21" i="284"/>
  <c r="N21" i="284"/>
  <c r="M21" i="284"/>
  <c r="L21" i="284"/>
  <c r="J21" i="284"/>
  <c r="H21" i="284"/>
  <c r="C21" i="284"/>
  <c r="B21" i="284"/>
  <c r="T30" i="289"/>
  <c r="R30" i="289"/>
  <c r="P30" i="289"/>
  <c r="N30" i="289"/>
  <c r="M30" i="289"/>
  <c r="L30" i="289"/>
  <c r="J30" i="289"/>
  <c r="H30" i="289"/>
  <c r="F30" i="289"/>
  <c r="D30" i="289"/>
  <c r="C30" i="289"/>
  <c r="B30" i="289"/>
  <c r="T42" i="285"/>
  <c r="R42" i="285"/>
  <c r="P42" i="285"/>
  <c r="N42" i="285"/>
  <c r="M42" i="285"/>
  <c r="L42" i="285"/>
  <c r="J42" i="285"/>
  <c r="H42" i="285"/>
  <c r="F42" i="285"/>
  <c r="D42" i="285"/>
  <c r="C42" i="285"/>
  <c r="B42" i="285"/>
  <c r="T41" i="285"/>
  <c r="R41" i="285"/>
  <c r="P41" i="285"/>
  <c r="N41" i="285"/>
  <c r="M41" i="285"/>
  <c r="L41" i="285"/>
  <c r="J41" i="285"/>
  <c r="H41" i="285"/>
  <c r="F41" i="285"/>
  <c r="D41" i="285"/>
  <c r="C41" i="285"/>
  <c r="B41" i="285"/>
  <c r="T29" i="278"/>
  <c r="R29" i="278"/>
  <c r="P29" i="278"/>
  <c r="N29" i="278"/>
  <c r="M29" i="278"/>
  <c r="L29" i="278"/>
  <c r="J29" i="278"/>
  <c r="H29" i="278"/>
  <c r="F29" i="278"/>
  <c r="D29" i="278"/>
  <c r="C29" i="278"/>
  <c r="B29" i="278"/>
  <c r="T28" i="278"/>
  <c r="R28" i="278"/>
  <c r="P28" i="278"/>
  <c r="N28" i="278"/>
  <c r="M28" i="278"/>
  <c r="L28" i="278"/>
  <c r="J28" i="278"/>
  <c r="H28" i="278"/>
  <c r="F28" i="278"/>
  <c r="D28" i="278"/>
  <c r="C28" i="278"/>
  <c r="B28" i="278"/>
  <c r="T27" i="278"/>
  <c r="R27" i="278"/>
  <c r="P27" i="278"/>
  <c r="N27" i="278"/>
  <c r="M27" i="278"/>
  <c r="L27" i="278"/>
  <c r="J27" i="278"/>
  <c r="H27" i="278"/>
  <c r="F27" i="278"/>
  <c r="D27" i="278"/>
  <c r="C27" i="278"/>
  <c r="B27" i="278"/>
  <c r="T54" i="281"/>
  <c r="R54" i="281"/>
  <c r="P54" i="281"/>
  <c r="N54" i="281"/>
  <c r="M54" i="281"/>
  <c r="L54" i="281"/>
  <c r="J54" i="281"/>
  <c r="H54" i="281"/>
  <c r="F54" i="281"/>
  <c r="D54" i="281"/>
  <c r="C54" i="281"/>
  <c r="B54" i="281"/>
  <c r="T20" i="284"/>
  <c r="R20" i="284"/>
  <c r="P20" i="284"/>
  <c r="N20" i="284"/>
  <c r="M20" i="284"/>
  <c r="L20" i="284"/>
  <c r="J20" i="284"/>
  <c r="H20" i="284"/>
  <c r="C20" i="284"/>
  <c r="B20" i="284"/>
  <c r="T32" i="281"/>
  <c r="R32" i="281"/>
  <c r="P32" i="281"/>
  <c r="N32" i="281"/>
  <c r="M32" i="281"/>
  <c r="L32" i="281"/>
  <c r="J32" i="281"/>
  <c r="H32" i="281"/>
  <c r="F32" i="281"/>
  <c r="D32" i="281"/>
  <c r="C32" i="281"/>
  <c r="B32" i="281"/>
  <c r="T29" i="289"/>
  <c r="R29" i="289"/>
  <c r="P29" i="289"/>
  <c r="N29" i="289"/>
  <c r="M29" i="289"/>
  <c r="L29" i="289"/>
  <c r="J29" i="289"/>
  <c r="H29" i="289"/>
  <c r="F29" i="289"/>
  <c r="D29" i="289"/>
  <c r="C29" i="289"/>
  <c r="B29" i="289"/>
  <c r="T40" i="285"/>
  <c r="R40" i="285"/>
  <c r="P40" i="285"/>
  <c r="N40" i="285"/>
  <c r="M40" i="285"/>
  <c r="L40" i="285"/>
  <c r="J40" i="285"/>
  <c r="H40" i="285"/>
  <c r="F40" i="285"/>
  <c r="D40" i="285"/>
  <c r="C40" i="285"/>
  <c r="B40" i="285"/>
  <c r="T39" i="285"/>
  <c r="R39" i="285"/>
  <c r="P39" i="285"/>
  <c r="N39" i="285"/>
  <c r="M39" i="285"/>
  <c r="L39" i="285"/>
  <c r="J39" i="285"/>
  <c r="H39" i="285"/>
  <c r="C39" i="285"/>
  <c r="B39" i="285"/>
  <c r="T19" i="284"/>
  <c r="R19" i="284"/>
  <c r="P19" i="284"/>
  <c r="N19" i="284"/>
  <c r="M19" i="284"/>
  <c r="L19" i="284"/>
  <c r="J19" i="284"/>
  <c r="H19" i="284"/>
  <c r="C19" i="284"/>
  <c r="B19" i="284"/>
  <c r="T5" i="287"/>
  <c r="R5" i="287"/>
  <c r="P5" i="287"/>
  <c r="N5" i="287"/>
  <c r="M5" i="287"/>
  <c r="L5" i="287"/>
  <c r="J5" i="287"/>
  <c r="H5" i="287"/>
  <c r="F5" i="287"/>
  <c r="D5" i="287"/>
  <c r="C5" i="287"/>
  <c r="B5" i="287"/>
  <c r="S38" i="285"/>
  <c r="Q38" i="285"/>
  <c r="O38" i="285"/>
  <c r="M38" i="285"/>
  <c r="K38" i="285"/>
  <c r="I38" i="285"/>
  <c r="G38" i="285"/>
  <c r="E38" i="285"/>
  <c r="D38" i="285"/>
  <c r="C38" i="285"/>
  <c r="B38" i="285"/>
  <c r="S5" i="279"/>
  <c r="Q5" i="279"/>
  <c r="O5" i="279"/>
  <c r="M5" i="279"/>
  <c r="K5" i="279"/>
  <c r="I5" i="279"/>
  <c r="G5" i="279"/>
  <c r="E5" i="279"/>
  <c r="D5" i="279"/>
  <c r="C5" i="279"/>
  <c r="B5" i="279"/>
  <c r="S19" i="281"/>
  <c r="Q19" i="281"/>
  <c r="O19" i="281"/>
  <c r="M19" i="281"/>
  <c r="K19" i="281"/>
  <c r="I19" i="281"/>
  <c r="G19" i="281"/>
  <c r="E19" i="281"/>
  <c r="D19" i="281"/>
  <c r="C19" i="281"/>
  <c r="B19" i="281"/>
  <c r="S37" i="285"/>
  <c r="Q37" i="285"/>
  <c r="O37" i="285"/>
  <c r="M37" i="285"/>
  <c r="K37" i="285"/>
  <c r="I37" i="285"/>
  <c r="G37" i="285"/>
  <c r="E37" i="285"/>
  <c r="D37" i="285"/>
  <c r="C37" i="285"/>
  <c r="B37" i="285"/>
  <c r="T19" i="282"/>
  <c r="R19" i="282"/>
  <c r="P19" i="282"/>
  <c r="N19" i="282"/>
  <c r="M19" i="282"/>
  <c r="L19" i="282"/>
  <c r="J19" i="282"/>
  <c r="H19" i="282"/>
  <c r="F19" i="282"/>
  <c r="C19" i="282"/>
  <c r="B19" i="282"/>
  <c r="T28" i="289"/>
  <c r="R28" i="289"/>
  <c r="P28" i="289"/>
  <c r="N28" i="289"/>
  <c r="M28" i="289"/>
  <c r="L28" i="289"/>
  <c r="J28" i="289"/>
  <c r="H28" i="289"/>
  <c r="C28" i="289"/>
  <c r="B28" i="289"/>
  <c r="T26" i="278"/>
  <c r="R26" i="278"/>
  <c r="P26" i="278"/>
  <c r="N26" i="278"/>
  <c r="M26" i="278"/>
  <c r="L26" i="278"/>
  <c r="J26" i="278"/>
  <c r="H26" i="278"/>
  <c r="D26" i="278"/>
  <c r="C26" i="278"/>
  <c r="B26" i="278"/>
  <c r="T25" i="278"/>
  <c r="R25" i="278"/>
  <c r="P25" i="278"/>
  <c r="N25" i="278"/>
  <c r="M25" i="278"/>
  <c r="L25" i="278"/>
  <c r="J25" i="278"/>
  <c r="H25" i="278"/>
  <c r="F25" i="278"/>
  <c r="C25" i="278"/>
  <c r="B25" i="278"/>
  <c r="T36" i="285"/>
  <c r="R36" i="285"/>
  <c r="P36" i="285"/>
  <c r="N36" i="285"/>
  <c r="M36" i="285"/>
  <c r="L36" i="285"/>
  <c r="J36" i="285"/>
  <c r="H36" i="285"/>
  <c r="C36" i="285"/>
  <c r="B36" i="285"/>
  <c r="T11" i="283"/>
  <c r="R11" i="283"/>
  <c r="P11" i="283"/>
  <c r="N11" i="283"/>
  <c r="M11" i="283"/>
  <c r="L11" i="283"/>
  <c r="J11" i="283"/>
  <c r="H11" i="283"/>
  <c r="C11" i="283"/>
  <c r="B11" i="283"/>
  <c r="T10" i="291"/>
  <c r="R10" i="291"/>
  <c r="P10" i="291"/>
  <c r="N10" i="291"/>
  <c r="M10" i="291"/>
  <c r="L10" i="291"/>
  <c r="J10" i="291"/>
  <c r="H10" i="291"/>
  <c r="F10" i="291"/>
  <c r="D10" i="291"/>
  <c r="C10" i="291"/>
  <c r="B10" i="291"/>
  <c r="T18" i="282"/>
  <c r="R18" i="282"/>
  <c r="P18" i="282"/>
  <c r="N18" i="282"/>
  <c r="M18" i="282"/>
  <c r="L18" i="282"/>
  <c r="J18" i="282"/>
  <c r="H18" i="282"/>
  <c r="C18" i="282"/>
  <c r="B18" i="282"/>
  <c r="T35" i="285"/>
  <c r="R35" i="285"/>
  <c r="P35" i="285"/>
  <c r="N35" i="285"/>
  <c r="M35" i="285"/>
  <c r="L35" i="285"/>
  <c r="J35" i="285"/>
  <c r="H35" i="285"/>
  <c r="C35" i="285"/>
  <c r="B35" i="285"/>
  <c r="T34" i="285"/>
  <c r="R34" i="285"/>
  <c r="P34" i="285"/>
  <c r="N34" i="285"/>
  <c r="M34" i="285"/>
  <c r="L34" i="285"/>
  <c r="J34" i="285"/>
  <c r="H34" i="285"/>
  <c r="F34" i="285"/>
  <c r="D34" i="285"/>
  <c r="C34" i="285"/>
  <c r="B34" i="285"/>
  <c r="T27" i="289"/>
  <c r="R27" i="289"/>
  <c r="P27" i="289"/>
  <c r="N27" i="289"/>
  <c r="M27" i="289"/>
  <c r="L27" i="289"/>
  <c r="J27" i="289"/>
  <c r="H27" i="289"/>
  <c r="F27" i="289"/>
  <c r="D27" i="289"/>
  <c r="C27" i="289"/>
  <c r="B27" i="289"/>
  <c r="T26" i="289"/>
  <c r="R26" i="289"/>
  <c r="P26" i="289"/>
  <c r="N26" i="289"/>
  <c r="M26" i="289"/>
  <c r="L26" i="289"/>
  <c r="J26" i="289"/>
  <c r="H26" i="289"/>
  <c r="F26" i="289"/>
  <c r="C26" i="289"/>
  <c r="B26" i="289"/>
  <c r="T12" i="281"/>
  <c r="R12" i="281"/>
  <c r="P12" i="281"/>
  <c r="N12" i="281"/>
  <c r="M12" i="281"/>
  <c r="L12" i="281"/>
  <c r="J12" i="281"/>
  <c r="H12" i="281"/>
  <c r="D12" i="281"/>
  <c r="C12" i="281"/>
  <c r="B12" i="281"/>
  <c r="T33" i="285"/>
  <c r="R33" i="285"/>
  <c r="P33" i="285"/>
  <c r="N33" i="285"/>
  <c r="M33" i="285"/>
  <c r="L33" i="285"/>
  <c r="J33" i="285"/>
  <c r="H33" i="285"/>
  <c r="C33" i="285"/>
  <c r="B33" i="285"/>
  <c r="T32" i="285"/>
  <c r="R32" i="285"/>
  <c r="P32" i="285"/>
  <c r="N32" i="285"/>
  <c r="M32" i="285"/>
  <c r="L32" i="285"/>
  <c r="J32" i="285"/>
  <c r="H32" i="285"/>
  <c r="F32" i="285"/>
  <c r="D32" i="285"/>
  <c r="C32" i="285"/>
  <c r="B32" i="285"/>
  <c r="T26" i="288"/>
  <c r="R26" i="288"/>
  <c r="P26" i="288"/>
  <c r="N26" i="288"/>
  <c r="M26" i="288"/>
  <c r="L26" i="288"/>
  <c r="J26" i="288"/>
  <c r="H26" i="288"/>
  <c r="F26" i="288"/>
  <c r="D26" i="288"/>
  <c r="C26" i="288"/>
  <c r="B26" i="288"/>
  <c r="T25" i="289"/>
  <c r="R25" i="289"/>
  <c r="P25" i="289"/>
  <c r="N25" i="289"/>
  <c r="M25" i="289"/>
  <c r="L25" i="289"/>
  <c r="J25" i="289"/>
  <c r="H25" i="289"/>
  <c r="F25" i="289"/>
  <c r="D25" i="289"/>
  <c r="C25" i="289"/>
  <c r="B25" i="289"/>
  <c r="T24" i="279"/>
  <c r="R24" i="279"/>
  <c r="P24" i="279"/>
  <c r="N24" i="279"/>
  <c r="M24" i="279"/>
  <c r="L24" i="279"/>
  <c r="J24" i="279"/>
  <c r="H24" i="279"/>
  <c r="F24" i="279"/>
  <c r="D24" i="279"/>
  <c r="C24" i="279"/>
  <c r="B24" i="279"/>
  <c r="T24" i="289"/>
  <c r="R24" i="289"/>
  <c r="P24" i="289"/>
  <c r="N24" i="289"/>
  <c r="M24" i="289"/>
  <c r="L24" i="289"/>
  <c r="J24" i="289"/>
  <c r="H24" i="289"/>
  <c r="C24" i="289"/>
  <c r="B24" i="289"/>
  <c r="S10" i="283"/>
  <c r="Q10" i="283"/>
  <c r="O10" i="283"/>
  <c r="M10" i="283"/>
  <c r="I10" i="283"/>
  <c r="G10" i="283"/>
  <c r="E10" i="283"/>
  <c r="C10" i="283"/>
  <c r="B10" i="283"/>
  <c r="S27" i="290"/>
  <c r="Q27" i="290"/>
  <c r="O27" i="290"/>
  <c r="M27" i="290"/>
  <c r="I27" i="290"/>
  <c r="G27" i="290"/>
  <c r="E27" i="290"/>
  <c r="D27" i="290"/>
  <c r="C27" i="290"/>
  <c r="B27" i="290"/>
  <c r="T24" i="278"/>
  <c r="R24" i="278"/>
  <c r="P24" i="278"/>
  <c r="N24" i="278"/>
  <c r="M24" i="278"/>
  <c r="L24" i="278"/>
  <c r="J24" i="278"/>
  <c r="H24" i="278"/>
  <c r="F24" i="278"/>
  <c r="D24" i="278"/>
  <c r="C24" i="278"/>
  <c r="B24" i="278"/>
  <c r="T23" i="289"/>
  <c r="R23" i="289"/>
  <c r="P23" i="289"/>
  <c r="N23" i="289"/>
  <c r="M23" i="289"/>
  <c r="L23" i="289"/>
  <c r="J23" i="289"/>
  <c r="H23" i="289"/>
  <c r="C23" i="289"/>
  <c r="B23" i="289"/>
  <c r="T32" i="288"/>
  <c r="R32" i="288"/>
  <c r="P32" i="288"/>
  <c r="N32" i="288"/>
  <c r="M32" i="288"/>
  <c r="L32" i="288"/>
  <c r="J32" i="288"/>
  <c r="H32" i="288"/>
  <c r="F32" i="288"/>
  <c r="D32" i="288"/>
  <c r="B32" i="288"/>
  <c r="S31" i="285"/>
  <c r="Q31" i="285"/>
  <c r="O31" i="285"/>
  <c r="M31" i="285"/>
  <c r="I31" i="285"/>
  <c r="G31" i="285"/>
  <c r="E31" i="285"/>
  <c r="C31" i="285"/>
  <c r="B31" i="285"/>
  <c r="T30" i="285"/>
  <c r="R30" i="285"/>
  <c r="P30" i="285"/>
  <c r="N30" i="285"/>
  <c r="M30" i="285"/>
  <c r="L30" i="285"/>
  <c r="J30" i="285"/>
  <c r="H30" i="285"/>
  <c r="F30" i="285"/>
  <c r="D30" i="285"/>
  <c r="C30" i="285"/>
  <c r="B30" i="285"/>
  <c r="T29" i="285"/>
  <c r="R29" i="285"/>
  <c r="P29" i="285"/>
  <c r="N29" i="285"/>
  <c r="M29" i="285"/>
  <c r="L29" i="285"/>
  <c r="J29" i="285"/>
  <c r="H29" i="285"/>
  <c r="F29" i="285"/>
  <c r="D29" i="285"/>
  <c r="C29" i="285"/>
  <c r="B29" i="285"/>
  <c r="T23" i="278"/>
  <c r="R23" i="278"/>
  <c r="P23" i="278"/>
  <c r="N23" i="278"/>
  <c r="M23" i="278"/>
  <c r="L23" i="278"/>
  <c r="J23" i="278"/>
  <c r="H23" i="278"/>
  <c r="D23" i="278"/>
  <c r="C23" i="278"/>
  <c r="B23" i="278"/>
  <c r="T37" i="281"/>
  <c r="R37" i="281"/>
  <c r="P37" i="281"/>
  <c r="N37" i="281"/>
  <c r="M37" i="281"/>
  <c r="L37" i="281"/>
  <c r="J37" i="281"/>
  <c r="H37" i="281"/>
  <c r="C37" i="281"/>
  <c r="B37" i="281"/>
  <c r="S22" i="289"/>
  <c r="Q22" i="289"/>
  <c r="O22" i="289"/>
  <c r="M22" i="289"/>
  <c r="I22" i="289"/>
  <c r="G22" i="289"/>
  <c r="E22" i="289"/>
  <c r="C22" i="289"/>
  <c r="B22" i="289"/>
  <c r="S28" i="285"/>
  <c r="Q28" i="285"/>
  <c r="O28" i="285"/>
  <c r="M28" i="285"/>
  <c r="I28" i="285"/>
  <c r="G28" i="285"/>
  <c r="E28" i="285"/>
  <c r="D28" i="285"/>
  <c r="C28" i="285"/>
  <c r="B28" i="285"/>
  <c r="S17" i="282"/>
  <c r="Q17" i="282"/>
  <c r="O17" i="282"/>
  <c r="M17" i="282"/>
  <c r="I17" i="282"/>
  <c r="G17" i="282"/>
  <c r="E17" i="282"/>
  <c r="D17" i="282"/>
  <c r="C17" i="282"/>
  <c r="B17" i="282"/>
  <c r="S22" i="278"/>
  <c r="Q22" i="278"/>
  <c r="O22" i="278"/>
  <c r="M22" i="278"/>
  <c r="I22" i="278"/>
  <c r="G22" i="278"/>
  <c r="E22" i="278"/>
  <c r="D22" i="278"/>
  <c r="C22" i="278"/>
  <c r="B22" i="278"/>
  <c r="T21" i="289"/>
  <c r="R21" i="289"/>
  <c r="P21" i="289"/>
  <c r="N21" i="289"/>
  <c r="M21" i="289"/>
  <c r="L21" i="289"/>
  <c r="J21" i="289"/>
  <c r="H21" i="289"/>
  <c r="F21" i="289"/>
  <c r="D21" i="289"/>
  <c r="C21" i="289"/>
  <c r="B21" i="289"/>
  <c r="T35" i="281"/>
  <c r="R35" i="281"/>
  <c r="P35" i="281"/>
  <c r="N35" i="281"/>
  <c r="M35" i="281"/>
  <c r="L35" i="281"/>
  <c r="J35" i="281"/>
  <c r="H35" i="281"/>
  <c r="F35" i="281"/>
  <c r="D35" i="281"/>
  <c r="C35" i="281"/>
  <c r="B35" i="281"/>
  <c r="S18" i="284"/>
  <c r="Q18" i="284"/>
  <c r="O18" i="284"/>
  <c r="M18" i="284"/>
  <c r="I18" i="284"/>
  <c r="G18" i="284"/>
  <c r="E18" i="284"/>
  <c r="C18" i="284"/>
  <c r="B18" i="284"/>
  <c r="S27" i="285"/>
  <c r="Q27" i="285"/>
  <c r="O27" i="285"/>
  <c r="M27" i="285"/>
  <c r="I27" i="285"/>
  <c r="G27" i="285"/>
  <c r="E27" i="285"/>
  <c r="D27" i="285"/>
  <c r="C27" i="285"/>
  <c r="B27" i="285"/>
  <c r="T9" i="283"/>
  <c r="R9" i="283"/>
  <c r="P9" i="283"/>
  <c r="N9" i="283"/>
  <c r="M9" i="283"/>
  <c r="L9" i="283"/>
  <c r="J9" i="283"/>
  <c r="H9" i="283"/>
  <c r="F9" i="283"/>
  <c r="D9" i="283"/>
  <c r="B9" i="283"/>
  <c r="S58" i="281"/>
  <c r="Q58" i="281"/>
  <c r="O58" i="281"/>
  <c r="M58" i="281"/>
  <c r="I58" i="281"/>
  <c r="G58" i="281"/>
  <c r="E58" i="281"/>
  <c r="D58" i="281"/>
  <c r="C58" i="281"/>
  <c r="B58" i="281"/>
  <c r="S16" i="282"/>
  <c r="Q16" i="282"/>
  <c r="O16" i="282"/>
  <c r="M16" i="282"/>
  <c r="I16" i="282"/>
  <c r="G16" i="282"/>
  <c r="E16" i="282"/>
  <c r="C16" i="282"/>
  <c r="B16" i="282"/>
  <c r="S20" i="289"/>
  <c r="Q20" i="289"/>
  <c r="O20" i="289"/>
  <c r="M20" i="289"/>
  <c r="I20" i="289"/>
  <c r="G20" i="289"/>
  <c r="E20" i="289"/>
  <c r="D20" i="289"/>
  <c r="C20" i="289"/>
  <c r="B20" i="289"/>
  <c r="S21" i="278"/>
  <c r="Q21" i="278"/>
  <c r="O21" i="278"/>
  <c r="M21" i="278"/>
  <c r="I21" i="278"/>
  <c r="G21" i="278"/>
  <c r="E21" i="278"/>
  <c r="C21" i="278"/>
  <c r="B21" i="278"/>
  <c r="S26" i="285"/>
  <c r="P26" i="285"/>
  <c r="O26" i="285"/>
  <c r="M26" i="285"/>
  <c r="L26" i="285"/>
  <c r="K26" i="285"/>
  <c r="H26" i="285"/>
  <c r="G26" i="285"/>
  <c r="C26" i="285"/>
  <c r="B26" i="285"/>
  <c r="T34" i="281"/>
  <c r="Q34" i="281"/>
  <c r="P34" i="281"/>
  <c r="M34" i="281"/>
  <c r="L34" i="281"/>
  <c r="I34" i="281"/>
  <c r="H34" i="281"/>
  <c r="E34" i="281"/>
  <c r="C34" i="281"/>
  <c r="B34" i="281"/>
  <c r="T4" i="279"/>
  <c r="Q4" i="279"/>
  <c r="P4" i="279"/>
  <c r="M4" i="279"/>
  <c r="L4" i="279"/>
  <c r="I4" i="279"/>
  <c r="H4" i="279"/>
  <c r="E4" i="279"/>
  <c r="C4" i="279"/>
  <c r="B4" i="279"/>
  <c r="R25" i="285"/>
  <c r="Q25" i="285"/>
  <c r="N25" i="285"/>
  <c r="M25" i="285"/>
  <c r="I25" i="285"/>
  <c r="G25" i="285"/>
  <c r="E25" i="285"/>
  <c r="D25" i="285"/>
  <c r="C25" i="285"/>
  <c r="B25" i="285"/>
  <c r="S15" i="282"/>
  <c r="Q15" i="282"/>
  <c r="O15" i="282"/>
  <c r="M15" i="282"/>
  <c r="J15" i="282"/>
  <c r="I15" i="282"/>
  <c r="E15" i="282"/>
  <c r="D15" i="282"/>
  <c r="C15" i="282"/>
  <c r="B15" i="282"/>
  <c r="R17" i="280"/>
  <c r="Q17" i="280"/>
  <c r="N17" i="280"/>
  <c r="M17" i="280"/>
  <c r="I17" i="280"/>
  <c r="G17" i="280"/>
  <c r="E17" i="280"/>
  <c r="C17" i="280"/>
  <c r="B17" i="280"/>
  <c r="S15" i="277"/>
  <c r="Q15" i="277"/>
  <c r="O15" i="277"/>
  <c r="M15" i="277"/>
  <c r="J15" i="277"/>
  <c r="I15" i="277"/>
  <c r="F15" i="277"/>
  <c r="E15" i="277"/>
  <c r="D15" i="277"/>
  <c r="C15" i="277"/>
  <c r="B15" i="277"/>
  <c r="S14" i="282"/>
  <c r="R14" i="282"/>
  <c r="O14" i="282"/>
  <c r="N14" i="282"/>
  <c r="M14" i="282"/>
  <c r="K14" i="282"/>
  <c r="J14" i="282"/>
  <c r="G14" i="282"/>
  <c r="F14" i="282"/>
  <c r="D14" i="282"/>
  <c r="C14" i="282"/>
  <c r="B14" i="282"/>
  <c r="S8" i="287"/>
  <c r="R8" i="287"/>
  <c r="O8" i="287"/>
  <c r="N8" i="287"/>
  <c r="M8" i="287"/>
  <c r="K8" i="287"/>
  <c r="J8" i="287"/>
  <c r="G8" i="287"/>
  <c r="E8" i="287"/>
  <c r="C8" i="287"/>
  <c r="B8" i="287"/>
  <c r="S23" i="277"/>
  <c r="Q23" i="277"/>
  <c r="O23" i="277"/>
  <c r="M23" i="277"/>
  <c r="K23" i="277"/>
  <c r="I23" i="277"/>
  <c r="G23" i="277"/>
  <c r="E23" i="277"/>
  <c r="D23" i="277"/>
  <c r="C23" i="277"/>
  <c r="B23" i="277"/>
  <c r="S57" i="281"/>
  <c r="Q57" i="281"/>
  <c r="O57" i="281"/>
  <c r="M57" i="281"/>
  <c r="K57" i="281"/>
  <c r="I57" i="281"/>
  <c r="G57" i="281"/>
  <c r="E57" i="281"/>
  <c r="D57" i="281"/>
  <c r="C10" i="13"/>
  <c r="C57" i="281"/>
  <c r="B57" i="281"/>
  <c r="S19" i="289"/>
  <c r="Q19" i="289"/>
  <c r="O19" i="289"/>
  <c r="M19" i="289"/>
  <c r="K19" i="289"/>
  <c r="I19" i="289"/>
  <c r="G19" i="289"/>
  <c r="E19" i="289"/>
  <c r="D19" i="289"/>
  <c r="C19" i="289"/>
  <c r="B19" i="289"/>
  <c r="S13" i="282"/>
  <c r="Q13" i="282"/>
  <c r="O13" i="282"/>
  <c r="M13" i="282"/>
  <c r="K13" i="282"/>
  <c r="I13" i="282"/>
  <c r="G13" i="282"/>
  <c r="E13" i="282"/>
  <c r="C13" i="282"/>
  <c r="B13" i="282"/>
  <c r="T24" i="285"/>
  <c r="R24" i="285"/>
  <c r="P24" i="285"/>
  <c r="N24" i="285"/>
  <c r="M24" i="285"/>
  <c r="L24" i="285"/>
  <c r="J24" i="285"/>
  <c r="H24" i="285"/>
  <c r="F24" i="285"/>
  <c r="D24" i="285"/>
  <c r="C24" i="285"/>
  <c r="B24" i="285"/>
  <c r="T23" i="285"/>
  <c r="R23" i="285"/>
  <c r="P23" i="285"/>
  <c r="N23" i="285"/>
  <c r="M23" i="285"/>
  <c r="L23" i="285"/>
  <c r="J23" i="285"/>
  <c r="H23" i="285"/>
  <c r="F23" i="285"/>
  <c r="D23" i="285"/>
  <c r="C23" i="285"/>
  <c r="B23" i="285"/>
  <c r="T12" i="282"/>
  <c r="R12" i="282"/>
  <c r="P12" i="282"/>
  <c r="N12" i="282"/>
  <c r="M12" i="282"/>
  <c r="L12" i="282"/>
  <c r="J12" i="282"/>
  <c r="H12" i="282"/>
  <c r="F12" i="282"/>
  <c r="D12" i="282"/>
  <c r="C12" i="282"/>
  <c r="B12" i="282"/>
  <c r="T18" i="289"/>
  <c r="R18" i="289"/>
  <c r="P18" i="289"/>
  <c r="N18" i="289"/>
  <c r="M18" i="289"/>
  <c r="L18" i="289"/>
  <c r="J18" i="289"/>
  <c r="H18" i="289"/>
  <c r="C18" i="289"/>
  <c r="B18" i="289"/>
  <c r="S22" i="291"/>
  <c r="Q22" i="291"/>
  <c r="O22" i="291"/>
  <c r="M22" i="291"/>
  <c r="K22" i="291"/>
  <c r="I22" i="291"/>
  <c r="G22" i="291"/>
  <c r="E22" i="291"/>
  <c r="D22" i="291"/>
  <c r="C22" i="291"/>
  <c r="B22" i="291"/>
  <c r="S22" i="285"/>
  <c r="Q22" i="285"/>
  <c r="O22" i="285"/>
  <c r="M22" i="285"/>
  <c r="K22" i="285"/>
  <c r="I22" i="285"/>
  <c r="G22" i="285"/>
  <c r="E22" i="285"/>
  <c r="C22" i="285"/>
  <c r="B22" i="285"/>
  <c r="S11" i="279"/>
  <c r="Q11" i="279"/>
  <c r="O11" i="279"/>
  <c r="M11" i="279"/>
  <c r="K11" i="279"/>
  <c r="I11" i="279"/>
  <c r="G11" i="279"/>
  <c r="E11" i="279"/>
  <c r="D11" i="279"/>
  <c r="C11" i="279"/>
  <c r="B11" i="279"/>
  <c r="S8" i="283"/>
  <c r="Q8" i="283"/>
  <c r="O8" i="283"/>
  <c r="M8" i="283"/>
  <c r="K8" i="283"/>
  <c r="I8" i="283"/>
  <c r="G8" i="283"/>
  <c r="E8" i="283"/>
  <c r="C8" i="283"/>
  <c r="B8" i="283"/>
  <c r="T17" i="289"/>
  <c r="R17" i="289"/>
  <c r="P17" i="289"/>
  <c r="N17" i="289"/>
  <c r="M17" i="289"/>
  <c r="L17" i="289"/>
  <c r="J17" i="289"/>
  <c r="H17" i="289"/>
  <c r="C17" i="289"/>
  <c r="B17" i="289"/>
  <c r="T21" i="285"/>
  <c r="R21" i="285"/>
  <c r="P21" i="285"/>
  <c r="N21" i="285"/>
  <c r="M21" i="285"/>
  <c r="L21" i="285"/>
  <c r="J21" i="285"/>
  <c r="H21" i="285"/>
  <c r="F21" i="285"/>
  <c r="D21" i="285"/>
  <c r="C21" i="285"/>
  <c r="B21" i="285"/>
  <c r="S14" i="277"/>
  <c r="Q14" i="277"/>
  <c r="O14" i="277"/>
  <c r="M14" i="277"/>
  <c r="K14" i="277"/>
  <c r="I14" i="277"/>
  <c r="G14" i="277"/>
  <c r="E14" i="277"/>
  <c r="D14" i="277"/>
  <c r="C14" i="277"/>
  <c r="B14" i="277"/>
  <c r="S20" i="278"/>
  <c r="Q20" i="278"/>
  <c r="O20" i="278"/>
  <c r="M20" i="278"/>
  <c r="K20" i="278"/>
  <c r="I20" i="278"/>
  <c r="G20" i="278"/>
  <c r="E20" i="278"/>
  <c r="C20" i="278"/>
  <c r="B20" i="278"/>
  <c r="S11" i="282"/>
  <c r="Q11" i="282"/>
  <c r="O11" i="282"/>
  <c r="M11" i="282"/>
  <c r="K11" i="282"/>
  <c r="I11" i="282"/>
  <c r="G11" i="282"/>
  <c r="E11" i="282"/>
  <c r="C11" i="282"/>
  <c r="B11" i="282"/>
  <c r="S23" i="279"/>
  <c r="Q23" i="279"/>
  <c r="O23" i="279"/>
  <c r="M23" i="279"/>
  <c r="K23" i="279"/>
  <c r="I23" i="279"/>
  <c r="G23" i="279"/>
  <c r="E23" i="279"/>
  <c r="D23" i="279"/>
  <c r="C23" i="279"/>
  <c r="B23" i="279"/>
  <c r="T19" i="278"/>
  <c r="R19" i="278"/>
  <c r="P19" i="278"/>
  <c r="N19" i="278"/>
  <c r="M19" i="278"/>
  <c r="L19" i="278"/>
  <c r="J19" i="278"/>
  <c r="H19" i="278"/>
  <c r="C19" i="278"/>
  <c r="B19" i="278"/>
  <c r="T17" i="291"/>
  <c r="R17" i="291"/>
  <c r="P17" i="291"/>
  <c r="N17" i="291"/>
  <c r="M17" i="291"/>
  <c r="L17" i="291"/>
  <c r="J17" i="291"/>
  <c r="H17" i="291"/>
  <c r="F17" i="291"/>
  <c r="D17" i="291"/>
  <c r="C17" i="291"/>
  <c r="B17" i="291"/>
  <c r="T16" i="289"/>
  <c r="R16" i="289"/>
  <c r="P16" i="289"/>
  <c r="N16" i="289"/>
  <c r="M16" i="289"/>
  <c r="L16" i="289"/>
  <c r="J16" i="289"/>
  <c r="H16" i="289"/>
  <c r="C16" i="289"/>
  <c r="B16" i="289"/>
  <c r="T22" i="280"/>
  <c r="R22" i="280"/>
  <c r="P22" i="280"/>
  <c r="N22" i="280"/>
  <c r="M22" i="280"/>
  <c r="L22" i="280"/>
  <c r="J22" i="280"/>
  <c r="H22" i="280"/>
  <c r="F22" i="280"/>
  <c r="D22" i="280"/>
  <c r="C22" i="280"/>
  <c r="B22" i="280"/>
  <c r="S17" i="284"/>
  <c r="Q17" i="284"/>
  <c r="O17" i="284"/>
  <c r="M17" i="284"/>
  <c r="K17" i="284"/>
  <c r="I17" i="284"/>
  <c r="G17" i="284"/>
  <c r="E17" i="284"/>
  <c r="C17" i="284"/>
  <c r="B17" i="284"/>
  <c r="S18" i="278"/>
  <c r="Q18" i="278"/>
  <c r="O18" i="278"/>
  <c r="M18" i="278"/>
  <c r="K18" i="278"/>
  <c r="I18" i="278"/>
  <c r="G18" i="278"/>
  <c r="E18" i="278"/>
  <c r="C18" i="278"/>
  <c r="B18" i="278"/>
  <c r="S16" i="284"/>
  <c r="Q16" i="284"/>
  <c r="O16" i="284"/>
  <c r="M16" i="284"/>
  <c r="K16" i="284"/>
  <c r="I16" i="284"/>
  <c r="G16" i="284"/>
  <c r="E16" i="284"/>
  <c r="D16" i="284"/>
  <c r="C16" i="284"/>
  <c r="B16" i="284"/>
  <c r="S17" i="277"/>
  <c r="Q17" i="277"/>
  <c r="O17" i="277"/>
  <c r="M17" i="277"/>
  <c r="K17" i="277"/>
  <c r="I17" i="277"/>
  <c r="G17" i="277"/>
  <c r="E17" i="277"/>
  <c r="C17" i="277"/>
  <c r="B17" i="277"/>
  <c r="T6" i="277"/>
  <c r="R6" i="277"/>
  <c r="P6" i="277"/>
  <c r="N6" i="277"/>
  <c r="M6" i="277"/>
  <c r="L6" i="277"/>
  <c r="J6" i="277"/>
  <c r="H6" i="277"/>
  <c r="F6" i="277"/>
  <c r="D6" i="277"/>
  <c r="C6" i="277"/>
  <c r="B6" i="277"/>
  <c r="T20" i="285"/>
  <c r="R20" i="285"/>
  <c r="P20" i="285"/>
  <c r="N20" i="285"/>
  <c r="M20" i="285"/>
  <c r="L20" i="285"/>
  <c r="J20" i="285"/>
  <c r="H20" i="285"/>
  <c r="C20" i="285"/>
  <c r="B20" i="285"/>
  <c r="T32" i="280"/>
  <c r="R32" i="280"/>
  <c r="P32" i="280"/>
  <c r="N32" i="280"/>
  <c r="M32" i="280"/>
  <c r="L32" i="280"/>
  <c r="J32" i="280"/>
  <c r="H32" i="280"/>
  <c r="F32" i="280"/>
  <c r="C32" i="280"/>
  <c r="B32" i="280"/>
  <c r="T19" i="285"/>
  <c r="R19" i="285"/>
  <c r="P19" i="285"/>
  <c r="N19" i="285"/>
  <c r="M19" i="285"/>
  <c r="L19" i="285"/>
  <c r="J19" i="285"/>
  <c r="H19" i="285"/>
  <c r="C19" i="285"/>
  <c r="B19" i="285"/>
  <c r="S23" i="287"/>
  <c r="Q23" i="287"/>
  <c r="O23" i="287"/>
  <c r="M23" i="287"/>
  <c r="K23" i="287"/>
  <c r="I23" i="287"/>
  <c r="G23" i="287"/>
  <c r="E23" i="287"/>
  <c r="C23" i="287"/>
  <c r="B23" i="287"/>
  <c r="S7" i="283"/>
  <c r="Q7" i="283"/>
  <c r="O7" i="283"/>
  <c r="M7" i="283"/>
  <c r="K7" i="283"/>
  <c r="I7" i="283"/>
  <c r="G7" i="283"/>
  <c r="E7" i="283"/>
  <c r="C7" i="283"/>
  <c r="B7" i="283"/>
  <c r="T17" i="278"/>
  <c r="R17" i="278"/>
  <c r="P17" i="278"/>
  <c r="N17" i="278"/>
  <c r="M17" i="278"/>
  <c r="L17" i="278"/>
  <c r="J17" i="278"/>
  <c r="H17" i="278"/>
  <c r="F17" i="278"/>
  <c r="D17" i="278"/>
  <c r="C17" i="278"/>
  <c r="B17" i="278"/>
  <c r="T4" i="287"/>
  <c r="R4" i="287"/>
  <c r="P4" i="287"/>
  <c r="N4" i="287"/>
  <c r="M4" i="287"/>
  <c r="L4" i="287"/>
  <c r="J4" i="287"/>
  <c r="H4" i="287"/>
  <c r="C4" i="287"/>
  <c r="B4" i="287"/>
  <c r="T10" i="282"/>
  <c r="R10" i="282"/>
  <c r="P10" i="282"/>
  <c r="N10" i="282"/>
  <c r="M10" i="282"/>
  <c r="L10" i="282"/>
  <c r="J10" i="282"/>
  <c r="H10" i="282"/>
  <c r="C10" i="282"/>
  <c r="B10" i="282"/>
  <c r="T16" i="278"/>
  <c r="R16" i="278"/>
  <c r="P16" i="278"/>
  <c r="N16" i="278"/>
  <c r="M16" i="278"/>
  <c r="L16" i="278"/>
  <c r="J16" i="278"/>
  <c r="H16" i="278"/>
  <c r="C16" i="278"/>
  <c r="B16" i="278"/>
  <c r="T36" i="288"/>
  <c r="R36" i="288"/>
  <c r="P36" i="288"/>
  <c r="N36" i="288"/>
  <c r="M36" i="288"/>
  <c r="L36" i="288"/>
  <c r="J36" i="288"/>
  <c r="H36" i="288"/>
  <c r="C36" i="288"/>
  <c r="B36" i="288"/>
  <c r="T15" i="289"/>
  <c r="R15" i="289"/>
  <c r="P15" i="289"/>
  <c r="N15" i="289"/>
  <c r="M15" i="289"/>
  <c r="L15" i="289"/>
  <c r="J15" i="289"/>
  <c r="H15" i="289"/>
  <c r="C15" i="289"/>
  <c r="B15" i="289"/>
  <c r="S9" i="291"/>
  <c r="Q9" i="291"/>
  <c r="O9" i="291"/>
  <c r="M9" i="291"/>
  <c r="K9" i="291"/>
  <c r="I9" i="291"/>
  <c r="G9" i="291"/>
  <c r="E9" i="291"/>
  <c r="D9" i="291"/>
  <c r="C9" i="291"/>
  <c r="B9" i="291"/>
  <c r="S14" i="289"/>
  <c r="Q14" i="289"/>
  <c r="O14" i="289"/>
  <c r="M14" i="289"/>
  <c r="K14" i="289"/>
  <c r="I14" i="289"/>
  <c r="G14" i="289"/>
  <c r="E14" i="289"/>
  <c r="C14" i="289"/>
  <c r="B14" i="289"/>
  <c r="T18" i="285"/>
  <c r="R18" i="285"/>
  <c r="P18" i="285"/>
  <c r="N18" i="285"/>
  <c r="M18" i="285"/>
  <c r="L18" i="285"/>
  <c r="J18" i="285"/>
  <c r="H18" i="285"/>
  <c r="C18" i="285"/>
  <c r="B18" i="285"/>
  <c r="T13" i="289"/>
  <c r="R13" i="289"/>
  <c r="P13" i="289"/>
  <c r="N13" i="289"/>
  <c r="M13" i="289"/>
  <c r="L13" i="289"/>
  <c r="J13" i="289"/>
  <c r="H13" i="289"/>
  <c r="F13" i="289"/>
  <c r="D13" i="289"/>
  <c r="C13" i="289"/>
  <c r="B13" i="289"/>
  <c r="T45" i="281"/>
  <c r="R45" i="281"/>
  <c r="P45" i="281"/>
  <c r="N45" i="281"/>
  <c r="M45" i="281"/>
  <c r="L45" i="281"/>
  <c r="J45" i="281"/>
  <c r="H45" i="281"/>
  <c r="F45" i="281"/>
  <c r="C45" i="281"/>
  <c r="B45" i="281"/>
  <c r="T12" i="289"/>
  <c r="R12" i="289"/>
  <c r="P12" i="289"/>
  <c r="N12" i="289"/>
  <c r="M12" i="289"/>
  <c r="L12" i="289"/>
  <c r="J12" i="289"/>
  <c r="H12" i="289"/>
  <c r="C12" i="289"/>
  <c r="B12" i="289"/>
  <c r="S15" i="284"/>
  <c r="Q15" i="284"/>
  <c r="O15" i="284"/>
  <c r="M15" i="284"/>
  <c r="K15" i="284"/>
  <c r="I15" i="284"/>
  <c r="G15" i="284"/>
  <c r="E15" i="284"/>
  <c r="C15" i="284"/>
  <c r="B15" i="284"/>
  <c r="S17" i="285"/>
  <c r="Q17" i="285"/>
  <c r="O17" i="285"/>
  <c r="M17" i="285"/>
  <c r="K17" i="285"/>
  <c r="I17" i="285"/>
  <c r="G17" i="285"/>
  <c r="E17" i="285"/>
  <c r="C17" i="285"/>
  <c r="B17" i="285"/>
  <c r="T14" i="290"/>
  <c r="R14" i="290"/>
  <c r="P14" i="290"/>
  <c r="N14" i="290"/>
  <c r="M14" i="290"/>
  <c r="L14" i="290"/>
  <c r="J14" i="290"/>
  <c r="H14" i="290"/>
  <c r="F14" i="290"/>
  <c r="D14" i="290"/>
  <c r="C14" i="290"/>
  <c r="B14" i="290"/>
  <c r="T29" i="280"/>
  <c r="R29" i="280"/>
  <c r="P29" i="280"/>
  <c r="N29" i="280"/>
  <c r="M29" i="280"/>
  <c r="L29" i="280"/>
  <c r="J29" i="280"/>
  <c r="H29" i="280"/>
  <c r="F29" i="280"/>
  <c r="D29" i="280"/>
  <c r="C29" i="280"/>
  <c r="B29" i="280"/>
  <c r="T16" i="285"/>
  <c r="R16" i="285"/>
  <c r="P16" i="285"/>
  <c r="N16" i="285"/>
  <c r="M16" i="285"/>
  <c r="L16" i="285"/>
  <c r="J16" i="285"/>
  <c r="H16" i="285"/>
  <c r="C16" i="285"/>
  <c r="B16" i="285"/>
  <c r="T28" i="288"/>
  <c r="R28" i="288"/>
  <c r="P28" i="288"/>
  <c r="N28" i="288"/>
  <c r="M28" i="288"/>
  <c r="L28" i="288"/>
  <c r="J28" i="288"/>
  <c r="H28" i="288"/>
  <c r="C28" i="288"/>
  <c r="B28" i="288"/>
  <c r="T15" i="285"/>
  <c r="R15" i="285"/>
  <c r="P15" i="285"/>
  <c r="N15" i="285"/>
  <c r="M15" i="285"/>
  <c r="L15" i="285"/>
  <c r="J15" i="285"/>
  <c r="H15" i="285"/>
  <c r="F15" i="285"/>
  <c r="D15" i="285"/>
  <c r="C15" i="285"/>
  <c r="B15" i="285"/>
  <c r="T14" i="284"/>
  <c r="R14" i="284"/>
  <c r="P14" i="284"/>
  <c r="N14" i="284"/>
  <c r="M14" i="284"/>
  <c r="L14" i="284"/>
  <c r="J14" i="284"/>
  <c r="H14" i="284"/>
  <c r="F14" i="284"/>
  <c r="D14" i="284"/>
  <c r="C14" i="284"/>
  <c r="B14" i="284"/>
  <c r="S14" i="285"/>
  <c r="Q14" i="285"/>
  <c r="O14" i="285"/>
  <c r="M14" i="285"/>
  <c r="K14" i="285"/>
  <c r="I14" i="285"/>
  <c r="G14" i="285"/>
  <c r="E14" i="285"/>
  <c r="C14" i="285"/>
  <c r="B14" i="285"/>
  <c r="S6" i="283"/>
  <c r="Q6" i="283"/>
  <c r="O6" i="283"/>
  <c r="M6" i="283"/>
  <c r="K6" i="283"/>
  <c r="I6" i="283"/>
  <c r="G6" i="283"/>
  <c r="E6" i="283"/>
  <c r="D6" i="283"/>
  <c r="C6" i="283"/>
  <c r="B6" i="283"/>
  <c r="S9" i="282"/>
  <c r="Q9" i="282"/>
  <c r="O9" i="282"/>
  <c r="M9" i="282"/>
  <c r="K9" i="282"/>
  <c r="I9" i="282"/>
  <c r="G9" i="282"/>
  <c r="E9" i="282"/>
  <c r="C8" i="13"/>
  <c r="C9" i="282"/>
  <c r="B9" i="282"/>
  <c r="T10" i="277"/>
  <c r="R10" i="277"/>
  <c r="P10" i="277"/>
  <c r="N10" i="277"/>
  <c r="M10" i="277"/>
  <c r="L10" i="277"/>
  <c r="J10" i="277"/>
  <c r="H10" i="277"/>
  <c r="F10" i="277"/>
  <c r="D10" i="277"/>
  <c r="C10" i="277"/>
  <c r="B10" i="277"/>
  <c r="S5" i="281"/>
  <c r="Q5" i="281"/>
  <c r="O5" i="281"/>
  <c r="M5" i="281"/>
  <c r="K5" i="281"/>
  <c r="I5" i="281"/>
  <c r="G5" i="281"/>
  <c r="E5" i="281"/>
  <c r="D5" i="281"/>
  <c r="C7" i="13"/>
  <c r="C5" i="281"/>
  <c r="B5" i="281"/>
  <c r="T31" i="281"/>
  <c r="R31" i="281"/>
  <c r="P31" i="281"/>
  <c r="N31" i="281"/>
  <c r="M31" i="281"/>
  <c r="L31" i="281"/>
  <c r="J31" i="281"/>
  <c r="H31" i="281"/>
  <c r="F31" i="281"/>
  <c r="D31" i="281"/>
  <c r="C31" i="281"/>
  <c r="B31" i="281"/>
  <c r="T13" i="280"/>
  <c r="R13" i="280"/>
  <c r="P13" i="280"/>
  <c r="N13" i="280"/>
  <c r="M13" i="280"/>
  <c r="L13" i="280"/>
  <c r="J13" i="280"/>
  <c r="H13" i="280"/>
  <c r="C13" i="280"/>
  <c r="B13" i="280"/>
  <c r="T10" i="279"/>
  <c r="R10" i="279"/>
  <c r="P10" i="279"/>
  <c r="N10" i="279"/>
  <c r="M10" i="279"/>
  <c r="L10" i="279"/>
  <c r="J10" i="279"/>
  <c r="H10" i="279"/>
  <c r="F10" i="279"/>
  <c r="D10" i="279"/>
  <c r="C10" i="279"/>
  <c r="B10" i="279"/>
  <c r="S8" i="282"/>
  <c r="Q8" i="282"/>
  <c r="O8" i="282"/>
  <c r="M8" i="282"/>
  <c r="K8" i="282"/>
  <c r="I8" i="282"/>
  <c r="G8" i="282"/>
  <c r="E8" i="282"/>
  <c r="C6" i="13"/>
  <c r="C8" i="282"/>
  <c r="B8" i="282"/>
  <c r="T15" i="278"/>
  <c r="R15" i="278"/>
  <c r="P15" i="278"/>
  <c r="N15" i="278"/>
  <c r="M15" i="278"/>
  <c r="L15" i="278"/>
  <c r="J15" i="278"/>
  <c r="H15" i="278"/>
  <c r="C15" i="278"/>
  <c r="B15" i="278"/>
  <c r="T22" i="279"/>
  <c r="R22" i="279"/>
  <c r="P22" i="279"/>
  <c r="N22" i="279"/>
  <c r="M22" i="279"/>
  <c r="L22" i="279"/>
  <c r="J22" i="279"/>
  <c r="H22" i="279"/>
  <c r="F22" i="279"/>
  <c r="D22" i="279"/>
  <c r="C22" i="279"/>
  <c r="B22" i="279"/>
  <c r="T14" i="278"/>
  <c r="R14" i="278"/>
  <c r="P14" i="278"/>
  <c r="N14" i="278"/>
  <c r="M14" i="278"/>
  <c r="L14" i="278"/>
  <c r="J14" i="278"/>
  <c r="H14" i="278"/>
  <c r="C14" i="278"/>
  <c r="B14" i="278"/>
  <c r="S6" i="291"/>
  <c r="Q6" i="291"/>
  <c r="O6" i="291"/>
  <c r="M6" i="291"/>
  <c r="K6" i="291"/>
  <c r="I6" i="291"/>
  <c r="G6" i="291"/>
  <c r="E6" i="291"/>
  <c r="D6" i="291"/>
  <c r="C6" i="291"/>
  <c r="B6" i="291"/>
  <c r="S11" i="289"/>
  <c r="Q11" i="289"/>
  <c r="O11" i="289"/>
  <c r="M11" i="289"/>
  <c r="K11" i="289"/>
  <c r="I11" i="289"/>
  <c r="G11" i="289"/>
  <c r="E11" i="289"/>
  <c r="C11" i="289"/>
  <c r="B11" i="289"/>
  <c r="S17" i="279"/>
  <c r="Q17" i="279"/>
  <c r="O17" i="279"/>
  <c r="M17" i="279"/>
  <c r="K17" i="279"/>
  <c r="I17" i="279"/>
  <c r="G17" i="279"/>
  <c r="E17" i="279"/>
  <c r="D17" i="279"/>
  <c r="C17" i="279"/>
  <c r="B17" i="279"/>
  <c r="T17" i="290"/>
  <c r="R17" i="290"/>
  <c r="P17" i="290"/>
  <c r="N17" i="290"/>
  <c r="M17" i="290"/>
  <c r="L17" i="290"/>
  <c r="J17" i="290"/>
  <c r="H17" i="290"/>
  <c r="C17" i="290"/>
  <c r="B17" i="290"/>
  <c r="T28" i="281"/>
  <c r="R28" i="281"/>
  <c r="P28" i="281"/>
  <c r="N28" i="281"/>
  <c r="M28" i="281"/>
  <c r="L28" i="281"/>
  <c r="J28" i="281"/>
  <c r="H28" i="281"/>
  <c r="F28" i="281"/>
  <c r="D28" i="281"/>
  <c r="C28" i="281"/>
  <c r="B28" i="281"/>
  <c r="T12" i="291"/>
  <c r="R12" i="291"/>
  <c r="P12" i="291"/>
  <c r="N12" i="291"/>
  <c r="M12" i="291"/>
  <c r="L12" i="291"/>
  <c r="J12" i="291"/>
  <c r="H12" i="291"/>
  <c r="F12" i="291"/>
  <c r="D12" i="291"/>
  <c r="C12" i="291"/>
  <c r="B12" i="291"/>
  <c r="S28" i="280"/>
  <c r="Q28" i="280"/>
  <c r="O28" i="280"/>
  <c r="M28" i="280"/>
  <c r="K28" i="280"/>
  <c r="I28" i="280"/>
  <c r="G28" i="280"/>
  <c r="E28" i="280"/>
  <c r="D28" i="280"/>
  <c r="C28" i="280"/>
  <c r="B28" i="280"/>
  <c r="S13" i="285"/>
  <c r="Q13" i="285"/>
  <c r="O13" i="285"/>
  <c r="M13" i="285"/>
  <c r="K13" i="285"/>
  <c r="I13" i="285"/>
  <c r="G13" i="285"/>
  <c r="E13" i="285"/>
  <c r="C13" i="285"/>
  <c r="B13" i="285"/>
  <c r="S10" i="289"/>
  <c r="Q10" i="289"/>
  <c r="O10" i="289"/>
  <c r="M10" i="289"/>
  <c r="K10" i="289"/>
  <c r="I10" i="289"/>
  <c r="G10" i="289"/>
  <c r="E10" i="289"/>
  <c r="C10" i="289"/>
  <c r="B10" i="289"/>
  <c r="S12" i="285"/>
  <c r="Q12" i="285"/>
  <c r="O12" i="285"/>
  <c r="M12" i="285"/>
  <c r="K12" i="285"/>
  <c r="I12" i="285"/>
  <c r="G12" i="285"/>
  <c r="E12" i="285"/>
  <c r="C12" i="285"/>
  <c r="B12" i="285"/>
  <c r="S26" i="291"/>
  <c r="Q26" i="291"/>
  <c r="O26" i="291"/>
  <c r="M26" i="291"/>
  <c r="K26" i="291"/>
  <c r="I26" i="291"/>
  <c r="G26" i="291"/>
  <c r="E26" i="291"/>
  <c r="D26" i="291"/>
  <c r="C26" i="291"/>
  <c r="B26" i="291"/>
  <c r="S13" i="278"/>
  <c r="Q13" i="278"/>
  <c r="O13" i="278"/>
  <c r="M13" i="278"/>
  <c r="K13" i="278"/>
  <c r="I13" i="278"/>
  <c r="G13" i="278"/>
  <c r="E13" i="278"/>
  <c r="C13" i="278"/>
  <c r="B13" i="278"/>
  <c r="S9" i="289"/>
  <c r="Q9" i="289"/>
  <c r="O9" i="289"/>
  <c r="M9" i="289"/>
  <c r="K9" i="289"/>
  <c r="I9" i="289"/>
  <c r="G9" i="289"/>
  <c r="E9" i="289"/>
  <c r="C9" i="289"/>
  <c r="B9" i="289"/>
  <c r="S16" i="291"/>
  <c r="Q16" i="291"/>
  <c r="O16" i="291"/>
  <c r="M16" i="291"/>
  <c r="K16" i="291"/>
  <c r="I16" i="291"/>
  <c r="G16" i="291"/>
  <c r="E16" i="291"/>
  <c r="D16" i="291"/>
  <c r="C16" i="291"/>
  <c r="B16" i="291"/>
  <c r="S5" i="291"/>
  <c r="Q5" i="291"/>
  <c r="O5" i="291"/>
  <c r="M5" i="291"/>
  <c r="K5" i="291"/>
  <c r="I5" i="291"/>
  <c r="G5" i="291"/>
  <c r="E5" i="291"/>
  <c r="D5" i="291"/>
  <c r="C5" i="291"/>
  <c r="B5" i="291"/>
  <c r="S8" i="289"/>
  <c r="Q8" i="289"/>
  <c r="O8" i="289"/>
  <c r="M8" i="289"/>
  <c r="K8" i="289"/>
  <c r="I8" i="289"/>
  <c r="G8" i="289"/>
  <c r="E8" i="289"/>
  <c r="D8" i="289"/>
  <c r="C8" i="289"/>
  <c r="B8" i="289"/>
  <c r="S25" i="291"/>
  <c r="Q25" i="291"/>
  <c r="O25" i="291"/>
  <c r="M25" i="291"/>
  <c r="K25" i="291"/>
  <c r="I25" i="291"/>
  <c r="G25" i="291"/>
  <c r="E25" i="291"/>
  <c r="D25" i="291"/>
  <c r="C25" i="291"/>
  <c r="B25" i="291"/>
  <c r="S11" i="285"/>
  <c r="Q11" i="285"/>
  <c r="O11" i="285"/>
  <c r="M11" i="285"/>
  <c r="K11" i="285"/>
  <c r="I11" i="285"/>
  <c r="G11" i="285"/>
  <c r="E11" i="285"/>
  <c r="C11" i="285"/>
  <c r="B11" i="285"/>
  <c r="S10" i="285"/>
  <c r="Q10" i="285"/>
  <c r="O10" i="285"/>
  <c r="M10" i="285"/>
  <c r="K10" i="285"/>
  <c r="I10" i="285"/>
  <c r="G10" i="285"/>
  <c r="E10" i="285"/>
  <c r="C10" i="285"/>
  <c r="B10" i="285"/>
  <c r="S12" i="278"/>
  <c r="Q12" i="278"/>
  <c r="O12" i="278"/>
  <c r="M12" i="278"/>
  <c r="K12" i="278"/>
  <c r="I12" i="278"/>
  <c r="G12" i="278"/>
  <c r="E12" i="278"/>
  <c r="D12" i="278"/>
  <c r="C12" i="278"/>
  <c r="B12" i="278"/>
  <c r="S4" i="291"/>
  <c r="Q4" i="291"/>
  <c r="O4" i="291"/>
  <c r="M4" i="291"/>
  <c r="K4" i="291"/>
  <c r="I4" i="291"/>
  <c r="G4" i="291"/>
  <c r="E4" i="291"/>
  <c r="C4" i="291"/>
  <c r="B4" i="291"/>
  <c r="S8" i="288"/>
  <c r="Q8" i="288"/>
  <c r="O8" i="288"/>
  <c r="M8" i="288"/>
  <c r="K8" i="288"/>
  <c r="I8" i="288"/>
  <c r="G8" i="288"/>
  <c r="E8" i="288"/>
  <c r="C8" i="288"/>
  <c r="B8" i="288"/>
  <c r="S26" i="279"/>
  <c r="Q26" i="279"/>
  <c r="O26" i="279"/>
  <c r="M26" i="279"/>
  <c r="K26" i="279"/>
  <c r="I26" i="279"/>
  <c r="G26" i="279"/>
  <c r="E26" i="279"/>
  <c r="C26" i="279"/>
  <c r="B26" i="279"/>
  <c r="S13" i="279"/>
  <c r="Q13" i="279"/>
  <c r="O13" i="279"/>
  <c r="M13" i="279"/>
  <c r="K13" i="279"/>
  <c r="I13" i="279"/>
  <c r="G13" i="279"/>
  <c r="E13" i="279"/>
  <c r="C13" i="279"/>
  <c r="B13" i="279"/>
  <c r="S42" i="281"/>
  <c r="Q42" i="281"/>
  <c r="O42" i="281"/>
  <c r="M42" i="281"/>
  <c r="K42" i="281"/>
  <c r="I42" i="281"/>
  <c r="G42" i="281"/>
  <c r="E42" i="281"/>
  <c r="D42" i="281"/>
  <c r="C42" i="281"/>
  <c r="B42" i="281"/>
  <c r="S11" i="278"/>
  <c r="Q11" i="278"/>
  <c r="O11" i="278"/>
  <c r="M11" i="278"/>
  <c r="K11" i="278"/>
  <c r="I11" i="278"/>
  <c r="G11" i="278"/>
  <c r="E11" i="278"/>
  <c r="D11" i="278"/>
  <c r="C11" i="278"/>
  <c r="B11" i="278"/>
  <c r="S44" i="281"/>
  <c r="Q44" i="281"/>
  <c r="O44" i="281"/>
  <c r="M44" i="281"/>
  <c r="K44" i="281"/>
  <c r="I44" i="281"/>
  <c r="G44" i="281"/>
  <c r="E44" i="281"/>
  <c r="C44" i="281"/>
  <c r="B44" i="281"/>
  <c r="S31" i="280"/>
  <c r="Q31" i="280"/>
  <c r="O31" i="280"/>
  <c r="M31" i="280"/>
  <c r="K31" i="280"/>
  <c r="I31" i="280"/>
  <c r="G31" i="280"/>
  <c r="E31" i="280"/>
  <c r="C31" i="280"/>
  <c r="B31" i="280"/>
  <c r="S24" i="291"/>
  <c r="Q24" i="291"/>
  <c r="O24" i="291"/>
  <c r="M24" i="291"/>
  <c r="K24" i="291"/>
  <c r="I24" i="291"/>
  <c r="G24" i="291"/>
  <c r="E24" i="291"/>
  <c r="D24" i="291"/>
  <c r="C24" i="291"/>
  <c r="B24" i="291"/>
  <c r="S9" i="285"/>
  <c r="Q9" i="285"/>
  <c r="O9" i="285"/>
  <c r="M9" i="285"/>
  <c r="K9" i="285"/>
  <c r="I9" i="285"/>
  <c r="G9" i="285"/>
  <c r="E9" i="285"/>
  <c r="C9" i="285"/>
  <c r="B9" i="285"/>
  <c r="S12" i="288"/>
  <c r="Q12" i="288"/>
  <c r="O12" i="288"/>
  <c r="M12" i="288"/>
  <c r="K12" i="288"/>
  <c r="I12" i="288"/>
  <c r="G12" i="288"/>
  <c r="E12" i="288"/>
  <c r="C12" i="288"/>
  <c r="B12" i="288"/>
  <c r="S8" i="291"/>
  <c r="Q8" i="291"/>
  <c r="O8" i="291"/>
  <c r="M8" i="291"/>
  <c r="K8" i="291"/>
  <c r="I8" i="291"/>
  <c r="G8" i="291"/>
  <c r="E8" i="291"/>
  <c r="C8" i="291"/>
  <c r="B8" i="291"/>
  <c r="S28" i="287"/>
  <c r="Q28" i="287"/>
  <c r="O28" i="287"/>
  <c r="M28" i="287"/>
  <c r="K28" i="287"/>
  <c r="I28" i="287"/>
  <c r="G28" i="287"/>
  <c r="E28" i="287"/>
  <c r="D28" i="287"/>
  <c r="C28" i="287"/>
  <c r="B28" i="287"/>
  <c r="S56" i="281"/>
  <c r="Q56" i="281"/>
  <c r="O56" i="281"/>
  <c r="M56" i="281"/>
  <c r="K56" i="281"/>
  <c r="I56" i="281"/>
  <c r="G56" i="281"/>
  <c r="E56" i="281"/>
  <c r="C5" i="13"/>
  <c r="C56" i="281"/>
  <c r="B56" i="281"/>
  <c r="T41" i="281"/>
  <c r="R41" i="281"/>
  <c r="P41" i="281"/>
  <c r="N41" i="281"/>
  <c r="M41" i="281"/>
  <c r="L41" i="281"/>
  <c r="J41" i="281"/>
  <c r="H41" i="281"/>
  <c r="C41" i="281"/>
  <c r="B41" i="281"/>
  <c r="T21" i="291"/>
  <c r="R21" i="291"/>
  <c r="P21" i="291"/>
  <c r="N21" i="291"/>
  <c r="M21" i="291"/>
  <c r="L21" i="291"/>
  <c r="J21" i="291"/>
  <c r="H21" i="291"/>
  <c r="F21" i="291"/>
  <c r="D21" i="291"/>
  <c r="C21" i="291"/>
  <c r="B21" i="291"/>
  <c r="T8" i="285"/>
  <c r="R8" i="285"/>
  <c r="P8" i="285"/>
  <c r="N8" i="285"/>
  <c r="M8" i="285"/>
  <c r="L8" i="285"/>
  <c r="J8" i="285"/>
  <c r="H8" i="285"/>
  <c r="C8" i="285"/>
  <c r="B8" i="285"/>
  <c r="T20" i="291"/>
  <c r="R20" i="291"/>
  <c r="P20" i="291"/>
  <c r="N20" i="291"/>
  <c r="M20" i="291"/>
  <c r="L20" i="291"/>
  <c r="J20" i="291"/>
  <c r="H20" i="291"/>
  <c r="F20" i="291"/>
  <c r="D20" i="291"/>
  <c r="C20" i="291"/>
  <c r="B20" i="291"/>
  <c r="T13" i="284"/>
  <c r="R13" i="284"/>
  <c r="P13" i="284"/>
  <c r="N13" i="284"/>
  <c r="M13" i="284"/>
  <c r="L13" i="284"/>
  <c r="J13" i="284"/>
  <c r="H13" i="284"/>
  <c r="C13" i="284"/>
  <c r="B13" i="284"/>
  <c r="S27" i="286"/>
  <c r="Q27" i="286"/>
  <c r="O27" i="286"/>
  <c r="M27" i="286"/>
  <c r="K27" i="286"/>
  <c r="I27" i="286"/>
  <c r="G27" i="286"/>
  <c r="E27" i="286"/>
  <c r="C4" i="13"/>
  <c r="C27" i="286"/>
  <c r="B27" i="286"/>
  <c r="T5" i="277"/>
  <c r="R5" i="277"/>
  <c r="P5" i="277"/>
  <c r="N5" i="277"/>
  <c r="M5" i="277"/>
  <c r="L5" i="277"/>
  <c r="J5" i="277"/>
  <c r="H5" i="277"/>
  <c r="F5" i="277"/>
  <c r="D5" i="277"/>
  <c r="C5" i="277"/>
  <c r="B5" i="277"/>
  <c r="T7" i="285"/>
  <c r="R7" i="285"/>
  <c r="P7" i="285"/>
  <c r="N7" i="285"/>
  <c r="M7" i="285"/>
  <c r="L7" i="285"/>
  <c r="J7" i="285"/>
  <c r="H7" i="285"/>
  <c r="C7" i="285"/>
  <c r="B7" i="285"/>
  <c r="T30" i="281"/>
  <c r="R30" i="281"/>
  <c r="P30" i="281"/>
  <c r="N30" i="281"/>
  <c r="M30" i="281"/>
  <c r="L30" i="281"/>
  <c r="J30" i="281"/>
  <c r="H30" i="281"/>
  <c r="C30" i="281"/>
  <c r="B30" i="281"/>
  <c r="S6" i="285"/>
  <c r="Q6" i="285"/>
  <c r="O6" i="285"/>
  <c r="M6" i="285"/>
  <c r="K6" i="285"/>
  <c r="I6" i="285"/>
  <c r="G6" i="285"/>
  <c r="E6" i="285"/>
  <c r="C6" i="285"/>
  <c r="B6" i="285"/>
  <c r="S43" i="280"/>
  <c r="Q43" i="280"/>
  <c r="O43" i="280"/>
  <c r="M43" i="280"/>
  <c r="K43" i="280"/>
  <c r="I43" i="280"/>
  <c r="G43" i="280"/>
  <c r="E43" i="280"/>
  <c r="C43" i="280"/>
  <c r="B43" i="280"/>
  <c r="T4" i="277"/>
  <c r="R4" i="277"/>
  <c r="P4" i="277"/>
  <c r="N4" i="277"/>
  <c r="M4" i="277"/>
  <c r="L4" i="277"/>
  <c r="J4" i="277"/>
  <c r="H4" i="277"/>
  <c r="C4" i="277"/>
  <c r="B4" i="277"/>
  <c r="T13" i="277"/>
  <c r="R13" i="277"/>
  <c r="P13" i="277"/>
  <c r="N13" i="277"/>
  <c r="M13" i="277"/>
  <c r="L13" i="277"/>
  <c r="J13" i="277"/>
  <c r="H13" i="277"/>
  <c r="C13" i="277"/>
  <c r="B13" i="277"/>
  <c r="T25" i="288"/>
  <c r="R25" i="288"/>
  <c r="P25" i="288"/>
  <c r="N25" i="288"/>
  <c r="M25" i="288"/>
  <c r="L25" i="288"/>
  <c r="J25" i="288"/>
  <c r="H25" i="288"/>
  <c r="F25" i="288"/>
  <c r="D25" i="288"/>
  <c r="C25" i="288"/>
  <c r="B25" i="288"/>
  <c r="T13" i="290"/>
  <c r="R13" i="290"/>
  <c r="P13" i="290"/>
  <c r="N13" i="290"/>
  <c r="M13" i="290"/>
  <c r="L13" i="290"/>
  <c r="J13" i="290"/>
  <c r="H13" i="290"/>
  <c r="F13" i="290"/>
  <c r="D13" i="290"/>
  <c r="C13" i="290"/>
  <c r="B13" i="290"/>
  <c r="S9" i="277"/>
  <c r="Q9" i="277"/>
  <c r="O9" i="277"/>
  <c r="M9" i="277"/>
  <c r="K9" i="277"/>
  <c r="I9" i="277"/>
  <c r="G9" i="277"/>
  <c r="E9" i="277"/>
  <c r="C9" i="277"/>
  <c r="B9" i="277"/>
  <c r="S53" i="281"/>
  <c r="Q53" i="281"/>
  <c r="O53" i="281"/>
  <c r="M53" i="281"/>
  <c r="K53" i="281"/>
  <c r="I53" i="281"/>
  <c r="G53" i="281"/>
  <c r="E53" i="281"/>
  <c r="D53" i="281"/>
  <c r="C53" i="281"/>
  <c r="B53" i="281"/>
  <c r="S27" i="281"/>
  <c r="Q27" i="281"/>
  <c r="O27" i="281"/>
  <c r="M27" i="281"/>
  <c r="K27" i="281"/>
  <c r="I27" i="281"/>
  <c r="G27" i="281"/>
  <c r="E27" i="281"/>
  <c r="D27" i="281"/>
  <c r="C27" i="281"/>
  <c r="B27" i="281"/>
  <c r="S39" i="280"/>
  <c r="Q39" i="280"/>
  <c r="O39" i="280"/>
  <c r="M39" i="280"/>
  <c r="K39" i="280"/>
  <c r="I39" i="280"/>
  <c r="G39" i="280"/>
  <c r="E39" i="280"/>
  <c r="C39" i="280"/>
  <c r="B39" i="280"/>
  <c r="T7" i="289"/>
  <c r="R7" i="289"/>
  <c r="P7" i="289"/>
  <c r="N7" i="289"/>
  <c r="M7" i="289"/>
  <c r="L7" i="289"/>
  <c r="J7" i="289"/>
  <c r="H7" i="289"/>
  <c r="C7" i="289"/>
  <c r="B7" i="289"/>
  <c r="T22" i="277"/>
  <c r="R22" i="277"/>
  <c r="P22" i="277"/>
  <c r="N22" i="277"/>
  <c r="M22" i="277"/>
  <c r="L22" i="277"/>
  <c r="J22" i="277"/>
  <c r="H22" i="277"/>
  <c r="D22" i="277"/>
  <c r="C22" i="277"/>
  <c r="B22" i="277"/>
  <c r="T24" i="288"/>
  <c r="R24" i="288"/>
  <c r="P24" i="288"/>
  <c r="N24" i="288"/>
  <c r="M24" i="288"/>
  <c r="L24" i="288"/>
  <c r="J24" i="288"/>
  <c r="H24" i="288"/>
  <c r="C24" i="288"/>
  <c r="B24" i="288"/>
  <c r="T26" i="281"/>
  <c r="R26" i="281"/>
  <c r="P26" i="281"/>
  <c r="N26" i="281"/>
  <c r="M26" i="281"/>
  <c r="L26" i="281"/>
  <c r="J26" i="281"/>
  <c r="H26" i="281"/>
  <c r="C26" i="281"/>
  <c r="B26" i="281"/>
  <c r="S6" i="289"/>
  <c r="Q6" i="289"/>
  <c r="O6" i="289"/>
  <c r="M6" i="289"/>
  <c r="K6" i="289"/>
  <c r="I6" i="289"/>
  <c r="G6" i="289"/>
  <c r="E6" i="289"/>
  <c r="D6" i="289"/>
  <c r="C6" i="289"/>
  <c r="B6" i="289"/>
  <c r="S27" i="280"/>
  <c r="Q27" i="280"/>
  <c r="O27" i="280"/>
  <c r="M27" i="280"/>
  <c r="K27" i="280"/>
  <c r="I27" i="280"/>
  <c r="G27" i="280"/>
  <c r="E27" i="280"/>
  <c r="C27" i="280"/>
  <c r="B27" i="280"/>
  <c r="S5" i="283"/>
  <c r="Q5" i="283"/>
  <c r="O5" i="283"/>
  <c r="M5" i="283"/>
  <c r="K5" i="283"/>
  <c r="I5" i="283"/>
  <c r="G5" i="283"/>
  <c r="E5" i="283"/>
  <c r="C5" i="283"/>
  <c r="B5" i="283"/>
  <c r="S10" i="278"/>
  <c r="Q10" i="278"/>
  <c r="O10" i="278"/>
  <c r="M10" i="278"/>
  <c r="K10" i="278"/>
  <c r="I10" i="278"/>
  <c r="G10" i="278"/>
  <c r="E10" i="278"/>
  <c r="C10" i="278"/>
  <c r="B10" i="278"/>
  <c r="T27" i="287"/>
  <c r="L27" i="287"/>
  <c r="C27" i="287"/>
  <c r="B27" i="287"/>
  <c r="T9" i="278"/>
  <c r="R9" i="278"/>
  <c r="P9" i="278"/>
  <c r="N9" i="278"/>
  <c r="M9" i="278"/>
  <c r="L9" i="278"/>
  <c r="J9" i="278"/>
  <c r="H9" i="278"/>
  <c r="C9" i="278"/>
  <c r="B9" i="278"/>
  <c r="T4" i="286"/>
  <c r="R4" i="286"/>
  <c r="P4" i="286"/>
  <c r="N4" i="286"/>
  <c r="M4" i="286"/>
  <c r="L4" i="286"/>
  <c r="J4" i="286"/>
  <c r="H4" i="286"/>
  <c r="C4" i="286"/>
  <c r="B4" i="286"/>
  <c r="T5" i="289"/>
  <c r="R5" i="289"/>
  <c r="P5" i="289"/>
  <c r="N5" i="289"/>
  <c r="M5" i="289"/>
  <c r="L5" i="289"/>
  <c r="J5" i="289"/>
  <c r="H5" i="289"/>
  <c r="C5" i="289"/>
  <c r="B5" i="289"/>
  <c r="S15" i="291"/>
  <c r="Q15" i="291"/>
  <c r="O15" i="291"/>
  <c r="M15" i="291"/>
  <c r="K15" i="291"/>
  <c r="I15" i="291"/>
  <c r="G15" i="291"/>
  <c r="E15" i="291"/>
  <c r="C15" i="291"/>
  <c r="B15" i="291"/>
  <c r="S11" i="291"/>
  <c r="Q11" i="291"/>
  <c r="O11" i="291"/>
  <c r="M11" i="291"/>
  <c r="K11" i="291"/>
  <c r="I11" i="291"/>
  <c r="G11" i="291"/>
  <c r="E11" i="291"/>
  <c r="C11" i="291"/>
  <c r="B11" i="291"/>
  <c r="S29" i="291"/>
  <c r="Q29" i="291"/>
  <c r="O29" i="291"/>
  <c r="M29" i="291"/>
  <c r="K29" i="291"/>
  <c r="I29" i="291"/>
  <c r="G29" i="291"/>
  <c r="E29" i="291"/>
  <c r="D29" i="291"/>
  <c r="C29" i="291"/>
  <c r="B29" i="291"/>
  <c r="T9" i="279"/>
  <c r="R9" i="279"/>
  <c r="P9" i="279"/>
  <c r="N9" i="279"/>
  <c r="M9" i="279"/>
  <c r="L9" i="279"/>
  <c r="J9" i="279"/>
  <c r="H9" i="279"/>
  <c r="C9" i="279"/>
  <c r="B9" i="279"/>
  <c r="T23" i="291"/>
  <c r="R23" i="291"/>
  <c r="P23" i="291"/>
  <c r="N23" i="291"/>
  <c r="M23" i="291"/>
  <c r="L23" i="291"/>
  <c r="J23" i="291"/>
  <c r="H23" i="291"/>
  <c r="C23" i="291"/>
  <c r="B23" i="291"/>
  <c r="T8" i="278"/>
  <c r="R8" i="278"/>
  <c r="P8" i="278"/>
  <c r="N8" i="278"/>
  <c r="M8" i="278"/>
  <c r="L8" i="278"/>
  <c r="J8" i="278"/>
  <c r="H8" i="278"/>
  <c r="F8" i="278"/>
  <c r="D8" i="278"/>
  <c r="C8" i="278"/>
  <c r="B8" i="278"/>
  <c r="T8" i="286"/>
  <c r="L8" i="286"/>
  <c r="C8" i="286"/>
  <c r="B8" i="286"/>
  <c r="T31" i="288"/>
  <c r="R31" i="288"/>
  <c r="P31" i="288"/>
  <c r="N31" i="288"/>
  <c r="M31" i="288"/>
  <c r="L31" i="288"/>
  <c r="J31" i="288"/>
  <c r="H31" i="288"/>
  <c r="C31" i="288"/>
  <c r="B31" i="288"/>
  <c r="T19" i="291"/>
  <c r="R19" i="291"/>
  <c r="P19" i="291"/>
  <c r="N19" i="291"/>
  <c r="M19" i="291"/>
  <c r="L19" i="291"/>
  <c r="J19" i="291"/>
  <c r="H19" i="291"/>
  <c r="C19" i="291"/>
  <c r="B19" i="291"/>
  <c r="T16" i="288"/>
  <c r="L16" i="288"/>
  <c r="C16" i="288"/>
  <c r="B16" i="288"/>
  <c r="T12" i="284"/>
  <c r="R12" i="284"/>
  <c r="P12" i="284"/>
  <c r="N12" i="284"/>
  <c r="M12" i="284"/>
  <c r="L12" i="284"/>
  <c r="J12" i="284"/>
  <c r="H12" i="284"/>
  <c r="C12" i="284"/>
  <c r="B12" i="284"/>
  <c r="T11" i="284"/>
  <c r="R11" i="284"/>
  <c r="P11" i="284"/>
  <c r="N11" i="284"/>
  <c r="M11" i="284"/>
  <c r="L11" i="284"/>
  <c r="J11" i="284"/>
  <c r="H11" i="284"/>
  <c r="C11" i="284"/>
  <c r="B11" i="284"/>
  <c r="T7" i="278"/>
  <c r="R7" i="278"/>
  <c r="P7" i="278"/>
  <c r="N7" i="278"/>
  <c r="M7" i="278"/>
  <c r="L7" i="278"/>
  <c r="J7" i="278"/>
  <c r="H7" i="278"/>
  <c r="C7" i="278"/>
  <c r="B7" i="278"/>
  <c r="T10" i="284"/>
  <c r="R10" i="284"/>
  <c r="P10" i="284"/>
  <c r="N10" i="284"/>
  <c r="M10" i="284"/>
  <c r="L10" i="284"/>
  <c r="J10" i="284"/>
  <c r="H10" i="284"/>
  <c r="F10" i="284"/>
  <c r="D10" i="284"/>
  <c r="C10" i="284"/>
  <c r="B10" i="284"/>
  <c r="S9" i="284"/>
  <c r="Q9" i="284"/>
  <c r="O9" i="284"/>
  <c r="M9" i="284"/>
  <c r="K9" i="284"/>
  <c r="I9" i="284"/>
  <c r="G9" i="284"/>
  <c r="E9" i="284"/>
  <c r="D9" i="284"/>
  <c r="C9" i="284"/>
  <c r="B9" i="284"/>
  <c r="S8" i="284"/>
  <c r="Q8" i="284"/>
  <c r="O8" i="284"/>
  <c r="M8" i="284"/>
  <c r="K8" i="284"/>
  <c r="I8" i="284"/>
  <c r="G8" i="284"/>
  <c r="E8" i="284"/>
  <c r="C8" i="284"/>
  <c r="B8" i="284"/>
  <c r="S28" i="291"/>
  <c r="Q28" i="291"/>
  <c r="O28" i="291"/>
  <c r="M28" i="291"/>
  <c r="K28" i="291"/>
  <c r="I28" i="291"/>
  <c r="G28" i="291"/>
  <c r="E28" i="291"/>
  <c r="D28" i="291"/>
  <c r="C28" i="291"/>
  <c r="B28" i="291"/>
  <c r="S16" i="279"/>
  <c r="Q16" i="279"/>
  <c r="O16" i="279"/>
  <c r="M16" i="279"/>
  <c r="K16" i="279"/>
  <c r="I16" i="279"/>
  <c r="G16" i="279"/>
  <c r="E16" i="279"/>
  <c r="C16" i="279"/>
  <c r="B16" i="279"/>
  <c r="S48" i="281"/>
  <c r="Q48" i="281"/>
  <c r="O48" i="281"/>
  <c r="M48" i="281"/>
  <c r="K48" i="281"/>
  <c r="I48" i="281"/>
  <c r="G48" i="281"/>
  <c r="E48" i="281"/>
  <c r="C48" i="281"/>
  <c r="B48" i="281"/>
  <c r="S4" i="281"/>
  <c r="Q4" i="281"/>
  <c r="O4" i="281"/>
  <c r="M4" i="281"/>
  <c r="K4" i="281"/>
  <c r="I4" i="281"/>
  <c r="G4" i="281"/>
  <c r="E4" i="281"/>
  <c r="C4" i="281"/>
  <c r="B4" i="281"/>
  <c r="T27" i="291"/>
  <c r="R27" i="291"/>
  <c r="P27" i="291"/>
  <c r="N27" i="291"/>
  <c r="M27" i="291"/>
  <c r="L27" i="291"/>
  <c r="J27" i="291"/>
  <c r="H27" i="291"/>
  <c r="C27" i="291"/>
  <c r="B27" i="291"/>
  <c r="T21" i="280"/>
  <c r="L21" i="280"/>
  <c r="C21" i="280"/>
  <c r="B21" i="280"/>
  <c r="T29" i="290"/>
  <c r="R29" i="290"/>
  <c r="P29" i="290"/>
  <c r="N29" i="290"/>
  <c r="M29" i="290"/>
  <c r="L29" i="290"/>
  <c r="J29" i="290"/>
  <c r="H29" i="290"/>
  <c r="C29" i="290"/>
  <c r="B29" i="290"/>
  <c r="T7" i="284"/>
  <c r="R7" i="284"/>
  <c r="P7" i="284"/>
  <c r="N7" i="284"/>
  <c r="M7" i="284"/>
  <c r="L7" i="284"/>
  <c r="J7" i="284"/>
  <c r="H7" i="284"/>
  <c r="C7" i="284"/>
  <c r="B7" i="284"/>
  <c r="T6" i="284"/>
  <c r="R6" i="284"/>
  <c r="P6" i="284"/>
  <c r="N6" i="284"/>
  <c r="M6" i="284"/>
  <c r="L6" i="284"/>
  <c r="J6" i="284"/>
  <c r="H6" i="284"/>
  <c r="F6" i="284"/>
  <c r="D6" i="284"/>
  <c r="C6" i="284"/>
  <c r="B6" i="284"/>
  <c r="T26" i="277"/>
  <c r="L26" i="277"/>
  <c r="C26" i="277"/>
  <c r="B26" i="277"/>
  <c r="T12" i="290"/>
  <c r="R12" i="290"/>
  <c r="P12" i="290"/>
  <c r="N12" i="290"/>
  <c r="M12" i="290"/>
  <c r="L12" i="290"/>
  <c r="J12" i="290"/>
  <c r="H12" i="290"/>
  <c r="C12" i="290"/>
  <c r="B12" i="290"/>
  <c r="S6" i="278"/>
  <c r="Q6" i="278"/>
  <c r="O6" i="278"/>
  <c r="M6" i="278"/>
  <c r="K6" i="278"/>
  <c r="I6" i="278"/>
  <c r="G6" i="278"/>
  <c r="E6" i="278"/>
  <c r="C6" i="278"/>
  <c r="B6" i="278"/>
  <c r="S7" i="282"/>
  <c r="Q7" i="282"/>
  <c r="O7" i="282"/>
  <c r="M7" i="282"/>
  <c r="K7" i="282"/>
  <c r="I7" i="282"/>
  <c r="G7" i="282"/>
  <c r="E7" i="282"/>
  <c r="C7" i="282"/>
  <c r="B7" i="282"/>
  <c r="L31" i="291"/>
  <c r="E31" i="291"/>
  <c r="C31" i="291"/>
  <c r="B31" i="291"/>
  <c r="T21" i="290"/>
  <c r="R21" i="290"/>
  <c r="P21" i="290"/>
  <c r="N21" i="290"/>
  <c r="M21" i="290"/>
  <c r="L21" i="290"/>
  <c r="J21" i="290"/>
  <c r="H21" i="290"/>
  <c r="C21" i="290"/>
  <c r="B21" i="290"/>
  <c r="T31" i="279"/>
  <c r="R31" i="279"/>
  <c r="P31" i="279"/>
  <c r="N31" i="279"/>
  <c r="M31" i="279"/>
  <c r="L31" i="279"/>
  <c r="J31" i="279"/>
  <c r="H31" i="279"/>
  <c r="C31" i="279"/>
  <c r="B31" i="279"/>
  <c r="T6" i="282"/>
  <c r="R6" i="282"/>
  <c r="P6" i="282"/>
  <c r="N6" i="282"/>
  <c r="M6" i="282"/>
  <c r="L6" i="282"/>
  <c r="J6" i="282"/>
  <c r="H6" i="282"/>
  <c r="F6" i="282"/>
  <c r="D6" i="282"/>
  <c r="C6" i="282"/>
  <c r="B6" i="282"/>
  <c r="T5" i="278"/>
  <c r="R5" i="278"/>
  <c r="P5" i="278"/>
  <c r="N5" i="278"/>
  <c r="M5" i="278"/>
  <c r="L5" i="278"/>
  <c r="J5" i="278"/>
  <c r="H5" i="278"/>
  <c r="C5" i="278"/>
  <c r="B5" i="278"/>
  <c r="T52" i="281"/>
  <c r="L52" i="281"/>
  <c r="C52" i="281"/>
  <c r="B52" i="281"/>
  <c r="T5" i="284"/>
  <c r="R5" i="284"/>
  <c r="P5" i="284"/>
  <c r="N5" i="284"/>
  <c r="M5" i="284"/>
  <c r="L5" i="284"/>
  <c r="J5" i="284"/>
  <c r="H5" i="284"/>
  <c r="C5" i="284"/>
  <c r="B5" i="284"/>
  <c r="T4" i="278"/>
  <c r="L4" i="278"/>
  <c r="C4" i="278"/>
  <c r="B4" i="278"/>
  <c r="T26" i="290"/>
  <c r="L26" i="290"/>
  <c r="C26" i="290"/>
  <c r="B26" i="290"/>
  <c r="T21" i="279"/>
  <c r="L21" i="279"/>
  <c r="C21" i="279"/>
  <c r="B21" i="279"/>
  <c r="T5" i="282"/>
  <c r="R5" i="282"/>
  <c r="P5" i="282"/>
  <c r="N5" i="282"/>
  <c r="M5" i="282"/>
  <c r="L5" i="282"/>
  <c r="J5" i="282"/>
  <c r="H5" i="282"/>
  <c r="C5" i="282"/>
  <c r="B5" i="282"/>
  <c r="T5" i="285"/>
  <c r="R5" i="285"/>
  <c r="P5" i="285"/>
  <c r="N5" i="285"/>
  <c r="M5" i="285"/>
  <c r="L5" i="285"/>
  <c r="J5" i="285"/>
  <c r="H5" i="285"/>
  <c r="C5" i="285"/>
  <c r="B5" i="285"/>
  <c r="T4" i="282"/>
  <c r="L4" i="282"/>
  <c r="C4" i="282"/>
  <c r="T4" i="285"/>
  <c r="L4" i="285"/>
  <c r="C4" i="285"/>
  <c r="B4" i="285"/>
  <c r="T4" i="289"/>
  <c r="L4" i="289"/>
  <c r="C4" i="289"/>
  <c r="B4" i="289"/>
  <c r="T4" i="284"/>
  <c r="L4" i="284"/>
  <c r="C4" i="284"/>
  <c r="Y3" i="82"/>
  <c r="U3" i="82"/>
  <c r="T4" i="283" s="1"/>
  <c r="T3" i="82"/>
  <c r="T839" i="82" s="1"/>
  <c r="S3" i="82"/>
  <c r="S839" i="82" s="1"/>
  <c r="R3" i="82"/>
  <c r="R839" i="82" s="1"/>
  <c r="Q3" i="82"/>
  <c r="Q839" i="82" s="1"/>
  <c r="P3" i="82"/>
  <c r="P839" i="82" s="1"/>
  <c r="O3" i="82"/>
  <c r="O839" i="82" s="1"/>
  <c r="N3" i="82"/>
  <c r="N839" i="82" s="1"/>
  <c r="M3" i="82"/>
  <c r="L4" i="283" s="1"/>
  <c r="I3" i="82"/>
  <c r="I839" i="82" s="1"/>
  <c r="H3" i="82"/>
  <c r="H839" i="82" s="1"/>
  <c r="G3" i="82"/>
  <c r="G839" i="82" s="1"/>
  <c r="F3" i="82"/>
  <c r="F839" i="82" s="1"/>
  <c r="E3" i="82"/>
  <c r="C3" i="82"/>
  <c r="C4" i="283" s="1"/>
  <c r="B3" i="82"/>
  <c r="B19" i="25" l="1"/>
  <c r="E839" i="82"/>
  <c r="W3" i="82"/>
  <c r="V3" i="26" s="1"/>
  <c r="Q19" i="292"/>
  <c r="M19" i="292"/>
  <c r="F2" i="71"/>
  <c r="M3" i="72"/>
  <c r="M225" i="72" s="1"/>
  <c r="Q3" i="72"/>
  <c r="Q225" i="72" s="1"/>
  <c r="N3" i="72"/>
  <c r="N225" i="72" s="1"/>
  <c r="R3" i="72"/>
  <c r="R225" i="72" s="1"/>
  <c r="O3" i="72"/>
  <c r="O225" i="72" s="1"/>
  <c r="L3" i="72"/>
  <c r="L225" i="72" s="1"/>
  <c r="P3" i="72"/>
  <c r="P225" i="72" s="1"/>
  <c r="F3" i="72"/>
  <c r="F225" i="72" s="1"/>
  <c r="G3" i="72"/>
  <c r="G225" i="72" s="1"/>
  <c r="K5" i="298"/>
  <c r="D3" i="72"/>
  <c r="D225" i="72" s="1"/>
  <c r="E3" i="72"/>
  <c r="E225" i="72" s="1"/>
  <c r="I5" i="298"/>
  <c r="C3" i="72"/>
  <c r="P19" i="25"/>
  <c r="T19" i="25"/>
  <c r="N19" i="25"/>
  <c r="R19" i="25"/>
  <c r="Q19" i="25"/>
  <c r="O19" i="25"/>
  <c r="S19" i="25"/>
  <c r="G19" i="25"/>
  <c r="E19" i="25"/>
  <c r="A5" i="305" s="1"/>
  <c r="F19" i="25"/>
  <c r="B4" i="284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D12" i="288"/>
  <c r="D26" i="279"/>
  <c r="D17" i="290"/>
  <c r="D8" i="282"/>
  <c r="D13" i="280"/>
  <c r="D14" i="285"/>
  <c r="D22" i="285"/>
  <c r="D13" i="283"/>
  <c r="D14" i="283"/>
  <c r="D26" i="284"/>
  <c r="D16" i="279"/>
  <c r="D15" i="291"/>
  <c r="D5" i="289"/>
  <c r="D4" i="286"/>
  <c r="D9" i="278"/>
  <c r="D5" i="283"/>
  <c r="D9" i="277"/>
  <c r="D13" i="277"/>
  <c r="D4" i="277"/>
  <c r="D6" i="285"/>
  <c r="D30" i="281"/>
  <c r="D7" i="285"/>
  <c r="D8" i="291"/>
  <c r="D31" i="280"/>
  <c r="D13" i="279"/>
  <c r="D13" i="278"/>
  <c r="D13" i="285"/>
  <c r="D17" i="285"/>
  <c r="D14" i="289"/>
  <c r="D4" i="287"/>
  <c r="D23" i="287"/>
  <c r="D19" i="285"/>
  <c r="D32" i="280"/>
  <c r="D20" i="285"/>
  <c r="D17" i="289"/>
  <c r="D16" i="282"/>
  <c r="D22" i="289"/>
  <c r="D37" i="281"/>
  <c r="D23" i="289"/>
  <c r="D10" i="283"/>
  <c r="D24" i="289"/>
  <c r="D33" i="285"/>
  <c r="D26" i="289"/>
  <c r="D35" i="285"/>
  <c r="D18" i="282"/>
  <c r="D11" i="283"/>
  <c r="D36" i="285"/>
  <c r="D25" i="278"/>
  <c r="D28" i="289"/>
  <c r="D19" i="282"/>
  <c r="D35" i="289"/>
  <c r="D20" i="282"/>
  <c r="D45" i="285"/>
  <c r="D37" i="289"/>
  <c r="D42" i="289"/>
  <c r="D22" i="281"/>
  <c r="D16" i="283"/>
  <c r="D36" i="278"/>
  <c r="D56" i="285"/>
  <c r="D4" i="288"/>
  <c r="D4" i="290"/>
  <c r="D39" i="278"/>
  <c r="D25" i="282"/>
  <c r="D61" i="285"/>
  <c r="D69" i="289"/>
  <c r="D4" i="280"/>
  <c r="D48" i="278"/>
  <c r="D22" i="286"/>
  <c r="D83" i="289"/>
  <c r="D52" i="280"/>
  <c r="D26" i="283"/>
  <c r="D16" i="281"/>
  <c r="D11" i="289"/>
  <c r="D15" i="284"/>
  <c r="D36" i="288"/>
  <c r="D16" i="278"/>
  <c r="D10" i="282"/>
  <c r="D18" i="278"/>
  <c r="D17" i="280"/>
  <c r="D6" i="278"/>
  <c r="D48" i="281"/>
  <c r="D7" i="278"/>
  <c r="D19" i="291"/>
  <c r="D31" i="288"/>
  <c r="D11" i="291"/>
  <c r="D10" i="278"/>
  <c r="D43" i="280"/>
  <c r="D27" i="286"/>
  <c r="D13" i="284"/>
  <c r="D41" i="281"/>
  <c r="D9" i="289"/>
  <c r="D10" i="289"/>
  <c r="D9" i="282"/>
  <c r="D7" i="283"/>
  <c r="D17" i="277"/>
  <c r="D20" i="278"/>
  <c r="D8" i="283"/>
  <c r="D8" i="287"/>
  <c r="D4" i="279"/>
  <c r="D34" i="281"/>
  <c r="D31" i="285"/>
  <c r="D19" i="284"/>
  <c r="D39" i="285"/>
  <c r="D20" i="284"/>
  <c r="D21" i="284"/>
  <c r="D31" i="289"/>
  <c r="D32" i="289"/>
  <c r="D12" i="283"/>
  <c r="D36" i="289"/>
  <c r="D49" i="285"/>
  <c r="D18" i="286"/>
  <c r="D8" i="281"/>
  <c r="D27" i="284"/>
  <c r="D19" i="283"/>
  <c r="D38" i="288"/>
  <c r="D33" i="283"/>
  <c r="D102" i="285"/>
  <c r="D39" i="280"/>
  <c r="D44" i="281"/>
  <c r="D10" i="285"/>
  <c r="D12" i="289"/>
  <c r="D15" i="289"/>
  <c r="D13" i="282"/>
  <c r="D12" i="290"/>
  <c r="D7" i="284"/>
  <c r="D29" i="290"/>
  <c r="D27" i="291"/>
  <c r="D11" i="284"/>
  <c r="D12" i="284"/>
  <c r="D23" i="291"/>
  <c r="D9" i="279"/>
  <c r="D8" i="285"/>
  <c r="D4" i="291"/>
  <c r="D5" i="285"/>
  <c r="D5" i="282"/>
  <c r="D5" i="284"/>
  <c r="D5" i="278"/>
  <c r="D31" i="279"/>
  <c r="D21" i="290"/>
  <c r="D7" i="282"/>
  <c r="D4" i="281"/>
  <c r="D8" i="284"/>
  <c r="D26" i="281"/>
  <c r="D24" i="288"/>
  <c r="D7" i="289"/>
  <c r="D56" i="281"/>
  <c r="D9" i="285"/>
  <c r="D8" i="288"/>
  <c r="D11" i="285"/>
  <c r="D12" i="285"/>
  <c r="D14" i="278"/>
  <c r="D15" i="278"/>
  <c r="D17" i="284"/>
  <c r="D16" i="289"/>
  <c r="D19" i="278"/>
  <c r="D11" i="282"/>
  <c r="D18" i="289"/>
  <c r="D26" i="285"/>
  <c r="D21" i="278"/>
  <c r="D18" i="284"/>
  <c r="D43" i="285"/>
  <c r="D30" i="278"/>
  <c r="D15" i="283"/>
  <c r="D17" i="287"/>
  <c r="D35" i="278"/>
  <c r="D47" i="289"/>
  <c r="D53" i="289"/>
  <c r="D33" i="284"/>
  <c r="D65" i="289"/>
  <c r="D12" i="286"/>
  <c r="D52" i="278"/>
  <c r="D47" i="282"/>
  <c r="D27" i="280"/>
  <c r="D28" i="288"/>
  <c r="D16" i="285"/>
  <c r="D45" i="281"/>
  <c r="D18" i="285"/>
  <c r="D16" i="286"/>
  <c r="D8" i="290"/>
  <c r="D38" i="289"/>
  <c r="D51" i="285"/>
  <c r="D48" i="289"/>
  <c r="D10" i="280"/>
  <c r="D30" i="284"/>
  <c r="D21" i="288"/>
  <c r="D61" i="281"/>
  <c r="D65" i="285"/>
  <c r="D42" i="278"/>
  <c r="D47" i="280"/>
  <c r="D24" i="283"/>
  <c r="D25" i="286"/>
  <c r="D34" i="290"/>
  <c r="K17" i="280"/>
  <c r="L17" i="280"/>
  <c r="K58" i="281"/>
  <c r="L58" i="281"/>
  <c r="K27" i="285"/>
  <c r="L27" i="285"/>
  <c r="K22" i="278"/>
  <c r="L22" i="278"/>
  <c r="E4" i="284"/>
  <c r="E4" i="289"/>
  <c r="E4" i="285"/>
  <c r="E4" i="282"/>
  <c r="E5" i="285"/>
  <c r="I5" i="285"/>
  <c r="Q5" i="285"/>
  <c r="E5" i="282"/>
  <c r="I5" i="282"/>
  <c r="Q5" i="282"/>
  <c r="E21" i="279"/>
  <c r="E26" i="290"/>
  <c r="E4" i="278"/>
  <c r="E5" i="284"/>
  <c r="I5" i="284"/>
  <c r="Q5" i="284"/>
  <c r="E52" i="281"/>
  <c r="E5" i="278"/>
  <c r="I5" i="278"/>
  <c r="Q5" i="278"/>
  <c r="E6" i="282"/>
  <c r="I6" i="282"/>
  <c r="Q6" i="282"/>
  <c r="E31" i="279"/>
  <c r="I31" i="279"/>
  <c r="Q31" i="279"/>
  <c r="E21" i="290"/>
  <c r="I21" i="290"/>
  <c r="Q21" i="290"/>
  <c r="T31" i="291"/>
  <c r="H7" i="282"/>
  <c r="L7" i="282"/>
  <c r="P7" i="282"/>
  <c r="T7" i="282"/>
  <c r="H6" i="278"/>
  <c r="L6" i="278"/>
  <c r="P6" i="278"/>
  <c r="T6" i="278"/>
  <c r="G12" i="290"/>
  <c r="K12" i="290"/>
  <c r="O12" i="290"/>
  <c r="S12" i="290"/>
  <c r="G6" i="284"/>
  <c r="K6" i="284"/>
  <c r="O6" i="284"/>
  <c r="S6" i="284"/>
  <c r="G7" i="284"/>
  <c r="K7" i="284"/>
  <c r="O7" i="284"/>
  <c r="S7" i="284"/>
  <c r="G29" i="290"/>
  <c r="K29" i="290"/>
  <c r="O29" i="290"/>
  <c r="S29" i="290"/>
  <c r="G27" i="291"/>
  <c r="K27" i="291"/>
  <c r="O27" i="291"/>
  <c r="S27" i="291"/>
  <c r="J4" i="281"/>
  <c r="N4" i="281"/>
  <c r="R4" i="281"/>
  <c r="J48" i="281"/>
  <c r="N48" i="281"/>
  <c r="R48" i="281"/>
  <c r="J16" i="279"/>
  <c r="N16" i="279"/>
  <c r="R16" i="279"/>
  <c r="F28" i="291"/>
  <c r="J28" i="291"/>
  <c r="N28" i="291"/>
  <c r="R28" i="291"/>
  <c r="J8" i="284"/>
  <c r="N8" i="284"/>
  <c r="R8" i="284"/>
  <c r="F9" i="284"/>
  <c r="J9" i="284"/>
  <c r="N9" i="284"/>
  <c r="R9" i="284"/>
  <c r="E10" i="284"/>
  <c r="I10" i="284"/>
  <c r="Q10" i="284"/>
  <c r="E7" i="278"/>
  <c r="I7" i="278"/>
  <c r="Q7" i="278"/>
  <c r="E11" i="284"/>
  <c r="I11" i="284"/>
  <c r="Q11" i="284"/>
  <c r="E12" i="284"/>
  <c r="I12" i="284"/>
  <c r="Q12" i="284"/>
  <c r="E16" i="288"/>
  <c r="E19" i="291"/>
  <c r="I19" i="291"/>
  <c r="Q19" i="291"/>
  <c r="E31" i="288"/>
  <c r="I31" i="288"/>
  <c r="Q31" i="288"/>
  <c r="E8" i="286"/>
  <c r="E8" i="278"/>
  <c r="I8" i="278"/>
  <c r="Q8" i="278"/>
  <c r="E23" i="291"/>
  <c r="I23" i="291"/>
  <c r="Q23" i="291"/>
  <c r="E9" i="279"/>
  <c r="I9" i="279"/>
  <c r="Q9" i="279"/>
  <c r="H29" i="291"/>
  <c r="L29" i="291"/>
  <c r="P29" i="291"/>
  <c r="T29" i="291"/>
  <c r="H11" i="291"/>
  <c r="L11" i="291"/>
  <c r="P11" i="291"/>
  <c r="T11" i="291"/>
  <c r="H15" i="291"/>
  <c r="L15" i="291"/>
  <c r="P15" i="291"/>
  <c r="T15" i="291"/>
  <c r="G5" i="289"/>
  <c r="K5" i="289"/>
  <c r="O5" i="289"/>
  <c r="S5" i="289"/>
  <c r="G4" i="286"/>
  <c r="K4" i="286"/>
  <c r="O4" i="286"/>
  <c r="S4" i="286"/>
  <c r="G9" i="278"/>
  <c r="K9" i="278"/>
  <c r="O9" i="278"/>
  <c r="S9" i="278"/>
  <c r="J10" i="278"/>
  <c r="N10" i="278"/>
  <c r="R10" i="278"/>
  <c r="J5" i="283"/>
  <c r="N5" i="283"/>
  <c r="R5" i="283"/>
  <c r="J27" i="280"/>
  <c r="N27" i="280"/>
  <c r="R27" i="280"/>
  <c r="F6" i="289"/>
  <c r="J6" i="289"/>
  <c r="N6" i="289"/>
  <c r="R6" i="289"/>
  <c r="E26" i="281"/>
  <c r="I26" i="281"/>
  <c r="Q26" i="281"/>
  <c r="E24" i="288"/>
  <c r="I24" i="288"/>
  <c r="Q24" i="288"/>
  <c r="E22" i="277"/>
  <c r="I22" i="277"/>
  <c r="Q22" i="277"/>
  <c r="E7" i="289"/>
  <c r="I7" i="289"/>
  <c r="Q7" i="289"/>
  <c r="H39" i="280"/>
  <c r="L39" i="280"/>
  <c r="P39" i="280"/>
  <c r="T39" i="280"/>
  <c r="H27" i="281"/>
  <c r="L27" i="281"/>
  <c r="P27" i="281"/>
  <c r="T27" i="281"/>
  <c r="H53" i="281"/>
  <c r="L53" i="281"/>
  <c r="P53" i="281"/>
  <c r="T53" i="281"/>
  <c r="H9" i="277"/>
  <c r="L9" i="277"/>
  <c r="P9" i="277"/>
  <c r="T9" i="277"/>
  <c r="G13" i="290"/>
  <c r="K13" i="290"/>
  <c r="O13" i="290"/>
  <c r="S13" i="290"/>
  <c r="G25" i="288"/>
  <c r="K25" i="288"/>
  <c r="O25" i="288"/>
  <c r="S25" i="288"/>
  <c r="G13" i="277"/>
  <c r="K13" i="277"/>
  <c r="O13" i="277"/>
  <c r="S13" i="277"/>
  <c r="G4" i="277"/>
  <c r="K4" i="277"/>
  <c r="O4" i="277"/>
  <c r="S4" i="277"/>
  <c r="J43" i="280"/>
  <c r="N43" i="280"/>
  <c r="R43" i="280"/>
  <c r="J6" i="285"/>
  <c r="N6" i="285"/>
  <c r="R6" i="285"/>
  <c r="E30" i="281"/>
  <c r="I30" i="281"/>
  <c r="Q30" i="281"/>
  <c r="E7" i="285"/>
  <c r="I7" i="285"/>
  <c r="Q7" i="285"/>
  <c r="E5" i="277"/>
  <c r="I5" i="277"/>
  <c r="Q5" i="277"/>
  <c r="H27" i="286"/>
  <c r="L27" i="286"/>
  <c r="P27" i="286"/>
  <c r="T27" i="286"/>
  <c r="G13" i="284"/>
  <c r="K13" i="284"/>
  <c r="O13" i="284"/>
  <c r="S13" i="284"/>
  <c r="G20" i="291"/>
  <c r="K20" i="291"/>
  <c r="O20" i="291"/>
  <c r="S20" i="291"/>
  <c r="G8" i="285"/>
  <c r="K8" i="285"/>
  <c r="O8" i="285"/>
  <c r="S8" i="285"/>
  <c r="G21" i="291"/>
  <c r="K21" i="291"/>
  <c r="O21" i="291"/>
  <c r="S21" i="291"/>
  <c r="G41" i="281"/>
  <c r="K41" i="281"/>
  <c r="O41" i="281"/>
  <c r="S41" i="281"/>
  <c r="J56" i="281"/>
  <c r="N56" i="281"/>
  <c r="R56" i="281"/>
  <c r="F28" i="287"/>
  <c r="J28" i="287"/>
  <c r="N28" i="287"/>
  <c r="R28" i="287"/>
  <c r="J8" i="291"/>
  <c r="N8" i="291"/>
  <c r="R8" i="291"/>
  <c r="J12" i="288"/>
  <c r="N12" i="288"/>
  <c r="R12" i="288"/>
  <c r="J9" i="285"/>
  <c r="N9" i="285"/>
  <c r="R9" i="285"/>
  <c r="F24" i="291"/>
  <c r="J24" i="291"/>
  <c r="N24" i="291"/>
  <c r="R24" i="291"/>
  <c r="J31" i="280"/>
  <c r="N31" i="280"/>
  <c r="R31" i="280"/>
  <c r="J44" i="281"/>
  <c r="N44" i="281"/>
  <c r="R44" i="281"/>
  <c r="F11" i="278"/>
  <c r="J11" i="278"/>
  <c r="N11" i="278"/>
  <c r="R11" i="278"/>
  <c r="F42" i="281"/>
  <c r="J42" i="281"/>
  <c r="N42" i="281"/>
  <c r="R42" i="281"/>
  <c r="J13" i="279"/>
  <c r="N13" i="279"/>
  <c r="R13" i="279"/>
  <c r="J26" i="279"/>
  <c r="N26" i="279"/>
  <c r="R26" i="279"/>
  <c r="J8" i="288"/>
  <c r="N8" i="288"/>
  <c r="R8" i="288"/>
  <c r="J4" i="291"/>
  <c r="N4" i="291"/>
  <c r="R4" i="291"/>
  <c r="F12" i="278"/>
  <c r="J12" i="278"/>
  <c r="N12" i="278"/>
  <c r="R12" i="278"/>
  <c r="J10" i="285"/>
  <c r="N10" i="285"/>
  <c r="R10" i="285"/>
  <c r="J11" i="285"/>
  <c r="N11" i="285"/>
  <c r="R11" i="285"/>
  <c r="F25" i="291"/>
  <c r="J25" i="291"/>
  <c r="N25" i="291"/>
  <c r="R25" i="291"/>
  <c r="F8" i="289"/>
  <c r="J8" i="289"/>
  <c r="N8" i="289"/>
  <c r="R8" i="289"/>
  <c r="F5" i="291"/>
  <c r="J5" i="291"/>
  <c r="N5" i="291"/>
  <c r="R5" i="291"/>
  <c r="F16" i="291"/>
  <c r="J16" i="291"/>
  <c r="N16" i="291"/>
  <c r="R16" i="291"/>
  <c r="J9" i="289"/>
  <c r="N9" i="289"/>
  <c r="R9" i="289"/>
  <c r="J13" i="278"/>
  <c r="N13" i="278"/>
  <c r="R13" i="278"/>
  <c r="F26" i="291"/>
  <c r="J26" i="291"/>
  <c r="N26" i="291"/>
  <c r="R26" i="291"/>
  <c r="J12" i="285"/>
  <c r="N12" i="285"/>
  <c r="R12" i="285"/>
  <c r="J10" i="289"/>
  <c r="N10" i="289"/>
  <c r="R10" i="289"/>
  <c r="J13" i="285"/>
  <c r="N13" i="285"/>
  <c r="R13" i="285"/>
  <c r="F28" i="280"/>
  <c r="J28" i="280"/>
  <c r="N28" i="280"/>
  <c r="R28" i="280"/>
  <c r="E12" i="291"/>
  <c r="I12" i="291"/>
  <c r="Q12" i="291"/>
  <c r="E28" i="281"/>
  <c r="I28" i="281"/>
  <c r="Q28" i="281"/>
  <c r="E17" i="290"/>
  <c r="I17" i="290"/>
  <c r="Q17" i="290"/>
  <c r="H17" i="279"/>
  <c r="L17" i="279"/>
  <c r="P17" i="279"/>
  <c r="T17" i="279"/>
  <c r="H11" i="289"/>
  <c r="L11" i="289"/>
  <c r="P11" i="289"/>
  <c r="T11" i="289"/>
  <c r="H6" i="291"/>
  <c r="L6" i="291"/>
  <c r="P6" i="291"/>
  <c r="T6" i="291"/>
  <c r="G14" i="278"/>
  <c r="K14" i="278"/>
  <c r="O14" i="278"/>
  <c r="S14" i="278"/>
  <c r="G22" i="279"/>
  <c r="K22" i="279"/>
  <c r="O22" i="279"/>
  <c r="S22" i="279"/>
  <c r="G15" i="278"/>
  <c r="K15" i="278"/>
  <c r="O15" i="278"/>
  <c r="S15" i="278"/>
  <c r="J8" i="282"/>
  <c r="N8" i="282"/>
  <c r="R8" i="282"/>
  <c r="E10" i="279"/>
  <c r="I10" i="279"/>
  <c r="Q10" i="279"/>
  <c r="E13" i="280"/>
  <c r="I13" i="280"/>
  <c r="Q13" i="280"/>
  <c r="E31" i="281"/>
  <c r="I31" i="281"/>
  <c r="Q31" i="281"/>
  <c r="H5" i="281"/>
  <c r="L5" i="281"/>
  <c r="P5" i="281"/>
  <c r="T5" i="281"/>
  <c r="G10" i="277"/>
  <c r="K10" i="277"/>
  <c r="O10" i="277"/>
  <c r="S10" i="277"/>
  <c r="J9" i="282"/>
  <c r="N9" i="282"/>
  <c r="R9" i="282"/>
  <c r="F6" i="283"/>
  <c r="J6" i="283"/>
  <c r="N6" i="283"/>
  <c r="R6" i="283"/>
  <c r="J14" i="285"/>
  <c r="N14" i="285"/>
  <c r="R14" i="285"/>
  <c r="E14" i="284"/>
  <c r="I14" i="284"/>
  <c r="Q14" i="284"/>
  <c r="E15" i="285"/>
  <c r="I15" i="285"/>
  <c r="Q15" i="285"/>
  <c r="E28" i="288"/>
  <c r="I28" i="288"/>
  <c r="Q28" i="288"/>
  <c r="E16" i="285"/>
  <c r="I16" i="285"/>
  <c r="Q16" i="285"/>
  <c r="E29" i="280"/>
  <c r="I29" i="280"/>
  <c r="Q29" i="280"/>
  <c r="E14" i="290"/>
  <c r="I14" i="290"/>
  <c r="Q14" i="290"/>
  <c r="H17" i="285"/>
  <c r="L17" i="285"/>
  <c r="P17" i="285"/>
  <c r="T17" i="285"/>
  <c r="H15" i="284"/>
  <c r="L15" i="284"/>
  <c r="P15" i="284"/>
  <c r="T15" i="284"/>
  <c r="G12" i="289"/>
  <c r="K12" i="289"/>
  <c r="O12" i="289"/>
  <c r="S12" i="289"/>
  <c r="G45" i="281"/>
  <c r="K45" i="281"/>
  <c r="O45" i="281"/>
  <c r="S45" i="281"/>
  <c r="G13" i="289"/>
  <c r="K13" i="289"/>
  <c r="O13" i="289"/>
  <c r="S13" i="289"/>
  <c r="G18" i="285"/>
  <c r="K18" i="285"/>
  <c r="O18" i="285"/>
  <c r="S18" i="285"/>
  <c r="J14" i="289"/>
  <c r="N14" i="289"/>
  <c r="R14" i="289"/>
  <c r="F9" i="291"/>
  <c r="J9" i="291"/>
  <c r="N9" i="291"/>
  <c r="R9" i="291"/>
  <c r="E15" i="289"/>
  <c r="I15" i="289"/>
  <c r="Q15" i="289"/>
  <c r="E36" i="288"/>
  <c r="I36" i="288"/>
  <c r="Q36" i="288"/>
  <c r="E16" i="278"/>
  <c r="I16" i="278"/>
  <c r="Q16" i="278"/>
  <c r="E10" i="282"/>
  <c r="I10" i="282"/>
  <c r="Q10" i="282"/>
  <c r="C9" i="13"/>
  <c r="G4" i="287"/>
  <c r="K4" i="287"/>
  <c r="O4" i="287"/>
  <c r="S4" i="287"/>
  <c r="G17" i="278"/>
  <c r="K17" i="278"/>
  <c r="O17" i="278"/>
  <c r="S17" i="278"/>
  <c r="J7" i="283"/>
  <c r="N7" i="283"/>
  <c r="R7" i="283"/>
  <c r="J23" i="287"/>
  <c r="N23" i="287"/>
  <c r="R23" i="287"/>
  <c r="E19" i="285"/>
  <c r="I19" i="285"/>
  <c r="Q19" i="285"/>
  <c r="E32" i="280"/>
  <c r="I32" i="280"/>
  <c r="Q32" i="280"/>
  <c r="E20" i="285"/>
  <c r="I20" i="285"/>
  <c r="Q20" i="285"/>
  <c r="E6" i="277"/>
  <c r="I6" i="277"/>
  <c r="Q6" i="277"/>
  <c r="H17" i="277"/>
  <c r="L17" i="277"/>
  <c r="P17" i="277"/>
  <c r="T17" i="277"/>
  <c r="H16" i="284"/>
  <c r="L16" i="284"/>
  <c r="P16" i="284"/>
  <c r="T16" i="284"/>
  <c r="H18" i="278"/>
  <c r="L18" i="278"/>
  <c r="P18" i="278"/>
  <c r="T18" i="278"/>
  <c r="H17" i="284"/>
  <c r="L17" i="284"/>
  <c r="P17" i="284"/>
  <c r="T17" i="284"/>
  <c r="G22" i="280"/>
  <c r="K22" i="280"/>
  <c r="O22" i="280"/>
  <c r="S22" i="280"/>
  <c r="G16" i="289"/>
  <c r="K16" i="289"/>
  <c r="O16" i="289"/>
  <c r="S16" i="289"/>
  <c r="G17" i="291"/>
  <c r="K17" i="291"/>
  <c r="O17" i="291"/>
  <c r="S17" i="291"/>
  <c r="G19" i="278"/>
  <c r="K19" i="278"/>
  <c r="O19" i="278"/>
  <c r="S19" i="278"/>
  <c r="F23" i="279"/>
  <c r="J23" i="279"/>
  <c r="N23" i="279"/>
  <c r="R23" i="279"/>
  <c r="J11" i="282"/>
  <c r="N11" i="282"/>
  <c r="R11" i="282"/>
  <c r="J20" i="278"/>
  <c r="N20" i="278"/>
  <c r="R20" i="278"/>
  <c r="F14" i="277"/>
  <c r="J14" i="277"/>
  <c r="N14" i="277"/>
  <c r="R14" i="277"/>
  <c r="E21" i="285"/>
  <c r="I21" i="285"/>
  <c r="Q21" i="285"/>
  <c r="E17" i="289"/>
  <c r="I17" i="289"/>
  <c r="Q17" i="289"/>
  <c r="H8" i="283"/>
  <c r="L8" i="283"/>
  <c r="P8" i="283"/>
  <c r="T8" i="283"/>
  <c r="H11" i="279"/>
  <c r="L11" i="279"/>
  <c r="P11" i="279"/>
  <c r="T11" i="279"/>
  <c r="H22" i="285"/>
  <c r="L22" i="285"/>
  <c r="P22" i="285"/>
  <c r="T22" i="285"/>
  <c r="H22" i="291"/>
  <c r="L22" i="291"/>
  <c r="P22" i="291"/>
  <c r="T22" i="291"/>
  <c r="G18" i="289"/>
  <c r="K18" i="289"/>
  <c r="O18" i="289"/>
  <c r="S18" i="289"/>
  <c r="G12" i="282"/>
  <c r="K12" i="282"/>
  <c r="O12" i="282"/>
  <c r="S12" i="282"/>
  <c r="G23" i="285"/>
  <c r="K23" i="285"/>
  <c r="O23" i="285"/>
  <c r="S23" i="285"/>
  <c r="G24" i="285"/>
  <c r="K24" i="285"/>
  <c r="O24" i="285"/>
  <c r="S24" i="285"/>
  <c r="F13" i="282"/>
  <c r="J13" i="282"/>
  <c r="N13" i="282"/>
  <c r="R13" i="282"/>
  <c r="F19" i="289"/>
  <c r="J19" i="289"/>
  <c r="N19" i="289"/>
  <c r="R19" i="289"/>
  <c r="H57" i="281"/>
  <c r="L57" i="281"/>
  <c r="P57" i="281"/>
  <c r="T57" i="281"/>
  <c r="H23" i="277"/>
  <c r="L23" i="277"/>
  <c r="P23" i="277"/>
  <c r="T23" i="277"/>
  <c r="H8" i="287"/>
  <c r="L8" i="287"/>
  <c r="P8" i="287"/>
  <c r="T8" i="287"/>
  <c r="H14" i="282"/>
  <c r="L14" i="282"/>
  <c r="P14" i="282"/>
  <c r="T14" i="282"/>
  <c r="G15" i="277"/>
  <c r="K15" i="277"/>
  <c r="L15" i="277"/>
  <c r="N15" i="282"/>
  <c r="R15" i="282"/>
  <c r="F25" i="285"/>
  <c r="J25" i="285"/>
  <c r="O25" i="285"/>
  <c r="S25" i="285"/>
  <c r="J4" i="279"/>
  <c r="N4" i="279"/>
  <c r="R4" i="279"/>
  <c r="J34" i="281"/>
  <c r="N34" i="281"/>
  <c r="R34" i="281"/>
  <c r="E26" i="285"/>
  <c r="I26" i="285"/>
  <c r="Q26" i="285"/>
  <c r="K16" i="282"/>
  <c r="L16" i="282"/>
  <c r="K22" i="289"/>
  <c r="L22" i="289"/>
  <c r="C32" i="288"/>
  <c r="C12" i="13"/>
  <c r="K10" i="283"/>
  <c r="L10" i="283"/>
  <c r="K25" i="285"/>
  <c r="L25" i="285"/>
  <c r="K20" i="289"/>
  <c r="L20" i="289"/>
  <c r="K28" i="285"/>
  <c r="L28" i="285"/>
  <c r="K31" i="285"/>
  <c r="L31" i="285"/>
  <c r="K27" i="290"/>
  <c r="L27" i="290"/>
  <c r="G5" i="285"/>
  <c r="K5" i="285"/>
  <c r="O5" i="285"/>
  <c r="S5" i="285"/>
  <c r="G5" i="282"/>
  <c r="K5" i="282"/>
  <c r="O5" i="282"/>
  <c r="S5" i="282"/>
  <c r="G5" i="284"/>
  <c r="K5" i="284"/>
  <c r="O5" i="284"/>
  <c r="S5" i="284"/>
  <c r="G5" i="278"/>
  <c r="K5" i="278"/>
  <c r="O5" i="278"/>
  <c r="S5" i="278"/>
  <c r="G6" i="282"/>
  <c r="K6" i="282"/>
  <c r="O6" i="282"/>
  <c r="S6" i="282"/>
  <c r="G31" i="279"/>
  <c r="K31" i="279"/>
  <c r="O31" i="279"/>
  <c r="S31" i="279"/>
  <c r="G21" i="290"/>
  <c r="K21" i="290"/>
  <c r="O21" i="290"/>
  <c r="S21" i="290"/>
  <c r="J7" i="282"/>
  <c r="N7" i="282"/>
  <c r="R7" i="282"/>
  <c r="J6" i="278"/>
  <c r="N6" i="278"/>
  <c r="R6" i="278"/>
  <c r="E12" i="290"/>
  <c r="I12" i="290"/>
  <c r="Q12" i="290"/>
  <c r="E26" i="277"/>
  <c r="E6" i="284"/>
  <c r="I6" i="284"/>
  <c r="Q6" i="284"/>
  <c r="E7" i="284"/>
  <c r="I7" i="284"/>
  <c r="Q7" i="284"/>
  <c r="E29" i="290"/>
  <c r="I29" i="290"/>
  <c r="Q29" i="290"/>
  <c r="E21" i="280"/>
  <c r="E27" i="291"/>
  <c r="I27" i="291"/>
  <c r="Q27" i="291"/>
  <c r="H4" i="281"/>
  <c r="L4" i="281"/>
  <c r="P4" i="281"/>
  <c r="T4" i="281"/>
  <c r="H48" i="281"/>
  <c r="L48" i="281"/>
  <c r="P48" i="281"/>
  <c r="T48" i="281"/>
  <c r="H16" i="279"/>
  <c r="L16" i="279"/>
  <c r="P16" i="279"/>
  <c r="T16" i="279"/>
  <c r="H28" i="291"/>
  <c r="L28" i="291"/>
  <c r="P28" i="291"/>
  <c r="T28" i="291"/>
  <c r="H8" i="284"/>
  <c r="L8" i="284"/>
  <c r="P8" i="284"/>
  <c r="T8" i="284"/>
  <c r="H9" i="284"/>
  <c r="L9" i="284"/>
  <c r="P9" i="284"/>
  <c r="T9" i="284"/>
  <c r="G10" i="284"/>
  <c r="K10" i="284"/>
  <c r="O10" i="284"/>
  <c r="S10" i="284"/>
  <c r="G7" i="278"/>
  <c r="K7" i="278"/>
  <c r="O7" i="278"/>
  <c r="S7" i="278"/>
  <c r="G11" i="284"/>
  <c r="K11" i="284"/>
  <c r="O11" i="284"/>
  <c r="S11" i="284"/>
  <c r="G12" i="284"/>
  <c r="K12" i="284"/>
  <c r="O12" i="284"/>
  <c r="S12" i="284"/>
  <c r="G19" i="291"/>
  <c r="K19" i="291"/>
  <c r="O19" i="291"/>
  <c r="S19" i="291"/>
  <c r="G31" i="288"/>
  <c r="K31" i="288"/>
  <c r="O31" i="288"/>
  <c r="S31" i="288"/>
  <c r="G8" i="278"/>
  <c r="K8" i="278"/>
  <c r="O8" i="278"/>
  <c r="S8" i="278"/>
  <c r="G23" i="291"/>
  <c r="K23" i="291"/>
  <c r="O23" i="291"/>
  <c r="S23" i="291"/>
  <c r="G9" i="279"/>
  <c r="K9" i="279"/>
  <c r="O9" i="279"/>
  <c r="S9" i="279"/>
  <c r="F29" i="291"/>
  <c r="J29" i="291"/>
  <c r="N29" i="291"/>
  <c r="R29" i="291"/>
  <c r="J11" i="291"/>
  <c r="N11" i="291"/>
  <c r="R11" i="291"/>
  <c r="J15" i="291"/>
  <c r="N15" i="291"/>
  <c r="R15" i="291"/>
  <c r="E5" i="289"/>
  <c r="I5" i="289"/>
  <c r="Q5" i="289"/>
  <c r="E4" i="286"/>
  <c r="I4" i="286"/>
  <c r="Q4" i="286"/>
  <c r="E9" i="278"/>
  <c r="I9" i="278"/>
  <c r="Q9" i="278"/>
  <c r="E27" i="287"/>
  <c r="H10" i="278"/>
  <c r="L10" i="278"/>
  <c r="P10" i="278"/>
  <c r="T10" i="278"/>
  <c r="H5" i="283"/>
  <c r="L5" i="283"/>
  <c r="P5" i="283"/>
  <c r="T5" i="283"/>
  <c r="H27" i="280"/>
  <c r="L27" i="280"/>
  <c r="P27" i="280"/>
  <c r="T27" i="280"/>
  <c r="H6" i="289"/>
  <c r="L6" i="289"/>
  <c r="P6" i="289"/>
  <c r="T6" i="289"/>
  <c r="G26" i="281"/>
  <c r="K26" i="281"/>
  <c r="O26" i="281"/>
  <c r="S26" i="281"/>
  <c r="G24" i="288"/>
  <c r="K24" i="288"/>
  <c r="O24" i="288"/>
  <c r="S24" i="288"/>
  <c r="G22" i="277"/>
  <c r="K22" i="277"/>
  <c r="O22" i="277"/>
  <c r="S22" i="277"/>
  <c r="G7" i="289"/>
  <c r="K7" i="289"/>
  <c r="O7" i="289"/>
  <c r="S7" i="289"/>
  <c r="J39" i="280"/>
  <c r="N39" i="280"/>
  <c r="R39" i="280"/>
  <c r="F27" i="281"/>
  <c r="J27" i="281"/>
  <c r="N27" i="281"/>
  <c r="R27" i="281"/>
  <c r="F53" i="281"/>
  <c r="J53" i="281"/>
  <c r="N53" i="281"/>
  <c r="R53" i="281"/>
  <c r="J9" i="277"/>
  <c r="N9" i="277"/>
  <c r="R9" i="277"/>
  <c r="E13" i="290"/>
  <c r="I13" i="290"/>
  <c r="Q13" i="290"/>
  <c r="E25" i="288"/>
  <c r="I25" i="288"/>
  <c r="Q25" i="288"/>
  <c r="E13" i="277"/>
  <c r="I13" i="277"/>
  <c r="Q13" i="277"/>
  <c r="E4" i="277"/>
  <c r="I4" i="277"/>
  <c r="Q4" i="277"/>
  <c r="H43" i="280"/>
  <c r="L43" i="280"/>
  <c r="P43" i="280"/>
  <c r="T43" i="280"/>
  <c r="H6" i="285"/>
  <c r="L6" i="285"/>
  <c r="P6" i="285"/>
  <c r="T6" i="285"/>
  <c r="G30" i="281"/>
  <c r="K30" i="281"/>
  <c r="O30" i="281"/>
  <c r="S30" i="281"/>
  <c r="G7" i="285"/>
  <c r="K7" i="285"/>
  <c r="O7" i="285"/>
  <c r="S7" i="285"/>
  <c r="G5" i="277"/>
  <c r="K5" i="277"/>
  <c r="O5" i="277"/>
  <c r="S5" i="277"/>
  <c r="J27" i="286"/>
  <c r="N27" i="286"/>
  <c r="R27" i="286"/>
  <c r="E13" i="284"/>
  <c r="I13" i="284"/>
  <c r="Q13" i="284"/>
  <c r="E20" i="291"/>
  <c r="I20" i="291"/>
  <c r="Q20" i="291"/>
  <c r="E8" i="285"/>
  <c r="I8" i="285"/>
  <c r="Q8" i="285"/>
  <c r="E21" i="291"/>
  <c r="I21" i="291"/>
  <c r="Q21" i="291"/>
  <c r="E41" i="281"/>
  <c r="I41" i="281"/>
  <c r="Q41" i="281"/>
  <c r="H56" i="281"/>
  <c r="L56" i="281"/>
  <c r="P56" i="281"/>
  <c r="T56" i="281"/>
  <c r="H28" i="287"/>
  <c r="L28" i="287"/>
  <c r="P28" i="287"/>
  <c r="T28" i="287"/>
  <c r="H8" i="291"/>
  <c r="L8" i="291"/>
  <c r="P8" i="291"/>
  <c r="T8" i="291"/>
  <c r="H12" i="288"/>
  <c r="L12" i="288"/>
  <c r="P12" i="288"/>
  <c r="T12" i="288"/>
  <c r="H9" i="285"/>
  <c r="L9" i="285"/>
  <c r="P9" i="285"/>
  <c r="T9" i="285"/>
  <c r="H24" i="291"/>
  <c r="L24" i="291"/>
  <c r="P24" i="291"/>
  <c r="T24" i="291"/>
  <c r="H31" i="280"/>
  <c r="L31" i="280"/>
  <c r="P31" i="280"/>
  <c r="T31" i="280"/>
  <c r="H44" i="281"/>
  <c r="L44" i="281"/>
  <c r="P44" i="281"/>
  <c r="T44" i="281"/>
  <c r="H11" i="278"/>
  <c r="L11" i="278"/>
  <c r="P11" i="278"/>
  <c r="T11" i="278"/>
  <c r="H42" i="281"/>
  <c r="L42" i="281"/>
  <c r="P42" i="281"/>
  <c r="T42" i="281"/>
  <c r="H13" i="279"/>
  <c r="L13" i="279"/>
  <c r="P13" i="279"/>
  <c r="T13" i="279"/>
  <c r="H26" i="279"/>
  <c r="L26" i="279"/>
  <c r="P26" i="279"/>
  <c r="T26" i="279"/>
  <c r="H8" i="288"/>
  <c r="L8" i="288"/>
  <c r="P8" i="288"/>
  <c r="T8" i="288"/>
  <c r="H4" i="291"/>
  <c r="L4" i="291"/>
  <c r="P4" i="291"/>
  <c r="T4" i="291"/>
  <c r="H12" i="278"/>
  <c r="L12" i="278"/>
  <c r="P12" i="278"/>
  <c r="T12" i="278"/>
  <c r="H10" i="285"/>
  <c r="L10" i="285"/>
  <c r="P10" i="285"/>
  <c r="T10" i="285"/>
  <c r="H11" i="285"/>
  <c r="L11" i="285"/>
  <c r="P11" i="285"/>
  <c r="T11" i="285"/>
  <c r="H25" i="291"/>
  <c r="L25" i="291"/>
  <c r="P25" i="291"/>
  <c r="T25" i="291"/>
  <c r="H8" i="289"/>
  <c r="L8" i="289"/>
  <c r="P8" i="289"/>
  <c r="T8" i="289"/>
  <c r="H5" i="291"/>
  <c r="L5" i="291"/>
  <c r="P5" i="291"/>
  <c r="T5" i="291"/>
  <c r="H16" i="291"/>
  <c r="L16" i="291"/>
  <c r="P16" i="291"/>
  <c r="T16" i="291"/>
  <c r="H9" i="289"/>
  <c r="L9" i="289"/>
  <c r="P9" i="289"/>
  <c r="T9" i="289"/>
  <c r="H13" i="278"/>
  <c r="L13" i="278"/>
  <c r="P13" i="278"/>
  <c r="T13" i="278"/>
  <c r="H26" i="291"/>
  <c r="L26" i="291"/>
  <c r="P26" i="291"/>
  <c r="T26" i="291"/>
  <c r="H12" i="285"/>
  <c r="L12" i="285"/>
  <c r="P12" i="285"/>
  <c r="T12" i="285"/>
  <c r="H10" i="289"/>
  <c r="L10" i="289"/>
  <c r="P10" i="289"/>
  <c r="T10" i="289"/>
  <c r="H13" i="285"/>
  <c r="L13" i="285"/>
  <c r="P13" i="285"/>
  <c r="T13" i="285"/>
  <c r="H28" i="280"/>
  <c r="L28" i="280"/>
  <c r="P28" i="280"/>
  <c r="T28" i="280"/>
  <c r="G12" i="291"/>
  <c r="K12" i="291"/>
  <c r="O12" i="291"/>
  <c r="S12" i="291"/>
  <c r="G28" i="281"/>
  <c r="K28" i="281"/>
  <c r="O28" i="281"/>
  <c r="S28" i="281"/>
  <c r="G17" i="290"/>
  <c r="K17" i="290"/>
  <c r="O17" i="290"/>
  <c r="S17" i="290"/>
  <c r="F17" i="279"/>
  <c r="J17" i="279"/>
  <c r="N17" i="279"/>
  <c r="R17" i="279"/>
  <c r="J11" i="289"/>
  <c r="N11" i="289"/>
  <c r="R11" i="289"/>
  <c r="F6" i="291"/>
  <c r="J6" i="291"/>
  <c r="N6" i="291"/>
  <c r="R6" i="291"/>
  <c r="E14" i="278"/>
  <c r="I14" i="278"/>
  <c r="Q14" i="278"/>
  <c r="E22" i="279"/>
  <c r="I22" i="279"/>
  <c r="Q22" i="279"/>
  <c r="E15" i="278"/>
  <c r="I15" i="278"/>
  <c r="Q15" i="278"/>
  <c r="H8" i="282"/>
  <c r="L8" i="282"/>
  <c r="P8" i="282"/>
  <c r="T8" i="282"/>
  <c r="G10" i="279"/>
  <c r="K10" i="279"/>
  <c r="O10" i="279"/>
  <c r="S10" i="279"/>
  <c r="G13" i="280"/>
  <c r="K13" i="280"/>
  <c r="O13" i="280"/>
  <c r="S13" i="280"/>
  <c r="G31" i="281"/>
  <c r="K31" i="281"/>
  <c r="O31" i="281"/>
  <c r="S31" i="281"/>
  <c r="F5" i="281"/>
  <c r="J5" i="281"/>
  <c r="N5" i="281"/>
  <c r="R5" i="281"/>
  <c r="E10" i="277"/>
  <c r="I10" i="277"/>
  <c r="Q10" i="277"/>
  <c r="H9" i="282"/>
  <c r="L9" i="282"/>
  <c r="P9" i="282"/>
  <c r="T9" i="282"/>
  <c r="H6" i="283"/>
  <c r="L6" i="283"/>
  <c r="P6" i="283"/>
  <c r="T6" i="283"/>
  <c r="H14" i="285"/>
  <c r="L14" i="285"/>
  <c r="P14" i="285"/>
  <c r="T14" i="285"/>
  <c r="G14" i="284"/>
  <c r="K14" i="284"/>
  <c r="O14" i="284"/>
  <c r="S14" i="284"/>
  <c r="G15" i="285"/>
  <c r="K15" i="285"/>
  <c r="O15" i="285"/>
  <c r="S15" i="285"/>
  <c r="G28" i="288"/>
  <c r="K28" i="288"/>
  <c r="O28" i="288"/>
  <c r="S28" i="288"/>
  <c r="G16" i="285"/>
  <c r="K16" i="285"/>
  <c r="O16" i="285"/>
  <c r="S16" i="285"/>
  <c r="G29" i="280"/>
  <c r="K29" i="280"/>
  <c r="O29" i="280"/>
  <c r="S29" i="280"/>
  <c r="G14" i="290"/>
  <c r="K14" i="290"/>
  <c r="O14" i="290"/>
  <c r="S14" i="290"/>
  <c r="J17" i="285"/>
  <c r="N17" i="285"/>
  <c r="R17" i="285"/>
  <c r="J15" i="284"/>
  <c r="N15" i="284"/>
  <c r="R15" i="284"/>
  <c r="E12" i="289"/>
  <c r="I12" i="289"/>
  <c r="Q12" i="289"/>
  <c r="E45" i="281"/>
  <c r="I45" i="281"/>
  <c r="Q45" i="281"/>
  <c r="E13" i="289"/>
  <c r="I13" i="289"/>
  <c r="Q13" i="289"/>
  <c r="E18" i="285"/>
  <c r="I18" i="285"/>
  <c r="Q18" i="285"/>
  <c r="H14" i="289"/>
  <c r="L14" i="289"/>
  <c r="P14" i="289"/>
  <c r="T14" i="289"/>
  <c r="H9" i="291"/>
  <c r="L9" i="291"/>
  <c r="P9" i="291"/>
  <c r="T9" i="291"/>
  <c r="G15" i="289"/>
  <c r="K15" i="289"/>
  <c r="O15" i="289"/>
  <c r="S15" i="289"/>
  <c r="G36" i="288"/>
  <c r="K36" i="288"/>
  <c r="O36" i="288"/>
  <c r="S36" i="288"/>
  <c r="G16" i="278"/>
  <c r="K16" i="278"/>
  <c r="O16" i="278"/>
  <c r="S16" i="278"/>
  <c r="G10" i="282"/>
  <c r="K10" i="282"/>
  <c r="O10" i="282"/>
  <c r="S10" i="282"/>
  <c r="E4" i="287"/>
  <c r="I4" i="287"/>
  <c r="Q4" i="287"/>
  <c r="E17" i="278"/>
  <c r="I17" i="278"/>
  <c r="Q17" i="278"/>
  <c r="H7" i="283"/>
  <c r="L7" i="283"/>
  <c r="P7" i="283"/>
  <c r="T7" i="283"/>
  <c r="H23" i="287"/>
  <c r="L23" i="287"/>
  <c r="P23" i="287"/>
  <c r="T23" i="287"/>
  <c r="G19" i="285"/>
  <c r="K19" i="285"/>
  <c r="O19" i="285"/>
  <c r="S19" i="285"/>
  <c r="G32" i="280"/>
  <c r="K32" i="280"/>
  <c r="O32" i="280"/>
  <c r="S32" i="280"/>
  <c r="G20" i="285"/>
  <c r="K20" i="285"/>
  <c r="O20" i="285"/>
  <c r="S20" i="285"/>
  <c r="G6" i="277"/>
  <c r="K6" i="277"/>
  <c r="O6" i="277"/>
  <c r="S6" i="277"/>
  <c r="J17" i="277"/>
  <c r="N17" i="277"/>
  <c r="R17" i="277"/>
  <c r="F16" i="284"/>
  <c r="J16" i="284"/>
  <c r="N16" i="284"/>
  <c r="R16" i="284"/>
  <c r="J18" i="278"/>
  <c r="N18" i="278"/>
  <c r="R18" i="278"/>
  <c r="J17" i="284"/>
  <c r="N17" i="284"/>
  <c r="R17" i="284"/>
  <c r="E22" i="280"/>
  <c r="I22" i="280"/>
  <c r="Q22" i="280"/>
  <c r="E16" i="289"/>
  <c r="I16" i="289"/>
  <c r="Q16" i="289"/>
  <c r="E17" i="291"/>
  <c r="I17" i="291"/>
  <c r="Q17" i="291"/>
  <c r="E19" i="278"/>
  <c r="I19" i="278"/>
  <c r="Q19" i="278"/>
  <c r="H23" i="279"/>
  <c r="L23" i="279"/>
  <c r="P23" i="279"/>
  <c r="T23" i="279"/>
  <c r="H11" i="282"/>
  <c r="L11" i="282"/>
  <c r="P11" i="282"/>
  <c r="T11" i="282"/>
  <c r="H20" i="278"/>
  <c r="L20" i="278"/>
  <c r="P20" i="278"/>
  <c r="T20" i="278"/>
  <c r="H14" i="277"/>
  <c r="L14" i="277"/>
  <c r="P14" i="277"/>
  <c r="T14" i="277"/>
  <c r="G21" i="285"/>
  <c r="K21" i="285"/>
  <c r="O21" i="285"/>
  <c r="S21" i="285"/>
  <c r="G17" i="289"/>
  <c r="K17" i="289"/>
  <c r="O17" i="289"/>
  <c r="S17" i="289"/>
  <c r="J8" i="283"/>
  <c r="N8" i="283"/>
  <c r="R8" i="283"/>
  <c r="F11" i="279"/>
  <c r="J11" i="279"/>
  <c r="N11" i="279"/>
  <c r="R11" i="279"/>
  <c r="J22" i="285"/>
  <c r="N22" i="285"/>
  <c r="R22" i="285"/>
  <c r="F22" i="291"/>
  <c r="J22" i="291"/>
  <c r="N22" i="291"/>
  <c r="R22" i="291"/>
  <c r="E18" i="289"/>
  <c r="I18" i="289"/>
  <c r="Q18" i="289"/>
  <c r="E12" i="282"/>
  <c r="I12" i="282"/>
  <c r="Q12" i="282"/>
  <c r="E23" i="285"/>
  <c r="I23" i="285"/>
  <c r="Q23" i="285"/>
  <c r="E24" i="285"/>
  <c r="I24" i="285"/>
  <c r="Q24" i="285"/>
  <c r="H13" i="282"/>
  <c r="L13" i="282"/>
  <c r="P13" i="282"/>
  <c r="T13" i="282"/>
  <c r="H19" i="289"/>
  <c r="L19" i="289"/>
  <c r="P19" i="289"/>
  <c r="T19" i="289"/>
  <c r="F57" i="281"/>
  <c r="J57" i="281"/>
  <c r="N57" i="281"/>
  <c r="R57" i="281"/>
  <c r="F23" i="277"/>
  <c r="J23" i="277"/>
  <c r="N23" i="277"/>
  <c r="R23" i="277"/>
  <c r="N15" i="277"/>
  <c r="R15" i="277"/>
  <c r="J17" i="280"/>
  <c r="O17" i="280"/>
  <c r="S17" i="280"/>
  <c r="G15" i="282"/>
  <c r="K15" i="282"/>
  <c r="L15" i="282"/>
  <c r="K21" i="278"/>
  <c r="L21" i="278"/>
  <c r="C9" i="283"/>
  <c r="C11" i="13"/>
  <c r="K18" i="284"/>
  <c r="L18" i="284"/>
  <c r="K17" i="282"/>
  <c r="L17" i="282"/>
  <c r="K40" i="289"/>
  <c r="L40" i="289"/>
  <c r="K51" i="285"/>
  <c r="L51" i="285"/>
  <c r="K34" i="278"/>
  <c r="L34" i="278"/>
  <c r="K22" i="282"/>
  <c r="L22" i="282"/>
  <c r="C48" i="289"/>
  <c r="C24" i="13"/>
  <c r="T26" i="285"/>
  <c r="H21" i="278"/>
  <c r="P21" i="278"/>
  <c r="T21" i="278"/>
  <c r="H20" i="289"/>
  <c r="P20" i="289"/>
  <c r="T20" i="289"/>
  <c r="H16" i="282"/>
  <c r="P16" i="282"/>
  <c r="T16" i="282"/>
  <c r="H58" i="281"/>
  <c r="P58" i="281"/>
  <c r="T58" i="281"/>
  <c r="G9" i="283"/>
  <c r="K9" i="283"/>
  <c r="O9" i="283"/>
  <c r="S9" i="283"/>
  <c r="F27" i="285"/>
  <c r="J27" i="285"/>
  <c r="N27" i="285"/>
  <c r="R27" i="285"/>
  <c r="J18" i="284"/>
  <c r="N18" i="284"/>
  <c r="R18" i="284"/>
  <c r="E35" i="281"/>
  <c r="I35" i="281"/>
  <c r="Q35" i="281"/>
  <c r="E21" i="289"/>
  <c r="I21" i="289"/>
  <c r="Q21" i="289"/>
  <c r="H22" i="278"/>
  <c r="P22" i="278"/>
  <c r="T22" i="278"/>
  <c r="H17" i="282"/>
  <c r="P17" i="282"/>
  <c r="T17" i="282"/>
  <c r="H28" i="285"/>
  <c r="P28" i="285"/>
  <c r="T28" i="285"/>
  <c r="H22" i="289"/>
  <c r="P22" i="289"/>
  <c r="T22" i="289"/>
  <c r="G37" i="281"/>
  <c r="K37" i="281"/>
  <c r="O37" i="281"/>
  <c r="S37" i="281"/>
  <c r="G23" i="278"/>
  <c r="K23" i="278"/>
  <c r="O23" i="278"/>
  <c r="S23" i="278"/>
  <c r="G29" i="285"/>
  <c r="K29" i="285"/>
  <c r="O29" i="285"/>
  <c r="S29" i="285"/>
  <c r="G30" i="285"/>
  <c r="K30" i="285"/>
  <c r="O30" i="285"/>
  <c r="S30" i="285"/>
  <c r="J31" i="285"/>
  <c r="N31" i="285"/>
  <c r="R31" i="285"/>
  <c r="E32" i="288"/>
  <c r="I32" i="288"/>
  <c r="Q32" i="288"/>
  <c r="E23" i="289"/>
  <c r="I23" i="289"/>
  <c r="Q23" i="289"/>
  <c r="E24" i="278"/>
  <c r="I24" i="278"/>
  <c r="Q24" i="278"/>
  <c r="H27" i="290"/>
  <c r="P27" i="290"/>
  <c r="T27" i="290"/>
  <c r="H10" i="283"/>
  <c r="P10" i="283"/>
  <c r="T10" i="283"/>
  <c r="G24" i="289"/>
  <c r="K24" i="289"/>
  <c r="O24" i="289"/>
  <c r="S24" i="289"/>
  <c r="G24" i="279"/>
  <c r="K24" i="279"/>
  <c r="O24" i="279"/>
  <c r="S24" i="279"/>
  <c r="G25" i="289"/>
  <c r="K25" i="289"/>
  <c r="O25" i="289"/>
  <c r="S25" i="289"/>
  <c r="G26" i="288"/>
  <c r="K26" i="288"/>
  <c r="O26" i="288"/>
  <c r="S26" i="288"/>
  <c r="G32" i="285"/>
  <c r="K32" i="285"/>
  <c r="O32" i="285"/>
  <c r="S32" i="285"/>
  <c r="G33" i="285"/>
  <c r="K33" i="285"/>
  <c r="O33" i="285"/>
  <c r="S33" i="285"/>
  <c r="G12" i="281"/>
  <c r="K12" i="281"/>
  <c r="O12" i="281"/>
  <c r="S12" i="281"/>
  <c r="G26" i="289"/>
  <c r="K26" i="289"/>
  <c r="O26" i="289"/>
  <c r="S26" i="289"/>
  <c r="G27" i="289"/>
  <c r="K27" i="289"/>
  <c r="O27" i="289"/>
  <c r="S27" i="289"/>
  <c r="G34" i="285"/>
  <c r="K34" i="285"/>
  <c r="O34" i="285"/>
  <c r="S34" i="285"/>
  <c r="G35" i="285"/>
  <c r="K35" i="285"/>
  <c r="O35" i="285"/>
  <c r="S35" i="285"/>
  <c r="G18" i="282"/>
  <c r="K18" i="282"/>
  <c r="O18" i="282"/>
  <c r="S18" i="282"/>
  <c r="G10" i="291"/>
  <c r="K10" i="291"/>
  <c r="O10" i="291"/>
  <c r="S10" i="291"/>
  <c r="G11" i="283"/>
  <c r="K11" i="283"/>
  <c r="O11" i="283"/>
  <c r="S11" i="283"/>
  <c r="G36" i="285"/>
  <c r="K36" i="285"/>
  <c r="O36" i="285"/>
  <c r="S36" i="285"/>
  <c r="G25" i="278"/>
  <c r="K25" i="278"/>
  <c r="O25" i="278"/>
  <c r="S25" i="278"/>
  <c r="G26" i="278"/>
  <c r="K26" i="278"/>
  <c r="O26" i="278"/>
  <c r="S26" i="278"/>
  <c r="G28" i="289"/>
  <c r="K28" i="289"/>
  <c r="O28" i="289"/>
  <c r="S28" i="289"/>
  <c r="G19" i="282"/>
  <c r="K19" i="282"/>
  <c r="O19" i="282"/>
  <c r="S19" i="282"/>
  <c r="F37" i="285"/>
  <c r="J37" i="285"/>
  <c r="N37" i="285"/>
  <c r="R37" i="285"/>
  <c r="J19" i="281"/>
  <c r="N19" i="281"/>
  <c r="R19" i="281"/>
  <c r="F5" i="279"/>
  <c r="J5" i="279"/>
  <c r="N5" i="279"/>
  <c r="R5" i="279"/>
  <c r="F38" i="285"/>
  <c r="J38" i="285"/>
  <c r="N38" i="285"/>
  <c r="R38" i="285"/>
  <c r="E5" i="287"/>
  <c r="I5" i="287"/>
  <c r="Q5" i="287"/>
  <c r="E19" i="284"/>
  <c r="I19" i="284"/>
  <c r="Q19" i="284"/>
  <c r="E39" i="285"/>
  <c r="I39" i="285"/>
  <c r="Q39" i="285"/>
  <c r="E40" i="285"/>
  <c r="I40" i="285"/>
  <c r="Q40" i="285"/>
  <c r="E29" i="289"/>
  <c r="I29" i="289"/>
  <c r="Q29" i="289"/>
  <c r="E32" i="281"/>
  <c r="I32" i="281"/>
  <c r="Q32" i="281"/>
  <c r="E20" i="284"/>
  <c r="I20" i="284"/>
  <c r="Q20" i="284"/>
  <c r="E54" i="281"/>
  <c r="I54" i="281"/>
  <c r="Q54" i="281"/>
  <c r="E27" i="278"/>
  <c r="I27" i="278"/>
  <c r="Q27" i="278"/>
  <c r="E28" i="278"/>
  <c r="I28" i="278"/>
  <c r="Q28" i="278"/>
  <c r="E29" i="278"/>
  <c r="I29" i="278"/>
  <c r="Q29" i="278"/>
  <c r="E41" i="285"/>
  <c r="I41" i="285"/>
  <c r="Q41" i="285"/>
  <c r="E42" i="285"/>
  <c r="I42" i="285"/>
  <c r="Q42" i="285"/>
  <c r="E30" i="289"/>
  <c r="I30" i="289"/>
  <c r="Q30" i="289"/>
  <c r="E21" i="284"/>
  <c r="I21" i="284"/>
  <c r="Q21" i="284"/>
  <c r="E31" i="289"/>
  <c r="I31" i="289"/>
  <c r="Q31" i="289"/>
  <c r="E13" i="281"/>
  <c r="I13" i="281"/>
  <c r="Q13" i="281"/>
  <c r="E32" i="289"/>
  <c r="I32" i="289"/>
  <c r="Q32" i="289"/>
  <c r="H43" i="285"/>
  <c r="L43" i="285"/>
  <c r="P43" i="285"/>
  <c r="T43" i="285"/>
  <c r="H33" i="289"/>
  <c r="L33" i="289"/>
  <c r="P33" i="289"/>
  <c r="T33" i="289"/>
  <c r="C15" i="13"/>
  <c r="G59" i="281"/>
  <c r="K59" i="281"/>
  <c r="O59" i="281"/>
  <c r="S59" i="281"/>
  <c r="G22" i="284"/>
  <c r="K22" i="284"/>
  <c r="O22" i="284"/>
  <c r="S22" i="284"/>
  <c r="G44" i="285"/>
  <c r="K44" i="285"/>
  <c r="O44" i="285"/>
  <c r="S44" i="285"/>
  <c r="G34" i="289"/>
  <c r="K34" i="289"/>
  <c r="O34" i="289"/>
  <c r="S34" i="289"/>
  <c r="G35" i="289"/>
  <c r="K35" i="289"/>
  <c r="O35" i="289"/>
  <c r="S35" i="289"/>
  <c r="G23" i="284"/>
  <c r="K23" i="284"/>
  <c r="O23" i="284"/>
  <c r="S23" i="284"/>
  <c r="G20" i="282"/>
  <c r="K20" i="282"/>
  <c r="O20" i="282"/>
  <c r="S20" i="282"/>
  <c r="G45" i="285"/>
  <c r="K45" i="285"/>
  <c r="O45" i="285"/>
  <c r="S45" i="285"/>
  <c r="G24" i="284"/>
  <c r="K24" i="284"/>
  <c r="O24" i="284"/>
  <c r="S24" i="284"/>
  <c r="F46" i="285"/>
  <c r="J46" i="285"/>
  <c r="N46" i="285"/>
  <c r="R46" i="285"/>
  <c r="F32" i="291"/>
  <c r="J32" i="291"/>
  <c r="N32" i="291"/>
  <c r="R32" i="291"/>
  <c r="F47" i="285"/>
  <c r="J47" i="285"/>
  <c r="N47" i="285"/>
  <c r="R47" i="285"/>
  <c r="F18" i="290"/>
  <c r="J18" i="290"/>
  <c r="N18" i="290"/>
  <c r="R18" i="290"/>
  <c r="J12" i="283"/>
  <c r="N12" i="283"/>
  <c r="R12" i="283"/>
  <c r="F7" i="277"/>
  <c r="J7" i="277"/>
  <c r="N7" i="277"/>
  <c r="R7" i="277"/>
  <c r="F29" i="287"/>
  <c r="J29" i="287"/>
  <c r="N29" i="287"/>
  <c r="R29" i="287"/>
  <c r="J30" i="278"/>
  <c r="N30" i="278"/>
  <c r="R30" i="278"/>
  <c r="J36" i="289"/>
  <c r="N36" i="289"/>
  <c r="R36" i="289"/>
  <c r="F25" i="284"/>
  <c r="J25" i="284"/>
  <c r="N25" i="284"/>
  <c r="R25" i="284"/>
  <c r="E16" i="286"/>
  <c r="I16" i="286"/>
  <c r="Q16" i="286"/>
  <c r="E8" i="290"/>
  <c r="I8" i="290"/>
  <c r="Q8" i="290"/>
  <c r="H37" i="289"/>
  <c r="L37" i="289"/>
  <c r="P37" i="289"/>
  <c r="T37" i="289"/>
  <c r="C19" i="13"/>
  <c r="G13" i="283"/>
  <c r="K13" i="283"/>
  <c r="O13" i="283"/>
  <c r="S13" i="283"/>
  <c r="G14" i="283"/>
  <c r="K14" i="283"/>
  <c r="O14" i="283"/>
  <c r="N15" i="283"/>
  <c r="R15" i="283"/>
  <c r="F8" i="277"/>
  <c r="J8" i="277"/>
  <c r="O8" i="277"/>
  <c r="S8" i="277"/>
  <c r="G21" i="282"/>
  <c r="K21" i="282"/>
  <c r="L21" i="282"/>
  <c r="C32" i="279"/>
  <c r="C22" i="13"/>
  <c r="K32" i="278"/>
  <c r="L32" i="278"/>
  <c r="K33" i="278"/>
  <c r="L33" i="278"/>
  <c r="K36" i="278"/>
  <c r="L36" i="278"/>
  <c r="K37" i="278"/>
  <c r="L37" i="278"/>
  <c r="K19" i="286"/>
  <c r="L19" i="286"/>
  <c r="K8" i="277"/>
  <c r="L8" i="277"/>
  <c r="K49" i="285"/>
  <c r="L49" i="285"/>
  <c r="K46" i="289"/>
  <c r="L46" i="289"/>
  <c r="K18" i="286"/>
  <c r="L18" i="286"/>
  <c r="K8" i="281"/>
  <c r="L8" i="281"/>
  <c r="I8" i="287"/>
  <c r="Q8" i="287"/>
  <c r="E14" i="282"/>
  <c r="I14" i="282"/>
  <c r="Q14" i="282"/>
  <c r="H15" i="277"/>
  <c r="P15" i="277"/>
  <c r="T15" i="277"/>
  <c r="H17" i="280"/>
  <c r="P17" i="280"/>
  <c r="T17" i="280"/>
  <c r="H15" i="282"/>
  <c r="P15" i="282"/>
  <c r="T15" i="282"/>
  <c r="H25" i="285"/>
  <c r="P25" i="285"/>
  <c r="T25" i="285"/>
  <c r="G4" i="279"/>
  <c r="K4" i="279"/>
  <c r="O4" i="279"/>
  <c r="S4" i="279"/>
  <c r="G34" i="281"/>
  <c r="K34" i="281"/>
  <c r="O34" i="281"/>
  <c r="S34" i="281"/>
  <c r="J26" i="285"/>
  <c r="N26" i="285"/>
  <c r="R26" i="285"/>
  <c r="J21" i="278"/>
  <c r="N21" i="278"/>
  <c r="R21" i="278"/>
  <c r="J20" i="289"/>
  <c r="N20" i="289"/>
  <c r="R20" i="289"/>
  <c r="J16" i="282"/>
  <c r="N16" i="282"/>
  <c r="R16" i="282"/>
  <c r="F58" i="281"/>
  <c r="J58" i="281"/>
  <c r="N58" i="281"/>
  <c r="R58" i="281"/>
  <c r="E9" i="283"/>
  <c r="I9" i="283"/>
  <c r="Q9" i="283"/>
  <c r="H27" i="285"/>
  <c r="P27" i="285"/>
  <c r="T27" i="285"/>
  <c r="H18" i="284"/>
  <c r="P18" i="284"/>
  <c r="T18" i="284"/>
  <c r="G35" i="281"/>
  <c r="K35" i="281"/>
  <c r="O35" i="281"/>
  <c r="S35" i="281"/>
  <c r="G21" i="289"/>
  <c r="K21" i="289"/>
  <c r="O21" i="289"/>
  <c r="S21" i="289"/>
  <c r="F22" i="278"/>
  <c r="J22" i="278"/>
  <c r="N22" i="278"/>
  <c r="R22" i="278"/>
  <c r="J17" i="282"/>
  <c r="N17" i="282"/>
  <c r="R17" i="282"/>
  <c r="F28" i="285"/>
  <c r="J28" i="285"/>
  <c r="N28" i="285"/>
  <c r="R28" i="285"/>
  <c r="J22" i="289"/>
  <c r="N22" i="289"/>
  <c r="R22" i="289"/>
  <c r="E37" i="281"/>
  <c r="I37" i="281"/>
  <c r="Q37" i="281"/>
  <c r="E23" i="278"/>
  <c r="I23" i="278"/>
  <c r="Q23" i="278"/>
  <c r="E29" i="285"/>
  <c r="I29" i="285"/>
  <c r="Q29" i="285"/>
  <c r="E30" i="285"/>
  <c r="I30" i="285"/>
  <c r="Q30" i="285"/>
  <c r="H31" i="285"/>
  <c r="P31" i="285"/>
  <c r="T31" i="285"/>
  <c r="G32" i="288"/>
  <c r="K32" i="288"/>
  <c r="O32" i="288"/>
  <c r="S32" i="288"/>
  <c r="G23" i="289"/>
  <c r="K23" i="289"/>
  <c r="O23" i="289"/>
  <c r="S23" i="289"/>
  <c r="G24" i="278"/>
  <c r="K24" i="278"/>
  <c r="O24" i="278"/>
  <c r="S24" i="278"/>
  <c r="F27" i="290"/>
  <c r="J27" i="290"/>
  <c r="N27" i="290"/>
  <c r="R27" i="290"/>
  <c r="J10" i="283"/>
  <c r="N10" i="283"/>
  <c r="R10" i="283"/>
  <c r="E24" i="289"/>
  <c r="I24" i="289"/>
  <c r="Q24" i="289"/>
  <c r="E24" i="279"/>
  <c r="I24" i="279"/>
  <c r="Q24" i="279"/>
  <c r="E25" i="289"/>
  <c r="I25" i="289"/>
  <c r="Q25" i="289"/>
  <c r="E26" i="288"/>
  <c r="I26" i="288"/>
  <c r="Q26" i="288"/>
  <c r="E32" i="285"/>
  <c r="I32" i="285"/>
  <c r="Q32" i="285"/>
  <c r="E33" i="285"/>
  <c r="I33" i="285"/>
  <c r="Q33" i="285"/>
  <c r="E12" i="281"/>
  <c r="I12" i="281"/>
  <c r="Q12" i="281"/>
  <c r="E26" i="289"/>
  <c r="I26" i="289"/>
  <c r="Q26" i="289"/>
  <c r="E27" i="289"/>
  <c r="I27" i="289"/>
  <c r="Q27" i="289"/>
  <c r="E34" i="285"/>
  <c r="I34" i="285"/>
  <c r="Q34" i="285"/>
  <c r="E35" i="285"/>
  <c r="I35" i="285"/>
  <c r="Q35" i="285"/>
  <c r="E18" i="282"/>
  <c r="I18" i="282"/>
  <c r="Q18" i="282"/>
  <c r="E10" i="291"/>
  <c r="I10" i="291"/>
  <c r="Q10" i="291"/>
  <c r="E11" i="283"/>
  <c r="I11" i="283"/>
  <c r="Q11" i="283"/>
  <c r="E36" i="285"/>
  <c r="I36" i="285"/>
  <c r="Q36" i="285"/>
  <c r="E25" i="278"/>
  <c r="I25" i="278"/>
  <c r="Q25" i="278"/>
  <c r="E26" i="278"/>
  <c r="I26" i="278"/>
  <c r="Q26" i="278"/>
  <c r="E28" i="289"/>
  <c r="I28" i="289"/>
  <c r="Q28" i="289"/>
  <c r="E19" i="282"/>
  <c r="I19" i="282"/>
  <c r="Q19" i="282"/>
  <c r="H37" i="285"/>
  <c r="L37" i="285"/>
  <c r="P37" i="285"/>
  <c r="T37" i="285"/>
  <c r="H19" i="281"/>
  <c r="L19" i="281"/>
  <c r="P19" i="281"/>
  <c r="T19" i="281"/>
  <c r="H5" i="279"/>
  <c r="L5" i="279"/>
  <c r="P5" i="279"/>
  <c r="T5" i="279"/>
  <c r="H38" i="285"/>
  <c r="L38" i="285"/>
  <c r="P38" i="285"/>
  <c r="T38" i="285"/>
  <c r="C13" i="13"/>
  <c r="G5" i="287"/>
  <c r="K5" i="287"/>
  <c r="O5" i="287"/>
  <c r="S5" i="287"/>
  <c r="G19" i="284"/>
  <c r="K19" i="284"/>
  <c r="O19" i="284"/>
  <c r="S19" i="284"/>
  <c r="G39" i="285"/>
  <c r="K39" i="285"/>
  <c r="O39" i="285"/>
  <c r="S39" i="285"/>
  <c r="G40" i="285"/>
  <c r="K40" i="285"/>
  <c r="O40" i="285"/>
  <c r="S40" i="285"/>
  <c r="G29" i="289"/>
  <c r="K29" i="289"/>
  <c r="O29" i="289"/>
  <c r="S29" i="289"/>
  <c r="G32" i="281"/>
  <c r="K32" i="281"/>
  <c r="O32" i="281"/>
  <c r="S32" i="281"/>
  <c r="G20" i="284"/>
  <c r="K20" i="284"/>
  <c r="O20" i="284"/>
  <c r="S20" i="284"/>
  <c r="G54" i="281"/>
  <c r="K54" i="281"/>
  <c r="O54" i="281"/>
  <c r="S54" i="281"/>
  <c r="G27" i="278"/>
  <c r="K27" i="278"/>
  <c r="O27" i="278"/>
  <c r="S27" i="278"/>
  <c r="G28" i="278"/>
  <c r="K28" i="278"/>
  <c r="O28" i="278"/>
  <c r="S28" i="278"/>
  <c r="G29" i="278"/>
  <c r="K29" i="278"/>
  <c r="O29" i="278"/>
  <c r="S29" i="278"/>
  <c r="G41" i="285"/>
  <c r="K41" i="285"/>
  <c r="O41" i="285"/>
  <c r="S41" i="285"/>
  <c r="G42" i="285"/>
  <c r="K42" i="285"/>
  <c r="O42" i="285"/>
  <c r="S42" i="285"/>
  <c r="G30" i="289"/>
  <c r="K30" i="289"/>
  <c r="O30" i="289"/>
  <c r="S30" i="289"/>
  <c r="G21" i="284"/>
  <c r="K21" i="284"/>
  <c r="O21" i="284"/>
  <c r="S21" i="284"/>
  <c r="G31" i="289"/>
  <c r="K31" i="289"/>
  <c r="O31" i="289"/>
  <c r="S31" i="289"/>
  <c r="G13" i="281"/>
  <c r="K13" i="281"/>
  <c r="O13" i="281"/>
  <c r="S13" i="281"/>
  <c r="G32" i="289"/>
  <c r="K32" i="289"/>
  <c r="O32" i="289"/>
  <c r="S32" i="289"/>
  <c r="J43" i="285"/>
  <c r="N43" i="285"/>
  <c r="R43" i="285"/>
  <c r="F33" i="289"/>
  <c r="J33" i="289"/>
  <c r="N33" i="289"/>
  <c r="R33" i="289"/>
  <c r="E59" i="281"/>
  <c r="I59" i="281"/>
  <c r="Q59" i="281"/>
  <c r="E22" i="284"/>
  <c r="I22" i="284"/>
  <c r="Q22" i="284"/>
  <c r="E44" i="285"/>
  <c r="I44" i="285"/>
  <c r="Q44" i="285"/>
  <c r="E34" i="289"/>
  <c r="I34" i="289"/>
  <c r="Q34" i="289"/>
  <c r="E35" i="289"/>
  <c r="I35" i="289"/>
  <c r="Q35" i="289"/>
  <c r="E23" i="284"/>
  <c r="I23" i="284"/>
  <c r="Q23" i="284"/>
  <c r="E20" i="282"/>
  <c r="I20" i="282"/>
  <c r="Q20" i="282"/>
  <c r="E45" i="285"/>
  <c r="I45" i="285"/>
  <c r="Q45" i="285"/>
  <c r="E24" i="284"/>
  <c r="I24" i="284"/>
  <c r="Q24" i="284"/>
  <c r="H46" i="285"/>
  <c r="L46" i="285"/>
  <c r="P46" i="285"/>
  <c r="T46" i="285"/>
  <c r="H32" i="291"/>
  <c r="L32" i="291"/>
  <c r="P32" i="291"/>
  <c r="T32" i="291"/>
  <c r="H47" i="285"/>
  <c r="L47" i="285"/>
  <c r="P47" i="285"/>
  <c r="T47" i="285"/>
  <c r="H18" i="290"/>
  <c r="L18" i="290"/>
  <c r="P18" i="290"/>
  <c r="T18" i="290"/>
  <c r="H12" i="283"/>
  <c r="L12" i="283"/>
  <c r="P12" i="283"/>
  <c r="T12" i="283"/>
  <c r="H7" i="277"/>
  <c r="L7" i="277"/>
  <c r="P7" i="277"/>
  <c r="T7" i="277"/>
  <c r="H29" i="287"/>
  <c r="L29" i="287"/>
  <c r="P29" i="287"/>
  <c r="T29" i="287"/>
  <c r="H30" i="278"/>
  <c r="L30" i="278"/>
  <c r="P30" i="278"/>
  <c r="T30" i="278"/>
  <c r="H36" i="289"/>
  <c r="L36" i="289"/>
  <c r="P36" i="289"/>
  <c r="T36" i="289"/>
  <c r="H25" i="284"/>
  <c r="L25" i="284"/>
  <c r="P25" i="284"/>
  <c r="T25" i="284"/>
  <c r="C17" i="13"/>
  <c r="G16" i="286"/>
  <c r="K16" i="286"/>
  <c r="O16" i="286"/>
  <c r="S16" i="286"/>
  <c r="G8" i="290"/>
  <c r="K8" i="290"/>
  <c r="O8" i="290"/>
  <c r="S8" i="290"/>
  <c r="J37" i="289"/>
  <c r="N37" i="289"/>
  <c r="R37" i="289"/>
  <c r="E13" i="283"/>
  <c r="I13" i="283"/>
  <c r="Q13" i="283"/>
  <c r="E14" i="283"/>
  <c r="I14" i="283"/>
  <c r="Q14" i="283"/>
  <c r="E48" i="285"/>
  <c r="I48" i="285"/>
  <c r="Q48" i="285"/>
  <c r="E26" i="284"/>
  <c r="I26" i="284"/>
  <c r="Q26" i="284"/>
  <c r="E38" i="289"/>
  <c r="I38" i="289"/>
  <c r="Q38" i="289"/>
  <c r="H9" i="286"/>
  <c r="L9" i="286"/>
  <c r="P9" i="286"/>
  <c r="T9" i="286"/>
  <c r="H39" i="289"/>
  <c r="L39" i="289"/>
  <c r="P39" i="289"/>
  <c r="T39" i="289"/>
  <c r="C21" i="13"/>
  <c r="G15" i="283"/>
  <c r="K15" i="283"/>
  <c r="L15" i="283"/>
  <c r="N21" i="282"/>
  <c r="K17" i="287"/>
  <c r="L17" i="287"/>
  <c r="K18" i="287"/>
  <c r="L18" i="287"/>
  <c r="K35" i="278"/>
  <c r="L35" i="278"/>
  <c r="K47" i="289"/>
  <c r="L47" i="289"/>
  <c r="K6" i="288"/>
  <c r="L6" i="288"/>
  <c r="K62" i="289"/>
  <c r="L62" i="289"/>
  <c r="K65" i="285"/>
  <c r="L65" i="285"/>
  <c r="K42" i="278"/>
  <c r="L42" i="278"/>
  <c r="K64" i="289"/>
  <c r="L64" i="289"/>
  <c r="R21" i="282"/>
  <c r="F40" i="289"/>
  <c r="J40" i="289"/>
  <c r="N40" i="289"/>
  <c r="R40" i="289"/>
  <c r="J17" i="287"/>
  <c r="N17" i="287"/>
  <c r="R17" i="287"/>
  <c r="J49" i="285"/>
  <c r="N49" i="285"/>
  <c r="R49" i="285"/>
  <c r="E32" i="279"/>
  <c r="I32" i="279"/>
  <c r="Q32" i="279"/>
  <c r="E24" i="287"/>
  <c r="I24" i="287"/>
  <c r="Q24" i="287"/>
  <c r="E41" i="289"/>
  <c r="I41" i="289"/>
  <c r="Q41" i="289"/>
  <c r="E31" i="278"/>
  <c r="I31" i="278"/>
  <c r="Q31" i="278"/>
  <c r="E42" i="289"/>
  <c r="I42" i="289"/>
  <c r="Q42" i="289"/>
  <c r="E43" i="289"/>
  <c r="I43" i="289"/>
  <c r="Q43" i="289"/>
  <c r="E50" i="285"/>
  <c r="I50" i="285"/>
  <c r="Q50" i="285"/>
  <c r="E22" i="281"/>
  <c r="I22" i="281"/>
  <c r="Q22" i="281"/>
  <c r="E44" i="289"/>
  <c r="I44" i="289"/>
  <c r="Q44" i="289"/>
  <c r="E16" i="283"/>
  <c r="I16" i="283"/>
  <c r="Q16" i="283"/>
  <c r="E45" i="289"/>
  <c r="I45" i="289"/>
  <c r="Q45" i="289"/>
  <c r="E20" i="281"/>
  <c r="I20" i="281"/>
  <c r="Q20" i="281"/>
  <c r="H46" i="289"/>
  <c r="P46" i="289"/>
  <c r="T46" i="289"/>
  <c r="H32" i="278"/>
  <c r="P32" i="278"/>
  <c r="T32" i="278"/>
  <c r="H51" i="285"/>
  <c r="P51" i="285"/>
  <c r="T51" i="285"/>
  <c r="H18" i="287"/>
  <c r="P18" i="287"/>
  <c r="T18" i="287"/>
  <c r="H33" i="278"/>
  <c r="P33" i="278"/>
  <c r="T33" i="278"/>
  <c r="H34" i="278"/>
  <c r="P34" i="278"/>
  <c r="T34" i="278"/>
  <c r="H35" i="278"/>
  <c r="P35" i="278"/>
  <c r="T35" i="278"/>
  <c r="H18" i="286"/>
  <c r="P18" i="286"/>
  <c r="T18" i="286"/>
  <c r="H36" i="278"/>
  <c r="P36" i="278"/>
  <c r="T36" i="278"/>
  <c r="H22" i="282"/>
  <c r="P22" i="282"/>
  <c r="T22" i="282"/>
  <c r="H47" i="289"/>
  <c r="P47" i="289"/>
  <c r="T47" i="289"/>
  <c r="H8" i="281"/>
  <c r="P8" i="281"/>
  <c r="T8" i="281"/>
  <c r="H37" i="278"/>
  <c r="P37" i="278"/>
  <c r="T37" i="278"/>
  <c r="G48" i="289"/>
  <c r="K48" i="289"/>
  <c r="O48" i="289"/>
  <c r="S48" i="289"/>
  <c r="G38" i="278"/>
  <c r="K38" i="278"/>
  <c r="O38" i="278"/>
  <c r="S38" i="278"/>
  <c r="G52" i="285"/>
  <c r="K52" i="285"/>
  <c r="O52" i="285"/>
  <c r="S52" i="285"/>
  <c r="G49" i="289"/>
  <c r="K49" i="289"/>
  <c r="O49" i="289"/>
  <c r="S49" i="289"/>
  <c r="G53" i="285"/>
  <c r="K53" i="285"/>
  <c r="O53" i="285"/>
  <c r="S53" i="285"/>
  <c r="G10" i="280"/>
  <c r="K10" i="280"/>
  <c r="O10" i="280"/>
  <c r="S10" i="280"/>
  <c r="G50" i="289"/>
  <c r="K50" i="289"/>
  <c r="O50" i="289"/>
  <c r="S50" i="289"/>
  <c r="G51" i="289"/>
  <c r="K51" i="289"/>
  <c r="O51" i="289"/>
  <c r="S51" i="289"/>
  <c r="F19" i="286"/>
  <c r="J19" i="286"/>
  <c r="N19" i="286"/>
  <c r="R19" i="286"/>
  <c r="F52" i="289"/>
  <c r="J52" i="289"/>
  <c r="N52" i="289"/>
  <c r="R52" i="289"/>
  <c r="F46" i="281"/>
  <c r="J46" i="281"/>
  <c r="N46" i="281"/>
  <c r="R46" i="281"/>
  <c r="E27" i="284"/>
  <c r="I27" i="284"/>
  <c r="Q27" i="284"/>
  <c r="E20" i="286"/>
  <c r="I20" i="286"/>
  <c r="Q20" i="286"/>
  <c r="F33" i="291"/>
  <c r="J33" i="291"/>
  <c r="N33" i="291"/>
  <c r="R33" i="291"/>
  <c r="F54" i="285"/>
  <c r="J54" i="285"/>
  <c r="N54" i="285"/>
  <c r="R54" i="285"/>
  <c r="J53" i="289"/>
  <c r="N53" i="289"/>
  <c r="R53" i="289"/>
  <c r="F23" i="282"/>
  <c r="J23" i="282"/>
  <c r="N23" i="282"/>
  <c r="R23" i="282"/>
  <c r="F54" i="289"/>
  <c r="J54" i="289"/>
  <c r="N54" i="289"/>
  <c r="R54" i="289"/>
  <c r="F28" i="284"/>
  <c r="J28" i="284"/>
  <c r="N28" i="284"/>
  <c r="R28" i="284"/>
  <c r="F55" i="285"/>
  <c r="J55" i="285"/>
  <c r="N55" i="285"/>
  <c r="R55" i="285"/>
  <c r="F29" i="284"/>
  <c r="J29" i="284"/>
  <c r="N29" i="284"/>
  <c r="R29" i="284"/>
  <c r="J56" i="285"/>
  <c r="N56" i="285"/>
  <c r="R56" i="285"/>
  <c r="J30" i="284"/>
  <c r="N30" i="284"/>
  <c r="R30" i="284"/>
  <c r="F25" i="287"/>
  <c r="J25" i="287"/>
  <c r="N25" i="287"/>
  <c r="R25" i="287"/>
  <c r="F55" i="289"/>
  <c r="J55" i="289"/>
  <c r="N55" i="289"/>
  <c r="R55" i="289"/>
  <c r="F57" i="285"/>
  <c r="J57" i="285"/>
  <c r="N57" i="285"/>
  <c r="R57" i="285"/>
  <c r="J21" i="288"/>
  <c r="N21" i="288"/>
  <c r="R21" i="288"/>
  <c r="E29" i="288"/>
  <c r="I29" i="288"/>
  <c r="Q29" i="288"/>
  <c r="E6" i="279"/>
  <c r="I6" i="279"/>
  <c r="Q6" i="279"/>
  <c r="E56" i="289"/>
  <c r="I56" i="289"/>
  <c r="Q56" i="289"/>
  <c r="H61" i="281"/>
  <c r="L61" i="281"/>
  <c r="P61" i="281"/>
  <c r="T61" i="281"/>
  <c r="H58" i="285"/>
  <c r="L58" i="285"/>
  <c r="P58" i="285"/>
  <c r="T58" i="285"/>
  <c r="H57" i="289"/>
  <c r="L57" i="289"/>
  <c r="P57" i="289"/>
  <c r="T57" i="289"/>
  <c r="H4" i="288"/>
  <c r="L4" i="288"/>
  <c r="P4" i="288"/>
  <c r="T4" i="288"/>
  <c r="H58" i="289"/>
  <c r="L58" i="289"/>
  <c r="P58" i="289"/>
  <c r="T58" i="289"/>
  <c r="H59" i="285"/>
  <c r="L59" i="285"/>
  <c r="P59" i="285"/>
  <c r="T59" i="285"/>
  <c r="H13" i="288"/>
  <c r="L13" i="288"/>
  <c r="P13" i="288"/>
  <c r="T13" i="288"/>
  <c r="C29" i="13"/>
  <c r="G24" i="282"/>
  <c r="K24" i="282"/>
  <c r="O24" i="282"/>
  <c r="S24" i="282"/>
  <c r="G33" i="288"/>
  <c r="K33" i="288"/>
  <c r="O33" i="288"/>
  <c r="S33" i="288"/>
  <c r="G59" i="289"/>
  <c r="K59" i="289"/>
  <c r="O59" i="289"/>
  <c r="S59" i="289"/>
  <c r="G4" i="290"/>
  <c r="K4" i="290"/>
  <c r="O4" i="290"/>
  <c r="S4" i="290"/>
  <c r="G60" i="289"/>
  <c r="K60" i="289"/>
  <c r="O60" i="289"/>
  <c r="S60" i="289"/>
  <c r="G27" i="279"/>
  <c r="K27" i="279"/>
  <c r="O27" i="279"/>
  <c r="S27" i="279"/>
  <c r="G9" i="287"/>
  <c r="K9" i="287"/>
  <c r="O9" i="287"/>
  <c r="S9" i="287"/>
  <c r="G31" i="284"/>
  <c r="K31" i="284"/>
  <c r="O31" i="284"/>
  <c r="S31" i="284"/>
  <c r="G39" i="278"/>
  <c r="K39" i="278"/>
  <c r="O39" i="278"/>
  <c r="S39" i="278"/>
  <c r="G24" i="277"/>
  <c r="K24" i="277"/>
  <c r="O24" i="277"/>
  <c r="S24" i="277"/>
  <c r="G25" i="282"/>
  <c r="K25" i="282"/>
  <c r="O25" i="282"/>
  <c r="S25" i="282"/>
  <c r="G60" i="285"/>
  <c r="K60" i="285"/>
  <c r="O60" i="285"/>
  <c r="S60" i="285"/>
  <c r="G9" i="290"/>
  <c r="K9" i="290"/>
  <c r="O9" i="290"/>
  <c r="S9" i="290"/>
  <c r="G61" i="289"/>
  <c r="K61" i="289"/>
  <c r="O61" i="289"/>
  <c r="S61" i="289"/>
  <c r="G40" i="278"/>
  <c r="K40" i="278"/>
  <c r="O40" i="278"/>
  <c r="S40" i="278"/>
  <c r="G61" i="285"/>
  <c r="K61" i="285"/>
  <c r="O61" i="285"/>
  <c r="S61" i="285"/>
  <c r="F17" i="283"/>
  <c r="J17" i="283"/>
  <c r="N17" i="283"/>
  <c r="R17" i="283"/>
  <c r="F34" i="291"/>
  <c r="J34" i="291"/>
  <c r="K62" i="285"/>
  <c r="L62" i="285"/>
  <c r="K44" i="280"/>
  <c r="L44" i="280"/>
  <c r="K14" i="281"/>
  <c r="L14" i="281"/>
  <c r="K66" i="285"/>
  <c r="L66" i="285"/>
  <c r="K18" i="277"/>
  <c r="L18" i="277"/>
  <c r="K41" i="278"/>
  <c r="L41" i="278"/>
  <c r="K63" i="285"/>
  <c r="L63" i="285"/>
  <c r="K64" i="285"/>
  <c r="L64" i="285"/>
  <c r="K63" i="289"/>
  <c r="L63" i="289"/>
  <c r="K14" i="291"/>
  <c r="L14" i="291"/>
  <c r="R14" i="283"/>
  <c r="F48" i="285"/>
  <c r="J48" i="285"/>
  <c r="N48" i="285"/>
  <c r="R48" i="285"/>
  <c r="F26" i="284"/>
  <c r="J26" i="284"/>
  <c r="N26" i="284"/>
  <c r="R26" i="284"/>
  <c r="J38" i="289"/>
  <c r="N38" i="289"/>
  <c r="R38" i="289"/>
  <c r="E9" i="286"/>
  <c r="I9" i="286"/>
  <c r="Q9" i="286"/>
  <c r="E39" i="289"/>
  <c r="I39" i="289"/>
  <c r="Q39" i="289"/>
  <c r="H15" i="283"/>
  <c r="P15" i="283"/>
  <c r="T15" i="283"/>
  <c r="H8" i="277"/>
  <c r="P8" i="277"/>
  <c r="T8" i="277"/>
  <c r="H21" i="282"/>
  <c r="P21" i="282"/>
  <c r="T21" i="282"/>
  <c r="H40" i="289"/>
  <c r="P40" i="289"/>
  <c r="T40" i="289"/>
  <c r="H17" i="287"/>
  <c r="P17" i="287"/>
  <c r="T17" i="287"/>
  <c r="H49" i="285"/>
  <c r="P49" i="285"/>
  <c r="T49" i="285"/>
  <c r="G32" i="279"/>
  <c r="K32" i="279"/>
  <c r="O32" i="279"/>
  <c r="S32" i="279"/>
  <c r="G24" i="287"/>
  <c r="K24" i="287"/>
  <c r="O24" i="287"/>
  <c r="S24" i="287"/>
  <c r="G41" i="289"/>
  <c r="K41" i="289"/>
  <c r="O41" i="289"/>
  <c r="S41" i="289"/>
  <c r="G31" i="278"/>
  <c r="K31" i="278"/>
  <c r="O31" i="278"/>
  <c r="S31" i="278"/>
  <c r="G42" i="289"/>
  <c r="K42" i="289"/>
  <c r="O42" i="289"/>
  <c r="S42" i="289"/>
  <c r="G43" i="289"/>
  <c r="K43" i="289"/>
  <c r="O43" i="289"/>
  <c r="S43" i="289"/>
  <c r="G50" i="285"/>
  <c r="K50" i="285"/>
  <c r="O50" i="285"/>
  <c r="S50" i="285"/>
  <c r="G22" i="281"/>
  <c r="K22" i="281"/>
  <c r="O22" i="281"/>
  <c r="S22" i="281"/>
  <c r="G44" i="289"/>
  <c r="K44" i="289"/>
  <c r="O44" i="289"/>
  <c r="S44" i="289"/>
  <c r="G16" i="283"/>
  <c r="K16" i="283"/>
  <c r="O16" i="283"/>
  <c r="S16" i="283"/>
  <c r="G45" i="289"/>
  <c r="K45" i="289"/>
  <c r="O45" i="289"/>
  <c r="S45" i="289"/>
  <c r="G20" i="281"/>
  <c r="K20" i="281"/>
  <c r="O20" i="281"/>
  <c r="S20" i="281"/>
  <c r="F46" i="289"/>
  <c r="J46" i="289"/>
  <c r="N46" i="289"/>
  <c r="R46" i="289"/>
  <c r="F32" i="278"/>
  <c r="J32" i="278"/>
  <c r="N32" i="278"/>
  <c r="R32" i="278"/>
  <c r="J51" i="285"/>
  <c r="N51" i="285"/>
  <c r="R51" i="285"/>
  <c r="F18" i="287"/>
  <c r="J18" i="287"/>
  <c r="N18" i="287"/>
  <c r="R18" i="287"/>
  <c r="F33" i="278"/>
  <c r="J33" i="278"/>
  <c r="N33" i="278"/>
  <c r="R33" i="278"/>
  <c r="F34" i="278"/>
  <c r="J34" i="278"/>
  <c r="N34" i="278"/>
  <c r="R34" i="278"/>
  <c r="J35" i="278"/>
  <c r="N35" i="278"/>
  <c r="R35" i="278"/>
  <c r="J18" i="286"/>
  <c r="N18" i="286"/>
  <c r="R18" i="286"/>
  <c r="J36" i="278"/>
  <c r="N36" i="278"/>
  <c r="R36" i="278"/>
  <c r="F22" i="282"/>
  <c r="J22" i="282"/>
  <c r="N22" i="282"/>
  <c r="R22" i="282"/>
  <c r="J47" i="289"/>
  <c r="N47" i="289"/>
  <c r="R47" i="289"/>
  <c r="J8" i="281"/>
  <c r="N8" i="281"/>
  <c r="R8" i="281"/>
  <c r="F37" i="278"/>
  <c r="J37" i="278"/>
  <c r="N37" i="278"/>
  <c r="R37" i="278"/>
  <c r="E48" i="289"/>
  <c r="I48" i="289"/>
  <c r="Q48" i="289"/>
  <c r="E38" i="278"/>
  <c r="I38" i="278"/>
  <c r="Q38" i="278"/>
  <c r="E52" i="285"/>
  <c r="I52" i="285"/>
  <c r="Q52" i="285"/>
  <c r="E49" i="289"/>
  <c r="I49" i="289"/>
  <c r="Q49" i="289"/>
  <c r="E53" i="285"/>
  <c r="I53" i="285"/>
  <c r="Q53" i="285"/>
  <c r="E10" i="280"/>
  <c r="I10" i="280"/>
  <c r="Q10" i="280"/>
  <c r="E50" i="289"/>
  <c r="I50" i="289"/>
  <c r="Q50" i="289"/>
  <c r="E51" i="289"/>
  <c r="I51" i="289"/>
  <c r="Q51" i="289"/>
  <c r="H19" i="286"/>
  <c r="P19" i="286"/>
  <c r="T19" i="286"/>
  <c r="H52" i="289"/>
  <c r="L52" i="289"/>
  <c r="P52" i="289"/>
  <c r="T52" i="289"/>
  <c r="H46" i="281"/>
  <c r="L46" i="281"/>
  <c r="P46" i="281"/>
  <c r="T46" i="281"/>
  <c r="C26" i="13"/>
  <c r="G27" i="284"/>
  <c r="K27" i="284"/>
  <c r="O27" i="284"/>
  <c r="S27" i="284"/>
  <c r="G20" i="286"/>
  <c r="K20" i="286"/>
  <c r="O20" i="286"/>
  <c r="S20" i="286"/>
  <c r="H33" i="291"/>
  <c r="L33" i="291"/>
  <c r="P33" i="291"/>
  <c r="T33" i="291"/>
  <c r="H54" i="285"/>
  <c r="L54" i="285"/>
  <c r="P54" i="285"/>
  <c r="T54" i="285"/>
  <c r="H53" i="289"/>
  <c r="L53" i="289"/>
  <c r="P53" i="289"/>
  <c r="T53" i="289"/>
  <c r="H23" i="282"/>
  <c r="L23" i="282"/>
  <c r="P23" i="282"/>
  <c r="T23" i="282"/>
  <c r="H54" i="289"/>
  <c r="L54" i="289"/>
  <c r="P54" i="289"/>
  <c r="T54" i="289"/>
  <c r="H28" i="284"/>
  <c r="L28" i="284"/>
  <c r="P28" i="284"/>
  <c r="T28" i="284"/>
  <c r="H55" i="285"/>
  <c r="L55" i="285"/>
  <c r="P55" i="285"/>
  <c r="T55" i="285"/>
  <c r="H29" i="284"/>
  <c r="L29" i="284"/>
  <c r="P29" i="284"/>
  <c r="T29" i="284"/>
  <c r="H56" i="285"/>
  <c r="L56" i="285"/>
  <c r="P56" i="285"/>
  <c r="T56" i="285"/>
  <c r="H30" i="284"/>
  <c r="L30" i="284"/>
  <c r="P30" i="284"/>
  <c r="T30" i="284"/>
  <c r="H25" i="287"/>
  <c r="L25" i="287"/>
  <c r="P25" i="287"/>
  <c r="T25" i="287"/>
  <c r="H55" i="289"/>
  <c r="L55" i="289"/>
  <c r="P55" i="289"/>
  <c r="T55" i="289"/>
  <c r="H57" i="285"/>
  <c r="L57" i="285"/>
  <c r="P57" i="285"/>
  <c r="T57" i="285"/>
  <c r="H21" i="288"/>
  <c r="L21" i="288"/>
  <c r="P21" i="288"/>
  <c r="T21" i="288"/>
  <c r="C27" i="13"/>
  <c r="G29" i="288"/>
  <c r="K29" i="288"/>
  <c r="O29" i="288"/>
  <c r="S29" i="288"/>
  <c r="G6" i="279"/>
  <c r="K6" i="279"/>
  <c r="O6" i="279"/>
  <c r="S6" i="279"/>
  <c r="G56" i="289"/>
  <c r="K56" i="289"/>
  <c r="O56" i="289"/>
  <c r="S56" i="289"/>
  <c r="J61" i="281"/>
  <c r="N61" i="281"/>
  <c r="R61" i="281"/>
  <c r="F58" i="285"/>
  <c r="J58" i="285"/>
  <c r="N58" i="285"/>
  <c r="R58" i="285"/>
  <c r="F57" i="289"/>
  <c r="J57" i="289"/>
  <c r="N57" i="289"/>
  <c r="R57" i="289"/>
  <c r="J4" i="288"/>
  <c r="N4" i="288"/>
  <c r="R4" i="288"/>
  <c r="F58" i="289"/>
  <c r="J58" i="289"/>
  <c r="N58" i="289"/>
  <c r="R58" i="289"/>
  <c r="F59" i="285"/>
  <c r="J59" i="285"/>
  <c r="N59" i="285"/>
  <c r="R59" i="285"/>
  <c r="F13" i="288"/>
  <c r="J13" i="288"/>
  <c r="N13" i="288"/>
  <c r="R13" i="288"/>
  <c r="E24" i="282"/>
  <c r="I24" i="282"/>
  <c r="Q24" i="282"/>
  <c r="E33" i="288"/>
  <c r="I33" i="288"/>
  <c r="Q33" i="288"/>
  <c r="E59" i="289"/>
  <c r="I59" i="289"/>
  <c r="Q59" i="289"/>
  <c r="E4" i="290"/>
  <c r="I4" i="290"/>
  <c r="Q4" i="290"/>
  <c r="E60" i="289"/>
  <c r="I60" i="289"/>
  <c r="Q60" i="289"/>
  <c r="E27" i="279"/>
  <c r="I27" i="279"/>
  <c r="Q27" i="279"/>
  <c r="E9" i="287"/>
  <c r="I9" i="287"/>
  <c r="Q9" i="287"/>
  <c r="E31" i="284"/>
  <c r="I31" i="284"/>
  <c r="Q31" i="284"/>
  <c r="E39" i="278"/>
  <c r="I39" i="278"/>
  <c r="Q39" i="278"/>
  <c r="E24" i="277"/>
  <c r="I24" i="277"/>
  <c r="Q24" i="277"/>
  <c r="E25" i="282"/>
  <c r="I25" i="282"/>
  <c r="Q25" i="282"/>
  <c r="E60" i="285"/>
  <c r="I60" i="285"/>
  <c r="Q60" i="285"/>
  <c r="E9" i="290"/>
  <c r="I9" i="290"/>
  <c r="Q9" i="290"/>
  <c r="E61" i="289"/>
  <c r="I61" i="289"/>
  <c r="Q61" i="289"/>
  <c r="E40" i="278"/>
  <c r="I40" i="278"/>
  <c r="Q40" i="278"/>
  <c r="E61" i="285"/>
  <c r="I61" i="285"/>
  <c r="Q61" i="285"/>
  <c r="H17" i="283"/>
  <c r="L17" i="283"/>
  <c r="P17" i="283"/>
  <c r="T17" i="283"/>
  <c r="H34" i="291"/>
  <c r="L34" i="291"/>
  <c r="P34" i="291"/>
  <c r="T34" i="291"/>
  <c r="H18" i="283"/>
  <c r="L18" i="283"/>
  <c r="P18" i="283"/>
  <c r="T18" i="283"/>
  <c r="H5" i="288"/>
  <c r="L5" i="288"/>
  <c r="K9" i="281"/>
  <c r="L9" i="281"/>
  <c r="K32" i="284"/>
  <c r="L32" i="284"/>
  <c r="K26" i="282"/>
  <c r="L26" i="282"/>
  <c r="K13" i="291"/>
  <c r="L13" i="291"/>
  <c r="C33" i="284"/>
  <c r="C31" i="13"/>
  <c r="N34" i="291"/>
  <c r="R34" i="291"/>
  <c r="F18" i="283"/>
  <c r="J18" i="283"/>
  <c r="N18" i="283"/>
  <c r="R18" i="283"/>
  <c r="F5" i="288"/>
  <c r="J5" i="288"/>
  <c r="N5" i="288"/>
  <c r="R5" i="288"/>
  <c r="F41" i="278"/>
  <c r="J41" i="278"/>
  <c r="N41" i="278"/>
  <c r="R41" i="278"/>
  <c r="F62" i="285"/>
  <c r="J62" i="285"/>
  <c r="N62" i="285"/>
  <c r="R62" i="285"/>
  <c r="F6" i="288"/>
  <c r="J6" i="288"/>
  <c r="N6" i="288"/>
  <c r="R6" i="288"/>
  <c r="F9" i="281"/>
  <c r="J9" i="281"/>
  <c r="N9" i="281"/>
  <c r="R9" i="281"/>
  <c r="F63" i="285"/>
  <c r="J63" i="285"/>
  <c r="N63" i="285"/>
  <c r="R63" i="285"/>
  <c r="F44" i="280"/>
  <c r="J44" i="280"/>
  <c r="N44" i="280"/>
  <c r="R44" i="280"/>
  <c r="J62" i="289"/>
  <c r="N62" i="289"/>
  <c r="R62" i="289"/>
  <c r="F32" i="284"/>
  <c r="J32" i="284"/>
  <c r="N32" i="284"/>
  <c r="R32" i="284"/>
  <c r="F64" i="285"/>
  <c r="J64" i="285"/>
  <c r="N64" i="285"/>
  <c r="R64" i="285"/>
  <c r="F14" i="281"/>
  <c r="J14" i="281"/>
  <c r="N14" i="281"/>
  <c r="R14" i="281"/>
  <c r="J65" i="285"/>
  <c r="N65" i="285"/>
  <c r="R65" i="285"/>
  <c r="F26" i="282"/>
  <c r="J26" i="282"/>
  <c r="N26" i="282"/>
  <c r="R26" i="282"/>
  <c r="F63" i="289"/>
  <c r="J63" i="289"/>
  <c r="N63" i="289"/>
  <c r="R63" i="289"/>
  <c r="F66" i="285"/>
  <c r="J66" i="285"/>
  <c r="N66" i="285"/>
  <c r="R66" i="285"/>
  <c r="J42" i="278"/>
  <c r="N42" i="278"/>
  <c r="R42" i="278"/>
  <c r="F13" i="291"/>
  <c r="J13" i="291"/>
  <c r="N13" i="291"/>
  <c r="R13" i="291"/>
  <c r="F14" i="291"/>
  <c r="J14" i="291"/>
  <c r="N14" i="291"/>
  <c r="R14" i="291"/>
  <c r="F18" i="277"/>
  <c r="J18" i="277"/>
  <c r="N18" i="277"/>
  <c r="R18" i="277"/>
  <c r="F64" i="289"/>
  <c r="J64" i="289"/>
  <c r="N64" i="289"/>
  <c r="R64" i="289"/>
  <c r="E33" i="284"/>
  <c r="I33" i="284"/>
  <c r="Q33" i="284"/>
  <c r="E28" i="279"/>
  <c r="I28" i="279"/>
  <c r="Q28" i="279"/>
  <c r="E16" i="277"/>
  <c r="I16" i="277"/>
  <c r="Q16" i="277"/>
  <c r="E65" i="289"/>
  <c r="I65" i="289"/>
  <c r="Q65" i="289"/>
  <c r="E12" i="286"/>
  <c r="I12" i="286"/>
  <c r="Q12" i="286"/>
  <c r="E67" i="285"/>
  <c r="I67" i="285"/>
  <c r="Q67" i="285"/>
  <c r="E34" i="284"/>
  <c r="I34" i="284"/>
  <c r="Q34" i="284"/>
  <c r="E37" i="288"/>
  <c r="I37" i="288"/>
  <c r="Q37" i="288"/>
  <c r="E35" i="284"/>
  <c r="I35" i="284"/>
  <c r="Q35" i="284"/>
  <c r="H28" i="286"/>
  <c r="L28" i="286"/>
  <c r="P28" i="286"/>
  <c r="T28" i="286"/>
  <c r="H9" i="288"/>
  <c r="L9" i="288"/>
  <c r="P9" i="288"/>
  <c r="T9" i="288"/>
  <c r="H66" i="289"/>
  <c r="L66" i="289"/>
  <c r="P66" i="289"/>
  <c r="T66" i="289"/>
  <c r="H67" i="289"/>
  <c r="L67" i="289"/>
  <c r="P67" i="289"/>
  <c r="T67" i="289"/>
  <c r="H68" i="285"/>
  <c r="L68" i="285"/>
  <c r="P68" i="285"/>
  <c r="T68" i="285"/>
  <c r="H24" i="280"/>
  <c r="L24" i="280"/>
  <c r="P24" i="280"/>
  <c r="T24" i="280"/>
  <c r="C33" i="13"/>
  <c r="G19" i="283"/>
  <c r="K19" i="283"/>
  <c r="O19" i="283"/>
  <c r="S19" i="283"/>
  <c r="F68" i="289"/>
  <c r="J68" i="289"/>
  <c r="N68" i="289"/>
  <c r="R68" i="289"/>
  <c r="F69" i="285"/>
  <c r="J69" i="285"/>
  <c r="N69" i="285"/>
  <c r="R69" i="285"/>
  <c r="F69" i="289"/>
  <c r="J69" i="289"/>
  <c r="N69" i="289"/>
  <c r="R69" i="289"/>
  <c r="F43" i="278"/>
  <c r="J43" i="278"/>
  <c r="N43" i="278"/>
  <c r="R43" i="278"/>
  <c r="F36" i="284"/>
  <c r="J36" i="284"/>
  <c r="N36" i="284"/>
  <c r="R36" i="284"/>
  <c r="F70" i="285"/>
  <c r="J70" i="285"/>
  <c r="N70" i="285"/>
  <c r="R70" i="285"/>
  <c r="F70" i="289"/>
  <c r="J70" i="289"/>
  <c r="N70" i="289"/>
  <c r="R70" i="289"/>
  <c r="J47" i="280"/>
  <c r="N47" i="280"/>
  <c r="R47" i="280"/>
  <c r="F71" i="285"/>
  <c r="J71" i="285"/>
  <c r="N71" i="285"/>
  <c r="R71" i="285"/>
  <c r="F44" i="278"/>
  <c r="J44" i="278"/>
  <c r="N44" i="278"/>
  <c r="R44" i="278"/>
  <c r="F72" i="285"/>
  <c r="J72" i="285"/>
  <c r="N72" i="285"/>
  <c r="R72" i="285"/>
  <c r="F37" i="284"/>
  <c r="J37" i="284"/>
  <c r="N37" i="284"/>
  <c r="R37" i="284"/>
  <c r="F38" i="284"/>
  <c r="J38" i="284"/>
  <c r="N38" i="284"/>
  <c r="R38" i="284"/>
  <c r="F71" i="289"/>
  <c r="J71" i="289"/>
  <c r="N71" i="289"/>
  <c r="R71" i="289"/>
  <c r="J27" i="282"/>
  <c r="N27" i="282"/>
  <c r="R27" i="282"/>
  <c r="F45" i="278"/>
  <c r="J45" i="278"/>
  <c r="N45" i="278"/>
  <c r="R45" i="278"/>
  <c r="F72" i="289"/>
  <c r="J72" i="289"/>
  <c r="N72" i="289"/>
  <c r="R72" i="289"/>
  <c r="F73" i="285"/>
  <c r="J73" i="285"/>
  <c r="N73" i="285"/>
  <c r="R73" i="285"/>
  <c r="F30" i="280"/>
  <c r="J30" i="280"/>
  <c r="N30" i="280"/>
  <c r="R30" i="280"/>
  <c r="F46" i="278"/>
  <c r="J46" i="278"/>
  <c r="N46" i="278"/>
  <c r="R46" i="278"/>
  <c r="F73" i="289"/>
  <c r="J73" i="289"/>
  <c r="N73" i="289"/>
  <c r="R73" i="289"/>
  <c r="F47" i="278"/>
  <c r="J47" i="278"/>
  <c r="N47" i="278"/>
  <c r="R47" i="278"/>
  <c r="E4" i="280"/>
  <c r="I4" i="280"/>
  <c r="Q4" i="280"/>
  <c r="E74" i="289"/>
  <c r="I74" i="289"/>
  <c r="Q74" i="289"/>
  <c r="H20" i="283"/>
  <c r="L20" i="283"/>
  <c r="P20" i="283"/>
  <c r="T20" i="283"/>
  <c r="H48" i="278"/>
  <c r="L48" i="278"/>
  <c r="P48" i="278"/>
  <c r="T48" i="278"/>
  <c r="C36" i="13"/>
  <c r="G75" i="289"/>
  <c r="K75" i="289"/>
  <c r="O75" i="289"/>
  <c r="S75" i="289"/>
  <c r="F49" i="278"/>
  <c r="J49" i="278"/>
  <c r="N49" i="278"/>
  <c r="R49" i="278"/>
  <c r="F76" i="289"/>
  <c r="J76" i="289"/>
  <c r="N76" i="289"/>
  <c r="R76" i="289"/>
  <c r="F50" i="278"/>
  <c r="J50" i="278"/>
  <c r="N50" i="278"/>
  <c r="R50" i="278"/>
  <c r="E77" i="289"/>
  <c r="I77" i="289"/>
  <c r="Q77" i="289"/>
  <c r="E74" i="285"/>
  <c r="I74" i="285"/>
  <c r="Q74" i="285"/>
  <c r="E51" i="278"/>
  <c r="I51" i="278"/>
  <c r="Q51" i="278"/>
  <c r="E75" i="285"/>
  <c r="I75" i="285"/>
  <c r="Q75" i="285"/>
  <c r="E78" i="289"/>
  <c r="I78" i="289"/>
  <c r="Q78" i="289"/>
  <c r="E28" i="282"/>
  <c r="I28" i="282"/>
  <c r="Q28" i="282"/>
  <c r="E18" i="291"/>
  <c r="I18" i="291"/>
  <c r="Q18" i="291"/>
  <c r="E21" i="283"/>
  <c r="I21" i="283"/>
  <c r="Q21" i="283"/>
  <c r="E79" i="289"/>
  <c r="I79" i="289"/>
  <c r="Q79" i="289"/>
  <c r="E80" i="289"/>
  <c r="I80" i="289"/>
  <c r="Q80" i="289"/>
  <c r="H52" i="278"/>
  <c r="L52" i="278"/>
  <c r="P52" i="278"/>
  <c r="T52" i="278"/>
  <c r="C39" i="13"/>
  <c r="G81" i="289"/>
  <c r="K81" i="289"/>
  <c r="O81" i="289"/>
  <c r="S81" i="289"/>
  <c r="G53" i="278"/>
  <c r="K53" i="278"/>
  <c r="O53" i="278"/>
  <c r="S53" i="278"/>
  <c r="G13" i="287"/>
  <c r="K13" i="287"/>
  <c r="O13" i="287"/>
  <c r="S13" i="287"/>
  <c r="G54" i="278"/>
  <c r="K54" i="278"/>
  <c r="O54" i="278"/>
  <c r="S54" i="278"/>
  <c r="F5" i="280"/>
  <c r="J5" i="280"/>
  <c r="N5" i="280"/>
  <c r="R5" i="280"/>
  <c r="F55" i="278"/>
  <c r="J55" i="278"/>
  <c r="N55" i="278"/>
  <c r="R55" i="278"/>
  <c r="J39" i="284"/>
  <c r="N39" i="284"/>
  <c r="R39" i="284"/>
  <c r="J36" i="280"/>
  <c r="N36" i="280"/>
  <c r="R36" i="280"/>
  <c r="F76" i="285"/>
  <c r="J76" i="285"/>
  <c r="N76" i="285"/>
  <c r="R76" i="285"/>
  <c r="E56" i="278"/>
  <c r="I56" i="278"/>
  <c r="Q56" i="278"/>
  <c r="E77" i="285"/>
  <c r="I77" i="285"/>
  <c r="Q77" i="285"/>
  <c r="H33" i="281"/>
  <c r="L33" i="281"/>
  <c r="O22" i="286"/>
  <c r="S22" i="286"/>
  <c r="G22" i="283"/>
  <c r="K22" i="283"/>
  <c r="L22" i="283"/>
  <c r="O83" i="289"/>
  <c r="S83" i="289"/>
  <c r="F84" i="289"/>
  <c r="J84" i="289"/>
  <c r="K22" i="288"/>
  <c r="L22" i="288"/>
  <c r="K22" i="286"/>
  <c r="L22" i="286"/>
  <c r="K83" i="289"/>
  <c r="L83" i="289"/>
  <c r="K52" i="280"/>
  <c r="L52" i="280"/>
  <c r="C81" i="285"/>
  <c r="C45" i="13"/>
  <c r="P5" i="288"/>
  <c r="T5" i="288"/>
  <c r="H41" i="278"/>
  <c r="P41" i="278"/>
  <c r="T41" i="278"/>
  <c r="H62" i="285"/>
  <c r="P62" i="285"/>
  <c r="T62" i="285"/>
  <c r="H6" i="288"/>
  <c r="P6" i="288"/>
  <c r="T6" i="288"/>
  <c r="H9" i="281"/>
  <c r="P9" i="281"/>
  <c r="T9" i="281"/>
  <c r="H63" i="285"/>
  <c r="P63" i="285"/>
  <c r="T63" i="285"/>
  <c r="H44" i="280"/>
  <c r="P44" i="280"/>
  <c r="T44" i="280"/>
  <c r="H62" i="289"/>
  <c r="P62" i="289"/>
  <c r="T62" i="289"/>
  <c r="H32" i="284"/>
  <c r="P32" i="284"/>
  <c r="T32" i="284"/>
  <c r="H64" i="285"/>
  <c r="P64" i="285"/>
  <c r="T64" i="285"/>
  <c r="H14" i="281"/>
  <c r="P14" i="281"/>
  <c r="T14" i="281"/>
  <c r="H65" i="285"/>
  <c r="P65" i="285"/>
  <c r="T65" i="285"/>
  <c r="H26" i="282"/>
  <c r="P26" i="282"/>
  <c r="T26" i="282"/>
  <c r="H63" i="289"/>
  <c r="P63" i="289"/>
  <c r="T63" i="289"/>
  <c r="H66" i="285"/>
  <c r="P66" i="285"/>
  <c r="T66" i="285"/>
  <c r="H42" i="278"/>
  <c r="P42" i="278"/>
  <c r="T42" i="278"/>
  <c r="H13" i="291"/>
  <c r="P13" i="291"/>
  <c r="T13" i="291"/>
  <c r="H14" i="291"/>
  <c r="P14" i="291"/>
  <c r="T14" i="291"/>
  <c r="H18" i="277"/>
  <c r="P18" i="277"/>
  <c r="T18" i="277"/>
  <c r="H64" i="289"/>
  <c r="P64" i="289"/>
  <c r="T64" i="289"/>
  <c r="G33" i="284"/>
  <c r="K33" i="284"/>
  <c r="O33" i="284"/>
  <c r="S33" i="284"/>
  <c r="G28" i="279"/>
  <c r="K28" i="279"/>
  <c r="O28" i="279"/>
  <c r="S28" i="279"/>
  <c r="G16" i="277"/>
  <c r="K16" i="277"/>
  <c r="O16" i="277"/>
  <c r="S16" i="277"/>
  <c r="G65" i="289"/>
  <c r="K65" i="289"/>
  <c r="O65" i="289"/>
  <c r="S65" i="289"/>
  <c r="G12" i="286"/>
  <c r="K12" i="286"/>
  <c r="O12" i="286"/>
  <c r="S12" i="286"/>
  <c r="G67" i="285"/>
  <c r="K67" i="285"/>
  <c r="O67" i="285"/>
  <c r="S67" i="285"/>
  <c r="G34" i="284"/>
  <c r="K34" i="284"/>
  <c r="O34" i="284"/>
  <c r="S34" i="284"/>
  <c r="G37" i="288"/>
  <c r="K37" i="288"/>
  <c r="O37" i="288"/>
  <c r="S37" i="288"/>
  <c r="G35" i="284"/>
  <c r="K35" i="284"/>
  <c r="O35" i="284"/>
  <c r="S35" i="284"/>
  <c r="F28" i="286"/>
  <c r="J28" i="286"/>
  <c r="N28" i="286"/>
  <c r="R28" i="286"/>
  <c r="F9" i="288"/>
  <c r="J9" i="288"/>
  <c r="N9" i="288"/>
  <c r="R9" i="288"/>
  <c r="F66" i="289"/>
  <c r="J66" i="289"/>
  <c r="N66" i="289"/>
  <c r="R66" i="289"/>
  <c r="F67" i="289"/>
  <c r="J67" i="289"/>
  <c r="N67" i="289"/>
  <c r="R67" i="289"/>
  <c r="F68" i="285"/>
  <c r="J68" i="285"/>
  <c r="N68" i="285"/>
  <c r="R68" i="285"/>
  <c r="J24" i="280"/>
  <c r="N24" i="280"/>
  <c r="R24" i="280"/>
  <c r="E19" i="283"/>
  <c r="I19" i="283"/>
  <c r="Q19" i="283"/>
  <c r="H68" i="289"/>
  <c r="L68" i="289"/>
  <c r="P68" i="289"/>
  <c r="T68" i="289"/>
  <c r="H69" i="285"/>
  <c r="L69" i="285"/>
  <c r="P69" i="285"/>
  <c r="T69" i="285"/>
  <c r="H69" i="289"/>
  <c r="L69" i="289"/>
  <c r="P69" i="289"/>
  <c r="T69" i="289"/>
  <c r="H43" i="278"/>
  <c r="L43" i="278"/>
  <c r="P43" i="278"/>
  <c r="T43" i="278"/>
  <c r="H36" i="284"/>
  <c r="L36" i="284"/>
  <c r="P36" i="284"/>
  <c r="T36" i="284"/>
  <c r="H70" i="285"/>
  <c r="L70" i="285"/>
  <c r="P70" i="285"/>
  <c r="T70" i="285"/>
  <c r="H70" i="289"/>
  <c r="L70" i="289"/>
  <c r="P70" i="289"/>
  <c r="T70" i="289"/>
  <c r="H47" i="280"/>
  <c r="L47" i="280"/>
  <c r="P47" i="280"/>
  <c r="T47" i="280"/>
  <c r="H71" i="285"/>
  <c r="L71" i="285"/>
  <c r="P71" i="285"/>
  <c r="T71" i="285"/>
  <c r="H44" i="278"/>
  <c r="L44" i="278"/>
  <c r="P44" i="278"/>
  <c r="T44" i="278"/>
  <c r="H72" i="285"/>
  <c r="L72" i="285"/>
  <c r="P72" i="285"/>
  <c r="T72" i="285"/>
  <c r="H37" i="284"/>
  <c r="L37" i="284"/>
  <c r="P37" i="284"/>
  <c r="T37" i="284"/>
  <c r="H38" i="284"/>
  <c r="L38" i="284"/>
  <c r="P38" i="284"/>
  <c r="T38" i="284"/>
  <c r="H71" i="289"/>
  <c r="L71" i="289"/>
  <c r="P71" i="289"/>
  <c r="T71" i="289"/>
  <c r="H27" i="282"/>
  <c r="L27" i="282"/>
  <c r="P27" i="282"/>
  <c r="T27" i="282"/>
  <c r="H45" i="278"/>
  <c r="L45" i="278"/>
  <c r="P45" i="278"/>
  <c r="T45" i="278"/>
  <c r="H72" i="289"/>
  <c r="L72" i="289"/>
  <c r="P72" i="289"/>
  <c r="T72" i="289"/>
  <c r="H73" i="285"/>
  <c r="L73" i="285"/>
  <c r="P73" i="285"/>
  <c r="T73" i="285"/>
  <c r="H30" i="280"/>
  <c r="L30" i="280"/>
  <c r="P30" i="280"/>
  <c r="T30" i="280"/>
  <c r="H46" i="278"/>
  <c r="L46" i="278"/>
  <c r="P46" i="278"/>
  <c r="T46" i="278"/>
  <c r="H73" i="289"/>
  <c r="L73" i="289"/>
  <c r="P73" i="289"/>
  <c r="T73" i="289"/>
  <c r="H47" i="278"/>
  <c r="L47" i="278"/>
  <c r="P47" i="278"/>
  <c r="T47" i="278"/>
  <c r="C34" i="13"/>
  <c r="G4" i="280"/>
  <c r="K4" i="280"/>
  <c r="O4" i="280"/>
  <c r="S4" i="280"/>
  <c r="G74" i="289"/>
  <c r="K74" i="289"/>
  <c r="O74" i="289"/>
  <c r="S74" i="289"/>
  <c r="F20" i="283"/>
  <c r="J20" i="283"/>
  <c r="N20" i="283"/>
  <c r="R20" i="283"/>
  <c r="J48" i="278"/>
  <c r="N48" i="278"/>
  <c r="R48" i="278"/>
  <c r="E75" i="289"/>
  <c r="I75" i="289"/>
  <c r="Q75" i="289"/>
  <c r="H49" i="278"/>
  <c r="L49" i="278"/>
  <c r="P49" i="278"/>
  <c r="T49" i="278"/>
  <c r="H76" i="289"/>
  <c r="L76" i="289"/>
  <c r="P76" i="289"/>
  <c r="T76" i="289"/>
  <c r="H50" i="278"/>
  <c r="L50" i="278"/>
  <c r="P50" i="278"/>
  <c r="T50" i="278"/>
  <c r="C37" i="13"/>
  <c r="G77" i="289"/>
  <c r="K77" i="289"/>
  <c r="O77" i="289"/>
  <c r="S77" i="289"/>
  <c r="G74" i="285"/>
  <c r="K74" i="285"/>
  <c r="O74" i="285"/>
  <c r="S74" i="285"/>
  <c r="G51" i="278"/>
  <c r="K51" i="278"/>
  <c r="O51" i="278"/>
  <c r="S51" i="278"/>
  <c r="G75" i="285"/>
  <c r="K75" i="285"/>
  <c r="O75" i="285"/>
  <c r="S75" i="285"/>
  <c r="G78" i="289"/>
  <c r="K78" i="289"/>
  <c r="O78" i="289"/>
  <c r="S78" i="289"/>
  <c r="G28" i="282"/>
  <c r="K28" i="282"/>
  <c r="O28" i="282"/>
  <c r="S28" i="282"/>
  <c r="G18" i="291"/>
  <c r="K18" i="291"/>
  <c r="O18" i="291"/>
  <c r="S18" i="291"/>
  <c r="G21" i="283"/>
  <c r="K21" i="283"/>
  <c r="O21" i="283"/>
  <c r="S21" i="283"/>
  <c r="G79" i="289"/>
  <c r="K79" i="289"/>
  <c r="O79" i="289"/>
  <c r="S79" i="289"/>
  <c r="G80" i="289"/>
  <c r="K80" i="289"/>
  <c r="O80" i="289"/>
  <c r="S80" i="289"/>
  <c r="F52" i="278"/>
  <c r="J52" i="278"/>
  <c r="N52" i="278"/>
  <c r="R52" i="278"/>
  <c r="E81" i="289"/>
  <c r="I81" i="289"/>
  <c r="Q81" i="289"/>
  <c r="E53" i="278"/>
  <c r="I53" i="278"/>
  <c r="Q53" i="278"/>
  <c r="E13" i="287"/>
  <c r="I13" i="287"/>
  <c r="Q13" i="287"/>
  <c r="E54" i="278"/>
  <c r="I54" i="278"/>
  <c r="Q54" i="278"/>
  <c r="H5" i="280"/>
  <c r="L5" i="280"/>
  <c r="P5" i="280"/>
  <c r="T5" i="280"/>
  <c r="H55" i="278"/>
  <c r="L55" i="278"/>
  <c r="P55" i="278"/>
  <c r="T55" i="278"/>
  <c r="H39" i="284"/>
  <c r="L39" i="284"/>
  <c r="P39" i="284"/>
  <c r="T39" i="284"/>
  <c r="H36" i="280"/>
  <c r="L36" i="280"/>
  <c r="P36" i="280"/>
  <c r="T36" i="280"/>
  <c r="H76" i="285"/>
  <c r="L76" i="285"/>
  <c r="P76" i="285"/>
  <c r="O10" i="288"/>
  <c r="S10" i="288"/>
  <c r="G29" i="279"/>
  <c r="K29" i="279"/>
  <c r="L29" i="279"/>
  <c r="O57" i="278"/>
  <c r="S57" i="278"/>
  <c r="G82" i="289"/>
  <c r="K82" i="289"/>
  <c r="L82" i="289"/>
  <c r="N58" i="278"/>
  <c r="R58" i="278"/>
  <c r="F10" i="287"/>
  <c r="J10" i="287"/>
  <c r="K30" i="282"/>
  <c r="L30" i="282"/>
  <c r="E5" i="280"/>
  <c r="I5" i="280"/>
  <c r="Q5" i="280"/>
  <c r="E55" i="278"/>
  <c r="I55" i="278"/>
  <c r="Q55" i="278"/>
  <c r="E39" i="284"/>
  <c r="I39" i="284"/>
  <c r="Q39" i="284"/>
  <c r="E36" i="280"/>
  <c r="I36" i="280"/>
  <c r="Q36" i="280"/>
  <c r="E76" i="285"/>
  <c r="I76" i="285"/>
  <c r="Q76" i="285"/>
  <c r="K10" i="288"/>
  <c r="L10" i="288"/>
  <c r="K57" i="278"/>
  <c r="L57" i="278"/>
  <c r="K60" i="278"/>
  <c r="L60" i="278"/>
  <c r="K45" i="284"/>
  <c r="L45" i="284"/>
  <c r="K37" i="282"/>
  <c r="L37" i="282"/>
  <c r="N10" i="287"/>
  <c r="R10" i="287"/>
  <c r="F23" i="283"/>
  <c r="J23" i="283"/>
  <c r="N23" i="283"/>
  <c r="R23" i="283"/>
  <c r="F29" i="282"/>
  <c r="J29" i="282"/>
  <c r="N29" i="282"/>
  <c r="R29" i="282"/>
  <c r="F5" i="290"/>
  <c r="J5" i="290"/>
  <c r="N5" i="290"/>
  <c r="R5" i="290"/>
  <c r="F59" i="278"/>
  <c r="J59" i="278"/>
  <c r="N59" i="278"/>
  <c r="R59" i="278"/>
  <c r="F78" i="285"/>
  <c r="J78" i="285"/>
  <c r="N78" i="285"/>
  <c r="R78" i="285"/>
  <c r="F79" i="285"/>
  <c r="J79" i="285"/>
  <c r="N79" i="285"/>
  <c r="R79" i="285"/>
  <c r="E80" i="285"/>
  <c r="I80" i="285"/>
  <c r="Q80" i="285"/>
  <c r="E85" i="289"/>
  <c r="I85" i="289"/>
  <c r="Q85" i="289"/>
  <c r="H52" i="280"/>
  <c r="P52" i="280"/>
  <c r="T52" i="280"/>
  <c r="H22" i="288"/>
  <c r="P22" i="288"/>
  <c r="T22" i="288"/>
  <c r="H60" i="278"/>
  <c r="P60" i="278"/>
  <c r="T60" i="278"/>
  <c r="H30" i="282"/>
  <c r="P30" i="282"/>
  <c r="T30" i="282"/>
  <c r="G81" i="285"/>
  <c r="K81" i="285"/>
  <c r="O81" i="285"/>
  <c r="S81" i="285"/>
  <c r="G61" i="278"/>
  <c r="K61" i="278"/>
  <c r="O61" i="278"/>
  <c r="S61" i="278"/>
  <c r="G28" i="290"/>
  <c r="K28" i="290"/>
  <c r="O28" i="290"/>
  <c r="S28" i="290"/>
  <c r="G10" i="281"/>
  <c r="K10" i="281"/>
  <c r="O10" i="281"/>
  <c r="S10" i="281"/>
  <c r="G5" i="286"/>
  <c r="K5" i="286"/>
  <c r="O5" i="286"/>
  <c r="S5" i="286"/>
  <c r="G86" i="289"/>
  <c r="K86" i="289"/>
  <c r="O86" i="289"/>
  <c r="S86" i="289"/>
  <c r="G82" i="285"/>
  <c r="K82" i="285"/>
  <c r="O82" i="285"/>
  <c r="S82" i="285"/>
  <c r="J38" i="288"/>
  <c r="N38" i="288"/>
  <c r="R38" i="288"/>
  <c r="F35" i="291"/>
  <c r="J35" i="291"/>
  <c r="N35" i="291"/>
  <c r="R35" i="291"/>
  <c r="E62" i="281"/>
  <c r="I62" i="281"/>
  <c r="Q62" i="281"/>
  <c r="E62" i="278"/>
  <c r="I62" i="278"/>
  <c r="Q62" i="278"/>
  <c r="E83" i="285"/>
  <c r="I83" i="285"/>
  <c r="Q83" i="285"/>
  <c r="E24" i="283"/>
  <c r="I24" i="283"/>
  <c r="Q24" i="283"/>
  <c r="E19" i="290"/>
  <c r="I19" i="290"/>
  <c r="Q19" i="290"/>
  <c r="E40" i="284"/>
  <c r="I40" i="284"/>
  <c r="Q40" i="284"/>
  <c r="E63" i="278"/>
  <c r="I63" i="278"/>
  <c r="Q63" i="278"/>
  <c r="E84" i="285"/>
  <c r="I84" i="285"/>
  <c r="Q84" i="285"/>
  <c r="E25" i="283"/>
  <c r="I25" i="283"/>
  <c r="Q25" i="283"/>
  <c r="E85" i="285"/>
  <c r="I85" i="285"/>
  <c r="Q85" i="285"/>
  <c r="E20" i="290"/>
  <c r="I20" i="290"/>
  <c r="Q20" i="290"/>
  <c r="E31" i="282"/>
  <c r="I31" i="282"/>
  <c r="Q31" i="282"/>
  <c r="E40" i="280"/>
  <c r="I40" i="280"/>
  <c r="Q40" i="280"/>
  <c r="E41" i="284"/>
  <c r="I41" i="284"/>
  <c r="Q41" i="284"/>
  <c r="E21" i="281"/>
  <c r="I21" i="281"/>
  <c r="Q21" i="281"/>
  <c r="E13" i="286"/>
  <c r="I13" i="286"/>
  <c r="Q13" i="286"/>
  <c r="E87" i="289"/>
  <c r="I87" i="289"/>
  <c r="Q87" i="289"/>
  <c r="E86" i="285"/>
  <c r="I86" i="285"/>
  <c r="Q86" i="285"/>
  <c r="E27" i="288"/>
  <c r="I27" i="288"/>
  <c r="Q27" i="288"/>
  <c r="E87" i="285"/>
  <c r="I87" i="285"/>
  <c r="Q87" i="285"/>
  <c r="H26" i="283"/>
  <c r="L26" i="283"/>
  <c r="P26" i="283"/>
  <c r="T26" i="283"/>
  <c r="H42" i="284"/>
  <c r="L42" i="284"/>
  <c r="P42" i="284"/>
  <c r="T42" i="284"/>
  <c r="H11" i="287"/>
  <c r="L11" i="287"/>
  <c r="P11" i="287"/>
  <c r="T11" i="287"/>
  <c r="H64" i="278"/>
  <c r="L64" i="278"/>
  <c r="P64" i="278"/>
  <c r="T64" i="278"/>
  <c r="H88" i="285"/>
  <c r="L88" i="285"/>
  <c r="P88" i="285"/>
  <c r="T88" i="285"/>
  <c r="G15" i="290"/>
  <c r="K15" i="290"/>
  <c r="O15" i="290"/>
  <c r="S15" i="290"/>
  <c r="G14" i="280"/>
  <c r="K14" i="280"/>
  <c r="O14" i="280"/>
  <c r="S14" i="280"/>
  <c r="G16" i="290"/>
  <c r="K16" i="290"/>
  <c r="O16" i="290"/>
  <c r="S16" i="290"/>
  <c r="G38" i="281"/>
  <c r="K38" i="281"/>
  <c r="O38" i="281"/>
  <c r="S38" i="281"/>
  <c r="F60" i="281"/>
  <c r="J60" i="281"/>
  <c r="N60" i="281"/>
  <c r="R60" i="281"/>
  <c r="F7" i="279"/>
  <c r="J7" i="279"/>
  <c r="N7" i="279"/>
  <c r="R7" i="279"/>
  <c r="F32" i="282"/>
  <c r="J32" i="282"/>
  <c r="N32" i="282"/>
  <c r="R32" i="282"/>
  <c r="J16" i="281"/>
  <c r="N16" i="281"/>
  <c r="R16" i="281"/>
  <c r="F66" i="278"/>
  <c r="J66" i="278"/>
  <c r="N66" i="278"/>
  <c r="R66" i="278"/>
  <c r="E23" i="288"/>
  <c r="I23" i="288"/>
  <c r="Q23" i="288"/>
  <c r="H33" i="282"/>
  <c r="L33" i="282"/>
  <c r="P33" i="282"/>
  <c r="T33" i="282"/>
  <c r="H88" i="289"/>
  <c r="L88" i="289"/>
  <c r="P88" i="289"/>
  <c r="T88" i="289"/>
  <c r="H89" i="289"/>
  <c r="L89" i="289"/>
  <c r="P89" i="289"/>
  <c r="T89" i="289"/>
  <c r="H89" i="285"/>
  <c r="L89" i="285"/>
  <c r="P89" i="285"/>
  <c r="T89" i="285"/>
  <c r="C51" i="13"/>
  <c r="G27" i="283"/>
  <c r="K27" i="283"/>
  <c r="O27" i="283"/>
  <c r="S27" i="283"/>
  <c r="F7" i="291"/>
  <c r="J7" i="291"/>
  <c r="N7" i="291"/>
  <c r="R7" i="291"/>
  <c r="E6" i="287"/>
  <c r="I6" i="287"/>
  <c r="Q6" i="287"/>
  <c r="E34" i="282"/>
  <c r="I34" i="282"/>
  <c r="Q34" i="282"/>
  <c r="E23" i="281"/>
  <c r="I23" i="281"/>
  <c r="Q23" i="281"/>
  <c r="P33" i="281"/>
  <c r="T33" i="281"/>
  <c r="H10" i="288"/>
  <c r="P10" i="288"/>
  <c r="T10" i="288"/>
  <c r="H29" i="279"/>
  <c r="P29" i="279"/>
  <c r="T29" i="279"/>
  <c r="H22" i="286"/>
  <c r="P22" i="286"/>
  <c r="T22" i="286"/>
  <c r="H22" i="283"/>
  <c r="P22" i="283"/>
  <c r="T22" i="283"/>
  <c r="H57" i="278"/>
  <c r="P57" i="278"/>
  <c r="T57" i="278"/>
  <c r="H82" i="289"/>
  <c r="P82" i="289"/>
  <c r="T82" i="289"/>
  <c r="H83" i="289"/>
  <c r="P83" i="289"/>
  <c r="T83" i="289"/>
  <c r="G84" i="289"/>
  <c r="K84" i="289"/>
  <c r="O84" i="289"/>
  <c r="S84" i="289"/>
  <c r="G58" i="278"/>
  <c r="K58" i="278"/>
  <c r="O58" i="278"/>
  <c r="S58" i="278"/>
  <c r="G10" i="287"/>
  <c r="K10" i="287"/>
  <c r="O10" i="287"/>
  <c r="S10" i="287"/>
  <c r="G23" i="283"/>
  <c r="K23" i="283"/>
  <c r="O23" i="283"/>
  <c r="S23" i="283"/>
  <c r="G29" i="282"/>
  <c r="K29" i="282"/>
  <c r="O29" i="282"/>
  <c r="S29" i="282"/>
  <c r="G5" i="290"/>
  <c r="K5" i="290"/>
  <c r="O5" i="290"/>
  <c r="S5" i="290"/>
  <c r="G59" i="278"/>
  <c r="K59" i="278"/>
  <c r="O59" i="278"/>
  <c r="S59" i="278"/>
  <c r="G78" i="285"/>
  <c r="K78" i="285"/>
  <c r="O78" i="285"/>
  <c r="S78" i="285"/>
  <c r="G79" i="285"/>
  <c r="K79" i="285"/>
  <c r="O79" i="285"/>
  <c r="S79" i="285"/>
  <c r="F80" i="285"/>
  <c r="J80" i="285"/>
  <c r="N80" i="285"/>
  <c r="R80" i="285"/>
  <c r="F85" i="289"/>
  <c r="J85" i="289"/>
  <c r="N85" i="289"/>
  <c r="R85" i="289"/>
  <c r="E52" i="280"/>
  <c r="I52" i="280"/>
  <c r="Q52" i="280"/>
  <c r="E22" i="288"/>
  <c r="I22" i="288"/>
  <c r="Q22" i="288"/>
  <c r="E60" i="278"/>
  <c r="I60" i="278"/>
  <c r="Q60" i="278"/>
  <c r="E30" i="282"/>
  <c r="I30" i="282"/>
  <c r="Q30" i="282"/>
  <c r="H81" i="285"/>
  <c r="L81" i="285"/>
  <c r="P81" i="285"/>
  <c r="T81" i="285"/>
  <c r="H61" i="278"/>
  <c r="L61" i="278"/>
  <c r="P61" i="278"/>
  <c r="T61" i="278"/>
  <c r="H28" i="290"/>
  <c r="L28" i="290"/>
  <c r="P28" i="290"/>
  <c r="T28" i="290"/>
  <c r="H10" i="281"/>
  <c r="L10" i="281"/>
  <c r="P10" i="281"/>
  <c r="T10" i="281"/>
  <c r="H5" i="286"/>
  <c r="L5" i="286"/>
  <c r="P5" i="286"/>
  <c r="T5" i="286"/>
  <c r="H86" i="289"/>
  <c r="L86" i="289"/>
  <c r="P86" i="289"/>
  <c r="T86" i="289"/>
  <c r="H82" i="285"/>
  <c r="L82" i="285"/>
  <c r="P82" i="285"/>
  <c r="T82" i="285"/>
  <c r="C46" i="13"/>
  <c r="G38" i="288"/>
  <c r="K38" i="288"/>
  <c r="O38" i="288"/>
  <c r="S38" i="288"/>
  <c r="G35" i="291"/>
  <c r="K35" i="291"/>
  <c r="O35" i="291"/>
  <c r="S35" i="291"/>
  <c r="F62" i="281"/>
  <c r="J62" i="281"/>
  <c r="N62" i="281"/>
  <c r="R62" i="281"/>
  <c r="F62" i="278"/>
  <c r="J62" i="278"/>
  <c r="N62" i="278"/>
  <c r="R62" i="278"/>
  <c r="F83" i="285"/>
  <c r="J83" i="285"/>
  <c r="N83" i="285"/>
  <c r="R83" i="285"/>
  <c r="F24" i="283"/>
  <c r="J24" i="283"/>
  <c r="N24" i="283"/>
  <c r="R24" i="283"/>
  <c r="F19" i="290"/>
  <c r="J19" i="290"/>
  <c r="N19" i="290"/>
  <c r="R19" i="290"/>
  <c r="F40" i="284"/>
  <c r="J40" i="284"/>
  <c r="N40" i="284"/>
  <c r="R40" i="284"/>
  <c r="F63" i="278"/>
  <c r="J63" i="278"/>
  <c r="N63" i="278"/>
  <c r="R63" i="278"/>
  <c r="F84" i="285"/>
  <c r="J84" i="285"/>
  <c r="N84" i="285"/>
  <c r="R84" i="285"/>
  <c r="F25" i="283"/>
  <c r="J25" i="283"/>
  <c r="N25" i="283"/>
  <c r="R25" i="283"/>
  <c r="F85" i="285"/>
  <c r="J85" i="285"/>
  <c r="N85" i="285"/>
  <c r="R85" i="285"/>
  <c r="F20" i="290"/>
  <c r="J20" i="290"/>
  <c r="N20" i="290"/>
  <c r="R20" i="290"/>
  <c r="F31" i="282"/>
  <c r="J31" i="282"/>
  <c r="N31" i="282"/>
  <c r="R31" i="282"/>
  <c r="F40" i="280"/>
  <c r="J40" i="280"/>
  <c r="N40" i="280"/>
  <c r="R40" i="280"/>
  <c r="F41" i="284"/>
  <c r="J41" i="284"/>
  <c r="N41" i="284"/>
  <c r="R41" i="284"/>
  <c r="F21" i="281"/>
  <c r="J21" i="281"/>
  <c r="N21" i="281"/>
  <c r="R21" i="281"/>
  <c r="F13" i="286"/>
  <c r="J13" i="286"/>
  <c r="N13" i="286"/>
  <c r="R13" i="286"/>
  <c r="F87" i="289"/>
  <c r="J87" i="289"/>
  <c r="N87" i="289"/>
  <c r="R87" i="289"/>
  <c r="F86" i="285"/>
  <c r="J86" i="285"/>
  <c r="N86" i="285"/>
  <c r="R86" i="285"/>
  <c r="F27" i="288"/>
  <c r="J27" i="288"/>
  <c r="N27" i="288"/>
  <c r="R27" i="288"/>
  <c r="F87" i="285"/>
  <c r="J87" i="285"/>
  <c r="N87" i="285"/>
  <c r="R87" i="285"/>
  <c r="E26" i="283"/>
  <c r="I26" i="283"/>
  <c r="Q26" i="283"/>
  <c r="E42" i="284"/>
  <c r="I42" i="284"/>
  <c r="Q42" i="284"/>
  <c r="E11" i="287"/>
  <c r="I11" i="287"/>
  <c r="Q11" i="287"/>
  <c r="E64" i="278"/>
  <c r="I64" i="278"/>
  <c r="Q64" i="278"/>
  <c r="E88" i="285"/>
  <c r="I88" i="285"/>
  <c r="Q88" i="285"/>
  <c r="H15" i="290"/>
  <c r="L15" i="290"/>
  <c r="P15" i="290"/>
  <c r="T15" i="290"/>
  <c r="H14" i="280"/>
  <c r="L14" i="280"/>
  <c r="P14" i="280"/>
  <c r="T14" i="280"/>
  <c r="H16" i="290"/>
  <c r="L16" i="290"/>
  <c r="P16" i="290"/>
  <c r="T16" i="290"/>
  <c r="H38" i="281"/>
  <c r="L38" i="281"/>
  <c r="P38" i="281"/>
  <c r="T38" i="281"/>
  <c r="C49" i="13"/>
  <c r="G60" i="281"/>
  <c r="K60" i="281"/>
  <c r="O60" i="281"/>
  <c r="S60" i="281"/>
  <c r="G7" i="279"/>
  <c r="K7" i="279"/>
  <c r="O7" i="279"/>
  <c r="S7" i="279"/>
  <c r="G32" i="282"/>
  <c r="K32" i="282"/>
  <c r="O32" i="282"/>
  <c r="S32" i="282"/>
  <c r="G16" i="281"/>
  <c r="K16" i="281"/>
  <c r="O16" i="281"/>
  <c r="S16" i="281"/>
  <c r="G66" i="278"/>
  <c r="K66" i="278"/>
  <c r="O66" i="278"/>
  <c r="S66" i="278"/>
  <c r="F23" i="288"/>
  <c r="J23" i="288"/>
  <c r="N23" i="288"/>
  <c r="R23" i="288"/>
  <c r="E33" i="282"/>
  <c r="I33" i="282"/>
  <c r="Q33" i="282"/>
  <c r="E88" i="289"/>
  <c r="I88" i="289"/>
  <c r="Q88" i="289"/>
  <c r="E89" i="289"/>
  <c r="I89" i="289"/>
  <c r="Q89" i="289"/>
  <c r="E89" i="285"/>
  <c r="I89" i="285"/>
  <c r="Q89" i="285"/>
  <c r="H27" i="283"/>
  <c r="L27" i="283"/>
  <c r="P27" i="283"/>
  <c r="T27" i="283"/>
  <c r="G7" i="291"/>
  <c r="K7" i="291"/>
  <c r="O7" i="291"/>
  <c r="S7" i="291"/>
  <c r="F6" i="287"/>
  <c r="J6" i="287"/>
  <c r="N6" i="287"/>
  <c r="R6" i="287"/>
  <c r="F34" i="282"/>
  <c r="J34" i="282"/>
  <c r="N34" i="282"/>
  <c r="R34" i="282"/>
  <c r="F23" i="281"/>
  <c r="J23" i="281"/>
  <c r="N23" i="281"/>
  <c r="R23" i="281"/>
  <c r="F44" i="284"/>
  <c r="J44" i="284"/>
  <c r="N44" i="284"/>
  <c r="R44" i="284"/>
  <c r="F90" i="285"/>
  <c r="J90" i="285"/>
  <c r="N90" i="285"/>
  <c r="R90" i="285"/>
  <c r="F22" i="290"/>
  <c r="J22" i="290"/>
  <c r="N22" i="290"/>
  <c r="R22" i="290"/>
  <c r="F91" i="285"/>
  <c r="J91" i="285"/>
  <c r="N91" i="285"/>
  <c r="R91" i="285"/>
  <c r="F67" i="278"/>
  <c r="J67" i="278"/>
  <c r="N67" i="278"/>
  <c r="R67" i="278"/>
  <c r="F23" i="290"/>
  <c r="J23" i="290"/>
  <c r="N23" i="290"/>
  <c r="R23" i="290"/>
  <c r="F36" i="281"/>
  <c r="J36" i="281"/>
  <c r="N36" i="281"/>
  <c r="R36" i="281"/>
  <c r="F24" i="281"/>
  <c r="J24" i="281"/>
  <c r="N24" i="281"/>
  <c r="R24" i="281"/>
  <c r="F90" i="289"/>
  <c r="J90" i="289"/>
  <c r="N90" i="289"/>
  <c r="R90" i="289"/>
  <c r="F91" i="289"/>
  <c r="J91" i="289"/>
  <c r="N91" i="289"/>
  <c r="R91" i="289"/>
  <c r="F28" i="283"/>
  <c r="J28" i="283"/>
  <c r="N28" i="283"/>
  <c r="R28" i="283"/>
  <c r="E25" i="286"/>
  <c r="I25" i="286"/>
  <c r="C18" i="280"/>
  <c r="C56" i="13"/>
  <c r="S76" i="285"/>
  <c r="F56" i="278"/>
  <c r="J56" i="278"/>
  <c r="N56" i="278"/>
  <c r="R56" i="278"/>
  <c r="F77" i="285"/>
  <c r="J77" i="285"/>
  <c r="N77" i="285"/>
  <c r="R77" i="285"/>
  <c r="E33" i="281"/>
  <c r="I33" i="281"/>
  <c r="Q33" i="281"/>
  <c r="E10" i="288"/>
  <c r="I10" i="288"/>
  <c r="Q10" i="288"/>
  <c r="E29" i="279"/>
  <c r="I29" i="279"/>
  <c r="Q29" i="279"/>
  <c r="E22" i="286"/>
  <c r="I22" i="286"/>
  <c r="Q22" i="286"/>
  <c r="E22" i="283"/>
  <c r="I22" i="283"/>
  <c r="Q22" i="283"/>
  <c r="E57" i="278"/>
  <c r="I57" i="278"/>
  <c r="Q57" i="278"/>
  <c r="E82" i="289"/>
  <c r="I82" i="289"/>
  <c r="Q82" i="289"/>
  <c r="E83" i="289"/>
  <c r="I83" i="289"/>
  <c r="Q83" i="289"/>
  <c r="H84" i="289"/>
  <c r="L84" i="289"/>
  <c r="P84" i="289"/>
  <c r="T84" i="289"/>
  <c r="H58" i="278"/>
  <c r="L58" i="278"/>
  <c r="P58" i="278"/>
  <c r="T58" i="278"/>
  <c r="H10" i="287"/>
  <c r="L10" i="287"/>
  <c r="P10" i="287"/>
  <c r="T10" i="287"/>
  <c r="H23" i="283"/>
  <c r="L23" i="283"/>
  <c r="P23" i="283"/>
  <c r="T23" i="283"/>
  <c r="H29" i="282"/>
  <c r="L29" i="282"/>
  <c r="P29" i="282"/>
  <c r="T29" i="282"/>
  <c r="H5" i="290"/>
  <c r="L5" i="290"/>
  <c r="P5" i="290"/>
  <c r="T5" i="290"/>
  <c r="H59" i="278"/>
  <c r="L59" i="278"/>
  <c r="P59" i="278"/>
  <c r="T59" i="278"/>
  <c r="H78" i="285"/>
  <c r="L78" i="285"/>
  <c r="P78" i="285"/>
  <c r="T78" i="285"/>
  <c r="H79" i="285"/>
  <c r="L79" i="285"/>
  <c r="P79" i="285"/>
  <c r="T79" i="285"/>
  <c r="C43" i="13"/>
  <c r="G80" i="285"/>
  <c r="K80" i="285"/>
  <c r="O80" i="285"/>
  <c r="S80" i="285"/>
  <c r="G85" i="289"/>
  <c r="K85" i="289"/>
  <c r="O85" i="289"/>
  <c r="S85" i="289"/>
  <c r="J52" i="280"/>
  <c r="N52" i="280"/>
  <c r="R52" i="280"/>
  <c r="F22" i="288"/>
  <c r="J22" i="288"/>
  <c r="N22" i="288"/>
  <c r="R22" i="288"/>
  <c r="F60" i="278"/>
  <c r="J60" i="278"/>
  <c r="N60" i="278"/>
  <c r="R60" i="278"/>
  <c r="F30" i="282"/>
  <c r="J30" i="282"/>
  <c r="N30" i="282"/>
  <c r="R30" i="282"/>
  <c r="E81" i="285"/>
  <c r="I81" i="285"/>
  <c r="Q81" i="285"/>
  <c r="E61" i="278"/>
  <c r="I61" i="278"/>
  <c r="Q61" i="278"/>
  <c r="E28" i="290"/>
  <c r="I28" i="290"/>
  <c r="Q28" i="290"/>
  <c r="E10" i="281"/>
  <c r="I10" i="281"/>
  <c r="Q10" i="281"/>
  <c r="E5" i="286"/>
  <c r="I5" i="286"/>
  <c r="Q5" i="286"/>
  <c r="E86" i="289"/>
  <c r="I86" i="289"/>
  <c r="Q86" i="289"/>
  <c r="E82" i="285"/>
  <c r="I82" i="285"/>
  <c r="Q82" i="285"/>
  <c r="H38" i="288"/>
  <c r="L38" i="288"/>
  <c r="P38" i="288"/>
  <c r="T38" i="288"/>
  <c r="H35" i="291"/>
  <c r="L35" i="291"/>
  <c r="P35" i="291"/>
  <c r="T35" i="291"/>
  <c r="C47" i="13"/>
  <c r="G62" i="281"/>
  <c r="K62" i="281"/>
  <c r="O62" i="281"/>
  <c r="S62" i="281"/>
  <c r="G62" i="278"/>
  <c r="K62" i="278"/>
  <c r="O62" i="278"/>
  <c r="S62" i="278"/>
  <c r="G83" i="285"/>
  <c r="K83" i="285"/>
  <c r="O83" i="285"/>
  <c r="S83" i="285"/>
  <c r="G24" i="283"/>
  <c r="K24" i="283"/>
  <c r="O24" i="283"/>
  <c r="S24" i="283"/>
  <c r="G19" i="290"/>
  <c r="K19" i="290"/>
  <c r="O19" i="290"/>
  <c r="S19" i="290"/>
  <c r="G40" i="284"/>
  <c r="K40" i="284"/>
  <c r="O40" i="284"/>
  <c r="S40" i="284"/>
  <c r="G63" i="278"/>
  <c r="K63" i="278"/>
  <c r="O63" i="278"/>
  <c r="S63" i="278"/>
  <c r="G84" i="285"/>
  <c r="K84" i="285"/>
  <c r="O84" i="285"/>
  <c r="S84" i="285"/>
  <c r="G25" i="283"/>
  <c r="K25" i="283"/>
  <c r="O25" i="283"/>
  <c r="S25" i="283"/>
  <c r="G85" i="285"/>
  <c r="K85" i="285"/>
  <c r="O85" i="285"/>
  <c r="S85" i="285"/>
  <c r="G20" i="290"/>
  <c r="K20" i="290"/>
  <c r="O20" i="290"/>
  <c r="S20" i="290"/>
  <c r="G31" i="282"/>
  <c r="K31" i="282"/>
  <c r="O31" i="282"/>
  <c r="S31" i="282"/>
  <c r="G40" i="280"/>
  <c r="K40" i="280"/>
  <c r="O40" i="280"/>
  <c r="S40" i="280"/>
  <c r="G41" i="284"/>
  <c r="K41" i="284"/>
  <c r="O41" i="284"/>
  <c r="S41" i="284"/>
  <c r="G21" i="281"/>
  <c r="K21" i="281"/>
  <c r="O21" i="281"/>
  <c r="S21" i="281"/>
  <c r="G13" i="286"/>
  <c r="K13" i="286"/>
  <c r="O13" i="286"/>
  <c r="S13" i="286"/>
  <c r="G87" i="289"/>
  <c r="K87" i="289"/>
  <c r="O87" i="289"/>
  <c r="S87" i="289"/>
  <c r="G86" i="285"/>
  <c r="K86" i="285"/>
  <c r="O86" i="285"/>
  <c r="S86" i="285"/>
  <c r="G27" i="288"/>
  <c r="K27" i="288"/>
  <c r="O27" i="288"/>
  <c r="S27" i="288"/>
  <c r="G87" i="285"/>
  <c r="K87" i="285"/>
  <c r="O87" i="285"/>
  <c r="S87" i="285"/>
  <c r="J26" i="283"/>
  <c r="N26" i="283"/>
  <c r="R26" i="283"/>
  <c r="F42" i="284"/>
  <c r="J42" i="284"/>
  <c r="N42" i="284"/>
  <c r="R42" i="284"/>
  <c r="F11" i="287"/>
  <c r="J11" i="287"/>
  <c r="N11" i="287"/>
  <c r="R11" i="287"/>
  <c r="F64" i="278"/>
  <c r="J64" i="278"/>
  <c r="N64" i="278"/>
  <c r="R64" i="278"/>
  <c r="F88" i="285"/>
  <c r="J88" i="285"/>
  <c r="N88" i="285"/>
  <c r="R88" i="285"/>
  <c r="E15" i="290"/>
  <c r="I15" i="290"/>
  <c r="Q15" i="290"/>
  <c r="E14" i="280"/>
  <c r="I14" i="280"/>
  <c r="Q14" i="280"/>
  <c r="E16" i="290"/>
  <c r="I16" i="290"/>
  <c r="Q16" i="290"/>
  <c r="E38" i="281"/>
  <c r="I38" i="281"/>
  <c r="Q38" i="281"/>
  <c r="H60" i="281"/>
  <c r="L60" i="281"/>
  <c r="P60" i="281"/>
  <c r="T60" i="281"/>
  <c r="H7" i="279"/>
  <c r="L7" i="279"/>
  <c r="P7" i="279"/>
  <c r="T7" i="279"/>
  <c r="H32" i="282"/>
  <c r="L32" i="282"/>
  <c r="P32" i="282"/>
  <c r="T32" i="282"/>
  <c r="H16" i="281"/>
  <c r="L16" i="281"/>
  <c r="P16" i="281"/>
  <c r="T16" i="281"/>
  <c r="H66" i="278"/>
  <c r="L66" i="278"/>
  <c r="P66" i="278"/>
  <c r="T66" i="278"/>
  <c r="C50" i="13"/>
  <c r="G23" i="288"/>
  <c r="K23" i="288"/>
  <c r="O23" i="288"/>
  <c r="S23" i="288"/>
  <c r="F33" i="282"/>
  <c r="J33" i="282"/>
  <c r="N33" i="282"/>
  <c r="R33" i="282"/>
  <c r="F88" i="289"/>
  <c r="J88" i="289"/>
  <c r="N88" i="289"/>
  <c r="R88" i="289"/>
  <c r="F89" i="289"/>
  <c r="J89" i="289"/>
  <c r="N89" i="289"/>
  <c r="R89" i="289"/>
  <c r="F89" i="285"/>
  <c r="J89" i="285"/>
  <c r="N89" i="285"/>
  <c r="R89" i="285"/>
  <c r="E27" i="283"/>
  <c r="I27" i="283"/>
  <c r="Q27" i="283"/>
  <c r="H7" i="291"/>
  <c r="L7" i="291"/>
  <c r="P7" i="291"/>
  <c r="T7" i="291"/>
  <c r="C52" i="13"/>
  <c r="G6" i="287"/>
  <c r="K6" i="287"/>
  <c r="O6" i="287"/>
  <c r="S6" i="287"/>
  <c r="G34" i="282"/>
  <c r="K34" i="282"/>
  <c r="O34" i="282"/>
  <c r="S34" i="282"/>
  <c r="G23" i="281"/>
  <c r="K23" i="281"/>
  <c r="O23" i="281"/>
  <c r="S23" i="281"/>
  <c r="G44" i="284"/>
  <c r="K44" i="284"/>
  <c r="O44" i="284"/>
  <c r="S44" i="284"/>
  <c r="G90" i="285"/>
  <c r="K90" i="285"/>
  <c r="O90" i="285"/>
  <c r="S90" i="285"/>
  <c r="G22" i="290"/>
  <c r="K22" i="290"/>
  <c r="O22" i="290"/>
  <c r="S22" i="290"/>
  <c r="G91" i="285"/>
  <c r="K91" i="285"/>
  <c r="C92" i="285"/>
  <c r="C54" i="13"/>
  <c r="K14" i="287"/>
  <c r="L14" i="287"/>
  <c r="C6" i="280"/>
  <c r="C57" i="13"/>
  <c r="O91" i="285"/>
  <c r="S91" i="285"/>
  <c r="G67" i="278"/>
  <c r="K67" i="278"/>
  <c r="O67" i="278"/>
  <c r="S67" i="278"/>
  <c r="G23" i="290"/>
  <c r="K23" i="290"/>
  <c r="O23" i="290"/>
  <c r="S23" i="290"/>
  <c r="G36" i="281"/>
  <c r="K36" i="281"/>
  <c r="O36" i="281"/>
  <c r="S36" i="281"/>
  <c r="G24" i="281"/>
  <c r="K24" i="281"/>
  <c r="O24" i="281"/>
  <c r="S24" i="281"/>
  <c r="G90" i="289"/>
  <c r="K90" i="289"/>
  <c r="O90" i="289"/>
  <c r="S90" i="289"/>
  <c r="G91" i="289"/>
  <c r="K91" i="289"/>
  <c r="O91" i="289"/>
  <c r="S91" i="289"/>
  <c r="G28" i="283"/>
  <c r="K28" i="283"/>
  <c r="O28" i="283"/>
  <c r="S28" i="283"/>
  <c r="J25" i="286"/>
  <c r="N25" i="286"/>
  <c r="R25" i="286"/>
  <c r="F45" i="284"/>
  <c r="J45" i="284"/>
  <c r="N45" i="284"/>
  <c r="R45" i="284"/>
  <c r="E92" i="285"/>
  <c r="I92" i="285"/>
  <c r="Q92" i="285"/>
  <c r="E6" i="281"/>
  <c r="I6" i="281"/>
  <c r="Q6" i="281"/>
  <c r="E68" i="278"/>
  <c r="I68" i="278"/>
  <c r="Q68" i="278"/>
  <c r="E35" i="282"/>
  <c r="I35" i="282"/>
  <c r="Q35" i="282"/>
  <c r="E36" i="282"/>
  <c r="I36" i="282"/>
  <c r="Q36" i="282"/>
  <c r="E69" i="278"/>
  <c r="I69" i="278"/>
  <c r="Q69" i="278"/>
  <c r="H37" i="282"/>
  <c r="P37" i="282"/>
  <c r="T37" i="282"/>
  <c r="H14" i="287"/>
  <c r="P14" i="287"/>
  <c r="T14" i="287"/>
  <c r="G18" i="280"/>
  <c r="K18" i="280"/>
  <c r="O18" i="280"/>
  <c r="S18" i="280"/>
  <c r="G38" i="282"/>
  <c r="K38" i="282"/>
  <c r="O38" i="282"/>
  <c r="S38" i="282"/>
  <c r="G29" i="283"/>
  <c r="K29" i="283"/>
  <c r="O29" i="283"/>
  <c r="S29" i="283"/>
  <c r="G30" i="290"/>
  <c r="K30" i="290"/>
  <c r="O30" i="290"/>
  <c r="S30" i="290"/>
  <c r="G93" i="285"/>
  <c r="K93" i="285"/>
  <c r="O93" i="285"/>
  <c r="S93" i="285"/>
  <c r="G18" i="279"/>
  <c r="K18" i="279"/>
  <c r="O18" i="279"/>
  <c r="S18" i="279"/>
  <c r="G25" i="280"/>
  <c r="K25" i="280"/>
  <c r="O25" i="280"/>
  <c r="S25" i="280"/>
  <c r="G46" i="284"/>
  <c r="K46" i="284"/>
  <c r="O46" i="284"/>
  <c r="S46" i="284"/>
  <c r="G30" i="283"/>
  <c r="K30" i="283"/>
  <c r="O30" i="283"/>
  <c r="S30" i="283"/>
  <c r="G31" i="290"/>
  <c r="K31" i="290"/>
  <c r="O31" i="290"/>
  <c r="S31" i="290"/>
  <c r="G39" i="282"/>
  <c r="K39" i="282"/>
  <c r="O39" i="282"/>
  <c r="S39" i="282"/>
  <c r="G6" i="290"/>
  <c r="K6" i="290"/>
  <c r="O6" i="290"/>
  <c r="S6" i="290"/>
  <c r="G48" i="280"/>
  <c r="K48" i="280"/>
  <c r="O48" i="280"/>
  <c r="S48" i="280"/>
  <c r="G17" i="288"/>
  <c r="K17" i="288"/>
  <c r="O17" i="288"/>
  <c r="S17" i="288"/>
  <c r="G40" i="282"/>
  <c r="K40" i="282"/>
  <c r="O40" i="282"/>
  <c r="S40" i="282"/>
  <c r="E6" i="280"/>
  <c r="I6" i="280"/>
  <c r="Q6" i="280"/>
  <c r="E11" i="280"/>
  <c r="I11" i="280"/>
  <c r="Q11" i="280"/>
  <c r="E34" i="288"/>
  <c r="I34" i="288"/>
  <c r="Q34" i="288"/>
  <c r="H63" i="281"/>
  <c r="L63" i="281"/>
  <c r="P63" i="281"/>
  <c r="T63" i="281"/>
  <c r="C59" i="13"/>
  <c r="G31" i="283"/>
  <c r="K31" i="283"/>
  <c r="O31" i="283"/>
  <c r="S31" i="283"/>
  <c r="G37" i="280"/>
  <c r="K37" i="280"/>
  <c r="O37" i="280"/>
  <c r="S37" i="280"/>
  <c r="J34" i="290"/>
  <c r="N34" i="290"/>
  <c r="R34" i="290"/>
  <c r="F15" i="280"/>
  <c r="J15" i="280"/>
  <c r="N15" i="280"/>
  <c r="R15" i="280"/>
  <c r="F70" i="278"/>
  <c r="J70" i="278"/>
  <c r="N70" i="278"/>
  <c r="R70" i="278"/>
  <c r="F41" i="282"/>
  <c r="J41" i="282"/>
  <c r="N41" i="282"/>
  <c r="R41" i="282"/>
  <c r="F32" i="283"/>
  <c r="J32" i="283"/>
  <c r="N32" i="283"/>
  <c r="R32" i="283"/>
  <c r="F92" i="289"/>
  <c r="J92" i="289"/>
  <c r="N92" i="289"/>
  <c r="R92" i="289"/>
  <c r="E53" i="280"/>
  <c r="K25" i="277"/>
  <c r="L25" i="277"/>
  <c r="K72" i="278"/>
  <c r="L72" i="278"/>
  <c r="P25" i="286"/>
  <c r="T25" i="286"/>
  <c r="H45" i="284"/>
  <c r="P45" i="284"/>
  <c r="T45" i="284"/>
  <c r="G92" i="285"/>
  <c r="K92" i="285"/>
  <c r="O92" i="285"/>
  <c r="S92" i="285"/>
  <c r="G6" i="281"/>
  <c r="K6" i="281"/>
  <c r="O6" i="281"/>
  <c r="S6" i="281"/>
  <c r="G68" i="278"/>
  <c r="K68" i="278"/>
  <c r="O68" i="278"/>
  <c r="S68" i="278"/>
  <c r="G35" i="282"/>
  <c r="K35" i="282"/>
  <c r="O35" i="282"/>
  <c r="S35" i="282"/>
  <c r="G36" i="282"/>
  <c r="K36" i="282"/>
  <c r="O36" i="282"/>
  <c r="S36" i="282"/>
  <c r="G69" i="278"/>
  <c r="K69" i="278"/>
  <c r="O69" i="278"/>
  <c r="S69" i="278"/>
  <c r="F37" i="282"/>
  <c r="J37" i="282"/>
  <c r="N37" i="282"/>
  <c r="R37" i="282"/>
  <c r="F14" i="287"/>
  <c r="J14" i="287"/>
  <c r="N14" i="287"/>
  <c r="R14" i="287"/>
  <c r="E18" i="280"/>
  <c r="I18" i="280"/>
  <c r="Q18" i="280"/>
  <c r="E38" i="282"/>
  <c r="I38" i="282"/>
  <c r="Q38" i="282"/>
  <c r="E29" i="283"/>
  <c r="I29" i="283"/>
  <c r="Q29" i="283"/>
  <c r="E30" i="290"/>
  <c r="I30" i="290"/>
  <c r="Q30" i="290"/>
  <c r="E93" i="285"/>
  <c r="I93" i="285"/>
  <c r="Q93" i="285"/>
  <c r="E18" i="279"/>
  <c r="I18" i="279"/>
  <c r="Q18" i="279"/>
  <c r="E25" i="280"/>
  <c r="I25" i="280"/>
  <c r="Q25" i="280"/>
  <c r="E46" i="284"/>
  <c r="I46" i="284"/>
  <c r="Q46" i="284"/>
  <c r="E30" i="283"/>
  <c r="I30" i="283"/>
  <c r="Q30" i="283"/>
  <c r="E31" i="290"/>
  <c r="I31" i="290"/>
  <c r="Q31" i="290"/>
  <c r="E39" i="282"/>
  <c r="I39" i="282"/>
  <c r="Q39" i="282"/>
  <c r="E6" i="290"/>
  <c r="I6" i="290"/>
  <c r="Q6" i="290"/>
  <c r="E48" i="280"/>
  <c r="I48" i="280"/>
  <c r="Q48" i="280"/>
  <c r="E17" i="288"/>
  <c r="I17" i="288"/>
  <c r="Q17" i="288"/>
  <c r="E40" i="282"/>
  <c r="I40" i="282"/>
  <c r="Q40" i="282"/>
  <c r="G6" i="280"/>
  <c r="K6" i="280"/>
  <c r="O6" i="280"/>
  <c r="S6" i="280"/>
  <c r="G11" i="280"/>
  <c r="K11" i="280"/>
  <c r="O11" i="280"/>
  <c r="S11" i="280"/>
  <c r="G34" i="288"/>
  <c r="K34" i="288"/>
  <c r="O34" i="288"/>
  <c r="S34" i="288"/>
  <c r="F63" i="281"/>
  <c r="J63" i="281"/>
  <c r="N63" i="281"/>
  <c r="R63" i="281"/>
  <c r="E31" i="283"/>
  <c r="I31" i="283"/>
  <c r="Q31" i="283"/>
  <c r="E37" i="280"/>
  <c r="I37" i="280"/>
  <c r="Q37" i="280"/>
  <c r="H34" i="290"/>
  <c r="L34" i="290"/>
  <c r="P34" i="290"/>
  <c r="T34" i="290"/>
  <c r="H15" i="280"/>
  <c r="L15" i="280"/>
  <c r="P15" i="280"/>
  <c r="T15" i="280"/>
  <c r="H70" i="278"/>
  <c r="L70" i="278"/>
  <c r="P70" i="278"/>
  <c r="T70" i="278"/>
  <c r="H41" i="282"/>
  <c r="L41" i="282"/>
  <c r="P41" i="282"/>
  <c r="T41" i="282"/>
  <c r="H32" i="283"/>
  <c r="L32" i="283"/>
  <c r="P32" i="283"/>
  <c r="T32" i="283"/>
  <c r="H92" i="289"/>
  <c r="L92" i="289"/>
  <c r="P92" i="289"/>
  <c r="T92" i="289"/>
  <c r="C61" i="13"/>
  <c r="G53" i="280"/>
  <c r="K53" i="280"/>
  <c r="O53" i="280"/>
  <c r="S53" i="280"/>
  <c r="G7" i="290"/>
  <c r="K7" i="290"/>
  <c r="O7" i="290"/>
  <c r="S7" i="290"/>
  <c r="G12" i="287"/>
  <c r="K12" i="287"/>
  <c r="O12" i="287"/>
  <c r="S12" i="287"/>
  <c r="G42" i="282"/>
  <c r="K42" i="282"/>
  <c r="O42" i="282"/>
  <c r="S42" i="282"/>
  <c r="G94" i="285"/>
  <c r="K94" i="285"/>
  <c r="O94" i="285"/>
  <c r="S94" i="285"/>
  <c r="C97" i="285"/>
  <c r="C64" i="13"/>
  <c r="K94" i="289"/>
  <c r="L94" i="289"/>
  <c r="C38" i="280"/>
  <c r="C66" i="13"/>
  <c r="K73" i="278"/>
  <c r="L73" i="278"/>
  <c r="K47" i="284"/>
  <c r="L47" i="284"/>
  <c r="K99" i="285"/>
  <c r="L99" i="285"/>
  <c r="K16" i="280"/>
  <c r="L16" i="280"/>
  <c r="K101" i="285"/>
  <c r="L101" i="285"/>
  <c r="K46" i="282"/>
  <c r="L46" i="282"/>
  <c r="K7" i="280"/>
  <c r="L7" i="280"/>
  <c r="K111" i="285"/>
  <c r="L111" i="285"/>
  <c r="K17" i="281"/>
  <c r="L17" i="281"/>
  <c r="G95" i="285"/>
  <c r="K95" i="285"/>
  <c r="O95" i="285"/>
  <c r="S95" i="285"/>
  <c r="G45" i="280"/>
  <c r="K45" i="280"/>
  <c r="O45" i="280"/>
  <c r="S45" i="280"/>
  <c r="G33" i="283"/>
  <c r="K33" i="283"/>
  <c r="O33" i="283"/>
  <c r="S33" i="283"/>
  <c r="G93" i="289"/>
  <c r="K93" i="289"/>
  <c r="O93" i="289"/>
  <c r="S93" i="289"/>
  <c r="G96" i="285"/>
  <c r="K96" i="285"/>
  <c r="O96" i="285"/>
  <c r="S96" i="285"/>
  <c r="G71" i="278"/>
  <c r="K71" i="278"/>
  <c r="O71" i="278"/>
  <c r="S71" i="278"/>
  <c r="F47" i="284"/>
  <c r="J47" i="284"/>
  <c r="N47" i="284"/>
  <c r="R47" i="284"/>
  <c r="E97" i="285"/>
  <c r="I97" i="285"/>
  <c r="Q97" i="285"/>
  <c r="E98" i="285"/>
  <c r="I98" i="285"/>
  <c r="Q98" i="285"/>
  <c r="E43" i="282"/>
  <c r="I43" i="282"/>
  <c r="Q43" i="282"/>
  <c r="E44" i="282"/>
  <c r="I44" i="282"/>
  <c r="Q44" i="282"/>
  <c r="E11" i="277"/>
  <c r="I11" i="277"/>
  <c r="Q11" i="277"/>
  <c r="H99" i="285"/>
  <c r="P99" i="285"/>
  <c r="T99" i="285"/>
  <c r="H94" i="289"/>
  <c r="P94" i="289"/>
  <c r="T94" i="289"/>
  <c r="H72" i="278"/>
  <c r="P72" i="278"/>
  <c r="T72" i="278"/>
  <c r="H25" i="277"/>
  <c r="P25" i="277"/>
  <c r="T25" i="277"/>
  <c r="H16" i="280"/>
  <c r="P16" i="280"/>
  <c r="T16" i="280"/>
  <c r="G38" i="280"/>
  <c r="K38" i="280"/>
  <c r="O38" i="280"/>
  <c r="S38" i="280"/>
  <c r="G48" i="284"/>
  <c r="K48" i="284"/>
  <c r="O48" i="284"/>
  <c r="S48" i="284"/>
  <c r="G100" i="285"/>
  <c r="K100" i="285"/>
  <c r="O100" i="285"/>
  <c r="S100" i="285"/>
  <c r="G19" i="277"/>
  <c r="K19" i="277"/>
  <c r="O19" i="277"/>
  <c r="S19" i="277"/>
  <c r="F101" i="285"/>
  <c r="J101" i="285"/>
  <c r="N101" i="285"/>
  <c r="R101" i="285"/>
  <c r="F73" i="278"/>
  <c r="J73" i="278"/>
  <c r="N73" i="278"/>
  <c r="R73" i="278"/>
  <c r="E49" i="284"/>
  <c r="I49" i="284"/>
  <c r="Q49" i="284"/>
  <c r="E74" i="278"/>
  <c r="I74" i="278"/>
  <c r="Q74" i="278"/>
  <c r="H102" i="285"/>
  <c r="L102" i="285"/>
  <c r="P102" i="285"/>
  <c r="T102" i="285"/>
  <c r="H103" i="285"/>
  <c r="L103" i="285"/>
  <c r="P103" i="285"/>
  <c r="T103" i="285"/>
  <c r="H75" i="278"/>
  <c r="L75" i="278"/>
  <c r="P75" i="278"/>
  <c r="T75" i="278"/>
  <c r="H14" i="288"/>
  <c r="L14" i="288"/>
  <c r="P14" i="288"/>
  <c r="T14" i="288"/>
  <c r="H41" i="280"/>
  <c r="L41" i="280"/>
  <c r="P41" i="280"/>
  <c r="T41" i="280"/>
  <c r="H104" i="285"/>
  <c r="L104" i="285"/>
  <c r="P104" i="285"/>
  <c r="T104" i="285"/>
  <c r="C69" i="13"/>
  <c r="G34" i="283"/>
  <c r="K34" i="283"/>
  <c r="O34" i="283"/>
  <c r="S34" i="283"/>
  <c r="G32" i="290"/>
  <c r="K32" i="290"/>
  <c r="O32" i="290"/>
  <c r="S32" i="290"/>
  <c r="G105" i="285"/>
  <c r="K105" i="285"/>
  <c r="O105" i="285"/>
  <c r="S105" i="285"/>
  <c r="G49" i="280"/>
  <c r="K49" i="280"/>
  <c r="O49" i="280"/>
  <c r="S49" i="280"/>
  <c r="F54" i="280"/>
  <c r="J54" i="280"/>
  <c r="N54" i="280"/>
  <c r="R54" i="280"/>
  <c r="F18" i="288"/>
  <c r="J18" i="288"/>
  <c r="N18" i="288"/>
  <c r="R18" i="288"/>
  <c r="F30" i="287"/>
  <c r="J30" i="287"/>
  <c r="N30" i="287"/>
  <c r="R30" i="287"/>
  <c r="F14" i="279"/>
  <c r="J14" i="279"/>
  <c r="N14" i="279"/>
  <c r="R14" i="279"/>
  <c r="F106" i="285"/>
  <c r="J106" i="285"/>
  <c r="N106" i="285"/>
  <c r="R106" i="285"/>
  <c r="E7" i="287"/>
  <c r="I7" i="287"/>
  <c r="Q7" i="287"/>
  <c r="H107" i="285"/>
  <c r="L107" i="285"/>
  <c r="P107" i="285"/>
  <c r="T107" i="285"/>
  <c r="H108" i="285"/>
  <c r="L108" i="285"/>
  <c r="P108" i="285"/>
  <c r="T108" i="285"/>
  <c r="H33" i="280"/>
  <c r="L33" i="280"/>
  <c r="P33" i="280"/>
  <c r="T33" i="280"/>
  <c r="H76" i="278"/>
  <c r="L76" i="278"/>
  <c r="P76" i="278"/>
  <c r="T76" i="278"/>
  <c r="C73" i="13"/>
  <c r="G26" i="286"/>
  <c r="K26" i="286"/>
  <c r="O26" i="286"/>
  <c r="S26" i="286"/>
  <c r="G77" i="278"/>
  <c r="K77" i="278"/>
  <c r="O77" i="278"/>
  <c r="S77" i="278"/>
  <c r="G109" i="285"/>
  <c r="K109" i="285"/>
  <c r="O109" i="285"/>
  <c r="S109" i="285"/>
  <c r="K95" i="289"/>
  <c r="L95" i="289"/>
  <c r="K49" i="282"/>
  <c r="L49" i="282"/>
  <c r="K80" i="278"/>
  <c r="L80" i="278"/>
  <c r="K30" i="291"/>
  <c r="L30" i="291"/>
  <c r="K110" i="285"/>
  <c r="L110" i="285"/>
  <c r="C8" i="280"/>
  <c r="C76" i="13"/>
  <c r="K34" i="280"/>
  <c r="L34" i="280"/>
  <c r="C64" i="281"/>
  <c r="C78" i="13"/>
  <c r="C50" i="284"/>
  <c r="C80" i="13"/>
  <c r="K35" i="283"/>
  <c r="L35" i="283"/>
  <c r="I53" i="280"/>
  <c r="Q53" i="280"/>
  <c r="E7" i="290"/>
  <c r="I7" i="290"/>
  <c r="Q7" i="290"/>
  <c r="E12" i="287"/>
  <c r="I12" i="287"/>
  <c r="Q12" i="287"/>
  <c r="E42" i="282"/>
  <c r="I42" i="282"/>
  <c r="Q42" i="282"/>
  <c r="E94" i="285"/>
  <c r="I94" i="285"/>
  <c r="Q94" i="285"/>
  <c r="E95" i="285"/>
  <c r="I95" i="285"/>
  <c r="Q95" i="285"/>
  <c r="E45" i="280"/>
  <c r="I45" i="280"/>
  <c r="Q45" i="280"/>
  <c r="E33" i="283"/>
  <c r="I33" i="283"/>
  <c r="Q33" i="283"/>
  <c r="E93" i="289"/>
  <c r="I93" i="289"/>
  <c r="Q93" i="289"/>
  <c r="E96" i="285"/>
  <c r="I96" i="285"/>
  <c r="Q96" i="285"/>
  <c r="E71" i="278"/>
  <c r="I71" i="278"/>
  <c r="Q71" i="278"/>
  <c r="H47" i="284"/>
  <c r="P47" i="284"/>
  <c r="T47" i="284"/>
  <c r="G97" i="285"/>
  <c r="K97" i="285"/>
  <c r="O97" i="285"/>
  <c r="S97" i="285"/>
  <c r="G98" i="285"/>
  <c r="K98" i="285"/>
  <c r="O98" i="285"/>
  <c r="S98" i="285"/>
  <c r="G43" i="282"/>
  <c r="K43" i="282"/>
  <c r="O43" i="282"/>
  <c r="S43" i="282"/>
  <c r="G44" i="282"/>
  <c r="K44" i="282"/>
  <c r="O44" i="282"/>
  <c r="S44" i="282"/>
  <c r="G11" i="277"/>
  <c r="K11" i="277"/>
  <c r="O11" i="277"/>
  <c r="S11" i="277"/>
  <c r="F99" i="285"/>
  <c r="J99" i="285"/>
  <c r="N99" i="285"/>
  <c r="R99" i="285"/>
  <c r="F94" i="289"/>
  <c r="J94" i="289"/>
  <c r="N94" i="289"/>
  <c r="R94" i="289"/>
  <c r="F72" i="278"/>
  <c r="J72" i="278"/>
  <c r="N72" i="278"/>
  <c r="R72" i="278"/>
  <c r="F25" i="277"/>
  <c r="J25" i="277"/>
  <c r="N25" i="277"/>
  <c r="R25" i="277"/>
  <c r="F16" i="280"/>
  <c r="J16" i="280"/>
  <c r="N16" i="280"/>
  <c r="R16" i="280"/>
  <c r="E38" i="280"/>
  <c r="I38" i="280"/>
  <c r="Q38" i="280"/>
  <c r="E48" i="284"/>
  <c r="I48" i="284"/>
  <c r="Q48" i="284"/>
  <c r="E100" i="285"/>
  <c r="I100" i="285"/>
  <c r="Q100" i="285"/>
  <c r="E19" i="277"/>
  <c r="I19" i="277"/>
  <c r="Q19" i="277"/>
  <c r="H101" i="285"/>
  <c r="P101" i="285"/>
  <c r="T101" i="285"/>
  <c r="H73" i="278"/>
  <c r="P73" i="278"/>
  <c r="T73" i="278"/>
  <c r="C67" i="13"/>
  <c r="G49" i="284"/>
  <c r="K49" i="284"/>
  <c r="O49" i="284"/>
  <c r="S49" i="284"/>
  <c r="G74" i="278"/>
  <c r="K74" i="278"/>
  <c r="O74" i="278"/>
  <c r="S74" i="278"/>
  <c r="J102" i="285"/>
  <c r="N102" i="285"/>
  <c r="R102" i="285"/>
  <c r="F103" i="285"/>
  <c r="J103" i="285"/>
  <c r="N103" i="285"/>
  <c r="R103" i="285"/>
  <c r="F75" i="278"/>
  <c r="J75" i="278"/>
  <c r="N75" i="278"/>
  <c r="R75" i="278"/>
  <c r="F14" i="288"/>
  <c r="J14" i="288"/>
  <c r="N14" i="288"/>
  <c r="R14" i="288"/>
  <c r="F41" i="280"/>
  <c r="J41" i="280"/>
  <c r="N41" i="280"/>
  <c r="R41" i="280"/>
  <c r="F104" i="285"/>
  <c r="J104" i="285"/>
  <c r="N104" i="285"/>
  <c r="R104" i="285"/>
  <c r="E34" i="283"/>
  <c r="I34" i="283"/>
  <c r="Q34" i="283"/>
  <c r="E32" i="290"/>
  <c r="I32" i="290"/>
  <c r="Q32" i="290"/>
  <c r="E105" i="285"/>
  <c r="I105" i="285"/>
  <c r="Q105" i="285"/>
  <c r="E49" i="280"/>
  <c r="I49" i="280"/>
  <c r="Q49" i="280"/>
  <c r="H54" i="280"/>
  <c r="L54" i="280"/>
  <c r="P54" i="280"/>
  <c r="T54" i="280"/>
  <c r="H18" i="288"/>
  <c r="L18" i="288"/>
  <c r="P18" i="288"/>
  <c r="T18" i="288"/>
  <c r="H30" i="287"/>
  <c r="L30" i="287"/>
  <c r="P30" i="287"/>
  <c r="T30" i="287"/>
  <c r="H14" i="279"/>
  <c r="L14" i="279"/>
  <c r="P14" i="279"/>
  <c r="T14" i="279"/>
  <c r="H106" i="285"/>
  <c r="L106" i="285"/>
  <c r="P106" i="285"/>
  <c r="T106" i="285"/>
  <c r="C71" i="13"/>
  <c r="G7" i="287"/>
  <c r="K7" i="287"/>
  <c r="O7" i="287"/>
  <c r="S7" i="287"/>
  <c r="F107" i="285"/>
  <c r="J107" i="285"/>
  <c r="C47" i="282"/>
  <c r="C74" i="13"/>
  <c r="K24" i="290"/>
  <c r="L24" i="290"/>
  <c r="K112" i="285"/>
  <c r="L112" i="285"/>
  <c r="K79" i="278"/>
  <c r="L79" i="278"/>
  <c r="K81" i="278"/>
  <c r="L81" i="278"/>
  <c r="K55" i="280"/>
  <c r="L55" i="280"/>
  <c r="K50" i="282"/>
  <c r="L50" i="282"/>
  <c r="G45" i="282"/>
  <c r="K45" i="282"/>
  <c r="O45" i="282"/>
  <c r="S45" i="282"/>
  <c r="G78" i="278"/>
  <c r="K78" i="278"/>
  <c r="O78" i="278"/>
  <c r="S78" i="278"/>
  <c r="F30" i="291"/>
  <c r="J30" i="291"/>
  <c r="N30" i="291"/>
  <c r="R30" i="291"/>
  <c r="F95" i="289"/>
  <c r="J95" i="289"/>
  <c r="N95" i="289"/>
  <c r="R95" i="289"/>
  <c r="F46" i="282"/>
  <c r="J46" i="282"/>
  <c r="N46" i="282"/>
  <c r="R46" i="282"/>
  <c r="E47" i="282"/>
  <c r="I47" i="282"/>
  <c r="Q47" i="282"/>
  <c r="E19" i="279"/>
  <c r="I19" i="279"/>
  <c r="Q19" i="279"/>
  <c r="E48" i="282"/>
  <c r="I48" i="282"/>
  <c r="Q48" i="282"/>
  <c r="E20" i="277"/>
  <c r="I20" i="277"/>
  <c r="Q20" i="277"/>
  <c r="H7" i="280"/>
  <c r="P7" i="280"/>
  <c r="T7" i="280"/>
  <c r="H24" i="290"/>
  <c r="P24" i="290"/>
  <c r="T24" i="290"/>
  <c r="H110" i="285"/>
  <c r="P110" i="285"/>
  <c r="T110" i="285"/>
  <c r="H49" i="282"/>
  <c r="P49" i="282"/>
  <c r="T49" i="282"/>
  <c r="H111" i="285"/>
  <c r="P111" i="285"/>
  <c r="T111" i="285"/>
  <c r="H112" i="285"/>
  <c r="P112" i="285"/>
  <c r="T112" i="285"/>
  <c r="G8" i="280"/>
  <c r="K8" i="280"/>
  <c r="O8" i="280"/>
  <c r="S8" i="280"/>
  <c r="F79" i="278"/>
  <c r="J79" i="278"/>
  <c r="N79" i="278"/>
  <c r="R79" i="278"/>
  <c r="F34" i="280"/>
  <c r="J34" i="280"/>
  <c r="N34" i="280"/>
  <c r="R34" i="280"/>
  <c r="F80" i="278"/>
  <c r="J80" i="278"/>
  <c r="N80" i="278"/>
  <c r="R80" i="278"/>
  <c r="F17" i="281"/>
  <c r="J17" i="281"/>
  <c r="N17" i="281"/>
  <c r="R17" i="281"/>
  <c r="F81" i="278"/>
  <c r="J81" i="278"/>
  <c r="N81" i="278"/>
  <c r="R81" i="278"/>
  <c r="E64" i="281"/>
  <c r="I64" i="281"/>
  <c r="Q64" i="281"/>
  <c r="H55" i="280"/>
  <c r="P55" i="280"/>
  <c r="T55" i="280"/>
  <c r="G50" i="284"/>
  <c r="K50" i="284"/>
  <c r="O50" i="284"/>
  <c r="S50" i="284"/>
  <c r="F50" i="282"/>
  <c r="J50" i="282"/>
  <c r="N50" i="282"/>
  <c r="R50" i="282"/>
  <c r="F35" i="283"/>
  <c r="J35" i="283"/>
  <c r="N35" i="283"/>
  <c r="R35" i="283"/>
  <c r="F113" i="285"/>
  <c r="J113" i="285"/>
  <c r="N113" i="285"/>
  <c r="R113" i="285"/>
  <c r="F51" i="284"/>
  <c r="J51" i="284"/>
  <c r="N51" i="284"/>
  <c r="R51" i="284"/>
  <c r="F52" i="284"/>
  <c r="J52" i="284"/>
  <c r="N52" i="284"/>
  <c r="R52" i="284"/>
  <c r="F43" i="281"/>
  <c r="J43" i="281"/>
  <c r="N43" i="281"/>
  <c r="R43" i="281"/>
  <c r="E10" i="286"/>
  <c r="I10" i="286"/>
  <c r="Q10" i="286"/>
  <c r="E15" i="287"/>
  <c r="I15" i="287"/>
  <c r="Q15" i="287"/>
  <c r="E82" i="278"/>
  <c r="I82" i="278"/>
  <c r="Q82" i="278"/>
  <c r="E53" i="284"/>
  <c r="I53" i="284"/>
  <c r="Q53" i="284"/>
  <c r="E30" i="279"/>
  <c r="I30" i="279"/>
  <c r="Q30" i="279"/>
  <c r="E19" i="288"/>
  <c r="I19" i="288"/>
  <c r="Q19" i="288"/>
  <c r="E51" i="282"/>
  <c r="I51" i="282"/>
  <c r="Q51" i="282"/>
  <c r="E96" i="289"/>
  <c r="I96" i="289"/>
  <c r="Q96" i="289"/>
  <c r="E83" i="278"/>
  <c r="I83" i="278"/>
  <c r="Q83" i="278"/>
  <c r="H97" i="289"/>
  <c r="L97" i="289"/>
  <c r="P97" i="289"/>
  <c r="T97" i="289"/>
  <c r="H84" i="278"/>
  <c r="L84" i="278"/>
  <c r="P84" i="278"/>
  <c r="T84" i="278"/>
  <c r="H114" i="285"/>
  <c r="L114" i="285"/>
  <c r="P114" i="285"/>
  <c r="K98" i="289"/>
  <c r="L98" i="289"/>
  <c r="C17" i="286"/>
  <c r="C83" i="13"/>
  <c r="K85" i="278"/>
  <c r="L85" i="278"/>
  <c r="K99" i="289"/>
  <c r="L99" i="289"/>
  <c r="K35" i="288"/>
  <c r="L35" i="288"/>
  <c r="K47" i="281"/>
  <c r="L47" i="281"/>
  <c r="K20" i="279"/>
  <c r="L20" i="279"/>
  <c r="K56" i="280"/>
  <c r="L56" i="280"/>
  <c r="K21" i="286"/>
  <c r="L21" i="286"/>
  <c r="K87" i="278"/>
  <c r="L87" i="278"/>
  <c r="K15" i="279"/>
  <c r="L15" i="279"/>
  <c r="N107" i="285"/>
  <c r="R107" i="285"/>
  <c r="J108" i="285"/>
  <c r="N108" i="285"/>
  <c r="R108" i="285"/>
  <c r="F33" i="280"/>
  <c r="J33" i="280"/>
  <c r="N33" i="280"/>
  <c r="R33" i="280"/>
  <c r="F76" i="278"/>
  <c r="J76" i="278"/>
  <c r="N76" i="278"/>
  <c r="R76" i="278"/>
  <c r="E26" i="286"/>
  <c r="I26" i="286"/>
  <c r="Q26" i="286"/>
  <c r="E77" i="278"/>
  <c r="I77" i="278"/>
  <c r="Q77" i="278"/>
  <c r="E109" i="285"/>
  <c r="I109" i="285"/>
  <c r="Q109" i="285"/>
  <c r="E45" i="282"/>
  <c r="I45" i="282"/>
  <c r="Q45" i="282"/>
  <c r="E78" i="278"/>
  <c r="I78" i="278"/>
  <c r="Q78" i="278"/>
  <c r="H30" i="291"/>
  <c r="P30" i="291"/>
  <c r="T30" i="291"/>
  <c r="H95" i="289"/>
  <c r="P95" i="289"/>
  <c r="T95" i="289"/>
  <c r="H46" i="282"/>
  <c r="P46" i="282"/>
  <c r="T46" i="282"/>
  <c r="G47" i="282"/>
  <c r="K47" i="282"/>
  <c r="O47" i="282"/>
  <c r="S47" i="282"/>
  <c r="G19" i="279"/>
  <c r="K19" i="279"/>
  <c r="O19" i="279"/>
  <c r="S19" i="279"/>
  <c r="G48" i="282"/>
  <c r="K48" i="282"/>
  <c r="O48" i="282"/>
  <c r="S48" i="282"/>
  <c r="G20" i="277"/>
  <c r="K20" i="277"/>
  <c r="O20" i="277"/>
  <c r="S20" i="277"/>
  <c r="F7" i="280"/>
  <c r="J7" i="280"/>
  <c r="N7" i="280"/>
  <c r="R7" i="280"/>
  <c r="F24" i="290"/>
  <c r="J24" i="290"/>
  <c r="N24" i="290"/>
  <c r="R24" i="290"/>
  <c r="F110" i="285"/>
  <c r="J110" i="285"/>
  <c r="N110" i="285"/>
  <c r="R110" i="285"/>
  <c r="F49" i="282"/>
  <c r="J49" i="282"/>
  <c r="N49" i="282"/>
  <c r="R49" i="282"/>
  <c r="F111" i="285"/>
  <c r="J111" i="285"/>
  <c r="N111" i="285"/>
  <c r="R111" i="285"/>
  <c r="F112" i="285"/>
  <c r="J112" i="285"/>
  <c r="N112" i="285"/>
  <c r="R112" i="285"/>
  <c r="E8" i="280"/>
  <c r="I8" i="280"/>
  <c r="Q8" i="280"/>
  <c r="H79" i="278"/>
  <c r="P79" i="278"/>
  <c r="T79" i="278"/>
  <c r="H34" i="280"/>
  <c r="P34" i="280"/>
  <c r="T34" i="280"/>
  <c r="H80" i="278"/>
  <c r="P80" i="278"/>
  <c r="T80" i="278"/>
  <c r="H17" i="281"/>
  <c r="P17" i="281"/>
  <c r="T17" i="281"/>
  <c r="H81" i="278"/>
  <c r="P81" i="278"/>
  <c r="T81" i="278"/>
  <c r="G64" i="281"/>
  <c r="K64" i="281"/>
  <c r="O64" i="281"/>
  <c r="S64" i="281"/>
  <c r="F55" i="280"/>
  <c r="J55" i="280"/>
  <c r="N55" i="280"/>
  <c r="R55" i="280"/>
  <c r="E50" i="284"/>
  <c r="I50" i="284"/>
  <c r="Q50" i="284"/>
  <c r="H50" i="282"/>
  <c r="P50" i="282"/>
  <c r="T50" i="282"/>
  <c r="H35" i="283"/>
  <c r="P35" i="283"/>
  <c r="T35" i="283"/>
  <c r="H113" i="285"/>
  <c r="L113" i="285"/>
  <c r="P113" i="285"/>
  <c r="T113" i="285"/>
  <c r="H51" i="284"/>
  <c r="L51" i="284"/>
  <c r="P51" i="284"/>
  <c r="T51" i="284"/>
  <c r="H52" i="284"/>
  <c r="L52" i="284"/>
  <c r="P52" i="284"/>
  <c r="T52" i="284"/>
  <c r="H43" i="281"/>
  <c r="L43" i="281"/>
  <c r="P43" i="281"/>
  <c r="T43" i="281"/>
  <c r="C81" i="13"/>
  <c r="G10" i="286"/>
  <c r="K10" i="286"/>
  <c r="O10" i="286"/>
  <c r="S10" i="286"/>
  <c r="G15" i="287"/>
  <c r="K15" i="287"/>
  <c r="O15" i="287"/>
  <c r="S15" i="287"/>
  <c r="G82" i="278"/>
  <c r="K82" i="278"/>
  <c r="O82" i="278"/>
  <c r="S82" i="278"/>
  <c r="G53" i="284"/>
  <c r="K53" i="284"/>
  <c r="O53" i="284"/>
  <c r="S53" i="284"/>
  <c r="G30" i="279"/>
  <c r="K30" i="279"/>
  <c r="O30" i="279"/>
  <c r="S30" i="279"/>
  <c r="G19" i="288"/>
  <c r="K19" i="288"/>
  <c r="O19" i="288"/>
  <c r="S19" i="288"/>
  <c r="G51" i="282"/>
  <c r="K51" i="282"/>
  <c r="O51" i="282"/>
  <c r="S51" i="282"/>
  <c r="K6" i="286"/>
  <c r="L6" i="286"/>
  <c r="K30" i="288"/>
  <c r="L30" i="288"/>
  <c r="K116" i="285"/>
  <c r="L116" i="285"/>
  <c r="K23" i="280"/>
  <c r="L23" i="280"/>
  <c r="C117" i="285"/>
  <c r="C85" i="13"/>
  <c r="K115" i="285"/>
  <c r="L115" i="285"/>
  <c r="K8" i="279"/>
  <c r="L8" i="279"/>
  <c r="K86" i="278"/>
  <c r="L86" i="278"/>
  <c r="K55" i="281"/>
  <c r="L55" i="281"/>
  <c r="K88" i="278"/>
  <c r="L88" i="278"/>
  <c r="K14" i="286"/>
  <c r="L14" i="286"/>
  <c r="T114" i="285"/>
  <c r="H115" i="285"/>
  <c r="P115" i="285"/>
  <c r="T115" i="285"/>
  <c r="H6" i="286"/>
  <c r="P6" i="286"/>
  <c r="T6" i="286"/>
  <c r="H47" i="281"/>
  <c r="P47" i="281"/>
  <c r="T47" i="281"/>
  <c r="H98" i="289"/>
  <c r="P98" i="289"/>
  <c r="T98" i="289"/>
  <c r="H8" i="279"/>
  <c r="P8" i="279"/>
  <c r="T8" i="279"/>
  <c r="H30" i="288"/>
  <c r="P30" i="288"/>
  <c r="T30" i="288"/>
  <c r="H20" i="279"/>
  <c r="P20" i="279"/>
  <c r="T20" i="279"/>
  <c r="G17" i="286"/>
  <c r="K17" i="286"/>
  <c r="O17" i="286"/>
  <c r="S17" i="286"/>
  <c r="F56" i="280"/>
  <c r="J56" i="280"/>
  <c r="N56" i="280"/>
  <c r="R56" i="280"/>
  <c r="F85" i="278"/>
  <c r="J85" i="278"/>
  <c r="N85" i="278"/>
  <c r="R85" i="278"/>
  <c r="F86" i="278"/>
  <c r="J86" i="278"/>
  <c r="N86" i="278"/>
  <c r="R86" i="278"/>
  <c r="F116" i="285"/>
  <c r="J116" i="285"/>
  <c r="N116" i="285"/>
  <c r="R116" i="285"/>
  <c r="F21" i="286"/>
  <c r="J21" i="286"/>
  <c r="N21" i="286"/>
  <c r="R21" i="286"/>
  <c r="F99" i="289"/>
  <c r="J99" i="289"/>
  <c r="N99" i="289"/>
  <c r="R99" i="289"/>
  <c r="F55" i="281"/>
  <c r="J55" i="281"/>
  <c r="N55" i="281"/>
  <c r="R55" i="281"/>
  <c r="F23" i="280"/>
  <c r="J23" i="280"/>
  <c r="N23" i="280"/>
  <c r="R23" i="280"/>
  <c r="F87" i="278"/>
  <c r="J87" i="278"/>
  <c r="N87" i="278"/>
  <c r="R87" i="278"/>
  <c r="F35" i="288"/>
  <c r="J35" i="288"/>
  <c r="N35" i="288"/>
  <c r="R35" i="288"/>
  <c r="F88" i="278"/>
  <c r="J88" i="278"/>
  <c r="N88" i="278"/>
  <c r="R88" i="278"/>
  <c r="E117" i="285"/>
  <c r="I117" i="285"/>
  <c r="Q117" i="285"/>
  <c r="E7" i="281"/>
  <c r="I7" i="281"/>
  <c r="Q7" i="281"/>
  <c r="C49" i="281"/>
  <c r="C87" i="13"/>
  <c r="K58" i="284"/>
  <c r="L58" i="284"/>
  <c r="K104" i="289"/>
  <c r="L104" i="289"/>
  <c r="K15" i="281"/>
  <c r="L15" i="281"/>
  <c r="G96" i="289"/>
  <c r="K96" i="289"/>
  <c r="O96" i="289"/>
  <c r="S96" i="289"/>
  <c r="G83" i="278"/>
  <c r="K83" i="278"/>
  <c r="O83" i="278"/>
  <c r="S83" i="278"/>
  <c r="F97" i="289"/>
  <c r="J97" i="289"/>
  <c r="N97" i="289"/>
  <c r="R97" i="289"/>
  <c r="F84" i="278"/>
  <c r="J84" i="278"/>
  <c r="N84" i="278"/>
  <c r="R84" i="278"/>
  <c r="F114" i="285"/>
  <c r="J114" i="285"/>
  <c r="N114" i="285"/>
  <c r="R114" i="285"/>
  <c r="F115" i="285"/>
  <c r="J115" i="285"/>
  <c r="N115" i="285"/>
  <c r="R115" i="285"/>
  <c r="F6" i="286"/>
  <c r="J6" i="286"/>
  <c r="N6" i="286"/>
  <c r="R6" i="286"/>
  <c r="F47" i="281"/>
  <c r="J47" i="281"/>
  <c r="N47" i="281"/>
  <c r="R47" i="281"/>
  <c r="F98" i="289"/>
  <c r="J98" i="289"/>
  <c r="N98" i="289"/>
  <c r="R98" i="289"/>
  <c r="F8" i="279"/>
  <c r="J8" i="279"/>
  <c r="N8" i="279"/>
  <c r="R8" i="279"/>
  <c r="F30" i="288"/>
  <c r="J30" i="288"/>
  <c r="N30" i="288"/>
  <c r="R30" i="288"/>
  <c r="F20" i="279"/>
  <c r="J20" i="279"/>
  <c r="N20" i="279"/>
  <c r="R20" i="279"/>
  <c r="E17" i="286"/>
  <c r="I17" i="286"/>
  <c r="Q17" i="286"/>
  <c r="H56" i="280"/>
  <c r="P56" i="280"/>
  <c r="T56" i="280"/>
  <c r="H85" i="278"/>
  <c r="P85" i="278"/>
  <c r="T85" i="278"/>
  <c r="H86" i="278"/>
  <c r="P86" i="278"/>
  <c r="T86" i="278"/>
  <c r="H116" i="285"/>
  <c r="P116" i="285"/>
  <c r="T116" i="285"/>
  <c r="H21" i="286"/>
  <c r="P21" i="286"/>
  <c r="T21" i="286"/>
  <c r="H99" i="289"/>
  <c r="P99" i="289"/>
  <c r="T99" i="289"/>
  <c r="H55" i="281"/>
  <c r="P55" i="281"/>
  <c r="T55" i="281"/>
  <c r="H23" i="280"/>
  <c r="P23" i="280"/>
  <c r="T23" i="280"/>
  <c r="H87" i="278"/>
  <c r="P87" i="278"/>
  <c r="T87" i="278"/>
  <c r="H35" i="288"/>
  <c r="P35" i="288"/>
  <c r="T35" i="288"/>
  <c r="H88" i="278"/>
  <c r="P88" i="278"/>
  <c r="T88" i="278"/>
  <c r="G117" i="285"/>
  <c r="K117" i="285"/>
  <c r="O117" i="285"/>
  <c r="S117" i="285"/>
  <c r="G7" i="281"/>
  <c r="K54" i="284"/>
  <c r="L54" i="284"/>
  <c r="K91" i="278"/>
  <c r="L91" i="278"/>
  <c r="C29" i="286"/>
  <c r="C88" i="13"/>
  <c r="K11" i="290"/>
  <c r="L11" i="290"/>
  <c r="E23" i="286"/>
  <c r="I23" i="286"/>
  <c r="Q23" i="286"/>
  <c r="E89" i="278"/>
  <c r="I89" i="278"/>
  <c r="Q89" i="278"/>
  <c r="E100" i="289"/>
  <c r="I100" i="289"/>
  <c r="Q100" i="289"/>
  <c r="E42" i="280"/>
  <c r="I42" i="280"/>
  <c r="Q42" i="280"/>
  <c r="H14" i="286"/>
  <c r="P14" i="286"/>
  <c r="T14" i="286"/>
  <c r="H54" i="284"/>
  <c r="P54" i="284"/>
  <c r="T54" i="284"/>
  <c r="H15" i="279"/>
  <c r="P15" i="279"/>
  <c r="T15" i="279"/>
  <c r="G49" i="281"/>
  <c r="K49" i="281"/>
  <c r="O49" i="281"/>
  <c r="S49" i="281"/>
  <c r="G15" i="288"/>
  <c r="K15" i="288"/>
  <c r="O15" i="288"/>
  <c r="S15" i="288"/>
  <c r="G36" i="283"/>
  <c r="K36" i="283"/>
  <c r="O36" i="283"/>
  <c r="S36" i="283"/>
  <c r="G31" i="287"/>
  <c r="K31" i="287"/>
  <c r="O31" i="287"/>
  <c r="S31" i="287"/>
  <c r="G25" i="279"/>
  <c r="K25" i="279"/>
  <c r="O25" i="279"/>
  <c r="S25" i="279"/>
  <c r="G118" i="285"/>
  <c r="K118" i="285"/>
  <c r="O118" i="285"/>
  <c r="S118" i="285"/>
  <c r="G55" i="284"/>
  <c r="K55" i="284"/>
  <c r="O55" i="284"/>
  <c r="S55" i="284"/>
  <c r="G52" i="282"/>
  <c r="K52" i="282"/>
  <c r="O52" i="282"/>
  <c r="S52" i="282"/>
  <c r="G37" i="283"/>
  <c r="K37" i="283"/>
  <c r="O37" i="283"/>
  <c r="S37" i="283"/>
  <c r="G119" i="285"/>
  <c r="K119" i="285"/>
  <c r="O119" i="285"/>
  <c r="S119" i="285"/>
  <c r="G33" i="290"/>
  <c r="K33" i="290"/>
  <c r="O33" i="290"/>
  <c r="S33" i="290"/>
  <c r="G90" i="278"/>
  <c r="K90" i="278"/>
  <c r="O90" i="278"/>
  <c r="S90" i="278"/>
  <c r="G56" i="284"/>
  <c r="K56" i="284"/>
  <c r="O56" i="284"/>
  <c r="S56" i="284"/>
  <c r="G101" i="289"/>
  <c r="K101" i="289"/>
  <c r="O101" i="289"/>
  <c r="S101" i="289"/>
  <c r="G120" i="285"/>
  <c r="K120" i="285"/>
  <c r="O120" i="285"/>
  <c r="S120" i="285"/>
  <c r="G25" i="281"/>
  <c r="K25" i="281"/>
  <c r="L25" i="281"/>
  <c r="O15" i="281"/>
  <c r="S15" i="281"/>
  <c r="G57" i="284"/>
  <c r="K57" i="284"/>
  <c r="L57" i="284"/>
  <c r="N53" i="282"/>
  <c r="R53" i="282"/>
  <c r="F92" i="278"/>
  <c r="J92" i="278"/>
  <c r="K46" i="280"/>
  <c r="L46" i="280"/>
  <c r="K39" i="281"/>
  <c r="L39" i="281"/>
  <c r="C24" i="286"/>
  <c r="C95" i="13"/>
  <c r="K19" i="280"/>
  <c r="L19" i="280"/>
  <c r="K124" i="285"/>
  <c r="L124" i="285"/>
  <c r="K94" i="278"/>
  <c r="L94" i="278"/>
  <c r="K18" i="281"/>
  <c r="L18" i="281"/>
  <c r="C126" i="285"/>
  <c r="C93" i="13"/>
  <c r="K105" i="289"/>
  <c r="L105" i="289"/>
  <c r="K7" i="281"/>
  <c r="O7" i="281"/>
  <c r="S7" i="281"/>
  <c r="G23" i="286"/>
  <c r="K23" i="286"/>
  <c r="O23" i="286"/>
  <c r="S23" i="286"/>
  <c r="G89" i="278"/>
  <c r="K89" i="278"/>
  <c r="O89" i="278"/>
  <c r="S89" i="278"/>
  <c r="G100" i="289"/>
  <c r="K100" i="289"/>
  <c r="O100" i="289"/>
  <c r="S100" i="289"/>
  <c r="G42" i="280"/>
  <c r="K42" i="280"/>
  <c r="O42" i="280"/>
  <c r="S42" i="280"/>
  <c r="F14" i="286"/>
  <c r="J14" i="286"/>
  <c r="N14" i="286"/>
  <c r="R14" i="286"/>
  <c r="F54" i="284"/>
  <c r="J54" i="284"/>
  <c r="N54" i="284"/>
  <c r="R54" i="284"/>
  <c r="F15" i="279"/>
  <c r="J15" i="279"/>
  <c r="N15" i="279"/>
  <c r="R15" i="279"/>
  <c r="E49" i="281"/>
  <c r="I49" i="281"/>
  <c r="Q49" i="281"/>
  <c r="E15" i="288"/>
  <c r="I15" i="288"/>
  <c r="Q15" i="288"/>
  <c r="E36" i="283"/>
  <c r="I36" i="283"/>
  <c r="Q36" i="283"/>
  <c r="E31" i="287"/>
  <c r="I31" i="287"/>
  <c r="O91" i="278"/>
  <c r="S91" i="278"/>
  <c r="G50" i="281"/>
  <c r="K50" i="281"/>
  <c r="L50" i="281"/>
  <c r="F29" i="286"/>
  <c r="J29" i="286"/>
  <c r="E54" i="282"/>
  <c r="I54" i="282"/>
  <c r="Q54" i="282"/>
  <c r="E93" i="278"/>
  <c r="I93" i="278"/>
  <c r="Q93" i="278"/>
  <c r="E38" i="283"/>
  <c r="I38" i="283"/>
  <c r="Q38" i="283"/>
  <c r="E55" i="282"/>
  <c r="I55" i="282"/>
  <c r="Q55" i="282"/>
  <c r="E102" i="289"/>
  <c r="I102" i="289"/>
  <c r="Q102" i="289"/>
  <c r="E121" i="285"/>
  <c r="I121" i="285"/>
  <c r="Q121" i="285"/>
  <c r="E11" i="281"/>
  <c r="I11" i="281"/>
  <c r="Q11" i="281"/>
  <c r="E122" i="285"/>
  <c r="I122" i="285"/>
  <c r="Q122" i="285"/>
  <c r="E10" i="290"/>
  <c r="I10" i="290"/>
  <c r="Q10" i="290"/>
  <c r="H9" i="280"/>
  <c r="L9" i="280"/>
  <c r="P9" i="280"/>
  <c r="T9" i="280"/>
  <c r="H103" i="289"/>
  <c r="L103" i="289"/>
  <c r="P103" i="289"/>
  <c r="T103" i="289"/>
  <c r="C91" i="13"/>
  <c r="G11" i="286"/>
  <c r="K11" i="286"/>
  <c r="L11" i="286"/>
  <c r="K123" i="285"/>
  <c r="L123" i="285"/>
  <c r="K12" i="280"/>
  <c r="L12" i="280"/>
  <c r="P25" i="281"/>
  <c r="T25" i="281"/>
  <c r="H91" i="278"/>
  <c r="P91" i="278"/>
  <c r="T91" i="278"/>
  <c r="H50" i="281"/>
  <c r="P50" i="281"/>
  <c r="T50" i="281"/>
  <c r="H15" i="281"/>
  <c r="P15" i="281"/>
  <c r="T15" i="281"/>
  <c r="H57" i="284"/>
  <c r="P57" i="284"/>
  <c r="T57" i="284"/>
  <c r="G29" i="286"/>
  <c r="K29" i="286"/>
  <c r="O29" i="286"/>
  <c r="S29" i="286"/>
  <c r="G53" i="282"/>
  <c r="K53" i="282"/>
  <c r="O53" i="282"/>
  <c r="S53" i="282"/>
  <c r="G92" i="278"/>
  <c r="K92" i="278"/>
  <c r="O92" i="278"/>
  <c r="S92" i="278"/>
  <c r="F54" i="282"/>
  <c r="J54" i="282"/>
  <c r="N54" i="282"/>
  <c r="R54" i="282"/>
  <c r="F93" i="278"/>
  <c r="J93" i="278"/>
  <c r="N93" i="278"/>
  <c r="R93" i="278"/>
  <c r="F38" i="283"/>
  <c r="J38" i="283"/>
  <c r="N38" i="283"/>
  <c r="R38" i="283"/>
  <c r="F55" i="282"/>
  <c r="J55" i="282"/>
  <c r="N55" i="282"/>
  <c r="R55" i="282"/>
  <c r="F102" i="289"/>
  <c r="J102" i="289"/>
  <c r="N102" i="289"/>
  <c r="R102" i="289"/>
  <c r="F121" i="285"/>
  <c r="J121" i="285"/>
  <c r="N121" i="285"/>
  <c r="R121" i="285"/>
  <c r="F11" i="281"/>
  <c r="J11" i="281"/>
  <c r="N11" i="281"/>
  <c r="R11" i="281"/>
  <c r="F122" i="285"/>
  <c r="J122" i="285"/>
  <c r="N122" i="285"/>
  <c r="R122" i="285"/>
  <c r="F10" i="290"/>
  <c r="J10" i="290"/>
  <c r="N10" i="290"/>
  <c r="R10" i="290"/>
  <c r="E9" i="280"/>
  <c r="I9" i="280"/>
  <c r="Q9" i="280"/>
  <c r="E103" i="289"/>
  <c r="I103" i="289"/>
  <c r="Q103" i="289"/>
  <c r="H11" i="286"/>
  <c r="P11" i="286"/>
  <c r="T11" i="286"/>
  <c r="H19" i="280"/>
  <c r="P19" i="280"/>
  <c r="T19" i="280"/>
  <c r="H46" i="280"/>
  <c r="P46" i="280"/>
  <c r="T46" i="280"/>
  <c r="H58" i="284"/>
  <c r="P58" i="284"/>
  <c r="T58" i="284"/>
  <c r="H123" i="285"/>
  <c r="P123" i="285"/>
  <c r="T123" i="285"/>
  <c r="H124" i="285"/>
  <c r="P124" i="285"/>
  <c r="T124" i="285"/>
  <c r="H39" i="281"/>
  <c r="P39" i="281"/>
  <c r="T39" i="281"/>
  <c r="H104" i="289"/>
  <c r="P104" i="289"/>
  <c r="T104" i="289"/>
  <c r="H12" i="280"/>
  <c r="P12" i="280"/>
  <c r="T12" i="280"/>
  <c r="N50" i="280"/>
  <c r="R50" i="280"/>
  <c r="F40" i="281"/>
  <c r="J40" i="281"/>
  <c r="O40" i="281"/>
  <c r="S40" i="281"/>
  <c r="F20" i="280"/>
  <c r="J20" i="280"/>
  <c r="N20" i="280"/>
  <c r="R20" i="280"/>
  <c r="F39" i="283"/>
  <c r="J39" i="283"/>
  <c r="N39" i="283"/>
  <c r="R39" i="283"/>
  <c r="F51" i="281"/>
  <c r="J51" i="281"/>
  <c r="N51" i="281"/>
  <c r="R51" i="281"/>
  <c r="F26" i="280"/>
  <c r="J26" i="280"/>
  <c r="N26" i="280"/>
  <c r="R26" i="280"/>
  <c r="F12" i="277"/>
  <c r="J12" i="277"/>
  <c r="N12" i="277"/>
  <c r="R12" i="277"/>
  <c r="E15" i="286"/>
  <c r="I15" i="286"/>
  <c r="Q15" i="286"/>
  <c r="E59" i="284"/>
  <c r="I59" i="284"/>
  <c r="Q59" i="284"/>
  <c r="E125" i="285"/>
  <c r="I125" i="285"/>
  <c r="Q125" i="285"/>
  <c r="E40" i="283"/>
  <c r="I40" i="283"/>
  <c r="Q40" i="283"/>
  <c r="H18" i="281"/>
  <c r="O19" i="287"/>
  <c r="S19" i="287"/>
  <c r="G60" i="284"/>
  <c r="K60" i="284"/>
  <c r="L60" i="284"/>
  <c r="N41" i="283"/>
  <c r="R41" i="283"/>
  <c r="E61" i="284"/>
  <c r="I61" i="284"/>
  <c r="Q61" i="284"/>
  <c r="E57" i="282"/>
  <c r="I57" i="282"/>
  <c r="Q57" i="282"/>
  <c r="H105" i="289"/>
  <c r="P105" i="289"/>
  <c r="T105" i="289"/>
  <c r="G24" i="286"/>
  <c r="K24" i="286"/>
  <c r="L24" i="286"/>
  <c r="O128" i="285"/>
  <c r="S128" i="285"/>
  <c r="G129" i="285"/>
  <c r="K129" i="285"/>
  <c r="L129" i="285"/>
  <c r="Q31" i="287"/>
  <c r="E25" i="279"/>
  <c r="I25" i="279"/>
  <c r="Q25" i="279"/>
  <c r="E118" i="285"/>
  <c r="I118" i="285"/>
  <c r="Q118" i="285"/>
  <c r="E55" i="284"/>
  <c r="I55" i="284"/>
  <c r="Q55" i="284"/>
  <c r="E52" i="282"/>
  <c r="I52" i="282"/>
  <c r="Q52" i="282"/>
  <c r="E37" i="283"/>
  <c r="I37" i="283"/>
  <c r="Q37" i="283"/>
  <c r="E119" i="285"/>
  <c r="I119" i="285"/>
  <c r="Q119" i="285"/>
  <c r="E33" i="290"/>
  <c r="I33" i="290"/>
  <c r="Q33" i="290"/>
  <c r="E90" i="278"/>
  <c r="I90" i="278"/>
  <c r="Q90" i="278"/>
  <c r="E56" i="284"/>
  <c r="I56" i="284"/>
  <c r="Q56" i="284"/>
  <c r="E101" i="289"/>
  <c r="I101" i="289"/>
  <c r="Q101" i="289"/>
  <c r="E120" i="285"/>
  <c r="I120" i="285"/>
  <c r="Q120" i="285"/>
  <c r="E25" i="281"/>
  <c r="I25" i="281"/>
  <c r="Q25" i="281"/>
  <c r="E91" i="278"/>
  <c r="I91" i="278"/>
  <c r="Q91" i="278"/>
  <c r="E50" i="281"/>
  <c r="I50" i="281"/>
  <c r="Q50" i="281"/>
  <c r="E15" i="281"/>
  <c r="I15" i="281"/>
  <c r="Q15" i="281"/>
  <c r="E57" i="284"/>
  <c r="I57" i="284"/>
  <c r="Q57" i="284"/>
  <c r="H29" i="286"/>
  <c r="L29" i="286"/>
  <c r="P29" i="286"/>
  <c r="T29" i="286"/>
  <c r="H53" i="282"/>
  <c r="L53" i="282"/>
  <c r="P53" i="282"/>
  <c r="T53" i="282"/>
  <c r="H92" i="278"/>
  <c r="L92" i="278"/>
  <c r="P92" i="278"/>
  <c r="T92" i="278"/>
  <c r="C89" i="13"/>
  <c r="G54" i="282"/>
  <c r="K54" i="282"/>
  <c r="O54" i="282"/>
  <c r="S54" i="282"/>
  <c r="G93" i="278"/>
  <c r="K93" i="278"/>
  <c r="O93" i="278"/>
  <c r="S93" i="278"/>
  <c r="G38" i="283"/>
  <c r="K38" i="283"/>
  <c r="O38" i="283"/>
  <c r="S38" i="283"/>
  <c r="G55" i="282"/>
  <c r="K55" i="282"/>
  <c r="O55" i="282"/>
  <c r="S55" i="282"/>
  <c r="G102" i="289"/>
  <c r="K102" i="289"/>
  <c r="O102" i="289"/>
  <c r="S102" i="289"/>
  <c r="G121" i="285"/>
  <c r="K121" i="285"/>
  <c r="O121" i="285"/>
  <c r="S121" i="285"/>
  <c r="G11" i="281"/>
  <c r="K11" i="281"/>
  <c r="O11" i="281"/>
  <c r="S11" i="281"/>
  <c r="G122" i="285"/>
  <c r="K122" i="285"/>
  <c r="O122" i="285"/>
  <c r="S122" i="285"/>
  <c r="G10" i="290"/>
  <c r="K10" i="290"/>
  <c r="O10" i="290"/>
  <c r="S10" i="290"/>
  <c r="F9" i="280"/>
  <c r="J9" i="280"/>
  <c r="N9" i="280"/>
  <c r="R9" i="280"/>
  <c r="F103" i="289"/>
  <c r="J103" i="289"/>
  <c r="N103" i="289"/>
  <c r="R103" i="289"/>
  <c r="E11" i="286"/>
  <c r="I11" i="286"/>
  <c r="Q11" i="286"/>
  <c r="E19" i="280"/>
  <c r="I19" i="280"/>
  <c r="Q19" i="280"/>
  <c r="E46" i="280"/>
  <c r="I46" i="280"/>
  <c r="Q46" i="280"/>
  <c r="E58" i="284"/>
  <c r="I58" i="284"/>
  <c r="Q58" i="284"/>
  <c r="E123" i="285"/>
  <c r="I123" i="285"/>
  <c r="Q123" i="285"/>
  <c r="E124" i="285"/>
  <c r="I124" i="285"/>
  <c r="Q124" i="285"/>
  <c r="E39" i="281"/>
  <c r="I39" i="281"/>
  <c r="Q39" i="281"/>
  <c r="E104" i="289"/>
  <c r="I104" i="289"/>
  <c r="Q104" i="289"/>
  <c r="E12" i="280"/>
  <c r="I12" i="280"/>
  <c r="Q12" i="280"/>
  <c r="E94" i="278"/>
  <c r="N94" i="278"/>
  <c r="R94" i="278"/>
  <c r="F50" i="280"/>
  <c r="J50" i="280"/>
  <c r="O50" i="280"/>
  <c r="S50" i="280"/>
  <c r="G40" i="281"/>
  <c r="K40" i="281"/>
  <c r="L40" i="281"/>
  <c r="O56" i="282"/>
  <c r="S56" i="282"/>
  <c r="G19" i="287"/>
  <c r="K19" i="287"/>
  <c r="L19" i="287"/>
  <c r="N126" i="285"/>
  <c r="R126" i="285"/>
  <c r="F41" i="283"/>
  <c r="J41" i="283"/>
  <c r="O127" i="285"/>
  <c r="S127" i="285"/>
  <c r="G128" i="285"/>
  <c r="K128" i="285"/>
  <c r="L128" i="285"/>
  <c r="K50" i="280"/>
  <c r="L50" i="280"/>
  <c r="K56" i="282"/>
  <c r="L56" i="282"/>
  <c r="K127" i="285"/>
  <c r="L127" i="285"/>
  <c r="P18" i="281"/>
  <c r="T18" i="281"/>
  <c r="H56" i="282"/>
  <c r="P56" i="282"/>
  <c r="T56" i="282"/>
  <c r="H19" i="287"/>
  <c r="P19" i="287"/>
  <c r="T19" i="287"/>
  <c r="H60" i="284"/>
  <c r="P60" i="284"/>
  <c r="T60" i="284"/>
  <c r="G126" i="285"/>
  <c r="K126" i="285"/>
  <c r="O126" i="285"/>
  <c r="S126" i="285"/>
  <c r="G41" i="283"/>
  <c r="K41" i="283"/>
  <c r="O41" i="283"/>
  <c r="S41" i="283"/>
  <c r="F61" i="284"/>
  <c r="J61" i="284"/>
  <c r="N61" i="284"/>
  <c r="R61" i="284"/>
  <c r="F57" i="282"/>
  <c r="J57" i="282"/>
  <c r="N57" i="282"/>
  <c r="R57" i="282"/>
  <c r="E105" i="289"/>
  <c r="I105" i="289"/>
  <c r="Q105" i="289"/>
  <c r="H24" i="286"/>
  <c r="P24" i="286"/>
  <c r="T24" i="286"/>
  <c r="H11" i="290"/>
  <c r="P11" i="290"/>
  <c r="T11" i="290"/>
  <c r="H127" i="285"/>
  <c r="P127" i="285"/>
  <c r="T127" i="285"/>
  <c r="H128" i="285"/>
  <c r="P128" i="285"/>
  <c r="T128" i="285"/>
  <c r="H129" i="285"/>
  <c r="H94" i="278"/>
  <c r="P94" i="278"/>
  <c r="T94" i="278"/>
  <c r="H50" i="280"/>
  <c r="P50" i="280"/>
  <c r="T50" i="280"/>
  <c r="H40" i="281"/>
  <c r="P40" i="281"/>
  <c r="T40" i="281"/>
  <c r="G20" i="280"/>
  <c r="K20" i="280"/>
  <c r="O20" i="280"/>
  <c r="S20" i="280"/>
  <c r="G39" i="283"/>
  <c r="K39" i="283"/>
  <c r="O39" i="283"/>
  <c r="S39" i="283"/>
  <c r="G51" i="281"/>
  <c r="K51" i="281"/>
  <c r="O51" i="281"/>
  <c r="S51" i="281"/>
  <c r="G26" i="280"/>
  <c r="K26" i="280"/>
  <c r="O26" i="280"/>
  <c r="S26" i="280"/>
  <c r="G12" i="277"/>
  <c r="K12" i="277"/>
  <c r="O12" i="277"/>
  <c r="S12" i="277"/>
  <c r="F15" i="286"/>
  <c r="J15" i="286"/>
  <c r="N15" i="286"/>
  <c r="R15" i="286"/>
  <c r="F59" i="284"/>
  <c r="J59" i="284"/>
  <c r="N59" i="284"/>
  <c r="R59" i="284"/>
  <c r="F125" i="285"/>
  <c r="J125" i="285"/>
  <c r="N125" i="285"/>
  <c r="R125" i="285"/>
  <c r="F40" i="283"/>
  <c r="J40" i="283"/>
  <c r="N40" i="283"/>
  <c r="R40" i="283"/>
  <c r="E18" i="281"/>
  <c r="I18" i="281"/>
  <c r="Q18" i="281"/>
  <c r="E56" i="282"/>
  <c r="I56" i="282"/>
  <c r="Q56" i="282"/>
  <c r="E19" i="287"/>
  <c r="I19" i="287"/>
  <c r="Q19" i="287"/>
  <c r="E60" i="284"/>
  <c r="I60" i="284"/>
  <c r="Q60" i="284"/>
  <c r="H126" i="285"/>
  <c r="L126" i="285"/>
  <c r="P126" i="285"/>
  <c r="T126" i="285"/>
  <c r="H41" i="283"/>
  <c r="L41" i="283"/>
  <c r="P41" i="283"/>
  <c r="T41" i="283"/>
  <c r="G61" i="284"/>
  <c r="K61" i="284"/>
  <c r="O61" i="284"/>
  <c r="S61" i="284"/>
  <c r="G57" i="282"/>
  <c r="K57" i="282"/>
  <c r="O57" i="282"/>
  <c r="S57" i="282"/>
  <c r="F105" i="289"/>
  <c r="J105" i="289"/>
  <c r="N105" i="289"/>
  <c r="R105" i="289"/>
  <c r="E24" i="286"/>
  <c r="I24" i="286"/>
  <c r="Q24" i="286"/>
  <c r="E11" i="290"/>
  <c r="I11" i="290"/>
  <c r="O129" i="285"/>
  <c r="S129" i="285"/>
  <c r="G106" i="289"/>
  <c r="K106" i="289"/>
  <c r="O106" i="289"/>
  <c r="S106" i="289"/>
  <c r="G130" i="285"/>
  <c r="K130" i="285"/>
  <c r="O130" i="285"/>
  <c r="S130" i="285"/>
  <c r="G58" i="282"/>
  <c r="K58" i="282"/>
  <c r="O58" i="282"/>
  <c r="S58" i="282"/>
  <c r="G21" i="277"/>
  <c r="K21" i="277"/>
  <c r="O21" i="277"/>
  <c r="S21" i="277"/>
  <c r="G20" i="287"/>
  <c r="K20" i="287"/>
  <c r="O20" i="287"/>
  <c r="S20" i="287"/>
  <c r="G131" i="285"/>
  <c r="K131" i="285"/>
  <c r="O131" i="285"/>
  <c r="S131" i="285"/>
  <c r="G62" i="284"/>
  <c r="K62" i="284"/>
  <c r="O62" i="284"/>
  <c r="S62" i="284"/>
  <c r="G29" i="281"/>
  <c r="K29" i="281"/>
  <c r="O29" i="281"/>
  <c r="S29" i="281"/>
  <c r="G42" i="283"/>
  <c r="K42" i="283"/>
  <c r="O42" i="283"/>
  <c r="S42" i="283"/>
  <c r="G21" i="287"/>
  <c r="K21" i="287"/>
  <c r="O21" i="287"/>
  <c r="S21" i="287"/>
  <c r="G59" i="282"/>
  <c r="K59" i="282"/>
  <c r="O59" i="282"/>
  <c r="S59" i="282"/>
  <c r="G11" i="288"/>
  <c r="K11" i="288"/>
  <c r="O11" i="288"/>
  <c r="S11" i="288"/>
  <c r="G7" i="288"/>
  <c r="K7" i="288"/>
  <c r="O7" i="288"/>
  <c r="S7" i="288"/>
  <c r="G63" i="284"/>
  <c r="K63" i="284"/>
  <c r="O63" i="284"/>
  <c r="S63" i="284"/>
  <c r="G26" i="287"/>
  <c r="K26" i="287"/>
  <c r="O26" i="287"/>
  <c r="S26" i="287"/>
  <c r="G132" i="285"/>
  <c r="K132" i="285"/>
  <c r="O132" i="285"/>
  <c r="S132" i="285"/>
  <c r="G16" i="287"/>
  <c r="K16" i="287"/>
  <c r="O16" i="287"/>
  <c r="S16" i="287"/>
  <c r="G12" i="279"/>
  <c r="K12" i="279"/>
  <c r="O12" i="279"/>
  <c r="S12" i="279"/>
  <c r="G7" i="286"/>
  <c r="K7" i="286"/>
  <c r="O7" i="286"/>
  <c r="S7" i="286"/>
  <c r="F107" i="289"/>
  <c r="J107" i="289"/>
  <c r="O107" i="289"/>
  <c r="S107" i="289"/>
  <c r="G43" i="283"/>
  <c r="K43" i="283"/>
  <c r="L43" i="283"/>
  <c r="P43" i="283"/>
  <c r="T43" i="283"/>
  <c r="Q11" i="290"/>
  <c r="E127" i="285"/>
  <c r="I127" i="285"/>
  <c r="Q127" i="285"/>
  <c r="E128" i="285"/>
  <c r="I128" i="285"/>
  <c r="Q128" i="285"/>
  <c r="E129" i="285"/>
  <c r="I129" i="285"/>
  <c r="Q129" i="285"/>
  <c r="E106" i="289"/>
  <c r="I106" i="289"/>
  <c r="Q106" i="289"/>
  <c r="E130" i="285"/>
  <c r="I130" i="285"/>
  <c r="Q130" i="285"/>
  <c r="E58" i="282"/>
  <c r="I58" i="282"/>
  <c r="Q58" i="282"/>
  <c r="E21" i="277"/>
  <c r="I21" i="277"/>
  <c r="Q21" i="277"/>
  <c r="E20" i="287"/>
  <c r="I20" i="287"/>
  <c r="Q20" i="287"/>
  <c r="E131" i="285"/>
  <c r="I131" i="285"/>
  <c r="Q131" i="285"/>
  <c r="E62" i="284"/>
  <c r="I62" i="284"/>
  <c r="Q62" i="284"/>
  <c r="E29" i="281"/>
  <c r="I29" i="281"/>
  <c r="Q29" i="281"/>
  <c r="E42" i="283"/>
  <c r="I42" i="283"/>
  <c r="Q42" i="283"/>
  <c r="E21" i="287"/>
  <c r="I21" i="287"/>
  <c r="Q21" i="287"/>
  <c r="E59" i="282"/>
  <c r="I59" i="282"/>
  <c r="Q59" i="282"/>
  <c r="E11" i="288"/>
  <c r="I11" i="288"/>
  <c r="Q11" i="288"/>
  <c r="E7" i="288"/>
  <c r="I7" i="288"/>
  <c r="Q7" i="288"/>
  <c r="E63" i="284"/>
  <c r="I63" i="284"/>
  <c r="Q63" i="284"/>
  <c r="E26" i="287"/>
  <c r="I26" i="287"/>
  <c r="Q26" i="287"/>
  <c r="E132" i="285"/>
  <c r="I132" i="285"/>
  <c r="Q132" i="285"/>
  <c r="E16" i="287"/>
  <c r="I16" i="287"/>
  <c r="Q16" i="287"/>
  <c r="E12" i="279"/>
  <c r="I12" i="279"/>
  <c r="Q12" i="279"/>
  <c r="E7" i="286"/>
  <c r="I7" i="286"/>
  <c r="Q7" i="286"/>
  <c r="H107" i="289"/>
  <c r="Q107" i="289"/>
  <c r="E43" i="283"/>
  <c r="I43" i="283"/>
  <c r="N43" i="283"/>
  <c r="R43" i="283"/>
  <c r="L107" i="289"/>
  <c r="E57" i="303"/>
  <c r="F57" i="303" s="1"/>
  <c r="G57" i="303" s="1"/>
  <c r="B22" i="295"/>
  <c r="B6" i="295" s="1"/>
  <c r="J19" i="299"/>
  <c r="E20" i="299"/>
  <c r="Y20" i="299"/>
  <c r="T21" i="299"/>
  <c r="G22" i="295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P4" i="289"/>
  <c r="P21" i="279"/>
  <c r="P4" i="278"/>
  <c r="N26" i="277"/>
  <c r="P8" i="286"/>
  <c r="P4" i="282"/>
  <c r="R21" i="280"/>
  <c r="P16" i="288"/>
  <c r="M4" i="285"/>
  <c r="Q4" i="285"/>
  <c r="M4" i="282"/>
  <c r="M4" i="278"/>
  <c r="Q4" i="278"/>
  <c r="P31" i="291"/>
  <c r="P52" i="281"/>
  <c r="R26" i="277"/>
  <c r="N27" i="287"/>
  <c r="M4" i="284"/>
  <c r="Q4" i="284"/>
  <c r="Q4" i="282"/>
  <c r="M21" i="279"/>
  <c r="Q21" i="279"/>
  <c r="M26" i="290"/>
  <c r="O21" i="280"/>
  <c r="S21" i="280"/>
  <c r="Q16" i="288"/>
  <c r="M8" i="286"/>
  <c r="Q8" i="286"/>
  <c r="N4" i="284"/>
  <c r="R4" i="284"/>
  <c r="N4" i="289"/>
  <c r="R4" i="289"/>
  <c r="N4" i="285"/>
  <c r="R4" i="285"/>
  <c r="N4" i="282"/>
  <c r="R4" i="282"/>
  <c r="N21" i="279"/>
  <c r="R21" i="279"/>
  <c r="N26" i="290"/>
  <c r="R26" i="290"/>
  <c r="N4" i="278"/>
  <c r="R4" i="278"/>
  <c r="N52" i="281"/>
  <c r="R52" i="281"/>
  <c r="M31" i="291"/>
  <c r="Q31" i="291"/>
  <c r="P26" i="277"/>
  <c r="P21" i="280"/>
  <c r="N16" i="288"/>
  <c r="R16" i="288"/>
  <c r="N8" i="286"/>
  <c r="R8" i="286"/>
  <c r="P27" i="287"/>
  <c r="P4" i="284"/>
  <c r="P4" i="285"/>
  <c r="P26" i="290"/>
  <c r="O31" i="291"/>
  <c r="S31" i="291"/>
  <c r="N21" i="280"/>
  <c r="R27" i="287"/>
  <c r="M4" i="289"/>
  <c r="Q4" i="289"/>
  <c r="Q26" i="290"/>
  <c r="M52" i="281"/>
  <c r="Q52" i="281"/>
  <c r="O26" i="277"/>
  <c r="S26" i="277"/>
  <c r="M16" i="288"/>
  <c r="O27" i="287"/>
  <c r="S27" i="287"/>
  <c r="O4" i="284"/>
  <c r="S4" i="284"/>
  <c r="O4" i="289"/>
  <c r="S4" i="289"/>
  <c r="U10" i="25"/>
  <c r="O4" i="285"/>
  <c r="S4" i="285"/>
  <c r="O4" i="282"/>
  <c r="S4" i="282"/>
  <c r="O21" i="279"/>
  <c r="S21" i="279"/>
  <c r="O26" i="290"/>
  <c r="S26" i="290"/>
  <c r="O4" i="278"/>
  <c r="S4" i="278"/>
  <c r="O52" i="281"/>
  <c r="S52" i="281"/>
  <c r="N31" i="291"/>
  <c r="R31" i="291"/>
  <c r="M26" i="277"/>
  <c r="Q26" i="277"/>
  <c r="M21" i="280"/>
  <c r="Q21" i="280"/>
  <c r="O16" i="288"/>
  <c r="S16" i="288"/>
  <c r="O8" i="286"/>
  <c r="S8" i="286"/>
  <c r="M27" i="287"/>
  <c r="Q27" i="287"/>
  <c r="K4" i="285"/>
  <c r="G4" i="278"/>
  <c r="K4" i="278"/>
  <c r="F6" i="278"/>
  <c r="I27" i="287"/>
  <c r="D21" i="313"/>
  <c r="F39" i="280"/>
  <c r="H4" i="284"/>
  <c r="G31" i="291"/>
  <c r="K31" i="291"/>
  <c r="F12" i="290"/>
  <c r="J26" i="277"/>
  <c r="D8" i="286"/>
  <c r="H8" i="286"/>
  <c r="F5" i="289"/>
  <c r="F27" i="287"/>
  <c r="J27" i="287"/>
  <c r="F13" i="277"/>
  <c r="F13" i="284"/>
  <c r="F8" i="285"/>
  <c r="F41" i="281"/>
  <c r="F12" i="289"/>
  <c r="F18" i="285"/>
  <c r="F4" i="287"/>
  <c r="F16" i="289"/>
  <c r="F19" i="278"/>
  <c r="F18" i="289"/>
  <c r="F17" i="280"/>
  <c r="F15" i="282"/>
  <c r="F18" i="284"/>
  <c r="F31" i="285"/>
  <c r="F19" i="281"/>
  <c r="F35" i="289"/>
  <c r="F20" i="282"/>
  <c r="F45" i="285"/>
  <c r="F13" i="283"/>
  <c r="F42" i="289"/>
  <c r="F22" i="281"/>
  <c r="F16" i="283"/>
  <c r="F27" i="284"/>
  <c r="F33" i="284"/>
  <c r="F65" i="289"/>
  <c r="F12" i="286"/>
  <c r="F4" i="280"/>
  <c r="F52" i="280"/>
  <c r="F26" i="283"/>
  <c r="K26" i="290"/>
  <c r="F7" i="282"/>
  <c r="I26" i="277"/>
  <c r="D18" i="313"/>
  <c r="G16" i="288"/>
  <c r="K16" i="288"/>
  <c r="F9" i="277"/>
  <c r="F11" i="289"/>
  <c r="F17" i="285"/>
  <c r="F15" i="284"/>
  <c r="F18" i="278"/>
  <c r="F17" i="284"/>
  <c r="F8" i="283"/>
  <c r="F8" i="287"/>
  <c r="D4" i="284"/>
  <c r="H4" i="289"/>
  <c r="D21" i="279"/>
  <c r="H21" i="279"/>
  <c r="D4" i="278"/>
  <c r="D52" i="281"/>
  <c r="F26" i="277"/>
  <c r="F7" i="284"/>
  <c r="F29" i="290"/>
  <c r="D16" i="288"/>
  <c r="F4" i="277"/>
  <c r="D19" i="313"/>
  <c r="I4" i="289"/>
  <c r="D10" i="313"/>
  <c r="I21" i="279"/>
  <c r="D12" i="313"/>
  <c r="I4" i="278"/>
  <c r="D6" i="313"/>
  <c r="G26" i="277"/>
  <c r="K26" i="277"/>
  <c r="I16" i="288"/>
  <c r="D15" i="313"/>
  <c r="F10" i="278"/>
  <c r="F5" i="283"/>
  <c r="F27" i="280"/>
  <c r="F8" i="291"/>
  <c r="F12" i="288"/>
  <c r="F9" i="285"/>
  <c r="F10" i="285"/>
  <c r="F11" i="285"/>
  <c r="F9" i="289"/>
  <c r="F13" i="278"/>
  <c r="F12" i="285"/>
  <c r="F10" i="289"/>
  <c r="F13" i="285"/>
  <c r="F8" i="282"/>
  <c r="F9" i="282"/>
  <c r="F14" i="285"/>
  <c r="F14" i="289"/>
  <c r="F7" i="283"/>
  <c r="F23" i="287"/>
  <c r="F11" i="282"/>
  <c r="F20" i="278"/>
  <c r="F4" i="279"/>
  <c r="F34" i="281"/>
  <c r="F23" i="289"/>
  <c r="F19" i="284"/>
  <c r="F39" i="285"/>
  <c r="F12" i="283"/>
  <c r="F30" i="278"/>
  <c r="F36" i="289"/>
  <c r="F14" i="283"/>
  <c r="F38" i="289"/>
  <c r="F51" i="285"/>
  <c r="F35" i="278"/>
  <c r="F18" i="286"/>
  <c r="F36" i="278"/>
  <c r="F47" i="289"/>
  <c r="F8" i="281"/>
  <c r="F61" i="281"/>
  <c r="F4" i="288"/>
  <c r="F24" i="280"/>
  <c r="F48" i="278"/>
  <c r="F22" i="286"/>
  <c r="F25" i="286"/>
  <c r="F34" i="290"/>
  <c r="F102" i="285"/>
  <c r="F108" i="285"/>
  <c r="K4" i="289"/>
  <c r="G4" i="285"/>
  <c r="G4" i="282"/>
  <c r="G21" i="279"/>
  <c r="K21" i="279"/>
  <c r="F11" i="291"/>
  <c r="F15" i="291"/>
  <c r="F27" i="286"/>
  <c r="F17" i="277"/>
  <c r="D4" i="289"/>
  <c r="D4" i="285"/>
  <c r="H4" i="285"/>
  <c r="D4" i="282"/>
  <c r="H4" i="282"/>
  <c r="D26" i="290"/>
  <c r="H26" i="290"/>
  <c r="H52" i="281"/>
  <c r="F21" i="280"/>
  <c r="J21" i="280"/>
  <c r="F27" i="291"/>
  <c r="H16" i="288"/>
  <c r="F4" i="286"/>
  <c r="F9" i="278"/>
  <c r="F14" i="278"/>
  <c r="F15" i="278"/>
  <c r="I4" i="284"/>
  <c r="D8" i="313"/>
  <c r="I4" i="285"/>
  <c r="D9" i="313"/>
  <c r="I4" i="282"/>
  <c r="D7" i="313"/>
  <c r="I26" i="290"/>
  <c r="D22" i="313"/>
  <c r="I52" i="281"/>
  <c r="D14" i="313"/>
  <c r="D31" i="291"/>
  <c r="H31" i="291"/>
  <c r="G21" i="280"/>
  <c r="K21" i="280"/>
  <c r="F4" i="281"/>
  <c r="F48" i="281"/>
  <c r="F16" i="279"/>
  <c r="F8" i="284"/>
  <c r="I8" i="286"/>
  <c r="D20" i="313"/>
  <c r="G27" i="287"/>
  <c r="K27" i="287"/>
  <c r="F43" i="280"/>
  <c r="F6" i="285"/>
  <c r="F56" i="281"/>
  <c r="F31" i="280"/>
  <c r="F44" i="281"/>
  <c r="F13" i="279"/>
  <c r="F26" i="279"/>
  <c r="F8" i="288"/>
  <c r="F4" i="291"/>
  <c r="F4" i="284"/>
  <c r="J4" i="284"/>
  <c r="F4" i="289"/>
  <c r="J4" i="289"/>
  <c r="F4" i="285"/>
  <c r="J4" i="285"/>
  <c r="F4" i="282"/>
  <c r="J4" i="282"/>
  <c r="F5" i="285"/>
  <c r="F5" i="282"/>
  <c r="F21" i="279"/>
  <c r="J21" i="279"/>
  <c r="F26" i="290"/>
  <c r="J26" i="290"/>
  <c r="J4" i="278"/>
  <c r="F5" i="284"/>
  <c r="F52" i="281"/>
  <c r="J52" i="281"/>
  <c r="F5" i="278"/>
  <c r="F31" i="279"/>
  <c r="F21" i="290"/>
  <c r="I31" i="291"/>
  <c r="D16" i="313"/>
  <c r="D26" i="277"/>
  <c r="H26" i="277"/>
  <c r="D21" i="280"/>
  <c r="H21" i="280"/>
  <c r="F7" i="278"/>
  <c r="F11" i="284"/>
  <c r="F12" i="284"/>
  <c r="F16" i="288"/>
  <c r="J16" i="288"/>
  <c r="F19" i="291"/>
  <c r="F31" i="288"/>
  <c r="F8" i="286"/>
  <c r="J8" i="286"/>
  <c r="F23" i="291"/>
  <c r="F9" i="279"/>
  <c r="D27" i="287"/>
  <c r="H27" i="287"/>
  <c r="F26" i="281"/>
  <c r="F24" i="288"/>
  <c r="F22" i="277"/>
  <c r="F7" i="289"/>
  <c r="F30" i="281"/>
  <c r="F7" i="285"/>
  <c r="F17" i="290"/>
  <c r="F13" i="280"/>
  <c r="F28" i="288"/>
  <c r="F16" i="285"/>
  <c r="F15" i="289"/>
  <c r="F36" i="288"/>
  <c r="F16" i="278"/>
  <c r="F10" i="282"/>
  <c r="F19" i="285"/>
  <c r="F20" i="285"/>
  <c r="F17" i="289"/>
  <c r="F26" i="285"/>
  <c r="F21" i="278"/>
  <c r="F20" i="289"/>
  <c r="F16" i="282"/>
  <c r="F17" i="282"/>
  <c r="F22" i="289"/>
  <c r="F10" i="283"/>
  <c r="F20" i="284"/>
  <c r="F21" i="284"/>
  <c r="F31" i="289"/>
  <c r="F32" i="289"/>
  <c r="F16" i="286"/>
  <c r="F8" i="290"/>
  <c r="F10" i="280"/>
  <c r="F24" i="282"/>
  <c r="F4" i="290"/>
  <c r="F39" i="278"/>
  <c r="F25" i="282"/>
  <c r="F61" i="285"/>
  <c r="F19" i="283"/>
  <c r="F75" i="289"/>
  <c r="F13" i="287"/>
  <c r="F38" i="288"/>
  <c r="F92" i="285"/>
  <c r="F33" i="283"/>
  <c r="G4" i="284"/>
  <c r="K4" i="284"/>
  <c r="G4" i="289"/>
  <c r="K4" i="282"/>
  <c r="G52" i="281"/>
  <c r="K52" i="281"/>
  <c r="F31" i="291"/>
  <c r="J31" i="291"/>
  <c r="I21" i="280"/>
  <c r="D13" i="313"/>
  <c r="G8" i="286"/>
  <c r="K8" i="286"/>
  <c r="F22" i="285"/>
  <c r="F37" i="281"/>
  <c r="F23" i="278"/>
  <c r="F24" i="289"/>
  <c r="F33" i="285"/>
  <c r="F12" i="281"/>
  <c r="F35" i="285"/>
  <c r="F18" i="282"/>
  <c r="F11" i="283"/>
  <c r="F36" i="285"/>
  <c r="F26" i="278"/>
  <c r="F28" i="289"/>
  <c r="F43" i="285"/>
  <c r="F37" i="289"/>
  <c r="F15" i="283"/>
  <c r="F17" i="287"/>
  <c r="F49" i="285"/>
  <c r="F53" i="289"/>
  <c r="F56" i="285"/>
  <c r="F30" i="284"/>
  <c r="F21" i="288"/>
  <c r="F62" i="289"/>
  <c r="F65" i="285"/>
  <c r="F42" i="278"/>
  <c r="F47" i="280"/>
  <c r="F27" i="282"/>
  <c r="F39" i="284"/>
  <c r="F36" i="280"/>
  <c r="F16" i="281"/>
  <c r="P4" i="283"/>
  <c r="N4" i="283"/>
  <c r="R4" i="283"/>
  <c r="O4" i="283"/>
  <c r="S4" i="283"/>
  <c r="M4" i="283"/>
  <c r="Q4" i="283"/>
  <c r="D4" i="283"/>
  <c r="H4" i="283"/>
  <c r="G4" i="283"/>
  <c r="E4" i="283"/>
  <c r="J4" i="283"/>
  <c r="K4" i="283"/>
  <c r="D43" i="28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172" i="303"/>
  <c r="M172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G26" i="290"/>
  <c r="F4" i="278"/>
  <c r="T15" i="298"/>
  <c r="M6" i="296"/>
  <c r="M11" i="296" s="1"/>
  <c r="L172" i="303"/>
  <c r="K6" i="296"/>
  <c r="J172" i="303"/>
  <c r="P6" i="296"/>
  <c r="P11" i="296" s="1"/>
  <c r="N172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172" i="303"/>
  <c r="Q6" i="296"/>
  <c r="Q11" i="296" s="1"/>
  <c r="O172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172" i="303"/>
  <c r="D28" i="303"/>
  <c r="E28" i="303" s="1"/>
  <c r="E172" i="303"/>
  <c r="F172" i="303"/>
  <c r="H4" i="278"/>
  <c r="E55" i="303"/>
  <c r="F55" i="303" s="1"/>
  <c r="G55" i="303" s="1"/>
  <c r="H55" i="303" s="1"/>
  <c r="I55" i="303" s="1"/>
  <c r="J55" i="303" s="1"/>
  <c r="K55" i="303" s="1"/>
  <c r="L55" i="303" s="1"/>
  <c r="M55" i="303" s="1"/>
  <c r="N55" i="303" s="1"/>
  <c r="O55" i="303" s="1"/>
  <c r="B4" i="282"/>
  <c r="J10" i="298"/>
  <c r="U10" i="298"/>
  <c r="V8" i="278"/>
  <c r="G128" i="296"/>
  <c r="F142" i="296" s="1"/>
  <c r="V73" i="289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67" i="303"/>
  <c r="D82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42" i="78"/>
  <c r="N54" i="78"/>
  <c r="N11" i="79"/>
  <c r="N37" i="79"/>
  <c r="N71" i="79"/>
  <c r="N73" i="79"/>
  <c r="N75" i="79"/>
  <c r="N77" i="79"/>
  <c r="N81" i="79"/>
  <c r="D81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83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196" i="78"/>
  <c r="N198" i="78"/>
  <c r="N200" i="78"/>
  <c r="N202" i="78"/>
  <c r="N204" i="78"/>
  <c r="N208" i="78"/>
  <c r="N85" i="79"/>
  <c r="N93" i="79"/>
  <c r="N101" i="79"/>
  <c r="N103" i="79"/>
  <c r="N105" i="79"/>
  <c r="N107" i="79"/>
  <c r="N109" i="79"/>
  <c r="N111" i="79"/>
  <c r="N113" i="79"/>
  <c r="N115" i="79"/>
  <c r="N117" i="79"/>
  <c r="N119" i="79"/>
  <c r="N121" i="79"/>
  <c r="N123" i="79"/>
  <c r="N125" i="79"/>
  <c r="N127" i="79"/>
  <c r="N129" i="79"/>
  <c r="N131" i="79"/>
  <c r="N133" i="79"/>
  <c r="N135" i="79"/>
  <c r="N137" i="79"/>
  <c r="N139" i="79"/>
  <c r="N141" i="79"/>
  <c r="N143" i="79"/>
  <c r="N145" i="79"/>
  <c r="N149" i="79"/>
  <c r="N153" i="79"/>
  <c r="N155" i="79"/>
  <c r="N157" i="79"/>
  <c r="N159" i="79"/>
  <c r="N161" i="79"/>
  <c r="N165" i="79"/>
  <c r="N169" i="79"/>
  <c r="I8" i="295"/>
  <c r="I12" i="295"/>
  <c r="E10" i="303"/>
  <c r="E67" i="303" s="1"/>
  <c r="D71" i="303"/>
  <c r="D74" i="303"/>
  <c r="D77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75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66" i="303"/>
  <c r="D69" i="303"/>
  <c r="E75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4" i="193"/>
  <c r="T5" i="193"/>
  <c r="T3" i="194"/>
  <c r="T4" i="194"/>
  <c r="T3" i="195"/>
  <c r="T4" i="195"/>
  <c r="T5" i="195"/>
  <c r="T4" i="254"/>
  <c r="T6" i="254"/>
  <c r="T4" i="255"/>
  <c r="T4" i="256"/>
  <c r="T3" i="258"/>
  <c r="T5" i="258"/>
  <c r="T4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7" i="273"/>
  <c r="T3" i="274"/>
  <c r="T4" i="274"/>
  <c r="T5" i="274"/>
  <c r="T6" i="274"/>
  <c r="T7" i="274"/>
  <c r="T3" i="275"/>
  <c r="T4" i="275"/>
  <c r="T5" i="275"/>
  <c r="T3" i="276"/>
  <c r="T4" i="276"/>
  <c r="T5" i="276"/>
  <c r="M90" i="80"/>
  <c r="M94" i="80"/>
  <c r="M98" i="80"/>
  <c r="M102" i="80"/>
  <c r="M115" i="80"/>
  <c r="M119" i="80"/>
  <c r="M123" i="80"/>
  <c r="M127" i="80"/>
  <c r="M131" i="80"/>
  <c r="M135" i="80"/>
  <c r="M147" i="80"/>
  <c r="M166" i="80"/>
  <c r="M179" i="80"/>
  <c r="M183" i="80"/>
  <c r="M187" i="80"/>
  <c r="M191" i="80"/>
  <c r="M195" i="80"/>
  <c r="M199" i="80"/>
  <c r="M203" i="80"/>
  <c r="M207" i="80"/>
  <c r="M211" i="80"/>
  <c r="M18" i="81"/>
  <c r="M30" i="81"/>
  <c r="M102" i="81"/>
  <c r="N3" i="78"/>
  <c r="N31" i="78"/>
  <c r="N183" i="78"/>
  <c r="N195" i="78"/>
  <c r="K3" i="254"/>
  <c r="M6" i="80"/>
  <c r="M10" i="80"/>
  <c r="M15" i="80"/>
  <c r="M19" i="80"/>
  <c r="M36" i="80"/>
  <c r="M73" i="80"/>
  <c r="M77" i="80"/>
  <c r="M81" i="80"/>
  <c r="M85" i="80"/>
  <c r="K3" i="260"/>
  <c r="K3" i="261"/>
  <c r="K3" i="263"/>
  <c r="N2" i="78"/>
  <c r="M2" i="80"/>
  <c r="N11" i="78"/>
  <c r="N15" i="78"/>
  <c r="N19" i="78"/>
  <c r="N23" i="78"/>
  <c r="N27" i="78"/>
  <c r="N57" i="78"/>
  <c r="N61" i="78"/>
  <c r="N63" i="78"/>
  <c r="T3" i="253"/>
  <c r="T6" i="253"/>
  <c r="K3" i="256"/>
  <c r="K4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7" i="273"/>
  <c r="K3" i="274"/>
  <c r="K4" i="274"/>
  <c r="K5" i="274"/>
  <c r="K6" i="274"/>
  <c r="K7" i="274"/>
  <c r="K3" i="275"/>
  <c r="K4" i="275"/>
  <c r="K5" i="275"/>
  <c r="K6" i="275"/>
  <c r="K3" i="276"/>
  <c r="K4" i="276"/>
  <c r="K5" i="276"/>
  <c r="K6" i="276"/>
  <c r="K7" i="276"/>
  <c r="N158" i="79"/>
  <c r="K3" i="253"/>
  <c r="M39" i="80"/>
  <c r="M60" i="80"/>
  <c r="M64" i="80"/>
  <c r="M68" i="80"/>
  <c r="M72" i="80"/>
  <c r="M84" i="80"/>
  <c r="M89" i="80"/>
  <c r="M101" i="80"/>
  <c r="M105" i="80"/>
  <c r="M110" i="80"/>
  <c r="M114" i="80"/>
  <c r="M134" i="80"/>
  <c r="M138" i="80"/>
  <c r="M142" i="80"/>
  <c r="M150" i="80"/>
  <c r="M158" i="80"/>
  <c r="N199" i="78"/>
  <c r="N72" i="79"/>
  <c r="N100" i="79"/>
  <c r="M7" i="80"/>
  <c r="M11" i="80"/>
  <c r="M24" i="80"/>
  <c r="M28" i="80"/>
  <c r="N40" i="78"/>
  <c r="N52" i="78"/>
  <c r="N153" i="78"/>
  <c r="N157" i="78"/>
  <c r="N169" i="78"/>
  <c r="N173" i="78"/>
  <c r="N69" i="79"/>
  <c r="M29" i="80"/>
  <c r="M34" i="80"/>
  <c r="M46" i="80"/>
  <c r="M48" i="80"/>
  <c r="M50" i="80"/>
  <c r="M54" i="80"/>
  <c r="M56" i="80"/>
  <c r="M109" i="80"/>
  <c r="M157" i="80"/>
  <c r="M161" i="80"/>
  <c r="M165" i="80"/>
  <c r="M169" i="80"/>
  <c r="M173" i="80"/>
  <c r="M212" i="80"/>
  <c r="M9" i="81"/>
  <c r="M41" i="81"/>
  <c r="M141" i="81"/>
  <c r="N35" i="78"/>
  <c r="N39" i="78"/>
  <c r="N43" i="78"/>
  <c r="N47" i="78"/>
  <c r="N55" i="78"/>
  <c r="N72" i="78"/>
  <c r="N74" i="78"/>
  <c r="N76" i="78"/>
  <c r="N78" i="78"/>
  <c r="N80" i="78"/>
  <c r="N82" i="78"/>
  <c r="N84" i="78"/>
  <c r="N86" i="78"/>
  <c r="N88" i="78"/>
  <c r="N90" i="78"/>
  <c r="N92" i="78"/>
  <c r="N94" i="78"/>
  <c r="N96" i="78"/>
  <c r="N98" i="78"/>
  <c r="N100" i="78"/>
  <c r="N102" i="78"/>
  <c r="N104" i="78"/>
  <c r="N106" i="78"/>
  <c r="N108" i="78"/>
  <c r="N110" i="78"/>
  <c r="N112" i="78"/>
  <c r="N114" i="78"/>
  <c r="N116" i="78"/>
  <c r="N118" i="78"/>
  <c r="N120" i="78"/>
  <c r="N122" i="78"/>
  <c r="N124" i="78"/>
  <c r="N126" i="78"/>
  <c r="N128" i="78"/>
  <c r="N130" i="78"/>
  <c r="N132" i="78"/>
  <c r="N134" i="78"/>
  <c r="N136" i="78"/>
  <c r="N138" i="78"/>
  <c r="N140" i="78"/>
  <c r="N144" i="78"/>
  <c r="N148" i="78"/>
  <c r="N150" i="78"/>
  <c r="N152" i="78"/>
  <c r="N154" i="78"/>
  <c r="N156" i="78"/>
  <c r="N160" i="78"/>
  <c r="N164" i="78"/>
  <c r="N180" i="78"/>
  <c r="N10" i="79"/>
  <c r="N14" i="79"/>
  <c r="N26" i="79"/>
  <c r="T5" i="68"/>
  <c r="T3" i="69"/>
  <c r="T5" i="69"/>
  <c r="T3" i="70"/>
  <c r="T5" i="70"/>
  <c r="T4" i="226"/>
  <c r="T5" i="226"/>
  <c r="T4" i="232"/>
  <c r="T3" i="233"/>
  <c r="T5" i="233"/>
  <c r="T6" i="252"/>
  <c r="M152" i="80"/>
  <c r="M156" i="80"/>
  <c r="M120" i="81"/>
  <c r="M124" i="81"/>
  <c r="M134" i="81"/>
  <c r="N5" i="78"/>
  <c r="N9" i="78"/>
  <c r="N13" i="78"/>
  <c r="N17" i="78"/>
  <c r="N21" i="78"/>
  <c r="N25" i="78"/>
  <c r="N29" i="78"/>
  <c r="N67" i="78"/>
  <c r="N71" i="78"/>
  <c r="N147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5" i="79"/>
  <c r="N7" i="79"/>
  <c r="N9" i="79"/>
  <c r="N13" i="79"/>
  <c r="N17" i="79"/>
  <c r="N21" i="79"/>
  <c r="N29" i="79"/>
  <c r="N46" i="79"/>
  <c r="N58" i="79"/>
  <c r="N104" i="79"/>
  <c r="N152" i="79"/>
  <c r="N206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7" i="192"/>
  <c r="K3" i="193"/>
  <c r="K5" i="193"/>
  <c r="K6" i="193"/>
  <c r="K4" i="194"/>
  <c r="K3" i="195"/>
  <c r="K5" i="195"/>
  <c r="K3" i="196"/>
  <c r="K6" i="68"/>
  <c r="K4" i="69"/>
  <c r="K6" i="69"/>
  <c r="K4" i="70"/>
  <c r="K6" i="70"/>
  <c r="K5" i="76"/>
  <c r="K3" i="77"/>
  <c r="K3" i="201"/>
  <c r="K5" i="201"/>
  <c r="K5" i="202"/>
  <c r="K4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4" i="79"/>
  <c r="N36" i="79"/>
  <c r="N39" i="79"/>
  <c r="N41" i="79"/>
  <c r="N43" i="79"/>
  <c r="N45" i="79"/>
  <c r="N49" i="79"/>
  <c r="N53" i="79"/>
  <c r="N61" i="79"/>
  <c r="N78" i="79"/>
  <c r="N90" i="79"/>
  <c r="N193" i="79"/>
  <c r="N197" i="79"/>
  <c r="N199" i="79"/>
  <c r="N201" i="79"/>
  <c r="N205" i="79"/>
  <c r="N207" i="79"/>
  <c r="T6" i="144"/>
  <c r="T3" i="145"/>
  <c r="T4" i="145"/>
  <c r="T5" i="145"/>
  <c r="T6" i="145"/>
  <c r="T3" i="146"/>
  <c r="T4" i="146"/>
  <c r="T5" i="146"/>
  <c r="T3" i="147"/>
  <c r="T4" i="147"/>
  <c r="T5" i="147"/>
  <c r="T6" i="147"/>
  <c r="T3" i="148"/>
  <c r="T4" i="148"/>
  <c r="T6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40" i="79"/>
  <c r="N68" i="79"/>
  <c r="N162" i="79"/>
  <c r="N196" i="79"/>
  <c r="T5" i="253"/>
  <c r="K3" i="214"/>
  <c r="K4" i="214"/>
  <c r="K5" i="214"/>
  <c r="K6" i="214"/>
  <c r="K3" i="217"/>
  <c r="K4" i="217"/>
  <c r="K5" i="217"/>
  <c r="K6" i="217"/>
  <c r="K3" i="218"/>
  <c r="K4" i="218"/>
  <c r="K5" i="218"/>
  <c r="K3" i="232"/>
  <c r="K5" i="232"/>
  <c r="K4" i="233"/>
  <c r="K5" i="235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6" i="251"/>
  <c r="K3" i="252"/>
  <c r="K4" i="252"/>
  <c r="K5" i="252"/>
  <c r="K6" i="252"/>
  <c r="K4" i="253"/>
  <c r="K5" i="253"/>
  <c r="D6" i="288"/>
  <c r="D28" i="279"/>
  <c r="D37" i="284"/>
  <c r="D77" i="289"/>
  <c r="D76" i="285"/>
  <c r="D59" i="278"/>
  <c r="D10" i="281"/>
  <c r="D41" i="284"/>
  <c r="D14" i="280"/>
  <c r="D44" i="284"/>
  <c r="D92" i="285"/>
  <c r="D6" i="290"/>
  <c r="D41" i="282"/>
  <c r="D44" i="282"/>
  <c r="D49" i="284"/>
  <c r="D108" i="285"/>
  <c r="D48" i="282"/>
  <c r="D113" i="285"/>
  <c r="D97" i="289"/>
  <c r="D5" i="288"/>
  <c r="D64" i="289"/>
  <c r="D69" i="285"/>
  <c r="D49" i="278"/>
  <c r="D55" i="278"/>
  <c r="D10" i="288"/>
  <c r="D62" i="281"/>
  <c r="D37" i="282"/>
  <c r="D12" i="287"/>
  <c r="D41" i="280"/>
  <c r="D111" i="285"/>
  <c r="D98" i="289"/>
  <c r="D24" i="277"/>
  <c r="D13" i="291"/>
  <c r="D24" i="280"/>
  <c r="D73" i="285"/>
  <c r="D13" i="287"/>
  <c r="D56" i="278"/>
  <c r="D23" i="283"/>
  <c r="D82" i="285"/>
  <c r="D20" i="290"/>
  <c r="D60" i="281"/>
  <c r="D6" i="287"/>
  <c r="D35" i="282"/>
  <c r="D30" i="283"/>
  <c r="D53" i="280"/>
  <c r="D97" i="285"/>
  <c r="D103" i="285"/>
  <c r="D106" i="285"/>
  <c r="D24" i="290"/>
  <c r="D50" i="284"/>
  <c r="D115" i="285"/>
  <c r="D9" i="287"/>
  <c r="D44" i="280"/>
  <c r="D66" i="289"/>
  <c r="D27" i="282"/>
  <c r="D75" i="285"/>
  <c r="D79" i="285"/>
  <c r="D87" i="289"/>
  <c r="D91" i="285"/>
  <c r="D40" i="282"/>
  <c r="D94" i="289"/>
  <c r="D26" i="286"/>
  <c r="D43" i="281"/>
  <c r="M5" i="80"/>
  <c r="M18" i="80"/>
  <c r="M23" i="80"/>
  <c r="M27" i="80"/>
  <c r="M32" i="80"/>
  <c r="M41" i="80"/>
  <c r="M45" i="80"/>
  <c r="M49" i="80"/>
  <c r="M79" i="80"/>
  <c r="M83" i="80"/>
  <c r="M88" i="80"/>
  <c r="M12" i="80"/>
  <c r="M17" i="80"/>
  <c r="M22" i="80"/>
  <c r="M35" i="80"/>
  <c r="M40" i="80"/>
  <c r="M44" i="80"/>
  <c r="M52" i="80"/>
  <c r="M74" i="80"/>
  <c r="M78" i="80"/>
  <c r="M103" i="80"/>
  <c r="M107" i="80"/>
  <c r="M113" i="80"/>
  <c r="M141" i="80"/>
  <c r="M146" i="80"/>
  <c r="M151" i="80"/>
  <c r="M172" i="80"/>
  <c r="M178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4" i="78"/>
  <c r="N6" i="78"/>
  <c r="N51" i="78"/>
  <c r="N56" i="78"/>
  <c r="N58" i="78"/>
  <c r="M55" i="80"/>
  <c r="M136" i="80"/>
  <c r="M140" i="80"/>
  <c r="M145" i="80"/>
  <c r="M154" i="80"/>
  <c r="M162" i="80"/>
  <c r="M167" i="80"/>
  <c r="M171" i="80"/>
  <c r="M177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7" i="78"/>
  <c r="N36" i="78"/>
  <c r="N38" i="78"/>
  <c r="N41" i="78"/>
  <c r="N45" i="78"/>
  <c r="N59" i="78"/>
  <c r="N68" i="78"/>
  <c r="N70" i="78"/>
  <c r="N73" i="78"/>
  <c r="N75" i="78"/>
  <c r="N77" i="78"/>
  <c r="N79" i="78"/>
  <c r="N81" i="78"/>
  <c r="N83" i="78"/>
  <c r="N85" i="78"/>
  <c r="N87" i="78"/>
  <c r="N89" i="78"/>
  <c r="N91" i="78"/>
  <c r="N93" i="78"/>
  <c r="N95" i="78"/>
  <c r="N97" i="78"/>
  <c r="N99" i="78"/>
  <c r="N101" i="78"/>
  <c r="N103" i="78"/>
  <c r="T5" i="170"/>
  <c r="T6" i="170"/>
  <c r="N151" i="78"/>
  <c r="N163" i="78"/>
  <c r="N166" i="78"/>
  <c r="N168" i="78"/>
  <c r="N170" i="78"/>
  <c r="N172" i="78"/>
  <c r="N176" i="78"/>
  <c r="N185" i="78"/>
  <c r="N189" i="78"/>
  <c r="N8" i="79"/>
  <c r="N20" i="79"/>
  <c r="N23" i="79"/>
  <c r="N25" i="79"/>
  <c r="N27" i="79"/>
  <c r="N30" i="79"/>
  <c r="N52" i="79"/>
  <c r="N55" i="79"/>
  <c r="N57" i="79"/>
  <c r="N59" i="79"/>
  <c r="N62" i="79"/>
  <c r="N84" i="79"/>
  <c r="N87" i="79"/>
  <c r="N89" i="79"/>
  <c r="N91" i="79"/>
  <c r="N94" i="79"/>
  <c r="N156" i="79"/>
  <c r="N168" i="79"/>
  <c r="N171" i="79"/>
  <c r="N173" i="79"/>
  <c r="N175" i="79"/>
  <c r="N177" i="79"/>
  <c r="N179" i="79"/>
  <c r="N181" i="79"/>
  <c r="N183" i="79"/>
  <c r="N185" i="79"/>
  <c r="N187" i="79"/>
  <c r="N189" i="79"/>
  <c r="N191" i="79"/>
  <c r="N195" i="79"/>
  <c r="N204" i="79"/>
  <c r="N105" i="78"/>
  <c r="N107" i="78"/>
  <c r="N109" i="78"/>
  <c r="N111" i="78"/>
  <c r="N113" i="78"/>
  <c r="N115" i="78"/>
  <c r="N117" i="78"/>
  <c r="N119" i="78"/>
  <c r="N121" i="78"/>
  <c r="N123" i="78"/>
  <c r="N125" i="78"/>
  <c r="N127" i="78"/>
  <c r="N129" i="78"/>
  <c r="N131" i="78"/>
  <c r="N133" i="78"/>
  <c r="N135" i="78"/>
  <c r="N137" i="78"/>
  <c r="N141" i="78"/>
  <c r="N167" i="78"/>
  <c r="N179" i="78"/>
  <c r="N182" i="78"/>
  <c r="N184" i="78"/>
  <c r="N186" i="78"/>
  <c r="N188" i="78"/>
  <c r="N192" i="78"/>
  <c r="N201" i="78"/>
  <c r="N205" i="78"/>
  <c r="N24" i="79"/>
  <c r="N33" i="79"/>
  <c r="N42" i="79"/>
  <c r="N56" i="79"/>
  <c r="N65" i="79"/>
  <c r="N74" i="79"/>
  <c r="N88" i="79"/>
  <c r="N97" i="79"/>
  <c r="N106" i="79"/>
  <c r="N110" i="79"/>
  <c r="N114" i="79"/>
  <c r="N118" i="79"/>
  <c r="N122" i="79"/>
  <c r="N126" i="79"/>
  <c r="N130" i="79"/>
  <c r="N134" i="79"/>
  <c r="N138" i="79"/>
  <c r="N142" i="79"/>
  <c r="N146" i="79"/>
  <c r="N172" i="79"/>
  <c r="N176" i="79"/>
  <c r="N180" i="79"/>
  <c r="N184" i="79"/>
  <c r="N186" i="79"/>
  <c r="N190" i="79"/>
  <c r="N198" i="79"/>
  <c r="N203" i="79"/>
  <c r="K6" i="144"/>
  <c r="K3" i="145"/>
  <c r="K4" i="145"/>
  <c r="K5" i="145"/>
  <c r="K6" i="145"/>
  <c r="K3" i="146"/>
  <c r="K4" i="146"/>
  <c r="K5" i="146"/>
  <c r="K3" i="147"/>
  <c r="K4" i="147"/>
  <c r="K5" i="147"/>
  <c r="K6" i="147"/>
  <c r="K3" i="148"/>
  <c r="K4" i="148"/>
  <c r="K6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7" i="192"/>
  <c r="T6" i="193"/>
  <c r="T3" i="196"/>
  <c r="T6" i="68"/>
  <c r="T4" i="69"/>
  <c r="T6" i="69"/>
  <c r="T4" i="70"/>
  <c r="T6" i="70"/>
  <c r="T5" i="76"/>
  <c r="T3" i="77"/>
  <c r="K4" i="187"/>
  <c r="K3" i="188"/>
  <c r="K5" i="189"/>
  <c r="K5" i="191"/>
  <c r="K5" i="192"/>
  <c r="K4" i="193"/>
  <c r="K3" i="194"/>
  <c r="K4" i="195"/>
  <c r="K3" i="69"/>
  <c r="K5" i="69"/>
  <c r="K3" i="70"/>
  <c r="K5" i="70"/>
  <c r="K7" i="224"/>
  <c r="K4" i="226"/>
  <c r="K5" i="226"/>
  <c r="K4" i="232"/>
  <c r="K3" i="233"/>
  <c r="K5" i="233"/>
  <c r="K6" i="253"/>
  <c r="T3" i="201"/>
  <c r="T5" i="201"/>
  <c r="T5" i="202"/>
  <c r="T4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6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3" i="232"/>
  <c r="T5" i="232"/>
  <c r="T4" i="233"/>
  <c r="T4" i="253"/>
  <c r="H9" i="25"/>
  <c r="H21" i="25"/>
  <c r="H20" i="25"/>
  <c r="H6" i="25"/>
  <c r="H19" i="25"/>
  <c r="H7" i="25"/>
  <c r="H16" i="25"/>
  <c r="D25" i="298"/>
  <c r="X25" i="298"/>
  <c r="N27" i="298"/>
  <c r="D26" i="298"/>
  <c r="X26" i="298"/>
  <c r="N28" i="298"/>
  <c r="D26" i="287"/>
  <c r="F10" i="296"/>
  <c r="D21" i="296"/>
  <c r="M25" i="298"/>
  <c r="M25" i="300"/>
  <c r="R26" i="300"/>
  <c r="C27" i="300"/>
  <c r="W27" i="300"/>
  <c r="H28" i="300"/>
  <c r="D59" i="282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D7" i="286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G6" i="295"/>
  <c r="D64" i="303"/>
  <c r="E7" i="303"/>
  <c r="D72" i="303"/>
  <c r="E15" i="303"/>
  <c r="D80" i="303"/>
  <c r="E23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9" i="303"/>
  <c r="E12" i="303"/>
  <c r="E17" i="303"/>
  <c r="F18" i="303"/>
  <c r="G18" i="303" s="1"/>
  <c r="G75" i="303" s="1"/>
  <c r="E20" i="303"/>
  <c r="E25" i="303"/>
  <c r="F26" i="303"/>
  <c r="G26" i="303" s="1"/>
  <c r="G83" i="303" s="1"/>
  <c r="M4" i="80"/>
  <c r="M9" i="80"/>
  <c r="M16" i="80"/>
  <c r="M21" i="80"/>
  <c r="M26" i="80"/>
  <c r="M33" i="80"/>
  <c r="M38" i="80"/>
  <c r="M43" i="80"/>
  <c r="M53" i="80"/>
  <c r="M58" i="80"/>
  <c r="M61" i="80"/>
  <c r="M63" i="80"/>
  <c r="M65" i="80"/>
  <c r="M67" i="80"/>
  <c r="M69" i="80"/>
  <c r="M71" i="80"/>
  <c r="M76" i="80"/>
  <c r="M82" i="80"/>
  <c r="M87" i="80"/>
  <c r="M92" i="80"/>
  <c r="M96" i="80"/>
  <c r="M100" i="80"/>
  <c r="M106" i="80"/>
  <c r="M112" i="80"/>
  <c r="M117" i="80"/>
  <c r="M121" i="80"/>
  <c r="M125" i="80"/>
  <c r="M129" i="80"/>
  <c r="M133" i="80"/>
  <c r="M139" i="80"/>
  <c r="M144" i="80"/>
  <c r="M149" i="80"/>
  <c r="M155" i="80"/>
  <c r="M160" i="80"/>
  <c r="M164" i="80"/>
  <c r="M170" i="80"/>
  <c r="M176" i="80"/>
  <c r="M181" i="80"/>
  <c r="M185" i="80"/>
  <c r="M189" i="80"/>
  <c r="M193" i="80"/>
  <c r="M197" i="80"/>
  <c r="M201" i="80"/>
  <c r="M205" i="80"/>
  <c r="M209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8" i="78"/>
  <c r="N10" i="78"/>
  <c r="N12" i="78"/>
  <c r="N14" i="78"/>
  <c r="N16" i="78"/>
  <c r="N18" i="78"/>
  <c r="N20" i="78"/>
  <c r="N22" i="78"/>
  <c r="N24" i="78"/>
  <c r="N26" i="78"/>
  <c r="N28" i="78"/>
  <c r="N30" i="78"/>
  <c r="N33" i="78"/>
  <c r="N44" i="78"/>
  <c r="N46" i="78"/>
  <c r="N49" i="78"/>
  <c r="N60" i="78"/>
  <c r="N62" i="78"/>
  <c r="N65" i="78"/>
  <c r="N142" i="78"/>
  <c r="N145" i="78"/>
  <c r="N155" i="78"/>
  <c r="N158" i="78"/>
  <c r="N161" i="78"/>
  <c r="N171" i="78"/>
  <c r="N174" i="78"/>
  <c r="N177" i="78"/>
  <c r="N187" i="78"/>
  <c r="N190" i="78"/>
  <c r="N193" i="78"/>
  <c r="N203" i="78"/>
  <c r="N206" i="78"/>
  <c r="N2" i="79"/>
  <c r="N12" i="79"/>
  <c r="N15" i="79"/>
  <c r="N18" i="79"/>
  <c r="N28" i="79"/>
  <c r="N31" i="79"/>
  <c r="N34" i="79"/>
  <c r="N44" i="79"/>
  <c r="N47" i="79"/>
  <c r="N50" i="79"/>
  <c r="N60" i="79"/>
  <c r="N63" i="79"/>
  <c r="N66" i="79"/>
  <c r="N76" i="79"/>
  <c r="N79" i="79"/>
  <c r="N82" i="79"/>
  <c r="N92" i="79"/>
  <c r="N95" i="79"/>
  <c r="N98" i="79"/>
  <c r="N108" i="79"/>
  <c r="N112" i="79"/>
  <c r="N116" i="79"/>
  <c r="N120" i="79"/>
  <c r="N124" i="79"/>
  <c r="N128" i="79"/>
  <c r="N132" i="79"/>
  <c r="N136" i="79"/>
  <c r="N140" i="79"/>
  <c r="N144" i="79"/>
  <c r="N147" i="79"/>
  <c r="N150" i="79"/>
  <c r="N160" i="79"/>
  <c r="N163" i="79"/>
  <c r="N166" i="79"/>
  <c r="N194" i="79"/>
  <c r="N202" i="79"/>
  <c r="Q9" i="295"/>
  <c r="I16" i="295"/>
  <c r="I20" i="295"/>
  <c r="D65" i="303"/>
  <c r="D68" i="303"/>
  <c r="E11" i="303"/>
  <c r="D70" i="303"/>
  <c r="E71" i="303"/>
  <c r="D73" i="303"/>
  <c r="D76" i="303"/>
  <c r="E19" i="303"/>
  <c r="D78" i="303"/>
  <c r="E79" i="303"/>
  <c r="P151" i="303"/>
  <c r="P152" i="303"/>
  <c r="P153" i="303"/>
  <c r="P154" i="303"/>
  <c r="P155" i="303"/>
  <c r="P156" i="303"/>
  <c r="P157" i="303"/>
  <c r="P158" i="303"/>
  <c r="P159" i="303"/>
  <c r="P160" i="303"/>
  <c r="P161" i="303"/>
  <c r="P162" i="303"/>
  <c r="P163" i="303"/>
  <c r="P164" i="303"/>
  <c r="P165" i="303"/>
  <c r="P166" i="303"/>
  <c r="P167" i="303"/>
  <c r="P168" i="303"/>
  <c r="P169" i="303"/>
  <c r="P170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4" i="94"/>
  <c r="T6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4" i="80"/>
  <c r="M20" i="80"/>
  <c r="M25" i="80"/>
  <c r="M31" i="80"/>
  <c r="M37" i="80"/>
  <c r="M42" i="80"/>
  <c r="M47" i="80"/>
  <c r="M51" i="80"/>
  <c r="M57" i="80"/>
  <c r="M62" i="80"/>
  <c r="M66" i="80"/>
  <c r="M70" i="80"/>
  <c r="M75" i="80"/>
  <c r="M80" i="80"/>
  <c r="M86" i="80"/>
  <c r="M91" i="80"/>
  <c r="M93" i="80"/>
  <c r="M95" i="80"/>
  <c r="M97" i="80"/>
  <c r="M99" i="80"/>
  <c r="M104" i="80"/>
  <c r="M111" i="80"/>
  <c r="M116" i="80"/>
  <c r="M118" i="80"/>
  <c r="M120" i="80"/>
  <c r="M122" i="80"/>
  <c r="M124" i="80"/>
  <c r="M126" i="80"/>
  <c r="M128" i="80"/>
  <c r="M130" i="80"/>
  <c r="M132" i="80"/>
  <c r="M137" i="80"/>
  <c r="M143" i="80"/>
  <c r="M148" i="80"/>
  <c r="M153" i="80"/>
  <c r="M159" i="80"/>
  <c r="M163" i="80"/>
  <c r="M168" i="80"/>
  <c r="M180" i="80"/>
  <c r="M182" i="80"/>
  <c r="M184" i="80"/>
  <c r="M186" i="80"/>
  <c r="M188" i="80"/>
  <c r="M190" i="80"/>
  <c r="M192" i="80"/>
  <c r="M194" i="80"/>
  <c r="M196" i="80"/>
  <c r="M198" i="80"/>
  <c r="M200" i="80"/>
  <c r="M202" i="80"/>
  <c r="M204" i="80"/>
  <c r="M206" i="80"/>
  <c r="M208" i="80"/>
  <c r="M210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M208" i="81"/>
  <c r="N32" i="78"/>
  <c r="N34" i="78"/>
  <c r="N37" i="78"/>
  <c r="N48" i="78"/>
  <c r="N50" i="78"/>
  <c r="N53" i="78"/>
  <c r="N64" i="78"/>
  <c r="N66" i="78"/>
  <c r="N69" i="78"/>
  <c r="N143" i="78"/>
  <c r="N146" i="78"/>
  <c r="N149" i="78"/>
  <c r="N159" i="78"/>
  <c r="N162" i="78"/>
  <c r="N165" i="78"/>
  <c r="N175" i="78"/>
  <c r="N178" i="78"/>
  <c r="N181" i="78"/>
  <c r="N191" i="78"/>
  <c r="N194" i="78"/>
  <c r="N197" i="78"/>
  <c r="N207" i="78"/>
  <c r="N3" i="79"/>
  <c r="N6" i="79"/>
  <c r="N16" i="79"/>
  <c r="N19" i="79"/>
  <c r="N22" i="79"/>
  <c r="N32" i="79"/>
  <c r="N35" i="79"/>
  <c r="N38" i="79"/>
  <c r="N48" i="79"/>
  <c r="N51" i="79"/>
  <c r="N54" i="79"/>
  <c r="N64" i="79"/>
  <c r="N67" i="79"/>
  <c r="N70" i="79"/>
  <c r="N80" i="79"/>
  <c r="N83" i="79"/>
  <c r="N86" i="79"/>
  <c r="N96" i="79"/>
  <c r="N99" i="79"/>
  <c r="N102" i="79"/>
  <c r="N148" i="79"/>
  <c r="N151" i="79"/>
  <c r="N154" i="79"/>
  <c r="N164" i="79"/>
  <c r="N167" i="79"/>
  <c r="N170" i="79"/>
  <c r="N174" i="79"/>
  <c r="N178" i="79"/>
  <c r="N182" i="79"/>
  <c r="N188" i="79"/>
  <c r="N192" i="79"/>
  <c r="N200" i="79"/>
  <c r="N208" i="79"/>
  <c r="E8" i="295"/>
  <c r="M9" i="295"/>
  <c r="E12" i="295"/>
  <c r="I13" i="295"/>
  <c r="E16" i="295"/>
  <c r="I17" i="295"/>
  <c r="E20" i="295"/>
  <c r="I21" i="295"/>
  <c r="E8" i="303"/>
  <c r="E13" i="303"/>
  <c r="F14" i="303"/>
  <c r="G14" i="303" s="1"/>
  <c r="G71" i="303" s="1"/>
  <c r="E16" i="303"/>
  <c r="E21" i="303"/>
  <c r="F22" i="303"/>
  <c r="G22" i="303" s="1"/>
  <c r="H22" i="303" s="1"/>
  <c r="E24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5" i="135"/>
  <c r="T3" i="136"/>
  <c r="T4" i="136"/>
  <c r="T5" i="136"/>
  <c r="T6" i="136"/>
  <c r="T7" i="136"/>
  <c r="T3" i="137"/>
  <c r="T6" i="137"/>
  <c r="T3" i="138"/>
  <c r="T4" i="138"/>
  <c r="T6" i="138"/>
  <c r="T7" i="138"/>
  <c r="T3" i="139"/>
  <c r="T5" i="139"/>
  <c r="T6" i="139"/>
  <c r="T3" i="140"/>
  <c r="T4" i="140"/>
  <c r="T5" i="140"/>
  <c r="T3" i="141"/>
  <c r="T4" i="141"/>
  <c r="T5" i="141"/>
  <c r="T5" i="142"/>
  <c r="T3" i="143"/>
  <c r="T4" i="143"/>
  <c r="T5" i="143"/>
  <c r="T6" i="143"/>
  <c r="T3" i="144"/>
  <c r="T4" i="144"/>
  <c r="T5" i="144"/>
  <c r="T4" i="154"/>
  <c r="T3" i="155"/>
  <c r="T5" i="155"/>
  <c r="T3" i="156"/>
  <c r="T4" i="156"/>
  <c r="T3" i="157"/>
  <c r="T5" i="157"/>
  <c r="T3" i="158"/>
  <c r="T5" i="158"/>
  <c r="T3" i="159"/>
  <c r="T5" i="159"/>
  <c r="T3" i="160"/>
  <c r="T5" i="160"/>
  <c r="T4" i="163"/>
  <c r="T5" i="163"/>
  <c r="T6" i="163"/>
  <c r="T3" i="165"/>
  <c r="T4" i="165"/>
  <c r="T5" i="165"/>
  <c r="T6" i="165"/>
  <c r="T3" i="166"/>
  <c r="T4" i="166"/>
  <c r="T5" i="166"/>
  <c r="T6" i="166"/>
  <c r="T3" i="167"/>
  <c r="T4" i="167"/>
  <c r="T5" i="167"/>
  <c r="T3" i="168"/>
  <c r="T4" i="168"/>
  <c r="T5" i="168"/>
  <c r="M13" i="295"/>
  <c r="M17" i="295"/>
  <c r="M21" i="295"/>
  <c r="D79" i="303"/>
  <c r="D83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4" i="94"/>
  <c r="K6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8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5" i="135"/>
  <c r="K3" i="136"/>
  <c r="K4" i="136"/>
  <c r="K5" i="136"/>
  <c r="K6" i="136"/>
  <c r="K7" i="136"/>
  <c r="K3" i="137"/>
  <c r="K6" i="137"/>
  <c r="K3" i="138"/>
  <c r="K4" i="138"/>
  <c r="K6" i="138"/>
  <c r="K7" i="138"/>
  <c r="K3" i="139"/>
  <c r="K5" i="139"/>
  <c r="K6" i="139"/>
  <c r="K3" i="140"/>
  <c r="K4" i="140"/>
  <c r="K5" i="140"/>
  <c r="K3" i="141"/>
  <c r="K4" i="141"/>
  <c r="K5" i="141"/>
  <c r="K5" i="142"/>
  <c r="K3" i="143"/>
  <c r="K4" i="143"/>
  <c r="K5" i="143"/>
  <c r="K6" i="143"/>
  <c r="K3" i="144"/>
  <c r="K4" i="144"/>
  <c r="K5" i="144"/>
  <c r="K4" i="154"/>
  <c r="K3" i="155"/>
  <c r="K5" i="155"/>
  <c r="K3" i="156"/>
  <c r="K4" i="156"/>
  <c r="K3" i="157"/>
  <c r="K5" i="157"/>
  <c r="K3" i="158"/>
  <c r="K5" i="158"/>
  <c r="K3" i="159"/>
  <c r="K5" i="159"/>
  <c r="K3" i="160"/>
  <c r="K5" i="160"/>
  <c r="K4" i="163"/>
  <c r="K5" i="163"/>
  <c r="K6" i="163"/>
  <c r="K3" i="165"/>
  <c r="K4" i="165"/>
  <c r="K5" i="165"/>
  <c r="K6" i="165"/>
  <c r="K3" i="166"/>
  <c r="K4" i="166"/>
  <c r="K5" i="166"/>
  <c r="K6" i="166"/>
  <c r="K3" i="167"/>
  <c r="K4" i="167"/>
  <c r="K5" i="167"/>
  <c r="K3" i="168"/>
  <c r="K4" i="168"/>
  <c r="K5" i="168"/>
  <c r="K6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6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5" i="52"/>
  <c r="K3" i="53"/>
  <c r="K3" i="54"/>
  <c r="K6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5" i="235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6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V4" i="289"/>
  <c r="V5" i="282"/>
  <c r="V5" i="284"/>
  <c r="V31" i="279"/>
  <c r="V6" i="284"/>
  <c r="V4" i="281"/>
  <c r="V8" i="284"/>
  <c r="V7" i="278"/>
  <c r="V12" i="284"/>
  <c r="V19" i="291"/>
  <c r="V11" i="291"/>
  <c r="V9" i="278"/>
  <c r="V10" i="278"/>
  <c r="V26" i="281"/>
  <c r="V39" i="280"/>
  <c r="V13" i="277"/>
  <c r="V30" i="281"/>
  <c r="V13" i="284"/>
  <c r="V41" i="281"/>
  <c r="V12" i="288"/>
  <c r="V44" i="281"/>
  <c r="V26" i="279"/>
  <c r="V10" i="285"/>
  <c r="V25" i="291"/>
  <c r="V13" i="278"/>
  <c r="V12" i="291"/>
  <c r="V11" i="289"/>
  <c r="V15" i="278"/>
  <c r="V31" i="281"/>
  <c r="V6" i="283"/>
  <c r="V29" i="280"/>
  <c r="V12" i="289"/>
  <c r="V14" i="289"/>
  <c r="V4" i="287"/>
  <c r="V19" i="285"/>
  <c r="V17" i="277"/>
  <c r="V17" i="291"/>
  <c r="V23" i="279"/>
  <c r="V8" i="283"/>
  <c r="V18" i="289"/>
  <c r="V13" i="282"/>
  <c r="V8" i="287"/>
  <c r="V15" i="282"/>
  <c r="V20" i="289"/>
  <c r="V58" i="281"/>
  <c r="V22" i="278"/>
  <c r="V37" i="281"/>
  <c r="V31" i="285"/>
  <c r="V23" i="289"/>
  <c r="V27" i="290"/>
  <c r="V24" i="279"/>
  <c r="V26" i="288"/>
  <c r="V33" i="285"/>
  <c r="V12" i="281"/>
  <c r="V27" i="289"/>
  <c r="V34" i="285"/>
  <c r="V35" i="285"/>
  <c r="V10" i="291"/>
  <c r="V11" i="283"/>
  <c r="V25" i="278"/>
  <c r="V26" i="278"/>
  <c r="V37" i="285"/>
  <c r="V5" i="279"/>
  <c r="V5" i="287"/>
  <c r="V39" i="285"/>
  <c r="V40" i="285"/>
  <c r="V32" i="281"/>
  <c r="V54" i="281"/>
  <c r="V27" i="278"/>
  <c r="V28" i="278"/>
  <c r="V29" i="278"/>
  <c r="V41" i="285"/>
  <c r="V42" i="285"/>
  <c r="V30" i="289"/>
  <c r="V21" i="284"/>
  <c r="V31" i="289"/>
  <c r="V13" i="281"/>
  <c r="V32" i="289"/>
  <c r="V43" i="285"/>
  <c r="V33" i="289"/>
  <c r="V59" i="281"/>
  <c r="V22" i="284"/>
  <c r="V44" i="285"/>
  <c r="V34" i="289"/>
  <c r="V35" i="289"/>
  <c r="V23" i="284"/>
  <c r="V29" i="287"/>
  <c r="V30" i="278"/>
  <c r="V36" i="289"/>
  <c r="V25" i="284"/>
  <c r="V8" i="290"/>
  <c r="V37" i="289"/>
  <c r="V13" i="283"/>
  <c r="V48" i="285"/>
  <c r="V26" i="284"/>
  <c r="V9" i="286"/>
  <c r="V39" i="289"/>
  <c r="V15" i="283"/>
  <c r="V21" i="282"/>
  <c r="V40" i="289"/>
  <c r="V49" i="285"/>
  <c r="V32" i="279"/>
  <c r="V24" i="287"/>
  <c r="V41" i="289"/>
  <c r="V31" i="278"/>
  <c r="V42" i="289"/>
  <c r="V43" i="289"/>
  <c r="V50" i="285"/>
  <c r="V44" i="289"/>
  <c r="V16" i="283"/>
  <c r="V45" i="289"/>
  <c r="V46" i="289"/>
  <c r="V32" i="278"/>
  <c r="V18" i="287"/>
  <c r="V33" i="278"/>
  <c r="V34" i="278"/>
  <c r="V18" i="286"/>
  <c r="V36" i="278"/>
  <c r="V22" i="282"/>
  <c r="V47" i="289"/>
  <c r="V37" i="278"/>
  <c r="V48" i="289"/>
  <c r="V52" i="285"/>
  <c r="V49" i="289"/>
  <c r="V33" i="291"/>
  <c r="V53" i="289"/>
  <c r="V23" i="282"/>
  <c r="V54" i="289"/>
  <c r="V55" i="285"/>
  <c r="V56" i="285"/>
  <c r="V30" i="284"/>
  <c r="V55" i="289"/>
  <c r="V57" i="285"/>
  <c r="V21" i="288"/>
  <c r="V29" i="288"/>
  <c r="V56" i="289"/>
  <c r="V61" i="281"/>
  <c r="V58" i="289"/>
  <c r="V59" i="285"/>
  <c r="V13" i="288"/>
  <c r="V24" i="282"/>
  <c r="V33" i="288"/>
  <c r="V59" i="289"/>
  <c r="V4" i="290"/>
  <c r="V60" i="289"/>
  <c r="V27" i="279"/>
  <c r="V9" i="287"/>
  <c r="V31" i="284"/>
  <c r="V39" i="278"/>
  <c r="V24" i="277"/>
  <c r="V25" i="282"/>
  <c r="V60" i="285"/>
  <c r="V9" i="290"/>
  <c r="V61" i="289"/>
  <c r="V40" i="278"/>
  <c r="V61" i="285"/>
  <c r="V17" i="283"/>
  <c r="V34" i="291"/>
  <c r="V18" i="283"/>
  <c r="V5" i="288"/>
  <c r="V41" i="278"/>
  <c r="V62" i="285"/>
  <c r="V6" i="288"/>
  <c r="V9" i="281"/>
  <c r="V63" i="285"/>
  <c r="V44" i="280"/>
  <c r="V62" i="289"/>
  <c r="V32" i="284"/>
  <c r="V64" i="285"/>
  <c r="V14" i="281"/>
  <c r="V65" i="285"/>
  <c r="V26" i="282"/>
  <c r="V63" i="289"/>
  <c r="V66" i="285"/>
  <c r="V42" i="278"/>
  <c r="V13" i="291"/>
  <c r="V14" i="291"/>
  <c r="V18" i="277"/>
  <c r="V64" i="289"/>
  <c r="V33" i="284"/>
  <c r="V28" i="279"/>
  <c r="V16" i="277"/>
  <c r="V65" i="289"/>
  <c r="V12" i="286"/>
  <c r="V67" i="285"/>
  <c r="V34" i="284"/>
  <c r="V37" i="288"/>
  <c r="V35" i="284"/>
  <c r="V28" i="286"/>
  <c r="V9" i="288"/>
  <c r="V66" i="289"/>
  <c r="V67" i="289"/>
  <c r="V68" i="285"/>
  <c r="V24" i="280"/>
  <c r="V19" i="283"/>
  <c r="V68" i="289"/>
  <c r="V69" i="285"/>
  <c r="V69" i="289"/>
  <c r="V43" i="278"/>
  <c r="V36" i="284"/>
  <c r="V70" i="285"/>
  <c r="V70" i="289"/>
  <c r="V47" i="280"/>
  <c r="V71" i="285"/>
  <c r="V44" i="278"/>
  <c r="V72" i="285"/>
  <c r="V37" i="284"/>
  <c r="V38" i="284"/>
  <c r="V71" i="289"/>
  <c r="V27" i="282"/>
  <c r="V45" i="278"/>
  <c r="V72" i="289"/>
  <c r="V73" i="285"/>
  <c r="V30" i="280"/>
  <c r="V46" i="278"/>
  <c r="V47" i="278"/>
  <c r="V4" i="280"/>
  <c r="V74" i="289"/>
  <c r="V20" i="283"/>
  <c r="V48" i="278"/>
  <c r="V75" i="289"/>
  <c r="V49" i="278"/>
  <c r="V76" i="289"/>
  <c r="V50" i="278"/>
  <c r="V77" i="289"/>
  <c r="V74" i="285"/>
  <c r="V51" i="278"/>
  <c r="V75" i="285"/>
  <c r="V78" i="289"/>
  <c r="V28" i="282"/>
  <c r="V18" i="291"/>
  <c r="V21" i="283"/>
  <c r="V79" i="289"/>
  <c r="V80" i="289"/>
  <c r="V52" i="278"/>
  <c r="V81" i="289"/>
  <c r="V53" i="278"/>
  <c r="V13" i="287"/>
  <c r="V54" i="278"/>
  <c r="V5" i="280"/>
  <c r="V55" i="278"/>
  <c r="V39" i="284"/>
  <c r="V36" i="280"/>
  <c r="V76" i="285"/>
  <c r="V56" i="278"/>
  <c r="V77" i="285"/>
  <c r="V33" i="281"/>
  <c r="V10" i="288"/>
  <c r="V29" i="279"/>
  <c r="V22" i="286"/>
  <c r="V22" i="283"/>
  <c r="V57" i="278"/>
  <c r="V82" i="289"/>
  <c r="V83" i="289"/>
  <c r="V84" i="289"/>
  <c r="V58" i="278"/>
  <c r="V10" i="287"/>
  <c r="V23" i="283"/>
  <c r="V29" i="282"/>
  <c r="V5" i="290"/>
  <c r="V59" i="278"/>
  <c r="V78" i="285"/>
  <c r="V79" i="285"/>
  <c r="V80" i="285"/>
  <c r="V85" i="289"/>
  <c r="V52" i="280"/>
  <c r="V22" i="288"/>
  <c r="V60" i="278"/>
  <c r="V30" i="282"/>
  <c r="V81" i="285"/>
  <c r="V61" i="278"/>
  <c r="V28" i="290"/>
  <c r="V10" i="281"/>
  <c r="V5" i="286"/>
  <c r="V86" i="289"/>
  <c r="V82" i="285"/>
  <c r="V38" i="288"/>
  <c r="V35" i="291"/>
  <c r="V62" i="281"/>
  <c r="V62" i="278"/>
  <c r="V83" i="285"/>
  <c r="V24" i="283"/>
  <c r="V19" i="290"/>
  <c r="V40" i="284"/>
  <c r="V63" i="278"/>
  <c r="V84" i="285"/>
  <c r="V25" i="283"/>
  <c r="V85" i="285"/>
  <c r="V20" i="290"/>
  <c r="V31" i="282"/>
  <c r="V40" i="280"/>
  <c r="V41" i="284"/>
  <c r="V21" i="281"/>
  <c r="V13" i="286"/>
  <c r="V87" i="289"/>
  <c r="V86" i="285"/>
  <c r="V27" i="288"/>
  <c r="V87" i="285"/>
  <c r="V26" i="283"/>
  <c r="V42" i="284"/>
  <c r="V11" i="287"/>
  <c r="V64" i="278"/>
  <c r="V88" i="285"/>
  <c r="V15" i="290"/>
  <c r="V14" i="280"/>
  <c r="V16" i="290"/>
  <c r="V38" i="281"/>
  <c r="V60" i="281"/>
  <c r="V7" i="279"/>
  <c r="V32" i="282"/>
  <c r="V16" i="281"/>
  <c r="V66" i="278"/>
  <c r="V23" i="288"/>
  <c r="V33" i="282"/>
  <c r="V88" i="289"/>
  <c r="V89" i="289"/>
  <c r="V89" i="285"/>
  <c r="V27" i="283"/>
  <c r="V7" i="291"/>
  <c r="V6" i="287"/>
  <c r="V34" i="282"/>
  <c r="V23" i="281"/>
  <c r="V44" i="284"/>
  <c r="V90" i="285"/>
  <c r="V22" i="290"/>
  <c r="V91" i="285"/>
  <c r="V67" i="278"/>
  <c r="V23" i="290"/>
  <c r="V36" i="281"/>
  <c r="V24" i="281"/>
  <c r="V90" i="289"/>
  <c r="V91" i="289"/>
  <c r="V28" i="283"/>
  <c r="V25" i="286"/>
  <c r="V45" i="284"/>
  <c r="V92" i="285"/>
  <c r="V6" i="281"/>
  <c r="V68" i="278"/>
  <c r="V35" i="282"/>
  <c r="V36" i="282"/>
  <c r="V69" i="278"/>
  <c r="V37" i="282"/>
  <c r="V14" i="287"/>
  <c r="V18" i="280"/>
  <c r="V38" i="282"/>
  <c r="V29" i="283"/>
  <c r="V30" i="290"/>
  <c r="V93" i="285"/>
  <c r="V18" i="279"/>
  <c r="V25" i="280"/>
  <c r="V46" i="284"/>
  <c r="V30" i="283"/>
  <c r="V31" i="290"/>
  <c r="V39" i="282"/>
  <c r="V6" i="290"/>
  <c r="V48" i="280"/>
  <c r="V17" i="288"/>
  <c r="V40" i="282"/>
  <c r="V6" i="280"/>
  <c r="V11" i="280"/>
  <c r="V34" i="288"/>
  <c r="V63" i="281"/>
  <c r="V31" i="283"/>
  <c r="V37" i="280"/>
  <c r="V34" i="290"/>
  <c r="V15" i="280"/>
  <c r="V70" i="278"/>
  <c r="V41" i="282"/>
  <c r="V32" i="283"/>
  <c r="V92" i="289"/>
  <c r="V53" i="280"/>
  <c r="V7" i="290"/>
  <c r="V12" i="287"/>
  <c r="V42" i="282"/>
  <c r="V94" i="285"/>
  <c r="V95" i="285"/>
  <c r="V45" i="280"/>
  <c r="V33" i="283"/>
  <c r="V93" i="289"/>
  <c r="V96" i="285"/>
  <c r="V71" i="278"/>
  <c r="V47" i="284"/>
  <c r="V97" i="285"/>
  <c r="V98" i="285"/>
  <c r="V43" i="282"/>
  <c r="V44" i="282"/>
  <c r="V11" i="277"/>
  <c r="V99" i="285"/>
  <c r="V94" i="289"/>
  <c r="V72" i="278"/>
  <c r="V25" i="277"/>
  <c r="V16" i="280"/>
  <c r="V38" i="280"/>
  <c r="V48" i="284"/>
  <c r="V100" i="285"/>
  <c r="V19" i="277"/>
  <c r="V101" i="285"/>
  <c r="V73" i="278"/>
  <c r="V49" i="284"/>
  <c r="V74" i="278"/>
  <c r="V102" i="285"/>
  <c r="V103" i="285"/>
  <c r="V75" i="278"/>
  <c r="V14" i="288"/>
  <c r="V41" i="280"/>
  <c r="V104" i="285"/>
  <c r="V34" i="283"/>
  <c r="V32" i="290"/>
  <c r="V105" i="285"/>
  <c r="V49" i="280"/>
  <c r="V54" i="280"/>
  <c r="V18" i="288"/>
  <c r="V30" i="287"/>
  <c r="V14" i="279"/>
  <c r="V106" i="285"/>
  <c r="V7" i="287"/>
  <c r="V107" i="285"/>
  <c r="V108" i="285"/>
  <c r="V33" i="280"/>
  <c r="V76" i="278"/>
  <c r="V26" i="286"/>
  <c r="V77" i="278"/>
  <c r="V109" i="285"/>
  <c r="V45" i="282"/>
  <c r="V78" i="278"/>
  <c r="V30" i="291"/>
  <c r="V95" i="289"/>
  <c r="V46" i="282"/>
  <c r="V47" i="282"/>
  <c r="V19" i="279"/>
  <c r="V48" i="282"/>
  <c r="V20" i="277"/>
  <c r="V7" i="280"/>
  <c r="V24" i="290"/>
  <c r="V110" i="285"/>
  <c r="V49" i="282"/>
  <c r="V111" i="285"/>
  <c r="V112" i="285"/>
  <c r="V8" i="280"/>
  <c r="V79" i="278"/>
  <c r="V34" i="280"/>
  <c r="V80" i="278"/>
  <c r="V17" i="281"/>
  <c r="V81" i="278"/>
  <c r="V64" i="281"/>
  <c r="V55" i="280"/>
  <c r="V50" i="284"/>
  <c r="V50" i="282"/>
  <c r="V35" i="283"/>
  <c r="V113" i="285"/>
  <c r="V51" i="284"/>
  <c r="V52" i="284"/>
  <c r="V43" i="281"/>
  <c r="V10" i="286"/>
  <c r="V15" i="287"/>
  <c r="V82" i="278"/>
  <c r="V53" i="284"/>
  <c r="V30" i="279"/>
  <c r="V19" i="288"/>
  <c r="V51" i="282"/>
  <c r="V96" i="289"/>
  <c r="V83" i="278"/>
  <c r="V97" i="289"/>
  <c r="V84" i="278"/>
  <c r="V114" i="285"/>
  <c r="V115" i="285"/>
  <c r="V6" i="286"/>
  <c r="V47" i="281"/>
  <c r="V98" i="289"/>
  <c r="V8" i="279"/>
  <c r="V30" i="288"/>
  <c r="V20" i="279"/>
  <c r="V17" i="286"/>
  <c r="V56" i="280"/>
  <c r="V85" i="278"/>
  <c r="V86" i="278"/>
  <c r="V116" i="285"/>
  <c r="V21" i="286"/>
  <c r="V99" i="289"/>
  <c r="V55" i="281"/>
  <c r="V23" i="280"/>
  <c r="V87" i="278"/>
  <c r="V35" i="288"/>
  <c r="V88" i="278"/>
  <c r="V117" i="285"/>
  <c r="V7" i="281"/>
  <c r="V23" i="286"/>
  <c r="V89" i="278"/>
  <c r="V100" i="289"/>
  <c r="V42" i="280"/>
  <c r="V14" i="286"/>
  <c r="V54" i="284"/>
  <c r="V15" i="279"/>
  <c r="V49" i="281"/>
  <c r="V15" i="288"/>
  <c r="V36" i="283"/>
  <c r="V31" i="287"/>
  <c r="V25" i="279"/>
  <c r="V118" i="285"/>
  <c r="V55" i="284"/>
  <c r="V52" i="282"/>
  <c r="V37" i="283"/>
  <c r="V119" i="285"/>
  <c r="V33" i="290"/>
  <c r="V90" i="278"/>
  <c r="V56" i="284"/>
  <c r="V101" i="289"/>
  <c r="V120" i="285"/>
  <c r="V25" i="281"/>
  <c r="V91" i="278"/>
  <c r="V50" i="281"/>
  <c r="V15" i="281"/>
  <c r="V57" i="284"/>
  <c r="V29" i="286"/>
  <c r="V53" i="282"/>
  <c r="V92" i="278"/>
  <c r="V54" i="282"/>
  <c r="V93" i="278"/>
  <c r="V38" i="283"/>
  <c r="V55" i="282"/>
  <c r="V102" i="289"/>
  <c r="V121" i="285"/>
  <c r="V11" i="281"/>
  <c r="V122" i="285"/>
  <c r="V10" i="290"/>
  <c r="V9" i="280"/>
  <c r="V103" i="289"/>
  <c r="V11" i="286"/>
  <c r="V19" i="280"/>
  <c r="V46" i="280"/>
  <c r="V58" i="284"/>
  <c r="V123" i="285"/>
  <c r="V124" i="285"/>
  <c r="V39" i="281"/>
  <c r="V104" i="289"/>
  <c r="V12" i="280"/>
  <c r="V94" i="278"/>
  <c r="V50" i="280"/>
  <c r="V40" i="281"/>
  <c r="V20" i="280"/>
  <c r="V39" i="283"/>
  <c r="V51" i="281"/>
  <c r="V26" i="280"/>
  <c r="V12" i="277"/>
  <c r="V15" i="286"/>
  <c r="V59" i="284"/>
  <c r="V125" i="285"/>
  <c r="V40" i="283"/>
  <c r="V18" i="281"/>
  <c r="V56" i="282"/>
  <c r="V19" i="287"/>
  <c r="V60" i="284"/>
  <c r="V126" i="285"/>
  <c r="V41" i="283"/>
  <c r="V61" i="284"/>
  <c r="V57" i="282"/>
  <c r="V105" i="289"/>
  <c r="V24" i="286"/>
  <c r="V11" i="290"/>
  <c r="V127" i="285"/>
  <c r="V128" i="285"/>
  <c r="V129" i="285"/>
  <c r="V106" i="289"/>
  <c r="V130" i="285"/>
  <c r="V58" i="282"/>
  <c r="V21" i="277"/>
  <c r="V20" i="287"/>
  <c r="V131" i="285"/>
  <c r="V62" i="284"/>
  <c r="V29" i="281"/>
  <c r="V42" i="283"/>
  <c r="V21" i="287"/>
  <c r="V59" i="282"/>
  <c r="V11" i="288"/>
  <c r="V7" i="288"/>
  <c r="V63" i="284"/>
  <c r="V26" i="287"/>
  <c r="V132" i="285"/>
  <c r="V16" i="287"/>
  <c r="V12" i="279"/>
  <c r="V7" i="286"/>
  <c r="N5" i="298"/>
  <c r="U841" i="82"/>
  <c r="E171" i="303"/>
  <c r="I171" i="303"/>
  <c r="M171" i="303"/>
  <c r="N51" i="302"/>
  <c r="P146" i="303" s="1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V5" i="285"/>
  <c r="V52" i="281"/>
  <c r="V31" i="291"/>
  <c r="V26" i="277"/>
  <c r="V21" i="280"/>
  <c r="V16" i="279"/>
  <c r="V10" i="284"/>
  <c r="V31" i="288"/>
  <c r="V5" i="289"/>
  <c r="V27" i="280"/>
  <c r="V24" i="288"/>
  <c r="V27" i="281"/>
  <c r="V25" i="288"/>
  <c r="V7" i="285"/>
  <c r="V20" i="291"/>
  <c r="V8" i="291"/>
  <c r="V31" i="280"/>
  <c r="V8" i="288"/>
  <c r="V11" i="285"/>
  <c r="V12" i="285"/>
  <c r="V13" i="285"/>
  <c r="V17" i="279"/>
  <c r="V22" i="279"/>
  <c r="V13" i="280"/>
  <c r="V9" i="282"/>
  <c r="V15" i="285"/>
  <c r="V16" i="285"/>
  <c r="V45" i="281"/>
  <c r="V36" i="288"/>
  <c r="V32" i="280"/>
  <c r="V16" i="284"/>
  <c r="V16" i="289"/>
  <c r="V11" i="282"/>
  <c r="V11" i="279"/>
  <c r="V12" i="282"/>
  <c r="V23" i="277"/>
  <c r="V17" i="280"/>
  <c r="V21" i="278"/>
  <c r="V16" i="282"/>
  <c r="V17" i="282"/>
  <c r="V23" i="278"/>
  <c r="V32" i="288"/>
  <c r="V24" i="289"/>
  <c r="V25" i="289"/>
  <c r="V32" i="285"/>
  <c r="V26" i="289"/>
  <c r="V18" i="282"/>
  <c r="V36" i="285"/>
  <c r="V28" i="289"/>
  <c r="V19" i="282"/>
  <c r="V19" i="281"/>
  <c r="V38" i="285"/>
  <c r="V19" i="284"/>
  <c r="V29" i="289"/>
  <c r="V20" i="284"/>
  <c r="V20" i="282"/>
  <c r="V45" i="285"/>
  <c r="V24" i="284"/>
  <c r="V46" i="285"/>
  <c r="V32" i="291"/>
  <c r="V47" i="285"/>
  <c r="V18" i="290"/>
  <c r="V12" i="283"/>
  <c r="V7" i="277"/>
  <c r="V16" i="286"/>
  <c r="V14" i="283"/>
  <c r="V38" i="289"/>
  <c r="V8" i="277"/>
  <c r="V17" i="287"/>
  <c r="V22" i="281"/>
  <c r="V20" i="281"/>
  <c r="V51" i="285"/>
  <c r="V35" i="278"/>
  <c r="V8" i="281"/>
  <c r="V38" i="278"/>
  <c r="V53" i="285"/>
  <c r="V10" i="280"/>
  <c r="V50" i="289"/>
  <c r="V51" i="289"/>
  <c r="V19" i="286"/>
  <c r="V52" i="289"/>
  <c r="V46" i="281"/>
  <c r="V27" i="284"/>
  <c r="V20" i="286"/>
  <c r="V54" i="285"/>
  <c r="V28" i="284"/>
  <c r="V29" i="284"/>
  <c r="V25" i="287"/>
  <c r="V6" i="279"/>
  <c r="V58" i="285"/>
  <c r="V57" i="289"/>
  <c r="V4" i="288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Q87" i="295" s="1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171" i="303"/>
  <c r="J171" i="303"/>
  <c r="N171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F4" i="283"/>
  <c r="V4" i="283"/>
  <c r="V4" i="282"/>
  <c r="V26" i="290"/>
  <c r="V5" i="278"/>
  <c r="V7" i="282"/>
  <c r="V12" i="290"/>
  <c r="V29" i="290"/>
  <c r="V48" i="281"/>
  <c r="V28" i="291"/>
  <c r="V11" i="284"/>
  <c r="V16" i="288"/>
  <c r="V8" i="286"/>
  <c r="V23" i="291"/>
  <c r="V29" i="291"/>
  <c r="V4" i="286"/>
  <c r="V5" i="283"/>
  <c r="V22" i="277"/>
  <c r="V53" i="281"/>
  <c r="V13" i="290"/>
  <c r="V43" i="280"/>
  <c r="V5" i="277"/>
  <c r="V8" i="285"/>
  <c r="V28" i="287"/>
  <c r="V24" i="291"/>
  <c r="V42" i="281"/>
  <c r="V4" i="291"/>
  <c r="V5" i="291"/>
  <c r="V9" i="289"/>
  <c r="V10" i="289"/>
  <c r="V28" i="281"/>
  <c r="V14" i="278"/>
  <c r="V10" i="279"/>
  <c r="V10" i="277"/>
  <c r="V14" i="284"/>
  <c r="V28" i="288"/>
  <c r="V17" i="285"/>
  <c r="V13" i="289"/>
  <c r="V15" i="289"/>
  <c r="V16" i="278"/>
  <c r="V7" i="283"/>
  <c r="V20" i="285"/>
  <c r="V18" i="278"/>
  <c r="V22" i="280"/>
  <c r="V20" i="278"/>
  <c r="V21" i="285"/>
  <c r="V22" i="285"/>
  <c r="V23" i="285"/>
  <c r="V57" i="281"/>
  <c r="V15" i="277"/>
  <c r="V4" i="279"/>
  <c r="V26" i="285"/>
  <c r="V27" i="285"/>
  <c r="V35" i="281"/>
  <c r="V28" i="285"/>
  <c r="V29" i="285"/>
  <c r="V107" i="289"/>
  <c r="H8" i="25"/>
  <c r="H13" i="25"/>
  <c r="G171" i="303"/>
  <c r="K171" i="303"/>
  <c r="O171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V4" i="284"/>
  <c r="V4" i="285"/>
  <c r="V21" i="279"/>
  <c r="V4" i="278"/>
  <c r="V6" i="282"/>
  <c r="V21" i="290"/>
  <c r="V6" i="278"/>
  <c r="V7" i="284"/>
  <c r="V27" i="291"/>
  <c r="V9" i="284"/>
  <c r="V9" i="279"/>
  <c r="V15" i="291"/>
  <c r="V27" i="287"/>
  <c r="V6" i="289"/>
  <c r="V7" i="289"/>
  <c r="V9" i="277"/>
  <c r="V4" i="277"/>
  <c r="V6" i="285"/>
  <c r="V27" i="286"/>
  <c r="V21" i="291"/>
  <c r="V56" i="281"/>
  <c r="V9" i="285"/>
  <c r="V11" i="278"/>
  <c r="V13" i="279"/>
  <c r="V12" i="278"/>
  <c r="V8" i="289"/>
  <c r="V16" i="291"/>
  <c r="V26" i="291"/>
  <c r="V28" i="280"/>
  <c r="V17" i="290"/>
  <c r="V6" i="291"/>
  <c r="V8" i="282"/>
  <c r="V5" i="281"/>
  <c r="V14" i="285"/>
  <c r="V14" i="290"/>
  <c r="V15" i="284"/>
  <c r="V18" i="285"/>
  <c r="V9" i="291"/>
  <c r="V10" i="282"/>
  <c r="V17" i="278"/>
  <c r="V23" i="287"/>
  <c r="V6" i="277"/>
  <c r="V17" i="284"/>
  <c r="V19" i="278"/>
  <c r="V14" i="277"/>
  <c r="V17" i="289"/>
  <c r="V22" i="291"/>
  <c r="V24" i="285"/>
  <c r="V19" i="289"/>
  <c r="V14" i="282"/>
  <c r="V25" i="285"/>
  <c r="V34" i="281"/>
  <c r="V9" i="283"/>
  <c r="V18" i="284"/>
  <c r="V21" i="289"/>
  <c r="V22" i="289"/>
  <c r="V30" i="285"/>
  <c r="V24" i="278"/>
  <c r="V10" i="283"/>
  <c r="B4" i="283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I4" i="283"/>
  <c r="U27" i="279"/>
  <c r="U9" i="287"/>
  <c r="U31" i="284"/>
  <c r="U39" i="278"/>
  <c r="U24" i="277"/>
  <c r="U25" i="282"/>
  <c r="U60" i="285"/>
  <c r="U9" i="290"/>
  <c r="U61" i="289"/>
  <c r="U40" i="278"/>
  <c r="U61" i="285"/>
  <c r="U17" i="283"/>
  <c r="U34" i="291"/>
  <c r="U18" i="283"/>
  <c r="U5" i="288"/>
  <c r="U41" i="278"/>
  <c r="U62" i="285"/>
  <c r="U6" i="288"/>
  <c r="U9" i="281"/>
  <c r="U63" i="285"/>
  <c r="U44" i="280"/>
  <c r="U62" i="289"/>
  <c r="U32" i="284"/>
  <c r="U64" i="285"/>
  <c r="U14" i="281"/>
  <c r="U65" i="285"/>
  <c r="U26" i="282"/>
  <c r="U63" i="289"/>
  <c r="U66" i="285"/>
  <c r="U42" i="278"/>
  <c r="U13" i="291"/>
  <c r="U14" i="291"/>
  <c r="U18" i="277"/>
  <c r="U64" i="289"/>
  <c r="U33" i="284"/>
  <c r="U28" i="279"/>
  <c r="U16" i="277"/>
  <c r="U65" i="289"/>
  <c r="U12" i="286"/>
  <c r="U67" i="285"/>
  <c r="U34" i="284"/>
  <c r="U37" i="288"/>
  <c r="U35" i="284"/>
  <c r="U28" i="286"/>
  <c r="U9" i="288"/>
  <c r="U66" i="289"/>
  <c r="U67" i="289"/>
  <c r="U68" i="285"/>
  <c r="U24" i="280"/>
  <c r="U19" i="283"/>
  <c r="U68" i="289"/>
  <c r="U69" i="285"/>
  <c r="U69" i="289"/>
  <c r="U43" i="278"/>
  <c r="U36" i="284"/>
  <c r="U70" i="285"/>
  <c r="U70" i="289"/>
  <c r="U47" i="280"/>
  <c r="U71" i="285"/>
  <c r="U44" i="278"/>
  <c r="U72" i="285"/>
  <c r="U37" i="284"/>
  <c r="U38" i="284"/>
  <c r="U71" i="289"/>
  <c r="U27" i="282"/>
  <c r="U45" i="278"/>
  <c r="U72" i="289"/>
  <c r="U73" i="285"/>
  <c r="U30" i="280"/>
  <c r="U46" i="278"/>
  <c r="U47" i="278"/>
  <c r="U4" i="280"/>
  <c r="U74" i="289"/>
  <c r="U20" i="283"/>
  <c r="U48" i="278"/>
  <c r="U75" i="289"/>
  <c r="U49" i="278"/>
  <c r="U76" i="289"/>
  <c r="U50" i="278"/>
  <c r="U77" i="289"/>
  <c r="U74" i="285"/>
  <c r="U51" i="278"/>
  <c r="U75" i="285"/>
  <c r="U78" i="289"/>
  <c r="U28" i="282"/>
  <c r="U18" i="291"/>
  <c r="U21" i="283"/>
  <c r="U79" i="289"/>
  <c r="U80" i="289"/>
  <c r="U52" i="278"/>
  <c r="U81" i="289"/>
  <c r="U53" i="278"/>
  <c r="U13" i="287"/>
  <c r="U54" i="278"/>
  <c r="U5" i="280"/>
  <c r="U55" i="278"/>
  <c r="U39" i="284"/>
  <c r="U36" i="280"/>
  <c r="U76" i="285"/>
  <c r="U56" i="278"/>
  <c r="U77" i="285"/>
  <c r="U33" i="281"/>
  <c r="U10" i="288"/>
  <c r="U29" i="279"/>
  <c r="U22" i="286"/>
  <c r="U22" i="283"/>
  <c r="U57" i="278"/>
  <c r="U82" i="289"/>
  <c r="U83" i="289"/>
  <c r="U84" i="289"/>
  <c r="U58" i="278"/>
  <c r="U10" i="287"/>
  <c r="U23" i="283"/>
  <c r="U29" i="282"/>
  <c r="U5" i="290"/>
  <c r="U59" i="278"/>
  <c r="U78" i="285"/>
  <c r="U79" i="285"/>
  <c r="U80" i="285"/>
  <c r="U85" i="289"/>
  <c r="U52" i="280"/>
  <c r="U22" i="288"/>
  <c r="U60" i="278"/>
  <c r="U30" i="282"/>
  <c r="U81" i="285"/>
  <c r="U61" i="278"/>
  <c r="U28" i="290"/>
  <c r="U10" i="281"/>
  <c r="U5" i="286"/>
  <c r="U86" i="289"/>
  <c r="U82" i="285"/>
  <c r="U38" i="288"/>
  <c r="U35" i="291"/>
  <c r="U62" i="281"/>
  <c r="U62" i="278"/>
  <c r="U83" i="285"/>
  <c r="U24" i="283"/>
  <c r="U19" i="290"/>
  <c r="U40" i="284"/>
  <c r="U63" i="278"/>
  <c r="U84" i="285"/>
  <c r="U25" i="283"/>
  <c r="U85" i="285"/>
  <c r="U20" i="290"/>
  <c r="U31" i="282"/>
  <c r="U40" i="280"/>
  <c r="U41" i="284"/>
  <c r="U21" i="281"/>
  <c r="U13" i="286"/>
  <c r="U87" i="289"/>
  <c r="U86" i="285"/>
  <c r="U27" i="288"/>
  <c r="U87" i="285"/>
  <c r="U26" i="283"/>
  <c r="U42" i="284"/>
  <c r="U11" i="287"/>
  <c r="U64" i="278"/>
  <c r="U88" i="285"/>
  <c r="U15" i="290"/>
  <c r="U14" i="280"/>
  <c r="U16" i="290"/>
  <c r="U38" i="281"/>
  <c r="U60" i="281"/>
  <c r="U7" i="279"/>
  <c r="U32" i="282"/>
  <c r="U16" i="281"/>
  <c r="U66" i="278"/>
  <c r="U23" i="288"/>
  <c r="U33" i="282"/>
  <c r="U88" i="289"/>
  <c r="U89" i="289"/>
  <c r="U89" i="285"/>
  <c r="U27" i="283"/>
  <c r="U7" i="291"/>
  <c r="U6" i="287"/>
  <c r="U34" i="282"/>
  <c r="U23" i="281"/>
  <c r="U44" i="284"/>
  <c r="U90" i="285"/>
  <c r="U22" i="290"/>
  <c r="U91" i="285"/>
  <c r="U67" i="278"/>
  <c r="U23" i="290"/>
  <c r="U36" i="281"/>
  <c r="U24" i="281"/>
  <c r="U90" i="289"/>
  <c r="U91" i="289"/>
  <c r="U28" i="283"/>
  <c r="U25" i="286"/>
  <c r="U45" i="284"/>
  <c r="U92" i="285"/>
  <c r="U6" i="281"/>
  <c r="U68" i="278"/>
  <c r="U35" i="282"/>
  <c r="U36" i="282"/>
  <c r="U69" i="278"/>
  <c r="U37" i="282"/>
  <c r="U14" i="287"/>
  <c r="U18" i="280"/>
  <c r="U38" i="282"/>
  <c r="U29" i="283"/>
  <c r="U30" i="290"/>
  <c r="U93" i="285"/>
  <c r="U18" i="279"/>
  <c r="U25" i="280"/>
  <c r="U46" i="284"/>
  <c r="U30" i="283"/>
  <c r="U31" i="290"/>
  <c r="U39" i="282"/>
  <c r="U6" i="290"/>
  <c r="U48" i="280"/>
  <c r="U17" i="288"/>
  <c r="U40" i="282"/>
  <c r="U6" i="280"/>
  <c r="U11" i="280"/>
  <c r="U34" i="288"/>
  <c r="U63" i="281"/>
  <c r="U31" i="283"/>
  <c r="U37" i="280"/>
  <c r="U34" i="290"/>
  <c r="U15" i="280"/>
  <c r="U70" i="278"/>
  <c r="U41" i="282"/>
  <c r="U32" i="283"/>
  <c r="U92" i="289"/>
  <c r="U53" i="280"/>
  <c r="U7" i="290"/>
  <c r="U12" i="287"/>
  <c r="U42" i="282"/>
  <c r="U94" i="285"/>
  <c r="U95" i="285"/>
  <c r="U45" i="280"/>
  <c r="U33" i="283"/>
  <c r="U93" i="289"/>
  <c r="U96" i="285"/>
  <c r="U71" i="278"/>
  <c r="U47" i="284"/>
  <c r="U97" i="285"/>
  <c r="U98" i="285"/>
  <c r="U43" i="282"/>
  <c r="U44" i="282"/>
  <c r="U11" i="277"/>
  <c r="U99" i="285"/>
  <c r="U94" i="289"/>
  <c r="U72" i="278"/>
  <c r="U25" i="277"/>
  <c r="U16" i="280"/>
  <c r="U38" i="280"/>
  <c r="U48" i="284"/>
  <c r="U100" i="285"/>
  <c r="U19" i="277"/>
  <c r="U101" i="285"/>
  <c r="U73" i="278"/>
  <c r="U49" i="284"/>
  <c r="U74" i="278"/>
  <c r="U102" i="285"/>
  <c r="U103" i="285"/>
  <c r="U75" i="278"/>
  <c r="U14" i="288"/>
  <c r="U41" i="280"/>
  <c r="U104" i="285"/>
  <c r="U34" i="283"/>
  <c r="U32" i="290"/>
  <c r="U105" i="285"/>
  <c r="U49" i="280"/>
  <c r="U54" i="280"/>
  <c r="U18" i="288"/>
  <c r="U30" i="287"/>
  <c r="U14" i="279"/>
  <c r="U106" i="285"/>
  <c r="U7" i="287"/>
  <c r="U107" i="285"/>
  <c r="U108" i="285"/>
  <c r="U33" i="280"/>
  <c r="U76" i="278"/>
  <c r="U26" i="286"/>
  <c r="U77" i="278"/>
  <c r="U109" i="285"/>
  <c r="U45" i="282"/>
  <c r="U78" i="278"/>
  <c r="U30" i="291"/>
  <c r="U95" i="289"/>
  <c r="U46" i="282"/>
  <c r="U47" i="282"/>
  <c r="U19" i="279"/>
  <c r="U48" i="282"/>
  <c r="U20" i="277"/>
  <c r="U7" i="280"/>
  <c r="U24" i="290"/>
  <c r="U110" i="285"/>
  <c r="U49" i="282"/>
  <c r="U111" i="285"/>
  <c r="U112" i="285"/>
  <c r="U8" i="280"/>
  <c r="U79" i="278"/>
  <c r="U34" i="280"/>
  <c r="U80" i="278"/>
  <c r="U17" i="281"/>
  <c r="U81" i="278"/>
  <c r="U64" i="281"/>
  <c r="U55" i="280"/>
  <c r="U50" i="284"/>
  <c r="U50" i="282"/>
  <c r="U35" i="283"/>
  <c r="U113" i="285"/>
  <c r="U51" i="284"/>
  <c r="U52" i="284"/>
  <c r="U43" i="281"/>
  <c r="U10" i="286"/>
  <c r="U15" i="287"/>
  <c r="U82" i="278"/>
  <c r="U53" i="284"/>
  <c r="U30" i="279"/>
  <c r="U19" i="288"/>
  <c r="U51" i="282"/>
  <c r="U96" i="289"/>
  <c r="U83" i="278"/>
  <c r="U97" i="289"/>
  <c r="U84" i="278"/>
  <c r="U114" i="285"/>
  <c r="U115" i="285"/>
  <c r="U6" i="286"/>
  <c r="U47" i="281"/>
  <c r="U98" i="289"/>
  <c r="U8" i="279"/>
  <c r="U30" i="288"/>
  <c r="U20" i="279"/>
  <c r="U17" i="286"/>
  <c r="U56" i="280"/>
  <c r="U85" i="278"/>
  <c r="U86" i="278"/>
  <c r="U116" i="285"/>
  <c r="U21" i="286"/>
  <c r="U99" i="289"/>
  <c r="U55" i="281"/>
  <c r="U23" i="280"/>
  <c r="U87" i="278"/>
  <c r="U35" i="288"/>
  <c r="U88" i="278"/>
  <c r="U117" i="285"/>
  <c r="U7" i="281"/>
  <c r="U23" i="286"/>
  <c r="U89" i="278"/>
  <c r="U100" i="289"/>
  <c r="U42" i="280"/>
  <c r="U14" i="286"/>
  <c r="U54" i="284"/>
  <c r="U15" i="279"/>
  <c r="U49" i="281"/>
  <c r="U15" i="288"/>
  <c r="U36" i="283"/>
  <c r="U31" i="287"/>
  <c r="U25" i="279"/>
  <c r="U118" i="285"/>
  <c r="U55" i="284"/>
  <c r="U52" i="282"/>
  <c r="U37" i="283"/>
  <c r="U119" i="285"/>
  <c r="U33" i="290"/>
  <c r="U90" i="278"/>
  <c r="U56" i="284"/>
  <c r="U101" i="289"/>
  <c r="U120" i="285"/>
  <c r="U25" i="281"/>
  <c r="U91" i="278"/>
  <c r="U50" i="281"/>
  <c r="U15" i="281"/>
  <c r="U57" i="284"/>
  <c r="U29" i="286"/>
  <c r="U53" i="282"/>
  <c r="U92" i="278"/>
  <c r="U54" i="282"/>
  <c r="U93" i="278"/>
  <c r="U38" i="283"/>
  <c r="U55" i="282"/>
  <c r="U102" i="289"/>
  <c r="U121" i="285"/>
  <c r="U11" i="281"/>
  <c r="U122" i="285"/>
  <c r="U10" i="290"/>
  <c r="U9" i="280"/>
  <c r="U103" i="289"/>
  <c r="U11" i="286"/>
  <c r="U19" i="280"/>
  <c r="U46" i="280"/>
  <c r="U58" i="284"/>
  <c r="U123" i="285"/>
  <c r="U124" i="285"/>
  <c r="U39" i="281"/>
  <c r="U104" i="289"/>
  <c r="U12" i="280"/>
  <c r="U94" i="278"/>
  <c r="U50" i="280"/>
  <c r="U40" i="281"/>
  <c r="U20" i="280"/>
  <c r="U39" i="283"/>
  <c r="U51" i="281"/>
  <c r="U26" i="280"/>
  <c r="U12" i="277"/>
  <c r="U15" i="286"/>
  <c r="U59" i="284"/>
  <c r="U125" i="285"/>
  <c r="U40" i="283"/>
  <c r="U18" i="281"/>
  <c r="U56" i="282"/>
  <c r="U19" i="287"/>
  <c r="U60" i="284"/>
  <c r="U126" i="285"/>
  <c r="U41" i="283"/>
  <c r="U61" i="284"/>
  <c r="U57" i="282"/>
  <c r="U105" i="289"/>
  <c r="U24" i="286"/>
  <c r="U11" i="290"/>
  <c r="U127" i="285"/>
  <c r="U128" i="285"/>
  <c r="U129" i="285"/>
  <c r="U106" i="289"/>
  <c r="U130" i="285"/>
  <c r="U58" i="282"/>
  <c r="U21" i="277"/>
  <c r="U20" i="287"/>
  <c r="U131" i="285"/>
  <c r="U62" i="284"/>
  <c r="U29" i="281"/>
  <c r="U42" i="283"/>
  <c r="U21" i="287"/>
  <c r="U59" i="282"/>
  <c r="U11" i="288"/>
  <c r="U7" i="288"/>
  <c r="U63" i="284"/>
  <c r="U26" i="287"/>
  <c r="U132" i="285"/>
  <c r="U16" i="287"/>
  <c r="U12" i="279"/>
  <c r="U7" i="286"/>
  <c r="M5" i="298"/>
  <c r="M841" i="82"/>
  <c r="D171" i="303"/>
  <c r="H171" i="303"/>
  <c r="L171" i="303"/>
  <c r="N23" i="302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39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T6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K6" i="122"/>
  <c r="T3" i="123"/>
  <c r="K3" i="154"/>
  <c r="K5" i="154"/>
  <c r="K4" i="155"/>
  <c r="K5" i="156"/>
  <c r="K4" i="157"/>
  <c r="K6" i="157"/>
  <c r="K4" i="158"/>
  <c r="K6" i="158"/>
  <c r="K4" i="159"/>
  <c r="K4" i="160"/>
  <c r="T3" i="154"/>
  <c r="T5" i="154"/>
  <c r="T4" i="155"/>
  <c r="T5" i="156"/>
  <c r="T4" i="157"/>
  <c r="T6" i="157"/>
  <c r="T4" i="158"/>
  <c r="T6" i="158"/>
  <c r="T4" i="159"/>
  <c r="T4" i="160"/>
  <c r="T4" i="176"/>
  <c r="K4" i="176"/>
  <c r="K4" i="196"/>
  <c r="K6" i="51"/>
  <c r="K4" i="52"/>
  <c r="K6" i="52"/>
  <c r="K4" i="53"/>
  <c r="K4" i="56"/>
  <c r="K6" i="56"/>
  <c r="K4" i="57"/>
  <c r="T5" i="196"/>
  <c r="T5" i="51"/>
  <c r="T3" i="52"/>
  <c r="T5" i="52"/>
  <c r="T3" i="53"/>
  <c r="T3" i="54"/>
  <c r="T6" i="54"/>
  <c r="T3" i="56"/>
  <c r="T5" i="56"/>
  <c r="T3" i="57"/>
  <c r="K7" i="70"/>
  <c r="K3" i="76"/>
  <c r="K6" i="76"/>
  <c r="K4" i="200"/>
  <c r="K4" i="201"/>
  <c r="K6" i="201"/>
  <c r="K3" i="203"/>
  <c r="K4" i="204"/>
  <c r="K3" i="205"/>
  <c r="T7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5" i="234"/>
  <c r="T6" i="235"/>
  <c r="T3" i="238"/>
  <c r="T6" i="238"/>
  <c r="T4" i="239"/>
  <c r="T3" i="240"/>
  <c r="T5" i="240"/>
  <c r="T3" i="241"/>
  <c r="T5" i="241"/>
  <c r="K5" i="234"/>
  <c r="K6" i="235"/>
  <c r="K3" i="238"/>
  <c r="K6" i="238"/>
  <c r="K4" i="239"/>
  <c r="K3" i="240"/>
  <c r="K5" i="240"/>
  <c r="K3" i="241"/>
  <c r="K5" i="241"/>
  <c r="T3" i="254"/>
  <c r="T5" i="254"/>
  <c r="T3" i="255"/>
  <c r="T3" i="256"/>
  <c r="T5" i="256"/>
  <c r="T3" i="257"/>
  <c r="T5" i="257"/>
  <c r="T4" i="258"/>
  <c r="T6" i="258"/>
  <c r="T3" i="259"/>
  <c r="K5" i="254"/>
  <c r="K3" i="255"/>
  <c r="K5" i="256"/>
  <c r="K3" i="257"/>
  <c r="K5" i="257"/>
  <c r="K4" i="258"/>
  <c r="K6" i="258"/>
  <c r="K3" i="259"/>
  <c r="T6" i="256"/>
  <c r="T4" i="257"/>
  <c r="T7" i="258"/>
  <c r="K4" i="254"/>
  <c r="K6" i="254"/>
  <c r="K4" i="255"/>
  <c r="K4" i="256"/>
  <c r="K6" i="256"/>
  <c r="K4" i="257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O9" i="302" l="1"/>
  <c r="C10" i="25"/>
  <c r="O8" i="302"/>
  <c r="C9" i="25"/>
  <c r="O13" i="302"/>
  <c r="C14" i="25"/>
  <c r="O14" i="302"/>
  <c r="C15" i="25"/>
  <c r="O7" i="302"/>
  <c r="C8" i="25"/>
  <c r="O12" i="302"/>
  <c r="C13" i="25"/>
  <c r="O15" i="302"/>
  <c r="C16" i="25"/>
  <c r="O11" i="302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K69" i="296"/>
  <c r="P73" i="296"/>
  <c r="P69" i="296"/>
  <c r="E73" i="296"/>
  <c r="E69" i="296"/>
  <c r="D73" i="296"/>
  <c r="D69" i="296"/>
  <c r="J68" i="296"/>
  <c r="J69" i="296" s="1"/>
  <c r="J70" i="296" s="1"/>
  <c r="G69" i="296"/>
  <c r="F68" i="296"/>
  <c r="F69" i="296" s="1"/>
  <c r="I73" i="296"/>
  <c r="I69" i="296"/>
  <c r="O70" i="295"/>
  <c r="G70" i="295"/>
  <c r="L70" i="295"/>
  <c r="L54" i="295" s="1"/>
  <c r="H70" i="295"/>
  <c r="I70" i="295" s="1"/>
  <c r="C70" i="295"/>
  <c r="E22" i="295"/>
  <c r="F83" i="303"/>
  <c r="N108" i="80"/>
  <c r="N20" i="164" s="1"/>
  <c r="M87" i="295"/>
  <c r="Q94" i="295"/>
  <c r="N170" i="81"/>
  <c r="Y10" i="225" s="1"/>
  <c r="N171" i="81"/>
  <c r="Y11" i="225" s="1"/>
  <c r="N174" i="80"/>
  <c r="N10" i="225" s="1"/>
  <c r="N175" i="80"/>
  <c r="N11" i="225" s="1"/>
  <c r="I87" i="295"/>
  <c r="M94" i="295"/>
  <c r="H14" i="303"/>
  <c r="F71" i="303"/>
  <c r="H26" i="303"/>
  <c r="I26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57" i="303"/>
  <c r="I57" i="303" s="1"/>
  <c r="J57" i="303" s="1"/>
  <c r="K57" i="303" s="1"/>
  <c r="L57" i="303" s="1"/>
  <c r="M57" i="303" s="1"/>
  <c r="N57" i="303" s="1"/>
  <c r="O57" i="303" s="1"/>
  <c r="I86" i="295"/>
  <c r="I90" i="295"/>
  <c r="I91" i="295"/>
  <c r="M83" i="295"/>
  <c r="N68" i="80"/>
  <c r="N15" i="131" s="1"/>
  <c r="M82" i="295"/>
  <c r="N116" i="80"/>
  <c r="N5" i="190" s="1"/>
  <c r="A130" i="79"/>
  <c r="M86" i="295"/>
  <c r="A200" i="79"/>
  <c r="N204" i="80"/>
  <c r="N11" i="262" s="1"/>
  <c r="A14" i="79"/>
  <c r="N163" i="80"/>
  <c r="N7" i="216" s="1"/>
  <c r="A137" i="79"/>
  <c r="A45" i="79"/>
  <c r="A10" i="79"/>
  <c r="A34" i="79"/>
  <c r="A171" i="79"/>
  <c r="A55" i="79"/>
  <c r="A199" i="79"/>
  <c r="N197" i="81"/>
  <c r="Y8" i="262" s="1"/>
  <c r="A104" i="79"/>
  <c r="A145" i="79"/>
  <c r="A13" i="79"/>
  <c r="N57" i="80"/>
  <c r="N33" i="101" s="1"/>
  <c r="A164" i="79"/>
  <c r="A121" i="79"/>
  <c r="A83" i="79"/>
  <c r="A120" i="79"/>
  <c r="A187" i="79"/>
  <c r="A150" i="79"/>
  <c r="A100" i="79"/>
  <c r="N43" i="80"/>
  <c r="N19" i="101" s="1"/>
  <c r="A38" i="79"/>
  <c r="A79" i="79"/>
  <c r="A77" i="79"/>
  <c r="A172" i="79"/>
  <c r="A59" i="79"/>
  <c r="A13" i="305"/>
  <c r="J6" i="296"/>
  <c r="A208" i="79"/>
  <c r="A20" i="79"/>
  <c r="N63" i="81"/>
  <c r="Y13" i="131" s="1"/>
  <c r="N75" i="80"/>
  <c r="N22" i="131" s="1"/>
  <c r="A194" i="79"/>
  <c r="A136" i="79"/>
  <c r="A98" i="79"/>
  <c r="A60" i="79"/>
  <c r="A15" i="79"/>
  <c r="N133" i="80"/>
  <c r="N14" i="50" s="1"/>
  <c r="N117" i="80"/>
  <c r="N6" i="190" s="1"/>
  <c r="N26" i="80"/>
  <c r="N17" i="36" s="1"/>
  <c r="N156" i="80"/>
  <c r="N15" i="199" s="1"/>
  <c r="A74" i="79"/>
  <c r="A189" i="79"/>
  <c r="A173" i="79"/>
  <c r="N212" i="80"/>
  <c r="N164" i="80"/>
  <c r="N8" i="216" s="1"/>
  <c r="N100" i="80"/>
  <c r="N12" i="164" s="1"/>
  <c r="N149" i="80"/>
  <c r="N8" i="199" s="1"/>
  <c r="N82" i="80"/>
  <c r="N29" i="131" s="1"/>
  <c r="A192" i="79"/>
  <c r="A154" i="79"/>
  <c r="A35" i="79"/>
  <c r="A140" i="79"/>
  <c r="A63" i="79"/>
  <c r="A25" i="79"/>
  <c r="A89" i="79"/>
  <c r="A2" i="79"/>
  <c r="A156" i="79"/>
  <c r="A131" i="79"/>
  <c r="A88" i="79"/>
  <c r="A43" i="79"/>
  <c r="A139" i="78"/>
  <c r="A181" i="79"/>
  <c r="A155" i="79"/>
  <c r="A118" i="79"/>
  <c r="A39" i="79"/>
  <c r="N196" i="80"/>
  <c r="N13" i="250" s="1"/>
  <c r="N148" i="80"/>
  <c r="N7" i="199" s="1"/>
  <c r="N99" i="80"/>
  <c r="N11" i="164" s="1"/>
  <c r="N42" i="80"/>
  <c r="N18" i="101" s="1"/>
  <c r="A178" i="79"/>
  <c r="A102" i="79"/>
  <c r="A64" i="79"/>
  <c r="A19" i="79"/>
  <c r="A29" i="79"/>
  <c r="A61" i="79"/>
  <c r="A93" i="79"/>
  <c r="A161" i="79"/>
  <c r="A193" i="79"/>
  <c r="A186" i="79"/>
  <c r="A146" i="79"/>
  <c r="A129" i="79"/>
  <c r="A113" i="79"/>
  <c r="A78" i="79"/>
  <c r="A40" i="79"/>
  <c r="A206" i="79"/>
  <c r="A179" i="79"/>
  <c r="A152" i="79"/>
  <c r="A114" i="79"/>
  <c r="A36" i="79"/>
  <c r="N188" i="80"/>
  <c r="N5" i="250" s="1"/>
  <c r="N132" i="80"/>
  <c r="N13" i="50" s="1"/>
  <c r="N91" i="80"/>
  <c r="N38" i="131" s="1"/>
  <c r="N25" i="80"/>
  <c r="N16" i="36" s="1"/>
  <c r="N197" i="80"/>
  <c r="N14" i="250" s="1"/>
  <c r="N69" i="80"/>
  <c r="N16" i="131" s="1"/>
  <c r="N9" i="80"/>
  <c r="N12" i="1" s="1"/>
  <c r="A80" i="79"/>
  <c r="A202" i="79"/>
  <c r="A108" i="79"/>
  <c r="A18" i="79"/>
  <c r="A57" i="79"/>
  <c r="A157" i="79"/>
  <c r="A190" i="79"/>
  <c r="A115" i="79"/>
  <c r="A84" i="79"/>
  <c r="A174" i="79"/>
  <c r="A99" i="79"/>
  <c r="A54" i="79"/>
  <c r="A16" i="79"/>
  <c r="A160" i="79"/>
  <c r="A124" i="79"/>
  <c r="A82" i="79"/>
  <c r="A44" i="79"/>
  <c r="A9" i="79"/>
  <c r="A41" i="79"/>
  <c r="A73" i="79"/>
  <c r="A105" i="79"/>
  <c r="A195" i="79"/>
  <c r="A205" i="79"/>
  <c r="A176" i="79"/>
  <c r="A139" i="79"/>
  <c r="A123" i="79"/>
  <c r="A107" i="79"/>
  <c r="A62" i="79"/>
  <c r="A24" i="79"/>
  <c r="A134" i="79"/>
  <c r="A103" i="79"/>
  <c r="A58" i="79"/>
  <c r="N180" i="80"/>
  <c r="N9" i="237" s="1"/>
  <c r="N124" i="80"/>
  <c r="N5" i="50" s="1"/>
  <c r="N8" i="80"/>
  <c r="N11" i="1" s="1"/>
  <c r="N181" i="80"/>
  <c r="N10" i="237" s="1"/>
  <c r="N61" i="80"/>
  <c r="N8" i="131" s="1"/>
  <c r="A182" i="79"/>
  <c r="A167" i="79"/>
  <c r="A148" i="79"/>
  <c r="A86" i="79"/>
  <c r="A67" i="79"/>
  <c r="A48" i="79"/>
  <c r="A22" i="79"/>
  <c r="A4" i="79"/>
  <c r="N23" i="81"/>
  <c r="Y15" i="36" s="1"/>
  <c r="N17" i="80"/>
  <c r="N8" i="36" s="1"/>
  <c r="N159" i="81"/>
  <c r="Y7" i="216" s="1"/>
  <c r="A198" i="79"/>
  <c r="A142" i="79"/>
  <c r="A126" i="79"/>
  <c r="A110" i="79"/>
  <c r="A33" i="79"/>
  <c r="A94" i="79"/>
  <c r="A197" i="79"/>
  <c r="A17" i="79"/>
  <c r="N48" i="81"/>
  <c r="Y26" i="101" s="1"/>
  <c r="N195" i="80"/>
  <c r="N12" i="250" s="1"/>
  <c r="A188" i="79"/>
  <c r="A170" i="79"/>
  <c r="A151" i="79"/>
  <c r="A96" i="79"/>
  <c r="A70" i="79"/>
  <c r="A51" i="79"/>
  <c r="A32" i="79"/>
  <c r="A6" i="79"/>
  <c r="A166" i="79"/>
  <c r="A147" i="79"/>
  <c r="A132" i="79"/>
  <c r="A116" i="79"/>
  <c r="A95" i="79"/>
  <c r="A76" i="79"/>
  <c r="A50" i="79"/>
  <c r="A31" i="79"/>
  <c r="A12" i="79"/>
  <c r="A49" i="79"/>
  <c r="A65" i="79"/>
  <c r="A81" i="79"/>
  <c r="A97" i="79"/>
  <c r="A149" i="79"/>
  <c r="A165" i="79"/>
  <c r="A203" i="79"/>
  <c r="A204" i="79"/>
  <c r="A184" i="79"/>
  <c r="A162" i="79"/>
  <c r="A143" i="79"/>
  <c r="A135" i="79"/>
  <c r="A127" i="79"/>
  <c r="A119" i="79"/>
  <c r="A111" i="79"/>
  <c r="A75" i="79"/>
  <c r="A56" i="79"/>
  <c r="A30" i="79"/>
  <c r="A11" i="79"/>
  <c r="A185" i="79"/>
  <c r="A177" i="79"/>
  <c r="A168" i="79"/>
  <c r="A90" i="79"/>
  <c r="A71" i="79"/>
  <c r="A52" i="79"/>
  <c r="A26" i="79"/>
  <c r="A7" i="79"/>
  <c r="N176" i="81"/>
  <c r="Y9" i="237" s="1"/>
  <c r="A163" i="79"/>
  <c r="A144" i="79"/>
  <c r="A128" i="79"/>
  <c r="A112" i="79"/>
  <c r="A92" i="79"/>
  <c r="A66" i="79"/>
  <c r="A47" i="79"/>
  <c r="A28" i="79"/>
  <c r="A5" i="79"/>
  <c r="A21" i="79"/>
  <c r="A37" i="79"/>
  <c r="A53" i="79"/>
  <c r="A69" i="79"/>
  <c r="A85" i="79"/>
  <c r="A101" i="79"/>
  <c r="A153" i="79"/>
  <c r="A169" i="79"/>
  <c r="A207" i="79"/>
  <c r="A201" i="79"/>
  <c r="A196" i="79"/>
  <c r="A180" i="79"/>
  <c r="A159" i="79"/>
  <c r="A141" i="79"/>
  <c r="A133" i="79"/>
  <c r="A125" i="79"/>
  <c r="A117" i="79"/>
  <c r="A109" i="79"/>
  <c r="A91" i="79"/>
  <c r="A72" i="79"/>
  <c r="A46" i="79"/>
  <c r="A27" i="79"/>
  <c r="A8" i="79"/>
  <c r="A191" i="79"/>
  <c r="A183" i="79"/>
  <c r="A175" i="79"/>
  <c r="A158" i="79"/>
  <c r="A138" i="79"/>
  <c r="A122" i="79"/>
  <c r="A106" i="79"/>
  <c r="A87" i="79"/>
  <c r="A68" i="79"/>
  <c r="A42" i="79"/>
  <c r="A23" i="79"/>
  <c r="N111" i="81"/>
  <c r="Y11" i="182" s="1"/>
  <c r="N112" i="81"/>
  <c r="Y5" i="190" s="1"/>
  <c r="N165" i="81"/>
  <c r="Y5" i="225" s="1"/>
  <c r="N12" i="80"/>
  <c r="N15" i="1" s="1"/>
  <c r="N98" i="81"/>
  <c r="Y13" i="164" s="1"/>
  <c r="N140" i="80"/>
  <c r="N21" i="50" s="1"/>
  <c r="N49" i="80"/>
  <c r="N25" i="101" s="1"/>
  <c r="N107" i="80"/>
  <c r="N19" i="164" s="1"/>
  <c r="N34" i="80"/>
  <c r="N10" i="101" s="1"/>
  <c r="N171" i="80"/>
  <c r="N7" i="225" s="1"/>
  <c r="N83" i="80"/>
  <c r="N30" i="131" s="1"/>
  <c r="N205" i="81"/>
  <c r="Y8" i="270" s="1"/>
  <c r="N173" i="81"/>
  <c r="Y6" i="237" s="1"/>
  <c r="N64" i="81"/>
  <c r="Y14" i="131" s="1"/>
  <c r="N145" i="80"/>
  <c r="N26" i="50" s="1"/>
  <c r="N5" i="80"/>
  <c r="N8" i="1" s="1"/>
  <c r="N114" i="81"/>
  <c r="Y7" i="190" s="1"/>
  <c r="N54" i="80"/>
  <c r="N30" i="101" s="1"/>
  <c r="N134" i="80"/>
  <c r="N15" i="50" s="1"/>
  <c r="N101" i="80"/>
  <c r="N13" i="164" s="1"/>
  <c r="N36" i="80"/>
  <c r="N12" i="101" s="1"/>
  <c r="N142" i="80"/>
  <c r="N23" i="50" s="1"/>
  <c r="N206" i="80"/>
  <c r="N5" i="270" s="1"/>
  <c r="N198" i="80"/>
  <c r="N5" i="262" s="1"/>
  <c r="N190" i="80"/>
  <c r="N7" i="250" s="1"/>
  <c r="N182" i="80"/>
  <c r="N11" i="237" s="1"/>
  <c r="N159" i="80"/>
  <c r="N18" i="199" s="1"/>
  <c r="N137" i="80"/>
  <c r="N18" i="50" s="1"/>
  <c r="N126" i="80"/>
  <c r="N7" i="50" s="1"/>
  <c r="N118" i="80"/>
  <c r="N7" i="190" s="1"/>
  <c r="N70" i="80"/>
  <c r="N17" i="131" s="1"/>
  <c r="N51" i="80"/>
  <c r="N27" i="101" s="1"/>
  <c r="N31" i="80"/>
  <c r="N7" i="101" s="1"/>
  <c r="N186" i="80"/>
  <c r="N15" i="237" s="1"/>
  <c r="N205" i="80"/>
  <c r="N12" i="262" s="1"/>
  <c r="N189" i="80"/>
  <c r="N6" i="250" s="1"/>
  <c r="N170" i="80"/>
  <c r="N6" i="225" s="1"/>
  <c r="N129" i="80"/>
  <c r="N10" i="50" s="1"/>
  <c r="N112" i="80"/>
  <c r="N8" i="182" s="1"/>
  <c r="N92" i="80"/>
  <c r="N39" i="131" s="1"/>
  <c r="N71" i="80"/>
  <c r="N18" i="131" s="1"/>
  <c r="N63" i="80"/>
  <c r="N10" i="131" s="1"/>
  <c r="N21" i="80"/>
  <c r="N12" i="36" s="1"/>
  <c r="N113" i="80"/>
  <c r="N9" i="182" s="1"/>
  <c r="N27" i="80"/>
  <c r="N18" i="36" s="1"/>
  <c r="N39" i="81"/>
  <c r="Y17" i="101" s="1"/>
  <c r="N84" i="80"/>
  <c r="N31" i="131" s="1"/>
  <c r="N32" i="81"/>
  <c r="Y10" i="101" s="1"/>
  <c r="N55" i="81"/>
  <c r="Y33" i="101" s="1"/>
  <c r="N201" i="80"/>
  <c r="N8" i="262" s="1"/>
  <c r="N185" i="80"/>
  <c r="N14" i="237" s="1"/>
  <c r="N87" i="80"/>
  <c r="N34" i="131" s="1"/>
  <c r="N162" i="80"/>
  <c r="N6" i="216" s="1"/>
  <c r="N208" i="81"/>
  <c r="N192" i="81"/>
  <c r="Y13" i="250" s="1"/>
  <c r="N158" i="81"/>
  <c r="Y6" i="216" s="1"/>
  <c r="N131" i="81"/>
  <c r="Y16" i="50" s="1"/>
  <c r="N79" i="81"/>
  <c r="Y29" i="131" s="1"/>
  <c r="N71" i="81"/>
  <c r="Y21" i="131" s="1"/>
  <c r="N31" i="81"/>
  <c r="Y9" i="101" s="1"/>
  <c r="N128" i="81"/>
  <c r="Y13" i="50" s="1"/>
  <c r="N121" i="80"/>
  <c r="N10" i="190" s="1"/>
  <c r="N182" i="81"/>
  <c r="Y15" i="237" s="1"/>
  <c r="N146" i="80"/>
  <c r="N5" i="199" s="1"/>
  <c r="N103" i="80"/>
  <c r="N15" i="164" s="1"/>
  <c r="N44" i="80"/>
  <c r="N20" i="101" s="1"/>
  <c r="N15" i="81"/>
  <c r="Y7" i="36" s="1"/>
  <c r="N165" i="80"/>
  <c r="N9" i="216" s="1"/>
  <c r="N46" i="80"/>
  <c r="N22" i="101" s="1"/>
  <c r="N11" i="80"/>
  <c r="N14" i="1" s="1"/>
  <c r="N138" i="80"/>
  <c r="N19" i="50" s="1"/>
  <c r="N105" i="80"/>
  <c r="N17" i="164" s="1"/>
  <c r="N72" i="80"/>
  <c r="N19" i="131" s="1"/>
  <c r="N39" i="80"/>
  <c r="N15" i="101" s="1"/>
  <c r="N7" i="80"/>
  <c r="N10" i="1" s="1"/>
  <c r="N73" i="80"/>
  <c r="N20" i="131" s="1"/>
  <c r="N10" i="80"/>
  <c r="N13" i="1" s="1"/>
  <c r="N208" i="80"/>
  <c r="N7" i="270" s="1"/>
  <c r="N192" i="80"/>
  <c r="N9" i="250" s="1"/>
  <c r="N154" i="80"/>
  <c r="N13" i="199" s="1"/>
  <c r="N128" i="80"/>
  <c r="N9" i="50" s="1"/>
  <c r="N120" i="80"/>
  <c r="N9" i="190" s="1"/>
  <c r="N95" i="80"/>
  <c r="N7" i="164" s="1"/>
  <c r="N81" i="80"/>
  <c r="N28" i="131" s="1"/>
  <c r="N66" i="80"/>
  <c r="N13" i="131" s="1"/>
  <c r="N15" i="80"/>
  <c r="N6" i="36" s="1"/>
  <c r="N155" i="80"/>
  <c r="N14" i="199" s="1"/>
  <c r="N139" i="80"/>
  <c r="N20" i="50" s="1"/>
  <c r="N125" i="80"/>
  <c r="N6" i="50" s="1"/>
  <c r="N106" i="80"/>
  <c r="N18" i="164" s="1"/>
  <c r="N76" i="80"/>
  <c r="N23" i="131" s="1"/>
  <c r="N65" i="80"/>
  <c r="N12" i="131" s="1"/>
  <c r="N53" i="80"/>
  <c r="N29" i="101" s="1"/>
  <c r="N33" i="80"/>
  <c r="N9" i="101" s="1"/>
  <c r="N16" i="80"/>
  <c r="N7" i="36" s="1"/>
  <c r="N178" i="80"/>
  <c r="N7" i="237" s="1"/>
  <c r="N161" i="80"/>
  <c r="N5" i="216" s="1"/>
  <c r="N114" i="80"/>
  <c r="N10" i="182" s="1"/>
  <c r="N89" i="80"/>
  <c r="N36" i="131" s="1"/>
  <c r="N60" i="80"/>
  <c r="N7" i="131" s="1"/>
  <c r="N40" i="80"/>
  <c r="N16" i="101" s="1"/>
  <c r="N23" i="80"/>
  <c r="N14" i="36" s="1"/>
  <c r="N6" i="80"/>
  <c r="N9" i="1" s="1"/>
  <c r="N167" i="80"/>
  <c r="N11" i="216" s="1"/>
  <c r="N110" i="80"/>
  <c r="N6" i="182" s="1"/>
  <c r="N200" i="80"/>
  <c r="N7" i="262" s="1"/>
  <c r="N184" i="80"/>
  <c r="N13" i="237" s="1"/>
  <c r="N169" i="80"/>
  <c r="N5" i="225" s="1"/>
  <c r="N32" i="80"/>
  <c r="N8" i="101" s="1"/>
  <c r="N168" i="80"/>
  <c r="N12" i="216" s="1"/>
  <c r="N153" i="80"/>
  <c r="N12" i="199" s="1"/>
  <c r="N104" i="80"/>
  <c r="N16" i="164" s="1"/>
  <c r="N93" i="80"/>
  <c r="N5" i="164" s="1"/>
  <c r="N80" i="80"/>
  <c r="N27" i="131" s="1"/>
  <c r="N62" i="80"/>
  <c r="N9" i="131" s="1"/>
  <c r="N47" i="80"/>
  <c r="N23" i="101" s="1"/>
  <c r="N14" i="80"/>
  <c r="N5" i="36" s="1"/>
  <c r="N150" i="80"/>
  <c r="N9" i="199" s="1"/>
  <c r="N177" i="80"/>
  <c r="N6" i="237" s="1"/>
  <c r="N88" i="80"/>
  <c r="N35" i="131" s="1"/>
  <c r="N22" i="80"/>
  <c r="N13" i="36" s="1"/>
  <c r="N210" i="80"/>
  <c r="N9" i="270" s="1"/>
  <c r="N202" i="80"/>
  <c r="N9" i="262" s="1"/>
  <c r="N194" i="80"/>
  <c r="N11" i="250" s="1"/>
  <c r="N143" i="80"/>
  <c r="N24" i="50" s="1"/>
  <c r="N130" i="80"/>
  <c r="N11" i="50" s="1"/>
  <c r="N122" i="80"/>
  <c r="N11" i="190" s="1"/>
  <c r="N111" i="80"/>
  <c r="N7" i="182" s="1"/>
  <c r="N97" i="80"/>
  <c r="N9" i="164" s="1"/>
  <c r="N86" i="80"/>
  <c r="N33" i="131" s="1"/>
  <c r="N52" i="80"/>
  <c r="N28" i="101" s="1"/>
  <c r="N37" i="80"/>
  <c r="N13" i="101" s="1"/>
  <c r="N20" i="80"/>
  <c r="N11" i="36" s="1"/>
  <c r="N3" i="80"/>
  <c r="N6" i="1" s="1"/>
  <c r="N209" i="80"/>
  <c r="N8" i="270" s="1"/>
  <c r="N193" i="80"/>
  <c r="N10" i="250" s="1"/>
  <c r="N176" i="80"/>
  <c r="N5" i="237" s="1"/>
  <c r="N160" i="80"/>
  <c r="N19" i="199" s="1"/>
  <c r="N144" i="80"/>
  <c r="N25" i="50" s="1"/>
  <c r="N96" i="80"/>
  <c r="N8" i="164" s="1"/>
  <c r="N77" i="80"/>
  <c r="N24" i="131" s="1"/>
  <c r="N67" i="80"/>
  <c r="N14" i="131" s="1"/>
  <c r="N58" i="80"/>
  <c r="N34" i="101" s="1"/>
  <c r="N38" i="80"/>
  <c r="N14" i="101" s="1"/>
  <c r="N4" i="80"/>
  <c r="N7" i="1" s="1"/>
  <c r="N166" i="80"/>
  <c r="N10" i="216" s="1"/>
  <c r="N151" i="80"/>
  <c r="N10" i="199" s="1"/>
  <c r="N135" i="80"/>
  <c r="N16" i="50" s="1"/>
  <c r="N102" i="80"/>
  <c r="N14" i="164" s="1"/>
  <c r="N78" i="80"/>
  <c r="N25" i="131" s="1"/>
  <c r="N64" i="80"/>
  <c r="N11" i="131" s="1"/>
  <c r="N45" i="80"/>
  <c r="N21" i="101" s="1"/>
  <c r="N28" i="80"/>
  <c r="N19" i="36" s="1"/>
  <c r="N191" i="80"/>
  <c r="N8" i="250" s="1"/>
  <c r="N131" i="80"/>
  <c r="N12" i="50" s="1"/>
  <c r="N79" i="80"/>
  <c r="N26" i="131" s="1"/>
  <c r="N143" i="81"/>
  <c r="Y6" i="199" s="1"/>
  <c r="N181" i="81"/>
  <c r="Y14" i="237" s="1"/>
  <c r="N144" i="81"/>
  <c r="Y7" i="199" s="1"/>
  <c r="N80" i="81"/>
  <c r="Y30" i="131" s="1"/>
  <c r="N16" i="81"/>
  <c r="Y8" i="36" s="1"/>
  <c r="N198" i="81"/>
  <c r="Y9" i="262" s="1"/>
  <c r="N130" i="81"/>
  <c r="Y15" i="50" s="1"/>
  <c r="N127" i="81"/>
  <c r="Y12" i="50" s="1"/>
  <c r="N121" i="81"/>
  <c r="Y6" i="50" s="1"/>
  <c r="N100" i="81"/>
  <c r="Y15" i="164" s="1"/>
  <c r="N42" i="81"/>
  <c r="Y20" i="101" s="1"/>
  <c r="N20" i="81"/>
  <c r="Y12" i="36" s="1"/>
  <c r="N201" i="81"/>
  <c r="Y12" i="262" s="1"/>
  <c r="N193" i="81"/>
  <c r="Y14" i="250" s="1"/>
  <c r="N185" i="81"/>
  <c r="Y6" i="250" s="1"/>
  <c r="N177" i="81"/>
  <c r="Y10" i="237" s="1"/>
  <c r="N166" i="81"/>
  <c r="Y6" i="225" s="1"/>
  <c r="N156" i="81"/>
  <c r="Y19" i="199" s="1"/>
  <c r="N148" i="81"/>
  <c r="Y11" i="199" s="1"/>
  <c r="N133" i="81"/>
  <c r="Y18" i="50" s="1"/>
  <c r="N91" i="81"/>
  <c r="Y6" i="164" s="1"/>
  <c r="N72" i="81"/>
  <c r="Y22" i="131" s="1"/>
  <c r="N54" i="81"/>
  <c r="Y32" i="101" s="1"/>
  <c r="N11" i="81"/>
  <c r="Y14" i="1" s="1"/>
  <c r="N60" i="81"/>
  <c r="Y10" i="131" s="1"/>
  <c r="N37" i="81"/>
  <c r="Y15" i="101" s="1"/>
  <c r="N206" i="81"/>
  <c r="Y9" i="270" s="1"/>
  <c r="N190" i="81"/>
  <c r="Y11" i="250" s="1"/>
  <c r="N174" i="81"/>
  <c r="Y7" i="237" s="1"/>
  <c r="N140" i="81"/>
  <c r="Y25" i="50" s="1"/>
  <c r="N113" i="81"/>
  <c r="Y6" i="190" s="1"/>
  <c r="N90" i="81"/>
  <c r="Y5" i="164" s="1"/>
  <c r="N34" i="81"/>
  <c r="Y12" i="101" s="1"/>
  <c r="N129" i="81"/>
  <c r="Y14" i="50" s="1"/>
  <c r="N44" i="81"/>
  <c r="Y22" i="101" s="1"/>
  <c r="N86" i="81"/>
  <c r="Y36" i="131" s="1"/>
  <c r="N70" i="81"/>
  <c r="Y20" i="131" s="1"/>
  <c r="N33" i="81"/>
  <c r="Y11" i="101" s="1"/>
  <c r="N13" i="81"/>
  <c r="Y5" i="36" s="1"/>
  <c r="N134" i="81"/>
  <c r="Y19" i="50" s="1"/>
  <c r="N8" i="81"/>
  <c r="Y11" i="1" s="1"/>
  <c r="N95" i="81"/>
  <c r="Y10" i="164" s="1"/>
  <c r="N47" i="81"/>
  <c r="Y25" i="101" s="1"/>
  <c r="N189" i="81"/>
  <c r="Y10" i="250" s="1"/>
  <c r="N152" i="81"/>
  <c r="Y15" i="199" s="1"/>
  <c r="N96" i="81"/>
  <c r="Y11" i="164" s="1"/>
  <c r="N149" i="81"/>
  <c r="Y12" i="199" s="1"/>
  <c r="N82" i="81"/>
  <c r="Y32" i="131" s="1"/>
  <c r="N7" i="81"/>
  <c r="Y10" i="1" s="1"/>
  <c r="N19" i="81"/>
  <c r="Y11" i="36" s="1"/>
  <c r="N28" i="81"/>
  <c r="Y20" i="36" s="1"/>
  <c r="N12" i="81"/>
  <c r="Y15" i="1" s="1"/>
  <c r="N66" i="81"/>
  <c r="Y16" i="131" s="1"/>
  <c r="N200" i="81"/>
  <c r="Y11" i="262" s="1"/>
  <c r="N184" i="81"/>
  <c r="Y5" i="250" s="1"/>
  <c r="N167" i="81"/>
  <c r="Y7" i="225" s="1"/>
  <c r="N151" i="81"/>
  <c r="Y14" i="199" s="1"/>
  <c r="N137" i="81"/>
  <c r="Y22" i="50" s="1"/>
  <c r="N105" i="81"/>
  <c r="Y5" i="182" s="1"/>
  <c r="N89" i="81"/>
  <c r="Y39" i="131" s="1"/>
  <c r="N75" i="81"/>
  <c r="Y25" i="131" s="1"/>
  <c r="N67" i="81"/>
  <c r="Y17" i="131" s="1"/>
  <c r="N53" i="81"/>
  <c r="Y31" i="101" s="1"/>
  <c r="N21" i="81"/>
  <c r="Y13" i="36" s="1"/>
  <c r="N5" i="81"/>
  <c r="Y8" i="1" s="1"/>
  <c r="N118" i="81"/>
  <c r="Y11" i="190" s="1"/>
  <c r="N102" i="81"/>
  <c r="Y17" i="164" s="1"/>
  <c r="N38" i="81"/>
  <c r="Y16" i="101" s="1"/>
  <c r="N22" i="81"/>
  <c r="Y14" i="36" s="1"/>
  <c r="N6" i="81"/>
  <c r="Y9" i="1" s="1"/>
  <c r="N124" i="81"/>
  <c r="Y9" i="50" s="1"/>
  <c r="N108" i="81"/>
  <c r="Y8" i="182" s="1"/>
  <c r="N92" i="81"/>
  <c r="Y7" i="164" s="1"/>
  <c r="N61" i="81"/>
  <c r="Y11" i="131" s="1"/>
  <c r="N45" i="81"/>
  <c r="Y23" i="101" s="1"/>
  <c r="N29" i="81"/>
  <c r="Y7" i="101" s="1"/>
  <c r="N196" i="81"/>
  <c r="Y7" i="262" s="1"/>
  <c r="N180" i="81"/>
  <c r="Y13" i="237" s="1"/>
  <c r="N163" i="81"/>
  <c r="Y11" i="216" s="1"/>
  <c r="N147" i="81"/>
  <c r="Y10" i="199" s="1"/>
  <c r="N132" i="81"/>
  <c r="Y17" i="50" s="1"/>
  <c r="N116" i="81"/>
  <c r="Y9" i="190" s="1"/>
  <c r="N84" i="81"/>
  <c r="Y34" i="131" s="1"/>
  <c r="N73" i="81"/>
  <c r="Y23" i="131" s="1"/>
  <c r="N65" i="81"/>
  <c r="Y15" i="131" s="1"/>
  <c r="N52" i="81"/>
  <c r="Y30" i="101" s="1"/>
  <c r="N36" i="81"/>
  <c r="Y14" i="101" s="1"/>
  <c r="N4" i="81"/>
  <c r="Y7" i="1" s="1"/>
  <c r="N207" i="81"/>
  <c r="Y10" i="270" s="1"/>
  <c r="N199" i="81"/>
  <c r="Y10" i="262" s="1"/>
  <c r="N191" i="81"/>
  <c r="Y12" i="250" s="1"/>
  <c r="N183" i="81"/>
  <c r="Y16" i="237" s="1"/>
  <c r="N175" i="81"/>
  <c r="Y8" i="237" s="1"/>
  <c r="N164" i="81"/>
  <c r="Y12" i="216" s="1"/>
  <c r="N154" i="81"/>
  <c r="Y17" i="199" s="1"/>
  <c r="N146" i="81"/>
  <c r="Y9" i="199" s="1"/>
  <c r="N117" i="81"/>
  <c r="Y10" i="190" s="1"/>
  <c r="N101" i="81"/>
  <c r="Y16" i="164" s="1"/>
  <c r="N85" i="81"/>
  <c r="Y35" i="131" s="1"/>
  <c r="N68" i="81"/>
  <c r="Y18" i="131" s="1"/>
  <c r="N49" i="81"/>
  <c r="Y27" i="101" s="1"/>
  <c r="N17" i="81"/>
  <c r="Y9" i="36" s="1"/>
  <c r="N202" i="81"/>
  <c r="Y5" i="270" s="1"/>
  <c r="N186" i="81"/>
  <c r="Y7" i="250" s="1"/>
  <c r="N169" i="81"/>
  <c r="Y9" i="225" s="1"/>
  <c r="N153" i="81"/>
  <c r="Y16" i="199" s="1"/>
  <c r="N135" i="81"/>
  <c r="Y20" i="50" s="1"/>
  <c r="N119" i="81"/>
  <c r="Y12" i="190" s="1"/>
  <c r="N103" i="81"/>
  <c r="Y18" i="164" s="1"/>
  <c r="N87" i="81"/>
  <c r="Y37" i="131" s="1"/>
  <c r="N204" i="81"/>
  <c r="Y7" i="270" s="1"/>
  <c r="N188" i="81"/>
  <c r="Y9" i="250" s="1"/>
  <c r="N172" i="81"/>
  <c r="Y5" i="237" s="1"/>
  <c r="N155" i="81"/>
  <c r="Y18" i="199" s="1"/>
  <c r="N138" i="81"/>
  <c r="Y23" i="50" s="1"/>
  <c r="N122" i="81"/>
  <c r="Y7" i="50" s="1"/>
  <c r="N106" i="81"/>
  <c r="Y6" i="182" s="1"/>
  <c r="N77" i="81"/>
  <c r="Y27" i="131" s="1"/>
  <c r="N69" i="81"/>
  <c r="Y19" i="131" s="1"/>
  <c r="N58" i="81"/>
  <c r="Y8" i="131" s="1"/>
  <c r="N26" i="81"/>
  <c r="Y18" i="36" s="1"/>
  <c r="N10" i="81"/>
  <c r="Y13" i="1" s="1"/>
  <c r="N203" i="81"/>
  <c r="Y6" i="270" s="1"/>
  <c r="N195" i="81"/>
  <c r="Y6" i="262" s="1"/>
  <c r="N187" i="81"/>
  <c r="Y8" i="250" s="1"/>
  <c r="N179" i="81"/>
  <c r="Y12" i="237" s="1"/>
  <c r="N168" i="81"/>
  <c r="Y8" i="225" s="1"/>
  <c r="N157" i="81"/>
  <c r="Y5" i="216" s="1"/>
  <c r="N150" i="81"/>
  <c r="Y13" i="199" s="1"/>
  <c r="N139" i="81"/>
  <c r="Y24" i="50" s="1"/>
  <c r="N123" i="81"/>
  <c r="Y8" i="50" s="1"/>
  <c r="N107" i="81"/>
  <c r="Y7" i="182" s="1"/>
  <c r="N76" i="81"/>
  <c r="Y26" i="131" s="1"/>
  <c r="N59" i="81"/>
  <c r="Y9" i="131" s="1"/>
  <c r="N43" i="81"/>
  <c r="Y21" i="101" s="1"/>
  <c r="N27" i="81"/>
  <c r="Y19" i="36" s="1"/>
  <c r="N194" i="81"/>
  <c r="Y5" i="262" s="1"/>
  <c r="N178" i="81"/>
  <c r="Y11" i="237" s="1"/>
  <c r="N160" i="81"/>
  <c r="Y8" i="216" s="1"/>
  <c r="N145" i="81"/>
  <c r="Y8" i="199" s="1"/>
  <c r="N97" i="81"/>
  <c r="Y12" i="164" s="1"/>
  <c r="N81" i="81"/>
  <c r="Y31" i="131" s="1"/>
  <c r="N50" i="81"/>
  <c r="Y28" i="101" s="1"/>
  <c r="N18" i="81"/>
  <c r="Y10" i="36" s="1"/>
  <c r="N2" i="81"/>
  <c r="Y5" i="1" s="1"/>
  <c r="N104" i="81"/>
  <c r="Y19" i="164" s="1"/>
  <c r="M90" i="295"/>
  <c r="M91" i="295"/>
  <c r="D78" i="295"/>
  <c r="N46" i="81"/>
  <c r="Y24" i="101" s="1"/>
  <c r="N126" i="81"/>
  <c r="Y11" i="50" s="1"/>
  <c r="X8" i="25"/>
  <c r="X18" i="25"/>
  <c r="F28" i="303"/>
  <c r="F85" i="303" s="1"/>
  <c r="E85" i="303"/>
  <c r="J28" i="299"/>
  <c r="D82" i="296"/>
  <c r="H129" i="296"/>
  <c r="G143" i="296" s="1"/>
  <c r="D86" i="303"/>
  <c r="E86" i="303"/>
  <c r="X22" i="25"/>
  <c r="I94" i="295"/>
  <c r="N6" i="296"/>
  <c r="N40" i="81"/>
  <c r="Y18" i="101" s="1"/>
  <c r="R52" i="299"/>
  <c r="W50" i="300"/>
  <c r="M51" i="299"/>
  <c r="C52" i="298"/>
  <c r="M51" i="298"/>
  <c r="M52" i="300"/>
  <c r="W51" i="298"/>
  <c r="W52" i="298"/>
  <c r="W51" i="300"/>
  <c r="N162" i="81"/>
  <c r="Y10" i="216" s="1"/>
  <c r="N94" i="81"/>
  <c r="Y9" i="164" s="1"/>
  <c r="H172" i="303"/>
  <c r="K11" i="296"/>
  <c r="M7" i="296"/>
  <c r="M8" i="296" s="1"/>
  <c r="P129" i="296"/>
  <c r="M143" i="296" s="1"/>
  <c r="G79" i="303"/>
  <c r="F79" i="303"/>
  <c r="H18" i="303"/>
  <c r="I18" i="303" s="1"/>
  <c r="F75" i="303"/>
  <c r="C51" i="299"/>
  <c r="N24" i="81"/>
  <c r="Y16" i="36" s="1"/>
  <c r="N24" i="80"/>
  <c r="N15" i="36" s="1"/>
  <c r="N30" i="81"/>
  <c r="Y8" i="101" s="1"/>
  <c r="N29" i="80"/>
  <c r="N20" i="36" s="1"/>
  <c r="N161" i="81"/>
  <c r="Y9" i="216" s="1"/>
  <c r="N115" i="81"/>
  <c r="Y8" i="190" s="1"/>
  <c r="N88" i="81"/>
  <c r="Y38" i="131" s="1"/>
  <c r="N62" i="81"/>
  <c r="Y12" i="131" s="1"/>
  <c r="N211" i="80"/>
  <c r="N10" i="270" s="1"/>
  <c r="N183" i="80"/>
  <c r="N12" i="237" s="1"/>
  <c r="N152" i="80"/>
  <c r="N11" i="199" s="1"/>
  <c r="N127" i="80"/>
  <c r="N8" i="50" s="1"/>
  <c r="N98" i="80"/>
  <c r="N10" i="164" s="1"/>
  <c r="N55" i="80"/>
  <c r="N31" i="101" s="1"/>
  <c r="N136" i="81"/>
  <c r="Y21" i="50" s="1"/>
  <c r="N110" i="81"/>
  <c r="Y10" i="182" s="1"/>
  <c r="N83" i="81"/>
  <c r="Y33" i="131" s="1"/>
  <c r="N51" i="81"/>
  <c r="Y29" i="101" s="1"/>
  <c r="N207" i="80"/>
  <c r="N6" i="270" s="1"/>
  <c r="N173" i="80"/>
  <c r="N9" i="225" s="1"/>
  <c r="N147" i="80"/>
  <c r="N6" i="199" s="1"/>
  <c r="N119" i="80"/>
  <c r="N8" i="190" s="1"/>
  <c r="N85" i="80"/>
  <c r="N32" i="131" s="1"/>
  <c r="N50" i="80"/>
  <c r="N26" i="101" s="1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U43" i="283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N19" i="80"/>
  <c r="N10" i="36" s="1"/>
  <c r="N14" i="81"/>
  <c r="Y6" i="36" s="1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N142" i="81"/>
  <c r="Y5" i="199" s="1"/>
  <c r="N120" i="81"/>
  <c r="Y5" i="50" s="1"/>
  <c r="N99" i="81"/>
  <c r="Y14" i="164" s="1"/>
  <c r="N78" i="81"/>
  <c r="Y28" i="131" s="1"/>
  <c r="N56" i="81"/>
  <c r="Y34" i="101" s="1"/>
  <c r="N35" i="81"/>
  <c r="Y13" i="101" s="1"/>
  <c r="N199" i="80"/>
  <c r="N6" i="262" s="1"/>
  <c r="N179" i="80"/>
  <c r="N8" i="237" s="1"/>
  <c r="N158" i="80"/>
  <c r="N17" i="199" s="1"/>
  <c r="N136" i="80"/>
  <c r="N17" i="50" s="1"/>
  <c r="N115" i="80"/>
  <c r="N11" i="182" s="1"/>
  <c r="N94" i="80"/>
  <c r="N6" i="164" s="1"/>
  <c r="N56" i="80"/>
  <c r="N32" i="101" s="1"/>
  <c r="N41" i="80"/>
  <c r="N17" i="101" s="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N9" i="81"/>
  <c r="Y12" i="1" s="1"/>
  <c r="N18" i="80"/>
  <c r="N9" i="36" s="1"/>
  <c r="D57" i="313"/>
  <c r="E14" i="313"/>
  <c r="F14" i="313"/>
  <c r="T17" i="292"/>
  <c r="O79" i="302" s="1"/>
  <c r="T13" i="292"/>
  <c r="O77" i="302" s="1"/>
  <c r="P77" i="302" s="1"/>
  <c r="O19" i="302"/>
  <c r="P19" i="302" s="1"/>
  <c r="T9" i="292"/>
  <c r="P64" i="302" s="1"/>
  <c r="P6" i="302"/>
  <c r="T5" i="292"/>
  <c r="O63" i="302" s="1"/>
  <c r="N141" i="81"/>
  <c r="Y26" i="50" s="1"/>
  <c r="N125" i="81"/>
  <c r="Y10" i="50" s="1"/>
  <c r="N109" i="81"/>
  <c r="Y9" i="182" s="1"/>
  <c r="N93" i="81"/>
  <c r="Y8" i="164" s="1"/>
  <c r="N74" i="81"/>
  <c r="Y24" i="131" s="1"/>
  <c r="N57" i="81"/>
  <c r="Y7" i="131" s="1"/>
  <c r="N41" i="81"/>
  <c r="Y19" i="101" s="1"/>
  <c r="N25" i="81"/>
  <c r="Y17" i="36" s="1"/>
  <c r="N203" i="80"/>
  <c r="N10" i="262" s="1"/>
  <c r="N187" i="80"/>
  <c r="N16" i="237" s="1"/>
  <c r="N172" i="80"/>
  <c r="N8" i="225" s="1"/>
  <c r="N157" i="80"/>
  <c r="N16" i="199" s="1"/>
  <c r="N141" i="80"/>
  <c r="N22" i="50" s="1"/>
  <c r="N123" i="80"/>
  <c r="N12" i="190" s="1"/>
  <c r="N109" i="80"/>
  <c r="N5" i="182" s="1"/>
  <c r="N90" i="80"/>
  <c r="N37" i="131" s="1"/>
  <c r="N74" i="80"/>
  <c r="N21" i="131" s="1"/>
  <c r="N48" i="80"/>
  <c r="N24" i="101" s="1"/>
  <c r="N35" i="80"/>
  <c r="N11" i="101" s="1"/>
  <c r="H10" i="25"/>
  <c r="L10" i="25" s="1"/>
  <c r="T16" i="292"/>
  <c r="P67" i="302" s="1"/>
  <c r="P9" i="302"/>
  <c r="T12" i="292"/>
  <c r="P66" i="302" s="1"/>
  <c r="P8" i="302"/>
  <c r="T8" i="292"/>
  <c r="P71" i="302" s="1"/>
  <c r="P13" i="302"/>
  <c r="T4" i="292"/>
  <c r="O75" i="302" s="1"/>
  <c r="P75" i="302" s="1"/>
  <c r="O17" i="302"/>
  <c r="P17" i="302" s="1"/>
  <c r="Z25" i="298"/>
  <c r="K26" i="299"/>
  <c r="P26" i="299"/>
  <c r="U26" i="299"/>
  <c r="T15" i="292"/>
  <c r="P72" i="302" s="1"/>
  <c r="P14" i="302"/>
  <c r="T11" i="292"/>
  <c r="P65" i="302" s="1"/>
  <c r="P7" i="302"/>
  <c r="T7" i="292"/>
  <c r="P70" i="302" s="1"/>
  <c r="P12" i="302"/>
  <c r="F25" i="298"/>
  <c r="P26" i="298"/>
  <c r="T18" i="292"/>
  <c r="P15" i="302"/>
  <c r="T14" i="292"/>
  <c r="O78" i="302" s="1"/>
  <c r="P78" i="302" s="1"/>
  <c r="O20" i="302"/>
  <c r="P20" i="302" s="1"/>
  <c r="T10" i="292"/>
  <c r="O76" i="302" s="1"/>
  <c r="P76" i="302" s="1"/>
  <c r="O18" i="302"/>
  <c r="P18" i="302" s="1"/>
  <c r="T6" i="292"/>
  <c r="P69" i="302" s="1"/>
  <c r="P11" i="302"/>
  <c r="M50" i="299"/>
  <c r="R50" i="300"/>
  <c r="H50" i="298"/>
  <c r="H78" i="295"/>
  <c r="G28" i="303"/>
  <c r="L16" i="25"/>
  <c r="M50" i="300"/>
  <c r="E82" i="296"/>
  <c r="E70" i="296"/>
  <c r="D172" i="303"/>
  <c r="P172" i="303" s="1"/>
  <c r="M52" i="299"/>
  <c r="W50" i="298"/>
  <c r="M16" i="1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171" i="303"/>
  <c r="R29" i="299"/>
  <c r="R20" i="295"/>
  <c r="U8" i="278"/>
  <c r="N30" i="80"/>
  <c r="N21" i="36" s="1"/>
  <c r="N59" i="80"/>
  <c r="N5" i="131" s="1"/>
  <c r="N13" i="80"/>
  <c r="N16" i="1" s="1"/>
  <c r="I82" i="295"/>
  <c r="Q45" i="295"/>
  <c r="H29" i="299"/>
  <c r="U73" i="289"/>
  <c r="R8" i="295"/>
  <c r="X16" i="1"/>
  <c r="H52" i="298"/>
  <c r="R12" i="295"/>
  <c r="D70" i="296"/>
  <c r="X29" i="299"/>
  <c r="H51" i="299"/>
  <c r="C50" i="298"/>
  <c r="R16" i="295"/>
  <c r="M29" i="298"/>
  <c r="A193" i="78"/>
  <c r="W29" i="299"/>
  <c r="S29" i="299"/>
  <c r="N29" i="299"/>
  <c r="M29" i="299"/>
  <c r="I29" i="299"/>
  <c r="C29" i="299"/>
  <c r="O69" i="295"/>
  <c r="O54" i="295" s="1"/>
  <c r="Q38" i="295"/>
  <c r="R50" i="299"/>
  <c r="H51" i="298"/>
  <c r="A171" i="78"/>
  <c r="A181" i="78"/>
  <c r="A142" i="78"/>
  <c r="A202" i="78"/>
  <c r="A149" i="78"/>
  <c r="A170" i="78"/>
  <c r="A175" i="78"/>
  <c r="A199" i="78"/>
  <c r="A165" i="78"/>
  <c r="A187" i="78"/>
  <c r="A155" i="78"/>
  <c r="A189" i="78"/>
  <c r="A151" i="78"/>
  <c r="A201" i="78"/>
  <c r="A191" i="78"/>
  <c r="A162" i="78"/>
  <c r="A206" i="78"/>
  <c r="A174" i="78"/>
  <c r="A145" i="78"/>
  <c r="A183" i="78"/>
  <c r="A141" i="78"/>
  <c r="A166" i="78"/>
  <c r="A66" i="78"/>
  <c r="A163" i="78"/>
  <c r="A207" i="78"/>
  <c r="A146" i="78"/>
  <c r="A161" i="78"/>
  <c r="N3" i="81"/>
  <c r="Y6" i="1" s="1"/>
  <c r="N2" i="80"/>
  <c r="N5" i="1" s="1"/>
  <c r="A37" i="78"/>
  <c r="A190" i="78"/>
  <c r="A167" i="78"/>
  <c r="A194" i="78"/>
  <c r="A143" i="78"/>
  <c r="J22" i="298"/>
  <c r="D4" i="25"/>
  <c r="E70" i="303"/>
  <c r="F13" i="303"/>
  <c r="M82" i="296"/>
  <c r="P70" i="296"/>
  <c r="E76" i="303"/>
  <c r="F19" i="303"/>
  <c r="E66" i="303"/>
  <c r="F9" i="303"/>
  <c r="C87" i="292"/>
  <c r="D72" i="292"/>
  <c r="M70" i="295"/>
  <c r="R10" i="295"/>
  <c r="S10" i="296"/>
  <c r="K22" i="298"/>
  <c r="E78" i="303"/>
  <c r="F21" i="303"/>
  <c r="E65" i="303"/>
  <c r="F8" i="303"/>
  <c r="E68" i="303"/>
  <c r="F11" i="303"/>
  <c r="E74" i="303"/>
  <c r="F17" i="303"/>
  <c r="E72" i="303"/>
  <c r="F15" i="303"/>
  <c r="R29" i="300"/>
  <c r="R29" i="298"/>
  <c r="O128" i="296"/>
  <c r="L142" i="296" s="1"/>
  <c r="L19" i="296"/>
  <c r="M37" i="295"/>
  <c r="M63" i="295"/>
  <c r="R19" i="295"/>
  <c r="E6" i="295"/>
  <c r="Q6" i="295"/>
  <c r="A185" i="78"/>
  <c r="E73" i="303"/>
  <c r="F16" i="303"/>
  <c r="A3" i="79"/>
  <c r="E82" i="303"/>
  <c r="F25" i="303"/>
  <c r="E69" i="303"/>
  <c r="F12" i="303"/>
  <c r="M45" i="295"/>
  <c r="M38" i="295"/>
  <c r="R15" i="295"/>
  <c r="I37" i="295"/>
  <c r="K62" i="295"/>
  <c r="M62" i="295" s="1"/>
  <c r="A147" i="78"/>
  <c r="A64" i="78"/>
  <c r="I45" i="295"/>
  <c r="I38" i="295"/>
  <c r="M42" i="295"/>
  <c r="Q41" i="295"/>
  <c r="R18" i="295"/>
  <c r="R14" i="295"/>
  <c r="A197" i="78"/>
  <c r="A178" i="78"/>
  <c r="A159" i="78"/>
  <c r="A203" i="78"/>
  <c r="A177" i="78"/>
  <c r="A158" i="78"/>
  <c r="A205" i="78"/>
  <c r="A186" i="78"/>
  <c r="A157" i="78"/>
  <c r="A182" i="78"/>
  <c r="A48" i="78"/>
  <c r="R50" i="298"/>
  <c r="R51" i="300"/>
  <c r="S67" i="296"/>
  <c r="E81" i="303"/>
  <c r="F24" i="303"/>
  <c r="E77" i="303"/>
  <c r="F20" i="303"/>
  <c r="E80" i="303"/>
  <c r="F23" i="303"/>
  <c r="E64" i="303"/>
  <c r="F7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X32" i="131"/>
  <c r="X11" i="131"/>
  <c r="X28" i="101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U33" i="288"/>
  <c r="U58" i="289"/>
  <c r="U61" i="281"/>
  <c r="U21" i="288"/>
  <c r="U30" i="284"/>
  <c r="U28" i="284"/>
  <c r="U54" i="285"/>
  <c r="U46" i="281"/>
  <c r="U50" i="289"/>
  <c r="U52" i="285"/>
  <c r="U8" i="281"/>
  <c r="U18" i="286"/>
  <c r="U46" i="289"/>
  <c r="U44" i="289"/>
  <c r="U42" i="289"/>
  <c r="U32" i="279"/>
  <c r="U21" i="282"/>
  <c r="U9" i="286"/>
  <c r="U14" i="283"/>
  <c r="U16" i="286"/>
  <c r="U29" i="287"/>
  <c r="U47" i="285"/>
  <c r="U45" i="285"/>
  <c r="U34" i="289"/>
  <c r="U33" i="289"/>
  <c r="U31" i="289"/>
  <c r="U41" i="285"/>
  <c r="U54" i="281"/>
  <c r="U40" i="285"/>
  <c r="U38" i="285"/>
  <c r="U19" i="282"/>
  <c r="U36" i="285"/>
  <c r="U35" i="285"/>
  <c r="U12" i="281"/>
  <c r="U25" i="289"/>
  <c r="U27" i="290"/>
  <c r="U31" i="285"/>
  <c r="U37" i="281"/>
  <c r="U22" i="278"/>
  <c r="U27" i="285"/>
  <c r="U20" i="289"/>
  <c r="U4" i="279"/>
  <c r="U15" i="277"/>
  <c r="U57" i="281"/>
  <c r="U23" i="285"/>
  <c r="U22" i="285"/>
  <c r="U21" i="285"/>
  <c r="U23" i="279"/>
  <c r="U22" i="280"/>
  <c r="U17" i="277"/>
  <c r="U19" i="285"/>
  <c r="U4" i="287"/>
  <c r="U15" i="289"/>
  <c r="U13" i="289"/>
  <c r="U17" i="285"/>
  <c r="U28" i="288"/>
  <c r="U6" i="283"/>
  <c r="U31" i="281"/>
  <c r="U15" i="278"/>
  <c r="U11" i="289"/>
  <c r="U12" i="291"/>
  <c r="U12" i="285"/>
  <c r="U16" i="291"/>
  <c r="U11" i="285"/>
  <c r="U8" i="288"/>
  <c r="U11" i="278"/>
  <c r="U9" i="285"/>
  <c r="U56" i="281"/>
  <c r="U20" i="291"/>
  <c r="U7" i="285"/>
  <c r="U4" i="277"/>
  <c r="U9" i="277"/>
  <c r="U7" i="289"/>
  <c r="U6" i="289"/>
  <c r="U27" i="287"/>
  <c r="U15" i="291"/>
  <c r="U23" i="291"/>
  <c r="U19" i="291"/>
  <c r="U7" i="278"/>
  <c r="U28" i="291"/>
  <c r="U27" i="291"/>
  <c r="U6" i="284"/>
  <c r="U7" i="282"/>
  <c r="U6" i="282"/>
  <c r="U4" i="278"/>
  <c r="U5" i="285"/>
  <c r="U4" i="284"/>
  <c r="R51" i="298"/>
  <c r="W10" i="1"/>
  <c r="X10" i="1" s="1"/>
  <c r="E12" i="1"/>
  <c r="X18" i="164"/>
  <c r="X20" i="50"/>
  <c r="X6" i="225"/>
  <c r="E5" i="1"/>
  <c r="E6" i="1"/>
  <c r="X14" i="131"/>
  <c r="X30" i="131"/>
  <c r="X11" i="164"/>
  <c r="X5" i="190"/>
  <c r="X13" i="50"/>
  <c r="X7" i="199"/>
  <c r="X9" i="237"/>
  <c r="X10" i="270"/>
  <c r="A65" i="78"/>
  <c r="A46" i="78"/>
  <c r="A28" i="78"/>
  <c r="A20" i="78"/>
  <c r="A12" i="78"/>
  <c r="E10" i="1"/>
  <c r="M53" i="298"/>
  <c r="F82" i="296"/>
  <c r="G70" i="296"/>
  <c r="G73" i="296"/>
  <c r="G74" i="296" s="1"/>
  <c r="D128" i="296"/>
  <c r="D142" i="296" s="1"/>
  <c r="D19" i="296"/>
  <c r="F128" i="296"/>
  <c r="F4" i="25"/>
  <c r="K5" i="300"/>
  <c r="K5" i="299"/>
  <c r="A138" i="78"/>
  <c r="A130" i="78"/>
  <c r="A122" i="78"/>
  <c r="A114" i="78"/>
  <c r="A106" i="78"/>
  <c r="A98" i="78"/>
  <c r="A90" i="78"/>
  <c r="A82" i="78"/>
  <c r="A74" i="78"/>
  <c r="A56" i="78"/>
  <c r="A29" i="78"/>
  <c r="A21" i="78"/>
  <c r="A13" i="78"/>
  <c r="A4" i="78"/>
  <c r="X8" i="216"/>
  <c r="X13" i="199"/>
  <c r="X12" i="164"/>
  <c r="X36" i="131"/>
  <c r="X15" i="131"/>
  <c r="X32" i="101"/>
  <c r="X11" i="101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A131" i="78"/>
  <c r="A123" i="78"/>
  <c r="A115" i="78"/>
  <c r="A107" i="78"/>
  <c r="A99" i="78"/>
  <c r="A91" i="78"/>
  <c r="A83" i="78"/>
  <c r="A75" i="78"/>
  <c r="A57" i="78"/>
  <c r="A38" i="78"/>
  <c r="A140" i="78"/>
  <c r="A39" i="78"/>
  <c r="A55" i="78"/>
  <c r="A71" i="78"/>
  <c r="A156" i="78"/>
  <c r="A172" i="78"/>
  <c r="A188" i="78"/>
  <c r="A204" i="78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22" i="303"/>
  <c r="H79" i="303"/>
  <c r="I14" i="303"/>
  <c r="H71" i="303"/>
  <c r="N70" i="295"/>
  <c r="N67" i="295"/>
  <c r="Q67" i="295" s="1"/>
  <c r="N65" i="295"/>
  <c r="Q65" i="295" s="1"/>
  <c r="N61" i="295"/>
  <c r="Q61" i="295" s="1"/>
  <c r="N59" i="295"/>
  <c r="Q59" i="295" s="1"/>
  <c r="A198" i="78"/>
  <c r="A179" i="78"/>
  <c r="A153" i="78"/>
  <c r="Z22" i="299"/>
  <c r="Y22" i="299"/>
  <c r="F22" i="299"/>
  <c r="E22" i="299"/>
  <c r="A53" i="78"/>
  <c r="A34" i="78"/>
  <c r="X12" i="216"/>
  <c r="X18" i="50"/>
  <c r="X7" i="50"/>
  <c r="X16" i="164"/>
  <c r="X5" i="164"/>
  <c r="X19" i="131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C4" i="25"/>
  <c r="U60" i="289"/>
  <c r="U24" i="282"/>
  <c r="U4" i="288"/>
  <c r="U56" i="289"/>
  <c r="U57" i="285"/>
  <c r="U56" i="285"/>
  <c r="U54" i="289"/>
  <c r="U33" i="291"/>
  <c r="U52" i="289"/>
  <c r="U10" i="280"/>
  <c r="U38" i="278"/>
  <c r="U47" i="289"/>
  <c r="U35" i="278"/>
  <c r="U18" i="287"/>
  <c r="U20" i="281"/>
  <c r="U22" i="281"/>
  <c r="U31" i="278"/>
  <c r="U49" i="285"/>
  <c r="U8" i="277"/>
  <c r="U38" i="289"/>
  <c r="U13" i="283"/>
  <c r="U25" i="284"/>
  <c r="U7" i="277"/>
  <c r="U32" i="291"/>
  <c r="U20" i="282"/>
  <c r="U44" i="285"/>
  <c r="U43" i="285"/>
  <c r="U21" i="284"/>
  <c r="U29" i="278"/>
  <c r="U20" i="284"/>
  <c r="U39" i="285"/>
  <c r="U5" i="279"/>
  <c r="U28" i="289"/>
  <c r="U11" i="283"/>
  <c r="U34" i="285"/>
  <c r="U33" i="285"/>
  <c r="U24" i="279"/>
  <c r="U24" i="278"/>
  <c r="U30" i="285"/>
  <c r="U22" i="289"/>
  <c r="U21" i="289"/>
  <c r="U9" i="283"/>
  <c r="U21" i="278"/>
  <c r="U25" i="285"/>
  <c r="U14" i="282"/>
  <c r="U19" i="289"/>
  <c r="U12" i="282"/>
  <c r="U11" i="279"/>
  <c r="U14" i="277"/>
  <c r="U19" i="278"/>
  <c r="U17" i="284"/>
  <c r="U6" i="277"/>
  <c r="U23" i="287"/>
  <c r="U10" i="282"/>
  <c r="U9" i="291"/>
  <c r="U45" i="281"/>
  <c r="U14" i="290"/>
  <c r="U15" i="285"/>
  <c r="U9" i="282"/>
  <c r="U13" i="280"/>
  <c r="U22" i="279"/>
  <c r="U17" i="279"/>
  <c r="U28" i="280"/>
  <c r="U26" i="291"/>
  <c r="U5" i="291"/>
  <c r="U10" i="285"/>
  <c r="U26" i="279"/>
  <c r="U44" i="281"/>
  <c r="U12" i="288"/>
  <c r="U41" i="281"/>
  <c r="U13" i="284"/>
  <c r="U30" i="281"/>
  <c r="U13" i="277"/>
  <c r="U53" i="281"/>
  <c r="U22" i="277"/>
  <c r="U27" i="280"/>
  <c r="U9" i="278"/>
  <c r="U11" i="291"/>
  <c r="U16" i="288"/>
  <c r="U10" i="284"/>
  <c r="U16" i="279"/>
  <c r="U21" i="280"/>
  <c r="U26" i="277"/>
  <c r="U31" i="291"/>
  <c r="U5" i="278"/>
  <c r="U26" i="290"/>
  <c r="U4" i="282"/>
  <c r="U4" i="283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8" i="182"/>
  <c r="X9" i="50"/>
  <c r="X25" i="50"/>
  <c r="X19" i="199"/>
  <c r="A62" i="78"/>
  <c r="A44" i="78"/>
  <c r="A26" i="78"/>
  <c r="A18" i="78"/>
  <c r="A10" i="78"/>
  <c r="E7" i="1"/>
  <c r="H5" i="1"/>
  <c r="R52" i="298"/>
  <c r="K25" i="298"/>
  <c r="I29" i="298"/>
  <c r="C69" i="296"/>
  <c r="C70" i="296" s="1"/>
  <c r="C73" i="296"/>
  <c r="F70" i="296"/>
  <c r="C82" i="296"/>
  <c r="P128" i="296"/>
  <c r="M142" i="296" s="1"/>
  <c r="M19" i="296"/>
  <c r="R128" i="296"/>
  <c r="S4" i="25"/>
  <c r="B4" i="25"/>
  <c r="H50" i="299"/>
  <c r="A136" i="78"/>
  <c r="A128" i="78"/>
  <c r="A120" i="78"/>
  <c r="A112" i="78"/>
  <c r="A104" i="78"/>
  <c r="A96" i="78"/>
  <c r="A88" i="78"/>
  <c r="A80" i="78"/>
  <c r="A72" i="78"/>
  <c r="A45" i="78"/>
  <c r="A27" i="78"/>
  <c r="A19" i="78"/>
  <c r="A11" i="78"/>
  <c r="X11" i="262"/>
  <c r="X5" i="216"/>
  <c r="X22" i="50"/>
  <c r="X11" i="50"/>
  <c r="X5" i="182"/>
  <c r="X23" i="131"/>
  <c r="X19" i="101"/>
  <c r="X8" i="101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A137" i="78"/>
  <c r="A129" i="78"/>
  <c r="A121" i="78"/>
  <c r="A113" i="78"/>
  <c r="A105" i="78"/>
  <c r="A97" i="78"/>
  <c r="A89" i="78"/>
  <c r="A81" i="78"/>
  <c r="A73" i="78"/>
  <c r="A54" i="78"/>
  <c r="A36" i="78"/>
  <c r="A7" i="78"/>
  <c r="A43" i="78"/>
  <c r="A59" i="78"/>
  <c r="A144" i="78"/>
  <c r="A160" i="78"/>
  <c r="A176" i="78"/>
  <c r="A192" i="78"/>
  <c r="A208" i="78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A173" i="78"/>
  <c r="A154" i="78"/>
  <c r="A195" i="78"/>
  <c r="A169" i="78"/>
  <c r="A150" i="78"/>
  <c r="T22" i="299"/>
  <c r="U22" i="299"/>
  <c r="A69" i="78"/>
  <c r="A50" i="78"/>
  <c r="A32" i="78"/>
  <c r="X6" i="237"/>
  <c r="X9" i="216"/>
  <c r="X26" i="50"/>
  <c r="X9" i="182"/>
  <c r="X13" i="164"/>
  <c r="X27" i="131"/>
  <c r="X16" i="131"/>
  <c r="X23" i="101"/>
  <c r="W5" i="1"/>
  <c r="S3" i="72"/>
  <c r="R227" i="72" s="1"/>
  <c r="K25" i="300"/>
  <c r="I29" i="300"/>
  <c r="N11" i="296"/>
  <c r="N12" i="296" s="1"/>
  <c r="N13" i="296" s="1"/>
  <c r="I20" i="296"/>
  <c r="K12" i="296"/>
  <c r="K13" i="296" s="1"/>
  <c r="N19" i="296"/>
  <c r="Q128" i="296"/>
  <c r="N142" i="296" s="1"/>
  <c r="P32" i="294"/>
  <c r="P35" i="294" s="1"/>
  <c r="P4" i="25"/>
  <c r="M5" i="300"/>
  <c r="P5" i="300" s="1"/>
  <c r="M5" i="299"/>
  <c r="P5" i="299" s="1"/>
  <c r="P5" i="298"/>
  <c r="U4" i="290"/>
  <c r="U13" i="288"/>
  <c r="U57" i="289"/>
  <c r="U6" i="279"/>
  <c r="U55" i="289"/>
  <c r="U29" i="284"/>
  <c r="U23" i="282"/>
  <c r="U20" i="286"/>
  <c r="U19" i="286"/>
  <c r="U53" i="285"/>
  <c r="U48" i="289"/>
  <c r="U22" i="282"/>
  <c r="U34" i="278"/>
  <c r="U51" i="285"/>
  <c r="U45" i="289"/>
  <c r="U50" i="285"/>
  <c r="U41" i="289"/>
  <c r="U17" i="287"/>
  <c r="U15" i="283"/>
  <c r="U26" i="284"/>
  <c r="U37" i="289"/>
  <c r="U36" i="289"/>
  <c r="U12" i="283"/>
  <c r="U46" i="285"/>
  <c r="U23" i="284"/>
  <c r="U22" i="284"/>
  <c r="U32" i="289"/>
  <c r="U30" i="289"/>
  <c r="U28" i="278"/>
  <c r="U32" i="281"/>
  <c r="U19" i="284"/>
  <c r="U19" i="281"/>
  <c r="U26" i="278"/>
  <c r="U10" i="291"/>
  <c r="U27" i="289"/>
  <c r="U32" i="285"/>
  <c r="U24" i="289"/>
  <c r="U23" i="289"/>
  <c r="U29" i="285"/>
  <c r="U28" i="285"/>
  <c r="U35" i="281"/>
  <c r="U58" i="281"/>
  <c r="U26" i="285"/>
  <c r="U15" i="282"/>
  <c r="U8" i="287"/>
  <c r="U13" i="282"/>
  <c r="U18" i="289"/>
  <c r="U8" i="283"/>
  <c r="U20" i="278"/>
  <c r="U17" i="291"/>
  <c r="U18" i="278"/>
  <c r="U20" i="285"/>
  <c r="U7" i="283"/>
  <c r="U16" i="278"/>
  <c r="U14" i="289"/>
  <c r="U12" i="289"/>
  <c r="U29" i="280"/>
  <c r="U14" i="284"/>
  <c r="U10" i="277"/>
  <c r="U10" i="279"/>
  <c r="U14" i="278"/>
  <c r="U17" i="290"/>
  <c r="U13" i="285"/>
  <c r="U13" i="278"/>
  <c r="U8" i="289"/>
  <c r="U12" i="278"/>
  <c r="U13" i="279"/>
  <c r="U31" i="280"/>
  <c r="U8" i="291"/>
  <c r="U21" i="291"/>
  <c r="U27" i="286"/>
  <c r="U6" i="285"/>
  <c r="U25" i="288"/>
  <c r="U27" i="281"/>
  <c r="U24" i="288"/>
  <c r="U5" i="283"/>
  <c r="U4" i="286"/>
  <c r="U29" i="291"/>
  <c r="U8" i="286"/>
  <c r="U12" i="284"/>
  <c r="U9" i="284"/>
  <c r="U48" i="281"/>
  <c r="U29" i="290"/>
  <c r="U12" i="290"/>
  <c r="U21" i="290"/>
  <c r="U52" i="281"/>
  <c r="U21" i="279"/>
  <c r="U4" i="285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10" i="164"/>
  <c r="X11" i="182"/>
  <c r="X9" i="270"/>
  <c r="W11" i="1"/>
  <c r="E13" i="1"/>
  <c r="M7" i="199"/>
  <c r="A60" i="78"/>
  <c r="A33" i="78"/>
  <c r="A24" i="78"/>
  <c r="A16" i="78"/>
  <c r="A8" i="78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A134" i="78"/>
  <c r="A126" i="78"/>
  <c r="A118" i="78"/>
  <c r="A110" i="78"/>
  <c r="A102" i="78"/>
  <c r="A94" i="78"/>
  <c r="A86" i="78"/>
  <c r="A78" i="78"/>
  <c r="A61" i="78"/>
  <c r="A42" i="78"/>
  <c r="A25" i="78"/>
  <c r="A17" i="78"/>
  <c r="A9" i="78"/>
  <c r="X8" i="270"/>
  <c r="X8" i="262"/>
  <c r="X10" i="237"/>
  <c r="X8" i="199"/>
  <c r="X6" i="190"/>
  <c r="X17" i="164"/>
  <c r="X31" i="131"/>
  <c r="X20" i="131"/>
  <c r="X27" i="101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U107" i="289"/>
  <c r="C52" i="299"/>
  <c r="M52" i="298"/>
  <c r="A135" i="78"/>
  <c r="A127" i="78"/>
  <c r="A119" i="78"/>
  <c r="A111" i="78"/>
  <c r="A103" i="78"/>
  <c r="A95" i="78"/>
  <c r="A87" i="78"/>
  <c r="A79" i="78"/>
  <c r="A70" i="78"/>
  <c r="A52" i="78"/>
  <c r="A5" i="78"/>
  <c r="A31" i="78"/>
  <c r="A47" i="78"/>
  <c r="A63" i="78"/>
  <c r="A148" i="78"/>
  <c r="A164" i="78"/>
  <c r="A180" i="78"/>
  <c r="A196" i="7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X6" i="182"/>
  <c r="X35" i="131"/>
  <c r="X31" i="101"/>
  <c r="X20" i="101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27" i="303"/>
  <c r="E27" i="303" s="1"/>
  <c r="F27" i="303" s="1"/>
  <c r="G27" i="303" s="1"/>
  <c r="H27" i="303" s="1"/>
  <c r="I27" i="303" s="1"/>
  <c r="J27" i="303" s="1"/>
  <c r="K27" i="303" s="1"/>
  <c r="L27" i="303" s="1"/>
  <c r="M27" i="303" s="1"/>
  <c r="N27" i="303" s="1"/>
  <c r="O27" i="303" s="1"/>
  <c r="O84" i="303" s="1"/>
  <c r="P84" i="303" s="1"/>
  <c r="K4" i="25"/>
  <c r="L6" i="25"/>
  <c r="U59" i="289"/>
  <c r="U59" i="285"/>
  <c r="U58" i="285"/>
  <c r="U29" i="288"/>
  <c r="U25" i="287"/>
  <c r="U55" i="285"/>
  <c r="U53" i="289"/>
  <c r="U27" i="284"/>
  <c r="U51" i="289"/>
  <c r="U49" i="289"/>
  <c r="U37" i="278"/>
  <c r="U36" i="278"/>
  <c r="U33" i="278"/>
  <c r="U32" i="278"/>
  <c r="U16" i="283"/>
  <c r="U43" i="289"/>
  <c r="U24" i="287"/>
  <c r="U40" i="289"/>
  <c r="U39" i="289"/>
  <c r="U48" i="285"/>
  <c r="U8" i="290"/>
  <c r="U30" i="278"/>
  <c r="U18" i="290"/>
  <c r="U24" i="284"/>
  <c r="U35" i="289"/>
  <c r="U59" i="281"/>
  <c r="U13" i="281"/>
  <c r="U42" i="285"/>
  <c r="U27" i="278"/>
  <c r="U29" i="289"/>
  <c r="U5" i="287"/>
  <c r="U37" i="285"/>
  <c r="U25" i="278"/>
  <c r="U18" i="282"/>
  <c r="U26" i="289"/>
  <c r="U26" i="288"/>
  <c r="U10" i="283"/>
  <c r="U32" i="288"/>
  <c r="U23" i="278"/>
  <c r="U17" i="282"/>
  <c r="U18" i="284"/>
  <c r="U16" i="282"/>
  <c r="U34" i="281"/>
  <c r="U17" i="280"/>
  <c r="U23" i="277"/>
  <c r="U24" i="285"/>
  <c r="U22" i="291"/>
  <c r="U17" i="289"/>
  <c r="U11" i="282"/>
  <c r="U16" i="289"/>
  <c r="U16" i="284"/>
  <c r="U32" i="280"/>
  <c r="U17" i="278"/>
  <c r="U36" i="288"/>
  <c r="U18" i="285"/>
  <c r="U15" i="284"/>
  <c r="U16" i="285"/>
  <c r="U14" i="285"/>
  <c r="U5" i="281"/>
  <c r="U8" i="282"/>
  <c r="U6" i="291"/>
  <c r="U28" i="281"/>
  <c r="U10" i="289"/>
  <c r="U9" i="289"/>
  <c r="U25" i="291"/>
  <c r="U4" i="291"/>
  <c r="U42" i="281"/>
  <c r="U24" i="291"/>
  <c r="U28" i="287"/>
  <c r="U8" i="285"/>
  <c r="U5" i="277"/>
  <c r="U43" i="280"/>
  <c r="U13" i="290"/>
  <c r="U39" i="280"/>
  <c r="U26" i="281"/>
  <c r="U10" i="278"/>
  <c r="U5" i="289"/>
  <c r="U9" i="279"/>
  <c r="U31" i="288"/>
  <c r="U11" i="284"/>
  <c r="U8" i="284"/>
  <c r="U4" i="281"/>
  <c r="U7" i="284"/>
  <c r="U6" i="278"/>
  <c r="U31" i="279"/>
  <c r="U5" i="284"/>
  <c r="U5" i="282"/>
  <c r="U4" i="289"/>
  <c r="H51" i="300"/>
  <c r="W14" i="1"/>
  <c r="X21" i="101"/>
  <c r="X9" i="131"/>
  <c r="X18" i="199"/>
  <c r="T5" i="250"/>
  <c r="T15" i="250" s="1"/>
  <c r="T5" i="270"/>
  <c r="T12" i="270" s="1"/>
  <c r="X5" i="270"/>
  <c r="W7" i="1"/>
  <c r="E9" i="1"/>
  <c r="X15" i="164"/>
  <c r="X11" i="199"/>
  <c r="X13" i="237"/>
  <c r="X6" i="262"/>
  <c r="A49" i="78"/>
  <c r="A30" i="78"/>
  <c r="A22" i="78"/>
  <c r="A14" i="78"/>
  <c r="A3" i="78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A132" i="78"/>
  <c r="A124" i="78"/>
  <c r="A116" i="78"/>
  <c r="A108" i="78"/>
  <c r="A100" i="78"/>
  <c r="A92" i="78"/>
  <c r="A84" i="78"/>
  <c r="A76" i="78"/>
  <c r="A58" i="78"/>
  <c r="A40" i="78"/>
  <c r="A23" i="78"/>
  <c r="A15" i="78"/>
  <c r="A6" i="78"/>
  <c r="X5" i="250"/>
  <c r="X5" i="199"/>
  <c r="X6" i="50"/>
  <c r="X39" i="131"/>
  <c r="X7" i="131"/>
  <c r="X24" i="101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A133" i="78"/>
  <c r="A125" i="78"/>
  <c r="A117" i="78"/>
  <c r="A109" i="78"/>
  <c r="A101" i="78"/>
  <c r="A93" i="78"/>
  <c r="A85" i="78"/>
  <c r="A77" i="78"/>
  <c r="A68" i="78"/>
  <c r="A41" i="78"/>
  <c r="A2" i="78"/>
  <c r="A35" i="78"/>
  <c r="A51" i="78"/>
  <c r="A67" i="78"/>
  <c r="A152" i="78"/>
  <c r="A168" i="78"/>
  <c r="A184" i="78"/>
  <c r="A200" i="78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5" i="101" l="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83" i="303"/>
  <c r="R35" i="295"/>
  <c r="H54" i="295"/>
  <c r="U29" i="300"/>
  <c r="R87" i="295"/>
  <c r="K17" i="1"/>
  <c r="H75" i="303"/>
  <c r="F86" i="303"/>
  <c r="G86" i="303"/>
  <c r="P57" i="303"/>
  <c r="R86" i="295"/>
  <c r="J17" i="1"/>
  <c r="V17" i="1"/>
  <c r="H17" i="1"/>
  <c r="G17" i="1"/>
  <c r="R17" i="1"/>
  <c r="Q17" i="1"/>
  <c r="W17" i="1"/>
  <c r="U17" i="1"/>
  <c r="S17" i="1"/>
  <c r="P17" i="1"/>
  <c r="L17" i="1"/>
  <c r="D17" i="1"/>
  <c r="F17" i="1"/>
  <c r="N229" i="72"/>
  <c r="J227" i="72"/>
  <c r="E17" i="1"/>
  <c r="M7" i="131"/>
  <c r="M5" i="250"/>
  <c r="R90" i="295"/>
  <c r="R91" i="295"/>
  <c r="X24" i="50"/>
  <c r="X25" i="131"/>
  <c r="X5" i="225"/>
  <c r="J28" i="50"/>
  <c r="M7" i="164"/>
  <c r="X7" i="250"/>
  <c r="M6" i="1"/>
  <c r="X10" i="182"/>
  <c r="K28" i="50"/>
  <c r="D28" i="50"/>
  <c r="H28" i="50"/>
  <c r="G28" i="50"/>
  <c r="F28" i="50"/>
  <c r="E28" i="50"/>
  <c r="L28" i="50"/>
  <c r="R94" i="295"/>
  <c r="M5" i="1"/>
  <c r="M15" i="50"/>
  <c r="X16" i="199"/>
  <c r="R46" i="295"/>
  <c r="Q70" i="295"/>
  <c r="R33" i="295"/>
  <c r="X8" i="131"/>
  <c r="H28" i="303"/>
  <c r="H85" i="303" s="1"/>
  <c r="G85" i="303"/>
  <c r="X11" i="216"/>
  <c r="M8" i="182"/>
  <c r="R34" i="295"/>
  <c r="R36" i="295"/>
  <c r="F84" i="303"/>
  <c r="K84" i="303"/>
  <c r="N84" i="303"/>
  <c r="P130" i="296"/>
  <c r="P131" i="296" s="1"/>
  <c r="R22" i="295"/>
  <c r="R6" i="295" s="1"/>
  <c r="Q69" i="295"/>
  <c r="P73" i="302"/>
  <c r="K54" i="295"/>
  <c r="P21" i="302"/>
  <c r="P79" i="302"/>
  <c r="G10" i="303"/>
  <c r="F67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6" i="164"/>
  <c r="X10" i="262"/>
  <c r="O29" i="300"/>
  <c r="E29" i="300"/>
  <c r="J29" i="299"/>
  <c r="E29" i="298"/>
  <c r="X24" i="131"/>
  <c r="X16" i="101"/>
  <c r="X7" i="182"/>
  <c r="Y29" i="299"/>
  <c r="O29" i="299"/>
  <c r="E29" i="299"/>
  <c r="J29" i="298"/>
  <c r="X26" i="101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26" i="131"/>
  <c r="X16" i="50"/>
  <c r="X12" i="131"/>
  <c r="X10" i="131"/>
  <c r="X12" i="237"/>
  <c r="X10" i="199"/>
  <c r="X8" i="190"/>
  <c r="M20" i="50"/>
  <c r="M10" i="1"/>
  <c r="X6" i="1"/>
  <c r="X14" i="50"/>
  <c r="X29" i="101"/>
  <c r="X7" i="216"/>
  <c r="X10" i="101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22" i="131"/>
  <c r="X7" i="237"/>
  <c r="X9" i="190"/>
  <c r="X30" i="101"/>
  <c r="X17" i="237"/>
  <c r="X25" i="101"/>
  <c r="X34" i="131"/>
  <c r="X15" i="199"/>
  <c r="X34" i="101"/>
  <c r="X6" i="199"/>
  <c r="X29" i="131"/>
  <c r="X28" i="131"/>
  <c r="X14" i="101"/>
  <c r="X19" i="50"/>
  <c r="X7" i="225"/>
  <c r="X21" i="50"/>
  <c r="X19" i="164"/>
  <c r="X13" i="131"/>
  <c r="M8" i="270"/>
  <c r="M31" i="131"/>
  <c r="X9" i="164"/>
  <c r="X15" i="50"/>
  <c r="X14" i="164"/>
  <c r="X13" i="101"/>
  <c r="X15" i="237"/>
  <c r="X16" i="237"/>
  <c r="X33" i="101"/>
  <c r="M8" i="250"/>
  <c r="M10" i="131"/>
  <c r="X12" i="101"/>
  <c r="D85" i="303"/>
  <c r="X18" i="131"/>
  <c r="X7" i="1"/>
  <c r="X14" i="1"/>
  <c r="X7" i="164"/>
  <c r="M12" i="1"/>
  <c r="M22" i="50"/>
  <c r="X18" i="101"/>
  <c r="X11" i="1"/>
  <c r="X9" i="101"/>
  <c r="X8" i="164"/>
  <c r="X22" i="101"/>
  <c r="X10" i="216"/>
  <c r="X17" i="131"/>
  <c r="X37" i="131"/>
  <c r="X5" i="50"/>
  <c r="X38" i="131"/>
  <c r="X8" i="225"/>
  <c r="X10" i="250"/>
  <c r="A8" i="305"/>
  <c r="M19" i="50"/>
  <c r="X33" i="131"/>
  <c r="X15" i="101"/>
  <c r="X17" i="199"/>
  <c r="X11" i="190"/>
  <c r="X21" i="131"/>
  <c r="X17" i="101"/>
  <c r="X7" i="101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5" i="101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27" i="101"/>
  <c r="M10" i="237"/>
  <c r="M10" i="216"/>
  <c r="M13" i="101"/>
  <c r="R63" i="295"/>
  <c r="R42" i="295"/>
  <c r="M10" i="199"/>
  <c r="M6" i="270"/>
  <c r="M26" i="131"/>
  <c r="M9" i="237"/>
  <c r="M26" i="101"/>
  <c r="M6" i="225"/>
  <c r="M17" i="101"/>
  <c r="M19" i="131"/>
  <c r="M7" i="262"/>
  <c r="M16" i="164"/>
  <c r="A6" i="305"/>
  <c r="R85" i="295"/>
  <c r="R88" i="295"/>
  <c r="M9" i="50"/>
  <c r="M8" i="1"/>
  <c r="M18" i="50"/>
  <c r="M14" i="250"/>
  <c r="M10" i="250"/>
  <c r="M10" i="270"/>
  <c r="M21" i="131"/>
  <c r="M12" i="237"/>
  <c r="M29" i="101"/>
  <c r="M9" i="262"/>
  <c r="M32" i="131"/>
  <c r="M7" i="190"/>
  <c r="M6" i="50"/>
  <c r="M9" i="199"/>
  <c r="M7" i="270"/>
  <c r="M16" i="101"/>
  <c r="M12" i="101"/>
  <c r="M9" i="216"/>
  <c r="M8" i="101"/>
  <c r="M19" i="101"/>
  <c r="M5" i="216"/>
  <c r="M8" i="225"/>
  <c r="R93" i="295"/>
  <c r="M20" i="131"/>
  <c r="M8" i="262"/>
  <c r="M5" i="237"/>
  <c r="M22" i="101"/>
  <c r="M5" i="262"/>
  <c r="M16" i="131"/>
  <c r="M12" i="131"/>
  <c r="M23" i="131"/>
  <c r="M11" i="262"/>
  <c r="M5" i="190"/>
  <c r="M18" i="164"/>
  <c r="M5" i="225"/>
  <c r="M14" i="164"/>
  <c r="R89" i="295"/>
  <c r="R92" i="295"/>
  <c r="R80" i="295"/>
  <c r="M17" i="164"/>
  <c r="M33" i="131"/>
  <c r="M13" i="164"/>
  <c r="M9" i="164"/>
  <c r="M5" i="182"/>
  <c r="M6" i="262"/>
  <c r="L84" i="303"/>
  <c r="G16" i="303"/>
  <c r="F73" i="303"/>
  <c r="G17" i="303"/>
  <c r="F74" i="303"/>
  <c r="M30" i="131"/>
  <c r="R39" i="295"/>
  <c r="M28" i="101"/>
  <c r="M11" i="237"/>
  <c r="R43" i="295"/>
  <c r="M16" i="199"/>
  <c r="G7" i="303"/>
  <c r="F64" i="303"/>
  <c r="G20" i="303"/>
  <c r="F77" i="303"/>
  <c r="G25" i="303"/>
  <c r="F82" i="303"/>
  <c r="G8" i="303"/>
  <c r="F65" i="303"/>
  <c r="E72" i="292"/>
  <c r="D87" i="292"/>
  <c r="G19" i="303"/>
  <c r="F76" i="303"/>
  <c r="G13" i="303"/>
  <c r="F70" i="303"/>
  <c r="M17" i="131"/>
  <c r="G15" i="303"/>
  <c r="F72" i="303"/>
  <c r="G11" i="303"/>
  <c r="F68" i="303"/>
  <c r="N129" i="296"/>
  <c r="N130" i="296" s="1"/>
  <c r="N131" i="296" s="1"/>
  <c r="M25" i="50"/>
  <c r="M15" i="1"/>
  <c r="E84" i="303"/>
  <c r="R44" i="295"/>
  <c r="R41" i="295"/>
  <c r="M39" i="131"/>
  <c r="R58" i="295"/>
  <c r="G23" i="303"/>
  <c r="F80" i="303"/>
  <c r="G24" i="303"/>
  <c r="F81" i="303"/>
  <c r="G12" i="303"/>
  <c r="F69" i="303"/>
  <c r="G21" i="303"/>
  <c r="F78" i="303"/>
  <c r="G9" i="303"/>
  <c r="F66" i="303"/>
  <c r="J143" i="296"/>
  <c r="L130" i="296"/>
  <c r="L131" i="296" s="1"/>
  <c r="I143" i="296"/>
  <c r="K130" i="296"/>
  <c r="K131" i="296" s="1"/>
  <c r="R78" i="295"/>
  <c r="E57" i="295"/>
  <c r="R57" i="295" s="1"/>
  <c r="J18" i="303"/>
  <c r="I75" i="303"/>
  <c r="E61" i="295"/>
  <c r="R61" i="295" s="1"/>
  <c r="M84" i="303"/>
  <c r="Q78" i="295"/>
  <c r="O75" i="296"/>
  <c r="R73" i="296"/>
  <c r="M12" i="250"/>
  <c r="M7" i="216"/>
  <c r="M13" i="50"/>
  <c r="M11" i="164"/>
  <c r="M14" i="131"/>
  <c r="M10" i="101"/>
  <c r="E66" i="295"/>
  <c r="R66" i="295" s="1"/>
  <c r="D12" i="296"/>
  <c r="D13" i="296" s="1"/>
  <c r="D20" i="296"/>
  <c r="J84" i="303"/>
  <c r="M11" i="101"/>
  <c r="M36" i="131"/>
  <c r="M12" i="164"/>
  <c r="M13" i="199"/>
  <c r="M8" i="216"/>
  <c r="H84" i="303"/>
  <c r="E70" i="295"/>
  <c r="I12" i="296"/>
  <c r="I13" i="296" s="1"/>
  <c r="H20" i="296"/>
  <c r="M28" i="131"/>
  <c r="M5" i="199"/>
  <c r="J7" i="296"/>
  <c r="J8" i="296" s="1"/>
  <c r="M13" i="1"/>
  <c r="M24" i="131"/>
  <c r="M35" i="131"/>
  <c r="M23" i="50"/>
  <c r="M12" i="199"/>
  <c r="F143" i="296"/>
  <c r="G130" i="296"/>
  <c r="G131" i="296" s="1"/>
  <c r="E78" i="295"/>
  <c r="D84" i="303"/>
  <c r="M5" i="36"/>
  <c r="M27" i="131"/>
  <c r="M26" i="50"/>
  <c r="E60" i="295"/>
  <c r="R60" i="295" s="1"/>
  <c r="M5" i="164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1" i="131"/>
  <c r="M10" i="50"/>
  <c r="M9" i="250"/>
  <c r="J22" i="303"/>
  <c r="I79" i="303"/>
  <c r="E67" i="295"/>
  <c r="R67" i="295" s="1"/>
  <c r="I130" i="296"/>
  <c r="I131" i="296" s="1"/>
  <c r="H143" i="296"/>
  <c r="M17" i="237"/>
  <c r="M7" i="225"/>
  <c r="M15" i="199"/>
  <c r="M21" i="50"/>
  <c r="M5" i="50"/>
  <c r="M19" i="164"/>
  <c r="M38" i="131"/>
  <c r="M22" i="131"/>
  <c r="M34" i="101"/>
  <c r="M18" i="101"/>
  <c r="M11" i="1"/>
  <c r="R7" i="296"/>
  <c r="R8" i="296" s="1"/>
  <c r="R129" i="296"/>
  <c r="R130" i="296" s="1"/>
  <c r="R131" i="296" s="1"/>
  <c r="F54" i="295"/>
  <c r="K75" i="296"/>
  <c r="N73" i="296"/>
  <c r="J26" i="303"/>
  <c r="I83" i="303"/>
  <c r="E56" i="295"/>
  <c r="B54" i="295"/>
  <c r="M78" i="295"/>
  <c r="E143" i="296"/>
  <c r="E130" i="296"/>
  <c r="E131" i="296" s="1"/>
  <c r="M32" i="101"/>
  <c r="M15" i="131"/>
  <c r="M11" i="190"/>
  <c r="M14" i="50"/>
  <c r="M15" i="237"/>
  <c r="M13" i="250"/>
  <c r="G84" i="303"/>
  <c r="C74" i="296"/>
  <c r="C75" i="296" s="1"/>
  <c r="F73" i="296"/>
  <c r="M13" i="237"/>
  <c r="M11" i="216"/>
  <c r="M11" i="199"/>
  <c r="M17" i="50"/>
  <c r="M9" i="190"/>
  <c r="M15" i="164"/>
  <c r="M34" i="131"/>
  <c r="M18" i="131"/>
  <c r="M30" i="101"/>
  <c r="M14" i="101"/>
  <c r="M7" i="1"/>
  <c r="M5" i="270"/>
  <c r="M7" i="250"/>
  <c r="M18" i="199"/>
  <c r="M24" i="50"/>
  <c r="M8" i="50"/>
  <c r="M7" i="182"/>
  <c r="M6" i="164"/>
  <c r="M25" i="131"/>
  <c r="M9" i="131"/>
  <c r="M21" i="101"/>
  <c r="M14" i="1"/>
  <c r="C143" i="296"/>
  <c r="C130" i="296"/>
  <c r="C131" i="296" s="1"/>
  <c r="M24" i="101"/>
  <c r="M10" i="182"/>
  <c r="M7" i="237"/>
  <c r="G75" i="296"/>
  <c r="J73" i="296"/>
  <c r="M10" i="262"/>
  <c r="M9" i="270"/>
  <c r="M11" i="250"/>
  <c r="M8" i="237"/>
  <c r="M6" i="216"/>
  <c r="M6" i="199"/>
  <c r="M12" i="50"/>
  <c r="M11" i="182"/>
  <c r="M10" i="164"/>
  <c r="M29" i="131"/>
  <c r="M13" i="131"/>
  <c r="M25" i="101"/>
  <c r="M9" i="101"/>
  <c r="R11" i="296"/>
  <c r="R12" i="296" s="1"/>
  <c r="R13" i="296" s="1"/>
  <c r="O12" i="296"/>
  <c r="O13" i="296" s="1"/>
  <c r="L20" i="296"/>
  <c r="M20" i="101"/>
  <c r="M31" i="101"/>
  <c r="M6" i="182"/>
  <c r="M10" i="190"/>
  <c r="M9" i="225"/>
  <c r="M14" i="237"/>
  <c r="C54" i="295"/>
  <c r="M23" i="101"/>
  <c r="M9" i="182"/>
  <c r="M6" i="237"/>
  <c r="M56" i="295"/>
  <c r="M54" i="295" s="1"/>
  <c r="J54" i="295"/>
  <c r="M16" i="237"/>
  <c r="M14" i="199"/>
  <c r="M12" i="190"/>
  <c r="M37" i="131"/>
  <c r="M33" i="101"/>
  <c r="M8" i="131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M7" i="101"/>
  <c r="M8" i="164"/>
  <c r="J14" i="303"/>
  <c r="I71" i="303"/>
  <c r="I84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R74" i="296" l="1"/>
  <c r="R75" i="296" s="1"/>
  <c r="J74" i="296"/>
  <c r="J75" i="296" s="1"/>
  <c r="N74" i="296"/>
  <c r="N75" i="296" s="1"/>
  <c r="F74" i="296"/>
  <c r="F75" i="296" s="1"/>
  <c r="Q54" i="295"/>
  <c r="R70" i="295"/>
  <c r="I28" i="303"/>
  <c r="I85" i="303" s="1"/>
  <c r="H86" i="303"/>
  <c r="O81" i="302"/>
  <c r="P81" i="302" s="1"/>
  <c r="O23" i="302"/>
  <c r="P23" i="302" s="1"/>
  <c r="G67" i="303"/>
  <c r="H10" i="303"/>
  <c r="H13" i="303"/>
  <c r="G70" i="303"/>
  <c r="E87" i="292"/>
  <c r="F72" i="292"/>
  <c r="G82" i="303"/>
  <c r="H25" i="303"/>
  <c r="G64" i="303"/>
  <c r="H7" i="303"/>
  <c r="H9" i="303"/>
  <c r="G66" i="303"/>
  <c r="G69" i="303"/>
  <c r="H12" i="303"/>
  <c r="G80" i="303"/>
  <c r="H23" i="303"/>
  <c r="G72" i="303"/>
  <c r="H15" i="303"/>
  <c r="G74" i="303"/>
  <c r="H17" i="303"/>
  <c r="G76" i="303"/>
  <c r="H19" i="303"/>
  <c r="G65" i="303"/>
  <c r="H8" i="303"/>
  <c r="G77" i="303"/>
  <c r="H20" i="303"/>
  <c r="H21" i="303"/>
  <c r="G78" i="303"/>
  <c r="G81" i="303"/>
  <c r="H24" i="303"/>
  <c r="G68" i="303"/>
  <c r="H11" i="303"/>
  <c r="H16" i="303"/>
  <c r="G73" i="303"/>
  <c r="S11" i="296"/>
  <c r="S12" i="296" s="1"/>
  <c r="S13" i="296" s="1"/>
  <c r="S129" i="296"/>
  <c r="K18" i="303"/>
  <c r="J75" i="303"/>
  <c r="R54" i="295"/>
  <c r="S128" i="296"/>
  <c r="U5" i="296"/>
  <c r="K14" i="303"/>
  <c r="J71" i="303"/>
  <c r="E54" i="295"/>
  <c r="K22" i="303"/>
  <c r="J79" i="303"/>
  <c r="A14" i="305"/>
  <c r="S73" i="296"/>
  <c r="S74" i="296" s="1"/>
  <c r="S75" i="296" s="1"/>
  <c r="R56" i="295"/>
  <c r="K26" i="303"/>
  <c r="J83" i="303"/>
  <c r="S7" i="296"/>
  <c r="S8" i="296" s="1"/>
  <c r="J28" i="303" l="1"/>
  <c r="J85" i="303" s="1"/>
  <c r="I86" i="303"/>
  <c r="I10" i="303"/>
  <c r="H67" i="303"/>
  <c r="I24" i="303"/>
  <c r="H81" i="303"/>
  <c r="H77" i="303"/>
  <c r="I20" i="303"/>
  <c r="I19" i="303"/>
  <c r="H76" i="303"/>
  <c r="I15" i="303"/>
  <c r="H72" i="303"/>
  <c r="I12" i="303"/>
  <c r="H69" i="303"/>
  <c r="I7" i="303"/>
  <c r="H64" i="303"/>
  <c r="G72" i="292"/>
  <c r="F87" i="292"/>
  <c r="H73" i="303"/>
  <c r="I16" i="303"/>
  <c r="I11" i="303"/>
  <c r="H68" i="303"/>
  <c r="I8" i="303"/>
  <c r="H65" i="303"/>
  <c r="I17" i="303"/>
  <c r="H74" i="303"/>
  <c r="I23" i="303"/>
  <c r="H80" i="303"/>
  <c r="H82" i="303"/>
  <c r="I25" i="303"/>
  <c r="I21" i="303"/>
  <c r="H78" i="303"/>
  <c r="H66" i="303"/>
  <c r="I9" i="303"/>
  <c r="H70" i="303"/>
  <c r="I13" i="303"/>
  <c r="K71" i="303"/>
  <c r="L14" i="303"/>
  <c r="S130" i="296"/>
  <c r="S131" i="296" s="1"/>
  <c r="K79" i="303"/>
  <c r="L22" i="303"/>
  <c r="K83" i="303"/>
  <c r="L26" i="303"/>
  <c r="K75" i="303"/>
  <c r="L18" i="303"/>
  <c r="K28" i="303" l="1"/>
  <c r="K85" i="303" s="1"/>
  <c r="J86" i="303"/>
  <c r="J10" i="303"/>
  <c r="I67" i="303"/>
  <c r="J13" i="303"/>
  <c r="I70" i="303"/>
  <c r="I73" i="303"/>
  <c r="J16" i="303"/>
  <c r="J20" i="303"/>
  <c r="I77" i="303"/>
  <c r="J21" i="303"/>
  <c r="I78" i="303"/>
  <c r="J23" i="303"/>
  <c r="I80" i="303"/>
  <c r="I65" i="303"/>
  <c r="J8" i="303"/>
  <c r="J7" i="303"/>
  <c r="I64" i="303"/>
  <c r="I72" i="303"/>
  <c r="J15" i="303"/>
  <c r="I66" i="303"/>
  <c r="J9" i="303"/>
  <c r="J25" i="303"/>
  <c r="I82" i="303"/>
  <c r="J17" i="303"/>
  <c r="I74" i="303"/>
  <c r="J11" i="303"/>
  <c r="I68" i="303"/>
  <c r="G87" i="292"/>
  <c r="H72" i="292"/>
  <c r="J12" i="303"/>
  <c r="I69" i="303"/>
  <c r="J19" i="303"/>
  <c r="I76" i="303"/>
  <c r="J24" i="303"/>
  <c r="I81" i="303"/>
  <c r="M26" i="303"/>
  <c r="L83" i="303"/>
  <c r="M22" i="303"/>
  <c r="L79" i="303"/>
  <c r="M14" i="303"/>
  <c r="L71" i="303"/>
  <c r="M18" i="303"/>
  <c r="L75" i="303"/>
  <c r="L28" i="303" l="1"/>
  <c r="L85" i="303" s="1"/>
  <c r="K86" i="303"/>
  <c r="K10" i="303"/>
  <c r="J67" i="303"/>
  <c r="K15" i="303"/>
  <c r="J72" i="303"/>
  <c r="K8" i="303"/>
  <c r="J65" i="303"/>
  <c r="K16" i="303"/>
  <c r="J73" i="303"/>
  <c r="K24" i="303"/>
  <c r="J81" i="303"/>
  <c r="K12" i="303"/>
  <c r="J69" i="303"/>
  <c r="J68" i="303"/>
  <c r="K11" i="303"/>
  <c r="K25" i="303"/>
  <c r="J82" i="303"/>
  <c r="K21" i="303"/>
  <c r="J78" i="303"/>
  <c r="I72" i="292"/>
  <c r="H87" i="292"/>
  <c r="K9" i="303"/>
  <c r="J66" i="303"/>
  <c r="K19" i="303"/>
  <c r="J76" i="303"/>
  <c r="K17" i="303"/>
  <c r="J74" i="303"/>
  <c r="J64" i="303"/>
  <c r="K7" i="303"/>
  <c r="K23" i="303"/>
  <c r="J80" i="303"/>
  <c r="K20" i="303"/>
  <c r="J77" i="303"/>
  <c r="J70" i="303"/>
  <c r="K13" i="303"/>
  <c r="N26" i="303"/>
  <c r="M83" i="303"/>
  <c r="N18" i="303"/>
  <c r="M75" i="303"/>
  <c r="N14" i="303"/>
  <c r="M71" i="303"/>
  <c r="N22" i="303"/>
  <c r="M79" i="303"/>
  <c r="M28" i="303" l="1"/>
  <c r="M85" i="303" s="1"/>
  <c r="L86" i="303"/>
  <c r="L10" i="303"/>
  <c r="K67" i="303"/>
  <c r="K70" i="303"/>
  <c r="L13" i="303"/>
  <c r="L11" i="303"/>
  <c r="K68" i="303"/>
  <c r="L23" i="303"/>
  <c r="K80" i="303"/>
  <c r="L17" i="303"/>
  <c r="K74" i="303"/>
  <c r="K66" i="303"/>
  <c r="L9" i="303"/>
  <c r="L21" i="303"/>
  <c r="K78" i="303"/>
  <c r="K81" i="303"/>
  <c r="L24" i="303"/>
  <c r="K65" i="303"/>
  <c r="L8" i="303"/>
  <c r="K64" i="303"/>
  <c r="L7" i="303"/>
  <c r="L20" i="303"/>
  <c r="K77" i="303"/>
  <c r="K76" i="303"/>
  <c r="L19" i="303"/>
  <c r="I87" i="292"/>
  <c r="J72" i="292"/>
  <c r="K82" i="303"/>
  <c r="L25" i="303"/>
  <c r="L12" i="303"/>
  <c r="K69" i="303"/>
  <c r="K73" i="303"/>
  <c r="L16" i="303"/>
  <c r="L15" i="303"/>
  <c r="K72" i="303"/>
  <c r="O18" i="303"/>
  <c r="O75" i="303" s="1"/>
  <c r="N75" i="303"/>
  <c r="O22" i="303"/>
  <c r="O79" i="303" s="1"/>
  <c r="P79" i="303" s="1"/>
  <c r="N79" i="303"/>
  <c r="O14" i="303"/>
  <c r="O71" i="303" s="1"/>
  <c r="N71" i="303"/>
  <c r="O26" i="303"/>
  <c r="O83" i="303" s="1"/>
  <c r="P83" i="303" s="1"/>
  <c r="N83" i="303"/>
  <c r="N28" i="303" l="1"/>
  <c r="N85" i="303" s="1"/>
  <c r="M86" i="303"/>
  <c r="M10" i="303"/>
  <c r="L67" i="303"/>
  <c r="K72" i="292"/>
  <c r="J87" i="292"/>
  <c r="M8" i="303"/>
  <c r="L65" i="303"/>
  <c r="M15" i="303"/>
  <c r="L72" i="303"/>
  <c r="M12" i="303"/>
  <c r="L69" i="303"/>
  <c r="M20" i="303"/>
  <c r="L77" i="303"/>
  <c r="M21" i="303"/>
  <c r="L78" i="303"/>
  <c r="M17" i="303"/>
  <c r="L74" i="303"/>
  <c r="M11" i="303"/>
  <c r="L68" i="303"/>
  <c r="M16" i="303"/>
  <c r="L73" i="303"/>
  <c r="M25" i="303"/>
  <c r="L82" i="303"/>
  <c r="M19" i="303"/>
  <c r="L76" i="303"/>
  <c r="M7" i="303"/>
  <c r="L64" i="303"/>
  <c r="M24" i="303"/>
  <c r="L81" i="303"/>
  <c r="M9" i="303"/>
  <c r="L66" i="303"/>
  <c r="M13" i="303"/>
  <c r="L70" i="303"/>
  <c r="M23" i="303"/>
  <c r="L80" i="303"/>
  <c r="O28" i="303" l="1"/>
  <c r="O85" i="303" s="1"/>
  <c r="P85" i="303" s="1"/>
  <c r="O86" i="303"/>
  <c r="P86" i="303" s="1"/>
  <c r="N86" i="303"/>
  <c r="N10" i="303"/>
  <c r="M67" i="303"/>
  <c r="N9" i="303"/>
  <c r="M66" i="303"/>
  <c r="N7" i="303"/>
  <c r="M64" i="303"/>
  <c r="N25" i="303"/>
  <c r="M82" i="303"/>
  <c r="N11" i="303"/>
  <c r="M68" i="303"/>
  <c r="N21" i="303"/>
  <c r="M78" i="303"/>
  <c r="N12" i="303"/>
  <c r="M69" i="303"/>
  <c r="N8" i="303"/>
  <c r="M65" i="303"/>
  <c r="N23" i="303"/>
  <c r="M80" i="303"/>
  <c r="N13" i="303"/>
  <c r="M70" i="303"/>
  <c r="N24" i="303"/>
  <c r="M81" i="303"/>
  <c r="N19" i="303"/>
  <c r="M76" i="303"/>
  <c r="N16" i="303"/>
  <c r="M73" i="303"/>
  <c r="N17" i="303"/>
  <c r="M74" i="303"/>
  <c r="N20" i="303"/>
  <c r="M77" i="303"/>
  <c r="N15" i="303"/>
  <c r="M72" i="303"/>
  <c r="K87" i="292"/>
  <c r="L72" i="292"/>
  <c r="N67" i="303" l="1"/>
  <c r="O10" i="303"/>
  <c r="O67" i="303" s="1"/>
  <c r="M72" i="292"/>
  <c r="H18" i="25" s="1"/>
  <c r="L87" i="292"/>
  <c r="O20" i="303"/>
  <c r="O77" i="303" s="1"/>
  <c r="P77" i="303" s="1"/>
  <c r="N77" i="303"/>
  <c r="O16" i="303"/>
  <c r="O73" i="303" s="1"/>
  <c r="N73" i="303"/>
  <c r="O24" i="303"/>
  <c r="O81" i="303" s="1"/>
  <c r="P81" i="303" s="1"/>
  <c r="N81" i="303"/>
  <c r="O23" i="303"/>
  <c r="O80" i="303" s="1"/>
  <c r="P80" i="303" s="1"/>
  <c r="N80" i="303"/>
  <c r="O12" i="303"/>
  <c r="O69" i="303" s="1"/>
  <c r="N69" i="303"/>
  <c r="N68" i="303"/>
  <c r="O11" i="303"/>
  <c r="O68" i="303" s="1"/>
  <c r="O7" i="303"/>
  <c r="O64" i="303" s="1"/>
  <c r="N64" i="303"/>
  <c r="O15" i="303"/>
  <c r="O72" i="303" s="1"/>
  <c r="N72" i="303"/>
  <c r="O17" i="303"/>
  <c r="O74" i="303" s="1"/>
  <c r="N74" i="303"/>
  <c r="O19" i="303"/>
  <c r="O76" i="303" s="1"/>
  <c r="N76" i="303"/>
  <c r="O13" i="303"/>
  <c r="O70" i="303" s="1"/>
  <c r="N70" i="303"/>
  <c r="O8" i="303"/>
  <c r="O65" i="303" s="1"/>
  <c r="N65" i="303"/>
  <c r="N78" i="303"/>
  <c r="O21" i="303"/>
  <c r="O78" i="303" s="1"/>
  <c r="P78" i="303" s="1"/>
  <c r="O25" i="303"/>
  <c r="O82" i="303" s="1"/>
  <c r="P82" i="303" s="1"/>
  <c r="N82" i="303"/>
  <c r="O9" i="303"/>
  <c r="O66" i="303" s="1"/>
  <c r="N66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<sst xmlns="http://schemas.openxmlformats.org/spreadsheetml/2006/main" count="14509" uniqueCount="1516">
  <si>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</si>
  <si>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</si>
  <si>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</si>
  <si>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</si>
  <si>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</si>
  <si>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</si>
  <si>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</si>
  <si>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</si>
  <si>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</si>
  <si>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</si>
  <si>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</si>
  <si>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</si>
  <si>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</si>
  <si>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</si>
  <si>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</si>
  <si>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</si>
  <si>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</si>
  <si>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</si>
  <si>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</si>
  <si>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</si>
  <si>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</si>
  <si>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</si>
  <si>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</si>
  <si>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</si>
  <si>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</si>
  <si>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</si>
  <si>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</si>
  <si>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</si>
  <si>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</si>
  <si>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</si>
  <si>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</si>
  <si>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</si>
  <si>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</si>
  <si>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</si>
  <si>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</si>
  <si>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</si>
  <si>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</si>
  <si>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</si>
  <si>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</si>
  <si>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</si>
  <si>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</si>
  <si>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</si>
  <si>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</si>
  <si>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</si>
  <si>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</si>
  <si>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</si>
  <si>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</si>
  <si>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</si>
  <si>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</si>
  <si>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</si>
  <si>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</si>
  <si>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</si>
  <si>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</si>
  <si>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</si>
  <si>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</si>
  <si>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</si>
  <si>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</si>
  <si>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</si>
  <si>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</si>
  <si>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</si>
  <si>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</si>
  <si>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</si>
  <si>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</si>
  <si>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</si>
  <si>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</si>
  <si>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</si>
  <si>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</si>
  <si>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</si>
  <si>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</si>
  <si>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</si>
  <si>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</si>
  <si>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</si>
  <si>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</si>
  <si>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</si>
  <si>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</si>
  <si>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</si>
  <si>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</si>
  <si>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</si>
  <si>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</si>
  <si>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</si>
  <si>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</si>
  <si>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</si>
  <si>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</si>
  <si>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</si>
  <si>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</si>
  <si>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</si>
  <si>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</si>
  <si>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</si>
  <si>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</si>
  <si>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</si>
  <si>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</si>
  <si>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</si>
  <si>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</si>
  <si>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</si>
  <si>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</si>
  <si>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</si>
  <si>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</si>
  <si>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</si>
  <si>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</si>
  <si>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</si>
  <si>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</si>
  <si>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</si>
  <si>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</si>
  <si>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</si>
  <si>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</si>
  <si>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</si>
  <si>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</si>
  <si>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</si>
  <si>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</si>
  <si>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</si>
  <si>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</si>
  <si>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</si>
  <si>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</si>
  <si>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</si>
  <si>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</si>
  <si>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</si>
  <si>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</si>
  <si>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</si>
  <si>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</si>
  <si>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</si>
  <si>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</si>
  <si>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</si>
  <si>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</si>
  <si>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</si>
  <si>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</si>
  <si>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</si>
  <si>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</si>
  <si>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</si>
  <si>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</si>
  <si>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</si>
  <si>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</si>
  <si>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</si>
  <si>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</si>
  <si>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</si>
  <si>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</si>
  <si>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</si>
  <si>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</si>
  <si>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</si>
  <si>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</si>
  <si>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</si>
  <si>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</si>
  <si>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</si>
  <si>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</si>
  <si>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</si>
  <si>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</si>
  <si>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</si>
  <si>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</si>
  <si>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</si>
  <si>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</si>
  <si>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</si>
  <si>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</si>
  <si>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</si>
  <si>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</si>
  <si>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</si>
  <si>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</si>
  <si>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</si>
  <si>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</si>
  <si>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</si>
  <si>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</si>
  <si>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</si>
  <si>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</si>
  <si>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</si>
  <si>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</si>
  <si>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</si>
  <si>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</si>
  <si>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</si>
  <si>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</si>
  <si>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</si>
  <si>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</si>
  <si>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</si>
  <si>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</si>
  <si>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</si>
  <si>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</si>
  <si>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</si>
  <si>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</si>
  <si>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</si>
  <si>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</si>
  <si>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</si>
  <si>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</si>
  <si>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</si>
  <si>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</si>
  <si>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</si>
  <si>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</si>
  <si>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</si>
  <si>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</si>
  <si>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</si>
  <si>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</si>
  <si>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</si>
  <si>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</si>
  <si>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</si>
  <si>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</si>
  <si>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</si>
  <si>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</si>
  <si>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</si>
  <si>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</si>
  <si>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</si>
  <si>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</si>
  <si>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</si>
  <si>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</si>
  <si>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</si>
  <si>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</si>
  <si>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</si>
  <si>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</si>
  <si>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</si>
  <si>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</si>
  <si>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</si>
  <si>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</si>
  <si>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</si>
  <si>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</si>
  <si>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</si>
  <si>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</si>
  <si>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</si>
  <si>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</si>
  <si>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</si>
  <si>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</si>
  <si>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</si>
  <si>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</si>
  <si>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</si>
  <si>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</si>
  <si>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</si>
  <si>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</si>
  <si>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</si>
  <si>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</si>
  <si>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</si>
  <si>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</si>
  <si>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</si>
  <si>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</si>
  <si>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</si>
  <si>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</si>
  <si>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</si>
  <si>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</si>
  <si>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</si>
  <si>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</si>
  <si>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</si>
  <si>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</si>
  <si>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</si>
  <si>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</si>
  <si>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</si>
  <si>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</si>
  <si>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</si>
  <si>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</si>
  <si>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</si>
  <si>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</si>
  <si>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</si>
  <si>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</si>
  <si>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</si>
  <si>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</si>
  <si>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</si>
  <si>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</si>
  <si>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</si>
  <si>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</si>
  <si>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</si>
  <si>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</si>
  <si>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</si>
  <si>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</si>
  <si>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</si>
  <si>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</si>
  <si>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</si>
  <si>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</si>
  <si>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</si>
  <si>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</si>
  <si>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</si>
  <si>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</si>
  <si>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</si>
  <si>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</si>
  <si>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</si>
  <si>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</si>
  <si>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</si>
  <si>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</si>
  <si>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</si>
  <si>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</si>
  <si>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</si>
  <si>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</si>
  <si>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</si>
  <si>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</si>
  <si>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</si>
  <si>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</si>
  <si>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</si>
  <si>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</si>
  <si>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</si>
  <si>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</si>
  <si>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</si>
  <si>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</si>
  <si>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</si>
  <si>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</si>
  <si>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</si>
  <si>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</si>
  <si>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</si>
  <si>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</si>
  <si>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</si>
  <si>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</si>
  <si>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</si>
  <si>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</si>
  <si>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</si>
  <si>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</si>
  <si>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</si>
  <si>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</si>
  <si>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</si>
  <si>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</si>
  <si>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</si>
  <si>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</si>
  <si>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</si>
  <si>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</si>
  <si>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</si>
  <si>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</si>
  <si>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</si>
  <si>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</si>
  <si>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</si>
  <si>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</si>
  <si>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</si>
  <si>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</si>
  <si>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</si>
  <si>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</si>
  <si>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</si>
  <si>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</si>
  <si>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</si>
  <si>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</si>
  <si>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</si>
  <si>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</si>
  <si>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</si>
  <si>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</si>
  <si>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</si>
  <si>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</si>
  <si>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</si>
  <si>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</si>
  <si>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</si>
  <si>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</si>
  <si>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</si>
  <si>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</si>
  <si>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</si>
  <si>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</si>
  <si>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</si>
  <si>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</si>
  <si>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</si>
  <si>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</si>
  <si>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</si>
  <si>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</si>
  <si>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</si>
  <si>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</si>
  <si>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</si>
  <si>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</si>
  <si>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</si>
  <si>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</si>
  <si>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</si>
  <si>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</si>
  <si>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</si>
  <si>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</si>
  <si>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</si>
  <si>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102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</si>
  <si>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</si>
  <si>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</si>
  <si>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</si>
  <si>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</si>
  <si>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</si>
  <si>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</si>
  <si>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</si>
  <si>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</si>
  <si>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</si>
  <si>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</si>
  <si>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</si>
  <si>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</si>
  <si>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</si>
  <si>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</si>
  <si>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</si>
  <si>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</si>
  <si>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</si>
  <si>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</si>
  <si>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</si>
  <si>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</si>
  <si>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</si>
  <si>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</si>
  <si>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</si>
  <si>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</si>
  <si>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</si>
  <si>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</si>
  <si>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</si>
  <si>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</si>
  <si>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</si>
  <si>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</si>
  <si>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</si>
  <si>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</si>
  <si>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</si>
  <si>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</si>
  <si>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</si>
  <si>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</si>
  <si>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</si>
  <si>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</si>
  <si>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</si>
  <si>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</si>
  <si>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</si>
  <si>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</si>
  <si>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</si>
  <si>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Mineral Wells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</si>
  <si>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</si>
  <si>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</si>
  <si>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</si>
  <si>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</si>
  <si>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</si>
  <si>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</si>
  <si>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</si>
  <si>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</si>
  <si>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</si>
  <si>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</si>
  <si>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</si>
  <si>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</si>
  <si>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</si>
  <si>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</si>
  <si>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</si>
  <si>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</si>
  <si>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</si>
  <si>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</si>
  <si>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</si>
  <si>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</si>
  <si>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</si>
  <si>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</si>
  <si>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</si>
  <si>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</si>
  <si>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</si>
  <si>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</si>
  <si>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</si>
  <si>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</si>
  <si>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</si>
  <si>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</si>
  <si>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</si>
  <si>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</si>
  <si>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</si>
  <si>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</si>
  <si>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</si>
  <si>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</si>
  <si>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</si>
  <si>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</si>
  <si>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</si>
  <si>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</si>
  <si>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</si>
  <si>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</si>
  <si>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</si>
  <si>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</si>
  <si>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</si>
  <si>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</si>
  <si>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</si>
  <si>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</si>
  <si>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</si>
  <si>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</si>
  <si>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</si>
  <si>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</si>
  <si>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</si>
  <si>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</si>
  <si>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</si>
  <si>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</si>
  <si>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</si>
  <si>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Lewisville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</si>
  <si>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</si>
  <si>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</si>
  <si>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</si>
  <si>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</si>
  <si>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</si>
  <si>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</si>
  <si>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</si>
  <si>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</si>
  <si>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</si>
  <si>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</si>
  <si>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</si>
  <si>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</si>
  <si>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</si>
  <si>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</si>
  <si>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</si>
  <si>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</si>
  <si>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</si>
  <si>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</si>
  <si>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</si>
  <si>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</si>
  <si>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</si>
  <si>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</si>
  <si>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</si>
  <si>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</si>
  <si>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</si>
  <si>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</si>
  <si>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</si>
  <si>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</si>
  <si>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</si>
  <si>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</si>
  <si>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</si>
  <si>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</si>
  <si>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</si>
  <si>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</si>
  <si>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</si>
  <si>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</si>
  <si>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</si>
  <si>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</si>
  <si>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</si>
  <si>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</si>
  <si>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</si>
  <si>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</si>
  <si>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</si>
  <si>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</si>
  <si>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</si>
  <si>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</si>
  <si>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</si>
  <si>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</si>
  <si>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</si>
  <si>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</si>
  <si>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</si>
  <si>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</si>
  <si>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</si>
  <si>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</si>
  <si>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</si>
  <si>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</si>
  <si>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</si>
  <si>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</si>
  <si>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</si>
  <si>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</si>
  <si>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</si>
  <si>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</si>
  <si>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</si>
  <si>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</si>
  <si>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</si>
  <si>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</si>
  <si>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</si>
  <si>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</si>
  <si>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</si>
  <si>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</si>
  <si>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</si>
  <si>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</si>
  <si>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</si>
  <si>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</si>
  <si>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</si>
  <si>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</si>
  <si>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</si>
  <si>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</si>
  <si>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</si>
  <si>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</si>
  <si>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</si>
  <si>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</si>
  <si>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</si>
  <si>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</si>
  <si>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</si>
  <si>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</si>
  <si>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</si>
  <si>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</si>
  <si>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</si>
  <si>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</si>
  <si>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</si>
  <si>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</si>
  <si>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</si>
  <si>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</si>
  <si>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</si>
  <si>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</si>
  <si>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</si>
  <si>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</si>
  <si>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</si>
  <si>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</si>
  <si>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</si>
  <si>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</si>
  <si>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</si>
  <si>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</si>
  <si>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</si>
  <si>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</si>
  <si>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</si>
  <si>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</si>
  <si>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</si>
  <si>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</si>
  <si>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</si>
  <si>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</si>
  <si>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</si>
  <si>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</si>
  <si>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</si>
  <si>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</si>
  <si>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</si>
  <si>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</si>
  <si>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</si>
  <si>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</si>
  <si>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</si>
  <si>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</si>
  <si>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</si>
  <si>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</si>
  <si>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</si>
  <si>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</si>
  <si>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</si>
  <si>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</si>
  <si>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</si>
  <si>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</si>
  <si>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</si>
  <si>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</si>
  <si>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</si>
  <si>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</si>
  <si>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</si>
  <si>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</si>
  <si>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</si>
  <si>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</si>
  <si>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</si>
  <si>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</si>
  <si>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</si>
  <si>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</si>
  <si>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</si>
  <si>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</si>
  <si>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</si>
  <si>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</si>
  <si>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</si>
  <si>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</si>
  <si>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</si>
  <si>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</si>
  <si>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</si>
  <si>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</si>
  <si>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</si>
  <si>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</si>
  <si>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</si>
  <si>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</si>
  <si>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</si>
  <si>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</si>
  <si>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</si>
  <si>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</si>
  <si>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</si>
  <si>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</si>
  <si>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</si>
  <si>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</si>
  <si>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</si>
  <si>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</si>
  <si>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</si>
  <si>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</si>
  <si>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</si>
  <si>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</si>
  <si>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</si>
  <si>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</si>
  <si>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</si>
  <si>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</si>
  <si>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</si>
  <si>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</si>
  <si>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</si>
  <si>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</si>
  <si>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</si>
  <si>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</si>
  <si>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</si>
  <si>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</si>
  <si>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</si>
  <si>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</si>
  <si>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</si>
  <si>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</si>
  <si>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</si>
  <si>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</si>
  <si>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</si>
  <si>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</si>
  <si>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</si>
  <si>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</si>
  <si>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</si>
  <si>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</si>
  <si>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</si>
  <si>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</si>
  <si>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</si>
  <si>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</si>
  <si>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</si>
  <si>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</si>
  <si>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</si>
  <si>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</si>
  <si>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</si>
  <si>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</si>
  <si>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</si>
  <si>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</si>
  <si>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</si>
  <si>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</si>
  <si>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</si>
  <si>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</si>
  <si>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</si>
  <si>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</si>
  <si>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</si>
  <si>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</si>
  <si>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</si>
  <si>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</si>
  <si>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</si>
  <si>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</si>
  <si>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</si>
  <si>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</si>
  <si>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</si>
  <si>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</si>
  <si>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</si>
  <si>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</si>
  <si>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</si>
  <si>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</si>
  <si>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</si>
  <si>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</si>
  <si>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</si>
  <si>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</si>
  <si>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</si>
  <si>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</si>
  <si>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</si>
  <si>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</si>
  <si>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</si>
  <si>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</si>
  <si>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</si>
  <si>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</si>
  <si>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</si>
  <si>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</si>
  <si>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</si>
  <si>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</si>
  <si>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</si>
  <si>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</si>
  <si>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</si>
  <si>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</si>
  <si>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</si>
  <si>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</si>
  <si>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</si>
  <si>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</si>
  <si>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</si>
  <si>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</si>
  <si>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</si>
  <si>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</si>
  <si>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</si>
  <si>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</si>
  <si>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</si>
  <si>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</si>
  <si>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</si>
  <si>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</si>
  <si>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</si>
  <si>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</si>
  <si>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</si>
  <si>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</si>
  <si>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</si>
  <si>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</si>
  <si>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</si>
  <si>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</si>
  <si>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</si>
  <si>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</si>
  <si>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</si>
  <si>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</si>
  <si>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</si>
  <si>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</si>
  <si>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</si>
  <si>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</si>
  <si>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</si>
  <si>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</si>
  <si>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</si>
  <si>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</si>
  <si>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</si>
  <si>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</si>
  <si>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</si>
  <si>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</si>
  <si>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</si>
  <si>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</si>
  <si>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</si>
  <si>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</si>
  <si>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</si>
  <si>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</si>
  <si>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</si>
  <si>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</si>
  <si>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</si>
  <si>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</si>
  <si>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</si>
  <si>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</si>
  <si>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</si>
  <si>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</si>
  <si>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</si>
  <si>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</si>
  <si>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</si>
  <si>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</si>
  <si>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</si>
  <si>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</si>
  <si>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</si>
  <si>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</si>
  <si>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</si>
  <si>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</si>
  <si>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</si>
  <si>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</si>
  <si>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</si>
  <si>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</si>
  <si>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</si>
  <si>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</si>
  <si>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</si>
  <si>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</si>
  <si>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Joe  Leos</t>
  </si>
  <si>
    <t>Francisco  Sotelo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</si>
  <si>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</si>
  <si>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</si>
  <si>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</si>
  <si>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</si>
  <si>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</si>
  <si>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</si>
  <si>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</si>
  <si>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</si>
  <si>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</si>
  <si>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</si>
  <si>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</si>
  <si>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</si>
  <si>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</si>
  <si>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</si>
  <si>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</si>
  <si>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</si>
  <si>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</si>
  <si>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</si>
  <si>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</si>
  <si>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</si>
  <si>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</si>
  <si>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</si>
  <si>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</si>
  <si>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</si>
  <si>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</si>
  <si>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</si>
  <si>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</si>
  <si>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</si>
  <si>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</si>
  <si>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</si>
  <si>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</si>
  <si>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</si>
  <si>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</si>
  <si>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</si>
  <si>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</si>
  <si>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</si>
  <si>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</si>
  <si>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</si>
  <si>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</si>
  <si>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</si>
  <si>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</si>
  <si>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</si>
  <si>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</si>
  <si>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</si>
  <si>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</si>
  <si>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</si>
  <si>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</si>
  <si>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</si>
  <si>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</si>
  <si>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</si>
  <si>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</si>
  <si>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</si>
  <si>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</si>
  <si>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</si>
  <si>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</si>
  <si>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</si>
  <si>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</si>
  <si>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</si>
  <si>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</si>
  <si>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</si>
  <si>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</si>
  <si>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</si>
  <si>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</si>
  <si>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</si>
  <si>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</si>
  <si>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</si>
  <si>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</si>
  <si>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</si>
  <si>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</si>
  <si>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</si>
  <si>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</si>
  <si>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</si>
  <si>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</si>
  <si>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</si>
  <si>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</si>
  <si>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</si>
  <si>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</si>
  <si>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</si>
  <si>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</si>
  <si>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</si>
  <si>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</si>
  <si>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</si>
  <si>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</si>
  <si>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</si>
  <si>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</si>
  <si>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</si>
  <si>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</si>
  <si>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</si>
  <si>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</si>
  <si>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</si>
  <si>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</si>
  <si>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</si>
  <si>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</si>
  <si>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</si>
  <si>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</si>
  <si>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</si>
  <si>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</si>
  <si>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</si>
  <si>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</si>
  <si>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</si>
  <si>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</si>
  <si>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</si>
  <si>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</si>
  <si>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</si>
  <si>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</si>
  <si>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</si>
  <si>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</si>
  <si>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</si>
  <si>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</si>
  <si>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</si>
  <si>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</si>
  <si>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</si>
  <si>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</si>
  <si>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</si>
  <si>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</si>
  <si>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</si>
  <si>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</si>
  <si>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</si>
  <si>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</si>
  <si>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</si>
  <si>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</si>
  <si>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</si>
  <si>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</si>
  <si>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</si>
  <si>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</si>
  <si>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</si>
  <si>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</si>
  <si>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</si>
  <si>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</si>
  <si>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</si>
  <si>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</si>
  <si>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</si>
  <si>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</si>
  <si>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</si>
  <si>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</si>
  <si>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</si>
  <si>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</si>
  <si>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</si>
  <si>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</si>
  <si>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</si>
  <si>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</si>
  <si>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</si>
  <si>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</si>
  <si>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</si>
  <si>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</si>
  <si>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</si>
  <si>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</si>
  <si>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</si>
  <si>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</si>
  <si>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</si>
  <si>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</si>
  <si>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</si>
  <si>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</si>
  <si>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</si>
  <si>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</si>
  <si>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</si>
  <si>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</si>
  <si>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</si>
  <si>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</si>
  <si>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</si>
  <si>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Jose Garza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</si>
  <si>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</si>
  <si>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</si>
  <si>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</si>
  <si>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</si>
  <si>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</si>
  <si>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</si>
  <si>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</si>
  <si>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</si>
  <si>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</si>
  <si>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</si>
  <si>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</si>
  <si>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</si>
  <si>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</si>
  <si>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</si>
  <si>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</si>
  <si>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</si>
  <si>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</si>
  <si>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</si>
  <si>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</si>
  <si>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</si>
  <si>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</si>
  <si>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</si>
  <si>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</si>
  <si>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</si>
  <si>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</si>
  <si>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</si>
  <si>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</si>
  <si>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</si>
  <si>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</si>
  <si>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</si>
  <si>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</si>
  <si>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</si>
  <si>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</si>
  <si>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</si>
  <si>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</si>
  <si>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</si>
  <si>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</si>
  <si>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</si>
  <si>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</si>
  <si>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</si>
  <si>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</si>
  <si>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</si>
  <si>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</si>
  <si>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</si>
  <si>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</si>
  <si>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</si>
  <si>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</si>
  <si>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</si>
  <si>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</si>
  <si>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</si>
  <si>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</si>
  <si>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</si>
  <si>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</si>
  <si>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</si>
  <si>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</si>
  <si>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</si>
  <si>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</si>
  <si>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</si>
  <si>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</si>
  <si>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</si>
  <si>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</si>
  <si>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</si>
  <si>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</si>
  <si>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</si>
  <si>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</si>
  <si>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</si>
  <si>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</si>
  <si>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</si>
  <si>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</si>
  <si>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</si>
  <si>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</si>
  <si>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</si>
  <si>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</si>
  <si>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</si>
  <si>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</si>
  <si>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</si>
  <si>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</si>
  <si>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</si>
  <si>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</si>
  <si>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</si>
  <si>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</si>
  <si>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</si>
  <si>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</si>
  <si>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</si>
  <si>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</si>
  <si>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</si>
  <si>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012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</si>
  <si>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</si>
  <si>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</si>
  <si>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</si>
  <si>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</si>
  <si>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</si>
  <si>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</si>
  <si>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</si>
  <si>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</si>
  <si>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</si>
  <si>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Charles Trahan</t>
  </si>
  <si>
    <t>DIFF TO GOAL</t>
  </si>
  <si>
    <t>% OF GOAL</t>
  </si>
  <si>
    <t>10 Year Ave</t>
  </si>
  <si>
    <t>247</t>
  </si>
  <si>
    <t>Kenny Trochta</t>
  </si>
  <si>
    <t>John Hinojosa</t>
  </si>
  <si>
    <t>Ed Tydings</t>
  </si>
  <si>
    <t>Joe A Martinez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</si>
  <si>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</si>
  <si>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</si>
  <si>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</si>
  <si>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</si>
  <si>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</si>
  <si>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</si>
  <si>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</si>
  <si>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</si>
  <si>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</si>
  <si>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</si>
  <si>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</si>
  <si>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</si>
  <si>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</si>
  <si>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</si>
  <si>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</si>
  <si>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</si>
  <si>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</si>
  <si>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</si>
  <si>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</si>
  <si>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Members 7/1/2019</t>
  </si>
  <si>
    <t>2019-20</t>
  </si>
  <si>
    <t>201</t>
  </si>
  <si>
    <t>202</t>
  </si>
  <si>
    <t>George G Scott</t>
  </si>
  <si>
    <t>163</t>
  </si>
  <si>
    <t>Azle</t>
  </si>
  <si>
    <t>Michael J Gasper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</si>
  <si>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</si>
  <si>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</si>
  <si>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</si>
  <si>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</si>
  <si>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</si>
  <si>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</si>
  <si>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</si>
  <si>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</si>
  <si>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</si>
  <si>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013</t>
  </si>
  <si>
    <t>065</t>
  </si>
  <si>
    <t>219</t>
  </si>
  <si>
    <t>Richard  Gilliland</t>
  </si>
  <si>
    <t>Fernando T Silva</t>
  </si>
  <si>
    <t>Armando  Acosta</t>
  </si>
  <si>
    <t>James B Weber</t>
  </si>
  <si>
    <t>Giovani  Hyppolite</t>
  </si>
  <si>
    <t>Luis J Ortiz Jr</t>
  </si>
  <si>
    <t>Jesus  Granado Jr</t>
  </si>
  <si>
    <t>Roman  Bustillos</t>
  </si>
  <si>
    <t>Jesus  Quinones</t>
  </si>
  <si>
    <t>Robert  Diaz</t>
  </si>
  <si>
    <t>Ramon J Salgado</t>
  </si>
  <si>
    <t>Juan A Dominguez</t>
  </si>
  <si>
    <t>Louie N Martinez</t>
  </si>
  <si>
    <t>TO BE APPOINTED</t>
  </si>
  <si>
    <t>Gregory  Brown</t>
  </si>
  <si>
    <t>Richard  Norgaard</t>
  </si>
  <si>
    <t>Richard  Rumenapp</t>
  </si>
  <si>
    <t>Walter A Hoesing</t>
  </si>
  <si>
    <t>Mike G Becan Sr</t>
  </si>
  <si>
    <t>John  Walker</t>
  </si>
  <si>
    <t>Michael  Rueschenberg</t>
  </si>
  <si>
    <t>Ruben  Cisneros</t>
  </si>
  <si>
    <t>Alfonso "Obie"  Obregon Sr</t>
  </si>
  <si>
    <t>Gerald  Hightower</t>
  </si>
  <si>
    <t>Archie  Wright II</t>
  </si>
  <si>
    <t>Anson  Geisel</t>
  </si>
  <si>
    <t>Robert  Daleo</t>
  </si>
  <si>
    <t>William  Tillotson</t>
  </si>
  <si>
    <t>David  Pels</t>
  </si>
  <si>
    <t>William J Mechura</t>
  </si>
  <si>
    <t>Armando R Vasquez</t>
  </si>
  <si>
    <t>Ruben R Elizondo</t>
  </si>
  <si>
    <t>Fernando  Herrera</t>
  </si>
  <si>
    <t>Carlos  Delgado</t>
  </si>
  <si>
    <t>Dan  Rangel</t>
  </si>
  <si>
    <t>Jaime  Piedra</t>
  </si>
  <si>
    <t>Michael W Trevino</t>
  </si>
  <si>
    <t>William A Torres</t>
  </si>
  <si>
    <t>James A Matz</t>
  </si>
  <si>
    <t>Joseph L Zimmer</t>
  </si>
  <si>
    <t>Hermilo  Silva</t>
  </si>
  <si>
    <t>George H Cheney</t>
  </si>
  <si>
    <t>Henry  Alves</t>
  </si>
  <si>
    <t>Oscar M Caballero</t>
  </si>
  <si>
    <t>Phillip  Reyes</t>
  </si>
  <si>
    <t>Edvardo  Garcia</t>
  </si>
  <si>
    <t>Ruben  Gallegos</t>
  </si>
  <si>
    <t>Jim  Irwin</t>
  </si>
  <si>
    <t>Jesse J Aguilar</t>
  </si>
  <si>
    <t>Javier  Martinez</t>
  </si>
  <si>
    <t>Carlos J Gonzalez</t>
  </si>
  <si>
    <t>Willie  Leal Jr</t>
  </si>
  <si>
    <t>Louis C Soriano</t>
  </si>
  <si>
    <t>Butch J Rodriguez</t>
  </si>
  <si>
    <t>Ruben C Gomez</t>
  </si>
  <si>
    <t>Joe  Torres</t>
  </si>
  <si>
    <t>David D Colton</t>
  </si>
  <si>
    <t>Joe  Hernandez</t>
  </si>
  <si>
    <t>Christobal  Rodriguez, Jr.</t>
  </si>
  <si>
    <t>David B Gonzales</t>
  </si>
  <si>
    <t>Mark L Jasek</t>
  </si>
  <si>
    <t>Raul R Maldonado</t>
  </si>
  <si>
    <t>Dennis J Doherty</t>
  </si>
  <si>
    <t>Robert  Guerrero Jr</t>
  </si>
  <si>
    <t>Joseph E Maloy</t>
  </si>
  <si>
    <t>E.J. "Jerry"  Moch Jr</t>
  </si>
  <si>
    <t>Anthony P Scarpa</t>
  </si>
  <si>
    <t>Rudy  Ordaz</t>
  </si>
  <si>
    <t>Brian  Kozel</t>
  </si>
  <si>
    <t>Michael  Appling</t>
  </si>
  <si>
    <t>Francisco  Carpinteyro</t>
  </si>
  <si>
    <t>Manuel  Cervantes</t>
  </si>
  <si>
    <t>Samuel  Gonzalez</t>
  </si>
  <si>
    <t>Vincent C Stasio</t>
  </si>
  <si>
    <t>Michael  Akiboh</t>
  </si>
  <si>
    <t>Don  Huml</t>
  </si>
  <si>
    <t>John Anthony  Martinez</t>
  </si>
  <si>
    <t>Patrick L Russek</t>
  </si>
  <si>
    <t>Clarence "CJ"  Hattier</t>
  </si>
  <si>
    <t>Juan A Perez</t>
  </si>
  <si>
    <t>Larry  Ordaz</t>
  </si>
  <si>
    <t>Abner  Brown Jr</t>
  </si>
  <si>
    <t>Reggie  Vasquez</t>
  </si>
  <si>
    <t>Robert "Bob" H Schmidt</t>
  </si>
  <si>
    <t>Larry  Pellerito</t>
  </si>
  <si>
    <t>Joseph A Geiman</t>
  </si>
  <si>
    <t>John G Hinojosa</t>
  </si>
  <si>
    <t>James A Hatcher</t>
  </si>
  <si>
    <t>Ron  Frerich</t>
  </si>
  <si>
    <t>Mervin J Albert Jr</t>
  </si>
  <si>
    <t>Gary L Walton</t>
  </si>
  <si>
    <t>Jose "John" J Casarez</t>
  </si>
  <si>
    <t>Kevin  Quinn</t>
  </si>
  <si>
    <t>Scott  Brkovich</t>
  </si>
  <si>
    <t>Royce G Cheek</t>
  </si>
  <si>
    <t>Dan  Stoffel</t>
  </si>
  <si>
    <t>Robert M Repka Jr</t>
  </si>
  <si>
    <t>John "Jack" G Ayers</t>
  </si>
  <si>
    <t>Kebran W Alexander</t>
  </si>
  <si>
    <t>Richard C Frasco</t>
  </si>
  <si>
    <t>Edward J Stankunas</t>
  </si>
  <si>
    <t>Alberto  Castro</t>
  </si>
  <si>
    <t>Nick  Flores</t>
  </si>
  <si>
    <t>Michael  Steffens</t>
  </si>
  <si>
    <t>Ed  Romack</t>
  </si>
  <si>
    <t>Mike  Courtney</t>
  </si>
  <si>
    <t>Philip  Chauvin</t>
  </si>
  <si>
    <t>Jason L Kelley</t>
  </si>
  <si>
    <t>Robert "Bobby"  Wilson</t>
  </si>
  <si>
    <t>John  Badeaux Sr</t>
  </si>
  <si>
    <t>Marcus A James</t>
  </si>
  <si>
    <t>James M Langford</t>
  </si>
  <si>
    <t>Charles D Trahan</t>
  </si>
  <si>
    <t>Lawrence E Pfeifer</t>
  </si>
  <si>
    <t>Mark J Freund</t>
  </si>
  <si>
    <t>John S Evans</t>
  </si>
  <si>
    <t>Damian Christopher  Oldmixon</t>
  </si>
  <si>
    <t>James  Kennerly</t>
  </si>
  <si>
    <t>Travis  Desjarlais</t>
  </si>
  <si>
    <t>Jeffrey  Allen</t>
  </si>
  <si>
    <t>Alan  Mebes</t>
  </si>
  <si>
    <t>Kenneth  Ratajczak</t>
  </si>
  <si>
    <t>Bernard F Ott Jr</t>
  </si>
  <si>
    <t>Eugene  Presta</t>
  </si>
  <si>
    <t>Wayne  McCart</t>
  </si>
  <si>
    <t>David  Lamme</t>
  </si>
  <si>
    <t>Clarence  Troy</t>
  </si>
  <si>
    <t>Maurice  Jurena</t>
  </si>
  <si>
    <t>Vince  Verdicchio</t>
  </si>
  <si>
    <t>Michael  Barnett</t>
  </si>
  <si>
    <t>John W Hicks</t>
  </si>
  <si>
    <t>Michael  D'Antonio</t>
  </si>
  <si>
    <t>Alex  Martinez</t>
  </si>
  <si>
    <t>Darris  Chapple</t>
  </si>
  <si>
    <t>Joseph "Pat" P Ortiz</t>
  </si>
  <si>
    <t>Kevin  Russell</t>
  </si>
  <si>
    <t>Tony  Grandinetti</t>
  </si>
  <si>
    <t>Patrick J Quinlan</t>
  </si>
  <si>
    <t>Armando  Montes Jr</t>
  </si>
  <si>
    <t>Edward  Tydings</t>
  </si>
  <si>
    <t>TO BE APPOINETED</t>
  </si>
  <si>
    <t>Joseph  Naderer</t>
  </si>
  <si>
    <t>Paul  Hickey</t>
  </si>
  <si>
    <t>Luis M Cadena</t>
  </si>
  <si>
    <t>Alfredo  Torres</t>
  </si>
  <si>
    <t>William G Archambeault</t>
  </si>
  <si>
    <t>Pedro  Gonzalez</t>
  </si>
  <si>
    <t>Christopher  Hernandez</t>
  </si>
  <si>
    <t>Abel  Gutierrez</t>
  </si>
  <si>
    <t>Gilbert  Perez Sr</t>
  </si>
  <si>
    <t>Juan M Hernandez</t>
  </si>
  <si>
    <t>Ervey  Martinez</t>
  </si>
  <si>
    <t>Jesse Q Garcia</t>
  </si>
  <si>
    <t>Rudy  Ortiz</t>
  </si>
  <si>
    <t>Robert  Landry</t>
  </si>
  <si>
    <t>Harry A Isenberger</t>
  </si>
  <si>
    <t>James A Kocurek</t>
  </si>
  <si>
    <t>Jeff  Popp</t>
  </si>
  <si>
    <t>William  Schuette</t>
  </si>
  <si>
    <t>Andrew  Pesek</t>
  </si>
  <si>
    <t>Lukas F Janak Jr</t>
  </si>
  <si>
    <t>Manuel  Gonzales III</t>
  </si>
  <si>
    <t>Ron  Railsback</t>
  </si>
  <si>
    <t>James C Stark II</t>
  </si>
  <si>
    <t>Ignacio "Richard"  Romero</t>
  </si>
  <si>
    <t>Ray G Sistos</t>
  </si>
  <si>
    <t>Heath  Henderson</t>
  </si>
  <si>
    <t>Christopher A Johnson</t>
  </si>
  <si>
    <t>Jose  Garza Jr</t>
  </si>
  <si>
    <t>Juan A Lopez</t>
  </si>
  <si>
    <t>Albert  Esparza</t>
  </si>
  <si>
    <t>George L Ramirez</t>
  </si>
  <si>
    <t>Antonio C Puente Sr</t>
  </si>
  <si>
    <t>Martin  Rivas</t>
  </si>
  <si>
    <t>Noel P Benavides Jr</t>
  </si>
  <si>
    <t>Vincent M Pena</t>
  </si>
  <si>
    <t>Apolonio  Zuniga Jr</t>
  </si>
  <si>
    <t>Arnulfo  Esqueda</t>
  </si>
  <si>
    <t>Carlos  Perez</t>
  </si>
  <si>
    <t>Eduardo  Garcia</t>
  </si>
  <si>
    <t>Fernando  Garcia</t>
  </si>
  <si>
    <t>Ralph  Cavazos</t>
  </si>
  <si>
    <t>Roman M Estrada</t>
  </si>
  <si>
    <t>Gregory J Dutchover</t>
  </si>
  <si>
    <t>Aloysius "Al" E NovoGradac Jr</t>
  </si>
  <si>
    <t>Lupe M Rodriguez</t>
  </si>
  <si>
    <t>Frank  Casares</t>
  </si>
  <si>
    <t>Deacon Frankie D Aguirre</t>
  </si>
  <si>
    <t>Michael M Murray</t>
  </si>
  <si>
    <t>Steven  Knight</t>
  </si>
  <si>
    <t>Gregory  Huffman</t>
  </si>
  <si>
    <t>Joe  Jacobo</t>
  </si>
  <si>
    <t>Isaac A Gonzalez</t>
  </si>
  <si>
    <t>Jose Luis  Rodriguez</t>
  </si>
  <si>
    <t>Luis J Collazo</t>
  </si>
  <si>
    <t>Jose A Ramos</t>
  </si>
  <si>
    <t>Luciano V Vargas</t>
  </si>
  <si>
    <t>Enrique  Adriano</t>
  </si>
  <si>
    <t>Eduardo  Benavidez</t>
  </si>
  <si>
    <t>Adan  Gonzalez</t>
  </si>
  <si>
    <t>Arlie E Markusen</t>
  </si>
  <si>
    <t>Brad  Simmons</t>
  </si>
  <si>
    <t>Leandro H Trinidad , Jr</t>
  </si>
  <si>
    <t>2020-21</t>
  </si>
  <si>
    <t>Alonzo</t>
  </si>
  <si>
    <t>MEMBERSHIP - RECRUITMENT - GOALS 2020-2021</t>
  </si>
  <si>
    <t>MEMBERSHIP - HISTORICAL DATA - Member Losses</t>
  </si>
  <si>
    <t>Rudy Ortiz</t>
  </si>
  <si>
    <t>Art Aguirre</t>
  </si>
  <si>
    <t>Dr. Bryan Poole</t>
  </si>
  <si>
    <t>Ray Sistos</t>
  </si>
  <si>
    <t>Mike Courtney</t>
  </si>
  <si>
    <t>David Colton</t>
  </si>
  <si>
    <t>Joe Jacobo</t>
  </si>
  <si>
    <t>Bill Tillotson</t>
  </si>
  <si>
    <t>James Halfmann</t>
  </si>
  <si>
    <t>033</t>
  </si>
  <si>
    <t>Alamo Heights/San Antonio</t>
  </si>
  <si>
    <t>AMO</t>
  </si>
  <si>
    <t>milantnson79924@att.net</t>
  </si>
  <si>
    <t>ftsilva21@yahoo.com</t>
  </si>
  <si>
    <t>eptxn@aol.com</t>
  </si>
  <si>
    <t>jamesweber@sbcglobal.net</t>
  </si>
  <si>
    <t>hyppolite.giovani@gmail.com</t>
  </si>
  <si>
    <t>weeginator@att.net</t>
  </si>
  <si>
    <t>jvgranado5061@sbcglobal.net</t>
  </si>
  <si>
    <t>roman@brockbustillos.com</t>
  </si>
  <si>
    <t>jesus.quinones@ge.com</t>
  </si>
  <si>
    <t>bobbydiazpainting@yahoo.com</t>
  </si>
  <si>
    <t>ramonsalgado47@yahoo.com</t>
  </si>
  <si>
    <t>j_dominguez1@sbcglobal.net</t>
  </si>
  <si>
    <t>lnmrtnz1950@gmail.com</t>
  </si>
  <si>
    <t>ggb@icloud.com</t>
  </si>
  <si>
    <t>z3norgaard@sbcglobal.net</t>
  </si>
  <si>
    <t>richardrumenapp@yahoo.com</t>
  </si>
  <si>
    <t>walthoesingkc@yahoo.com</t>
  </si>
  <si>
    <t>tkofcdd21@yahoo.com</t>
  </si>
  <si>
    <t>johnnywalker751502000@gmail.com</t>
  </si>
  <si>
    <t>rueschmike@gmail.com</t>
  </si>
  <si>
    <t>txdd24@gmail.com</t>
  </si>
  <si>
    <t>aobie1948@gmail.com</t>
  </si>
  <si>
    <t>jethigh@sbcglobal.net</t>
  </si>
  <si>
    <t>allw1989@yahoo.com</t>
  </si>
  <si>
    <t>dd28tkofc@gmail.com</t>
  </si>
  <si>
    <t>sk.robert.daleo@gmail.com</t>
  </si>
  <si>
    <t>william_tillotson@yahoo.com</t>
  </si>
  <si>
    <t>pelsd66@gmail.com</t>
  </si>
  <si>
    <t>sk.billmechura@gmail.com</t>
  </si>
  <si>
    <t>armandov@pacbell.net</t>
  </si>
  <si>
    <t>relizondo2009@yahoo.com</t>
  </si>
  <si>
    <t>herrfer@hotmail.com</t>
  </si>
  <si>
    <t>ccd1859delgado@gmail.com</t>
  </si>
  <si>
    <t>rangeldan@sbcglobal.net</t>
  </si>
  <si>
    <t>jpiedra@att.net</t>
  </si>
  <si>
    <t>mwtrevino@gmail.com</t>
  </si>
  <si>
    <t>willit75@hotmail.com</t>
  </si>
  <si>
    <t>jamesmatz@att.net</t>
  </si>
  <si>
    <t>jlhz@att.net</t>
  </si>
  <si>
    <t>milosilva51@hotmail.com</t>
  </si>
  <si>
    <t>gcheney@icloud.com</t>
  </si>
  <si>
    <t>halves1@att.net</t>
  </si>
  <si>
    <t>omcabal@yahoo.com</t>
  </si>
  <si>
    <t>phillip.reyes.txwd@gmail.com</t>
  </si>
  <si>
    <t>edvardogarcia@gmail.com</t>
  </si>
  <si>
    <t>rgallegos62@yahoo.com</t>
  </si>
  <si>
    <t>catholic.brother@yahoo.com</t>
  </si>
  <si>
    <t>jesseaguilar@gmail.com</t>
  </si>
  <si>
    <t>ajmplumbing1@yahoo.com</t>
  </si>
  <si>
    <t>grang315@yahoo.com</t>
  </si>
  <si>
    <t>wlealjr@yahoo.com</t>
  </si>
  <si>
    <t>louissoriano@ymail.com</t>
  </si>
  <si>
    <t>butchrodriguez210@yahoo.com</t>
  </si>
  <si>
    <t>rubencgomez90@gmail.com</t>
  </si>
  <si>
    <t>kcdd134@yahoo.com</t>
  </si>
  <si>
    <t>dcolton@satx.rr.com</t>
  </si>
  <si>
    <t>bnh1@satx.rr.com</t>
  </si>
  <si>
    <t>chrisrodjr@sbcglobal.net</t>
  </si>
  <si>
    <t>sgtdavid0411@gmail.com</t>
  </si>
  <si>
    <t>mjasek@comcast.net</t>
  </si>
  <si>
    <t>sk.raulrmaldonado@gmail.com</t>
  </si>
  <si>
    <t>ddoherty6@comcast.net</t>
  </si>
  <si>
    <t>rmguerrerojr@gmail.com</t>
  </si>
  <si>
    <t>maloy@kw.com</t>
  </si>
  <si>
    <t>mochfly@swbell.net</t>
  </si>
  <si>
    <t>scarpaap@yahoo.com</t>
  </si>
  <si>
    <t>rordaz@heiltrailer.com</t>
  </si>
  <si>
    <t>txdd74@gmail.com</t>
  </si>
  <si>
    <t>mappling1950@gmail.com</t>
  </si>
  <si>
    <t>ppanchospools@gmail.com</t>
  </si>
  <si>
    <t>mcfaithllc@gmail.com</t>
  </si>
  <si>
    <t>gonzalezsam29@gmail.com</t>
  </si>
  <si>
    <t>vcstasio@gmail.com</t>
  </si>
  <si>
    <t>akiboh22@gmail.com</t>
  </si>
  <si>
    <t>donhuml@outlook.com</t>
  </si>
  <si>
    <t>jam1371@yahoo.com</t>
  </si>
  <si>
    <t>pgrussek@consolidated.net</t>
  </si>
  <si>
    <t>juanoneperez@sbcglobal.net</t>
  </si>
  <si>
    <t>lordazdevildog@yahoo.com</t>
  </si>
  <si>
    <t>damu1968@mac.com</t>
  </si>
  <si>
    <t>regvasquez@gmail.com</t>
  </si>
  <si>
    <t>rhsch03@aol.com</t>
  </si>
  <si>
    <t>kcpellerito@gmail.com</t>
  </si>
  <si>
    <t>jageiman@outlook.com</t>
  </si>
  <si>
    <t>teamhinojosa@aol.com</t>
  </si>
  <si>
    <t>james_janis@sbcglobal.net</t>
  </si>
  <si>
    <t>rjfrerich@greystonebuilder.com</t>
  </si>
  <si>
    <t>mervalbert@sbcglobal.net</t>
  </si>
  <si>
    <t>jc6779@att.net</t>
  </si>
  <si>
    <t>kevin@thequinns.us</t>
  </si>
  <si>
    <t>scott.brkovich@gmail.com</t>
  </si>
  <si>
    <t>DD105rcheek@gmail.com</t>
  </si>
  <si>
    <t>danstoffel@yahoo.com</t>
  </si>
  <si>
    <t>robertrepka@yahoo.com</t>
  </si>
  <si>
    <t>jack.ayers@sbcglobal.net</t>
  </si>
  <si>
    <t>kebran_alexander@hotmail.com</t>
  </si>
  <si>
    <t>richfrasco@sbcglobal.net</t>
  </si>
  <si>
    <t>ejstan@verizon.net</t>
  </si>
  <si>
    <t>skcastroa@protonmail.com</t>
  </si>
  <si>
    <t>nickfloresjr@verizon.net</t>
  </si>
  <si>
    <t>mbsteff13@gmail.com</t>
  </si>
  <si>
    <t>eeromack@gmail.com</t>
  </si>
  <si>
    <t>mike.courtney@reclaimedtextiles.com</t>
  </si>
  <si>
    <t>pchauvin@gt.rr.com</t>
  </si>
  <si>
    <t>jkell318@icloud.com</t>
  </si>
  <si>
    <t>Setxguitar@sbcglobal.net</t>
  </si>
  <si>
    <t>jbadeauxsr@gt.rr.com</t>
  </si>
  <si>
    <t>marcusandrewjames16@gmail.com</t>
  </si>
  <si>
    <t>golfcoachjim@yahoo.com</t>
  </si>
  <si>
    <t>charles.trahan@yahoo.com</t>
  </si>
  <si>
    <t>larrypfeifer@comcast.net</t>
  </si>
  <si>
    <t>freundmark14@gmail.com</t>
  </si>
  <si>
    <t>jevans@stmaryslgv.org</t>
  </si>
  <si>
    <t>captchris57@gmail.com</t>
  </si>
  <si>
    <t>jkennerly973@msn.com</t>
  </si>
  <si>
    <t>travisgd@gmail.com</t>
  </si>
  <si>
    <t>k7iller@aol.com</t>
  </si>
  <si>
    <t>acmebes@aol.com</t>
  </si>
  <si>
    <t>kenrad9729@yahoo.com</t>
  </si>
  <si>
    <t>bfottjr@sbcglobal.net</t>
  </si>
  <si>
    <t>gene.presta@gmail.com</t>
  </si>
  <si>
    <t>wmccart9930@gmail.com</t>
  </si>
  <si>
    <t>txnaggie98@yahoo.com</t>
  </si>
  <si>
    <t>ctroy@hot.rr.com</t>
  </si>
  <si>
    <t>mrj_757@verizon.net</t>
  </si>
  <si>
    <t>vlv102@verizon.net</t>
  </si>
  <si>
    <t>mbarnett360@yahoo.com</t>
  </si>
  <si>
    <t>bigcheese10@austin.rr.com</t>
  </si>
  <si>
    <t>penguinhed@aol.com</t>
  </si>
  <si>
    <t>alexfs8190@gmail.com</t>
  </si>
  <si>
    <t>darrischapple@yahoo.com</t>
  </si>
  <si>
    <t>josephortiz1963@gmail.com</t>
  </si>
  <si>
    <t>ggscott@austin.rr.com</t>
  </si>
  <si>
    <t>jkruss99@gmail.com</t>
  </si>
  <si>
    <t>kofc3458@gmail.com</t>
  </si>
  <si>
    <t>quinpjjp1@hughes.net</t>
  </si>
  <si>
    <t>armando.montes6@gmail.com</t>
  </si>
  <si>
    <t>edwardtydings@gmail.com</t>
  </si>
  <si>
    <t>mike.gasper.mg@gmail.com</t>
  </si>
  <si>
    <t>pythagoras345@terranullius.info</t>
  </si>
  <si>
    <t>phick11858@aol.com</t>
  </si>
  <si>
    <t>li382919@gmail.com</t>
  </si>
  <si>
    <t>agtorres48@yahoo.com</t>
  </si>
  <si>
    <t>drcountry2012@gmail.com</t>
  </si>
  <si>
    <t>peteg361@gmail.com</t>
  </si>
  <si>
    <t>ch11713@yahoo.com</t>
  </si>
  <si>
    <t>ablgtrrz@aol.com</t>
  </si>
  <si>
    <t>gilbert@hose-etc.com</t>
  </si>
  <si>
    <t>mick.hern@yahoo.com</t>
  </si>
  <si>
    <t>dd175@olmcportland.com</t>
  </si>
  <si>
    <t>jqg406@gmail.com</t>
  </si>
  <si>
    <t>rudyortiz57@gmail.com</t>
  </si>
  <si>
    <t>ddike187@gmail.com</t>
  </si>
  <si>
    <t>james.kocurek@yahoo.com</t>
  </si>
  <si>
    <t>poppjeff@hotmail.com</t>
  </si>
  <si>
    <t>wm.schuette@gmail.com</t>
  </si>
  <si>
    <t>apesek@sbcglobal.net</t>
  </si>
  <si>
    <t>ryan.janak@kofc.org</t>
  </si>
  <si>
    <t>manuelgonzalesiii@yahoo.com</t>
  </si>
  <si>
    <t>ronwrailsback@gmail.com</t>
  </si>
  <si>
    <t>james-stark@sbcglobal.net</t>
  </si>
  <si>
    <t>ignaciormr@yahoo.com</t>
  </si>
  <si>
    <t>ray.sistos@msn.com</t>
  </si>
  <si>
    <t>heathahenderson@gmail.com</t>
  </si>
  <si>
    <t>chrisjohnsonretired@yahoo.com</t>
  </si>
  <si>
    <t>brwndiodeputy@gmail.com</t>
  </si>
  <si>
    <t>jnlpz6@sbcglobal.net</t>
  </si>
  <si>
    <t>esparzaalbert62@yahoo.com</t>
  </si>
  <si>
    <t>dusm0463@gmail.com</t>
  </si>
  <si>
    <t>tandmpuente@yahoo.com</t>
  </si>
  <si>
    <t>martinrivas@gmail.com</t>
  </si>
  <si>
    <t>noelbjr1976@yahoo.com</t>
  </si>
  <si>
    <t>kofcvincent@outlook.com</t>
  </si>
  <si>
    <t>azuni4me2@yahoo.com</t>
  </si>
  <si>
    <t>arnie.esqueda@hotmail.com</t>
  </si>
  <si>
    <t>cbperez@rgv.rr.com</t>
  </si>
  <si>
    <t>edgarciaone56@gmail.com</t>
  </si>
  <si>
    <t>fgarcia169@yahoo.com</t>
  </si>
  <si>
    <t>rcralcav@icloud.com</t>
  </si>
  <si>
    <t>ogoldsch@yahoo.com</t>
  </si>
  <si>
    <t>gdutchover@musiccitymall.net</t>
  </si>
  <si>
    <t>alnovogradac53@gmail.com</t>
  </si>
  <si>
    <t>lupe.rodriguez@suddenlink.net</t>
  </si>
  <si>
    <t>first_sgt.fcas@yahoo.com</t>
  </si>
  <si>
    <t>agroof@wcc.net</t>
  </si>
  <si>
    <t>mike@texasgunparts.com</t>
  </si>
  <si>
    <t>originalknights@gmail.com</t>
  </si>
  <si>
    <t>gregory.huffman@nee.com</t>
  </si>
  <si>
    <t>j.jacobodiodep@yahoo.com</t>
  </si>
  <si>
    <t>ikegonz44@gmail.com</t>
  </si>
  <si>
    <t>joseluisrodriguez@live.com</t>
  </si>
  <si>
    <t>d1gallo@yahoo.com</t>
  </si>
  <si>
    <t>jramoz12@hotmail.com</t>
  </si>
  <si>
    <t>channito2004@yahoo.com</t>
  </si>
  <si>
    <t>noqno@live.com</t>
  </si>
  <si>
    <t>ebenavidez1@hotmail.com</t>
  </si>
  <si>
    <t>adang71@hotmail.com</t>
  </si>
  <si>
    <t>arliemark@sbcglobal.net</t>
  </si>
  <si>
    <t>bradsimmons94@yahoo.com</t>
  </si>
  <si>
    <t>txdd244@gmail.com</t>
  </si>
  <si>
    <t>guy_trinidad@yahoo.com</t>
  </si>
  <si>
    <t>fsotelo@spag.org</t>
  </si>
  <si>
    <t>mrtnzjoea@yahoo.com</t>
  </si>
  <si>
    <t>e-mail address</t>
  </si>
  <si>
    <t>Abernathy</t>
  </si>
  <si>
    <t>035</t>
  </si>
  <si>
    <t>034</t>
  </si>
  <si>
    <t>Rafael 'RC' Canamar</t>
  </si>
  <si>
    <t>Erubiel Chaires</t>
  </si>
  <si>
    <t>rccanamar@yahoo.com</t>
  </si>
  <si>
    <t>erubiel.chaires@yahoo.com</t>
  </si>
  <si>
    <t>Mario Rodriguez</t>
  </si>
  <si>
    <t>mpamez@aol.com</t>
  </si>
  <si>
    <t>Thomas J. Gooney</t>
  </si>
  <si>
    <t>tjg464@gmail.com</t>
  </si>
  <si>
    <t>dd101glwalton@gmail.com</t>
  </si>
  <si>
    <t>lsutigers34@yahoo.com</t>
  </si>
  <si>
    <t>Ernest Garcia</t>
  </si>
  <si>
    <t>TBD</t>
  </si>
  <si>
    <t>El Paso             Lubbock</t>
  </si>
  <si>
    <t>Congratulations to new Council 17653 - The Woodlands and the Galveston/Houston Diocese.</t>
  </si>
  <si>
    <t>Dangfld-Mtplesnt-Pitsbg-Mtvern</t>
  </si>
  <si>
    <t>Bowie/Henrietta/Montague/Nocon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</si>
</sst>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12"/>
      <color rgb="FF0070C0"/>
      <name val="Arial"/>
      <family val="2"/>
    </font>
    <font>
      <sz val="8"/>
      <color indexed="8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0">
    <xf numFmtId="0" fontId="0" fillId="0" borderId="0"/>
    <xf numFmtId="0" fontId="9" fillId="0" borderId="0"/>
    <xf numFmtId="0" fontId="17" fillId="0" borderId="0">
      <alignment horizontal="center" vertical="center"/>
    </xf>
    <xf numFmtId="9" fontId="17" fillId="0" borderId="0" applyFont="0" applyFill="0" applyBorder="0" applyAlignment="0" applyProtection="0"/>
    <xf numFmtId="0" fontId="22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0"/>
    <xf numFmtId="9" fontId="35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alignment horizontal="center" vertical="center"/>
    </xf>
    <xf numFmtId="0" fontId="43" fillId="0" borderId="0"/>
    <xf numFmtId="0" fontId="9" fillId="0" borderId="0"/>
    <xf numFmtId="0" fontId="27" fillId="0" borderId="0" applyNumberFormat="0" applyFill="0" applyBorder="0" applyAlignment="0" applyProtection="0"/>
    <xf numFmtId="0" fontId="6" fillId="0" borderId="0"/>
    <xf numFmtId="0" fontId="5" fillId="0" borderId="0"/>
    <xf numFmtId="43" fontId="35" fillId="0" borderId="0" applyFont="0" applyFill="0" applyBorder="0" applyAlignment="0" applyProtection="0"/>
    <xf numFmtId="0" fontId="1" fillId="0" borderId="0"/>
  </cellStyleXfs>
  <cellXfs count="447">
    <xf numFmtId="0" fontId="0" fillId="0" borderId="0" xfId="0"/>
    <xf numFmtId="0" fontId="17" fillId="0" borderId="0" xfId="2">
      <alignment horizontal="center" vertical="center"/>
    </xf>
    <xf numFmtId="14" fontId="19" fillId="0" borderId="0" xfId="2" applyNumberFormat="1" applyFont="1" applyAlignment="1">
      <alignment horizontal="center" wrapText="1"/>
    </xf>
    <xf numFmtId="0" fontId="19" fillId="0" borderId="0" xfId="2" applyFont="1" applyAlignment="1">
      <alignment horizontal="center"/>
    </xf>
    <xf numFmtId="0" fontId="19" fillId="0" borderId="0" xfId="2" applyFont="1" applyAlignment="1">
      <alignment horizontal="left"/>
    </xf>
    <xf numFmtId="0" fontId="20" fillId="0" borderId="0" xfId="2" applyFont="1" applyAlignment="1">
      <alignment horizontal="center" wrapText="1"/>
    </xf>
    <xf numFmtId="14" fontId="21" fillId="0" borderId="0" xfId="2" applyNumberFormat="1" applyFont="1">
      <alignment horizontal="center" vertical="center"/>
    </xf>
    <xf numFmtId="0" fontId="17" fillId="0" borderId="0" xfId="2" applyAlignment="1">
      <alignment horizontal="center"/>
    </xf>
    <xf numFmtId="0" fontId="22" fillId="0" borderId="0" xfId="4"/>
    <xf numFmtId="0" fontId="23" fillId="0" borderId="7" xfId="2" applyFont="1" applyBorder="1" applyAlignment="1">
      <alignment horizontal="center" wrapText="1"/>
    </xf>
    <xf numFmtId="165" fontId="23" fillId="0" borderId="7" xfId="2" applyNumberFormat="1" applyFont="1" applyBorder="1" applyAlignment="1">
      <alignment horizontal="center" wrapText="1"/>
    </xf>
    <xf numFmtId="0" fontId="24" fillId="0" borderId="0" xfId="4" applyFont="1" applyAlignment="1">
      <alignment horizontal="center" wrapText="1"/>
    </xf>
    <xf numFmtId="0" fontId="25" fillId="0" borderId="8" xfId="2" applyFont="1" applyBorder="1" applyAlignment="1">
      <alignment horizontal="left"/>
    </xf>
    <xf numFmtId="0" fontId="25" fillId="0" borderId="8" xfId="2" applyFont="1" applyBorder="1" applyAlignment="1">
      <alignment horizontal="center"/>
    </xf>
    <xf numFmtId="0" fontId="17" fillId="0" borderId="8" xfId="2" applyBorder="1" applyAlignment="1">
      <alignment horizontal="center"/>
    </xf>
    <xf numFmtId="0" fontId="25" fillId="0" borderId="8" xfId="2" applyFont="1" applyBorder="1" applyAlignment="1"/>
    <xf numFmtId="0" fontId="25" fillId="0" borderId="8" xfId="4" applyFont="1" applyBorder="1" applyAlignment="1">
      <alignment horizontal="left"/>
    </xf>
    <xf numFmtId="0" fontId="25" fillId="0" borderId="8" xfId="4" applyFont="1" applyBorder="1" applyAlignment="1">
      <alignment horizontal="center"/>
    </xf>
    <xf numFmtId="0" fontId="25" fillId="0" borderId="0" xfId="4" applyFont="1" applyAlignment="1">
      <alignment horizontal="left"/>
    </xf>
    <xf numFmtId="0" fontId="25" fillId="0" borderId="0" xfId="4" applyFont="1" applyAlignment="1">
      <alignment horizontal="center"/>
    </xf>
    <xf numFmtId="165" fontId="25" fillId="0" borderId="0" xfId="4" applyNumberFormat="1" applyFont="1" applyAlignment="1">
      <alignment horizontal="center"/>
    </xf>
    <xf numFmtId="0" fontId="25" fillId="3" borderId="0" xfId="4" applyFont="1" applyFill="1" applyAlignment="1">
      <alignment horizontal="left"/>
    </xf>
    <xf numFmtId="0" fontId="25" fillId="4" borderId="0" xfId="4" applyFont="1" applyFill="1" applyAlignment="1">
      <alignment horizontal="left"/>
    </xf>
    <xf numFmtId="0" fontId="26" fillId="0" borderId="0" xfId="5"/>
    <xf numFmtId="0" fontId="27" fillId="0" borderId="0" xfId="6" applyAlignment="1" applyProtection="1"/>
    <xf numFmtId="0" fontId="19" fillId="0" borderId="0" xfId="2" applyFont="1" applyAlignment="1">
      <alignment horizontal="center" wrapText="1"/>
    </xf>
    <xf numFmtId="0" fontId="18" fillId="0" borderId="0" xfId="1" applyFont="1"/>
    <xf numFmtId="0" fontId="18" fillId="0" borderId="8" xfId="1" applyFont="1" applyBorder="1" applyAlignment="1">
      <alignment horizontal="left"/>
    </xf>
    <xf numFmtId="0" fontId="18" fillId="0" borderId="8" xfId="1" applyFont="1" applyBorder="1" applyAlignment="1">
      <alignment horizontal="center"/>
    </xf>
    <xf numFmtId="0" fontId="18" fillId="0" borderId="8" xfId="1" applyFont="1" applyBorder="1" applyAlignment="1">
      <alignment horizontal="center" wrapText="1"/>
    </xf>
    <xf numFmtId="1" fontId="29" fillId="0" borderId="8" xfId="1" applyNumberFormat="1" applyFont="1" applyBorder="1" applyAlignment="1">
      <alignment horizontal="center"/>
    </xf>
    <xf numFmtId="0" fontId="29" fillId="0" borderId="8" xfId="1" applyFont="1" applyBorder="1" applyAlignment="1">
      <alignment horizontal="center"/>
    </xf>
    <xf numFmtId="1" fontId="30" fillId="0" borderId="8" xfId="1" applyNumberFormat="1" applyFont="1" applyBorder="1" applyAlignment="1">
      <alignment horizontal="center"/>
    </xf>
    <xf numFmtId="0" fontId="24" fillId="0" borderId="0" xfId="1" applyFont="1"/>
    <xf numFmtId="0" fontId="22" fillId="0" borderId="0" xfId="1" applyFont="1"/>
    <xf numFmtId="0" fontId="24" fillId="0" borderId="8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left"/>
    </xf>
    <xf numFmtId="0" fontId="24" fillId="0" borderId="8" xfId="1" applyFont="1" applyBorder="1" applyAlignment="1">
      <alignment horizontal="center" wrapText="1"/>
    </xf>
    <xf numFmtId="0" fontId="22" fillId="0" borderId="8" xfId="1" applyFont="1" applyBorder="1" applyAlignment="1">
      <alignment horizontal="center"/>
    </xf>
    <xf numFmtId="0" fontId="22" fillId="0" borderId="8" xfId="1" applyFont="1" applyBorder="1" applyAlignment="1">
      <alignment horizontal="center" wrapText="1"/>
    </xf>
    <xf numFmtId="1" fontId="22" fillId="0" borderId="8" xfId="1" applyNumberFormat="1" applyFont="1" applyBorder="1" applyAlignment="1">
      <alignment horizontal="center"/>
    </xf>
    <xf numFmtId="0" fontId="34" fillId="0" borderId="8" xfId="1" applyFont="1" applyBorder="1" applyAlignment="1">
      <alignment horizontal="center"/>
    </xf>
    <xf numFmtId="1" fontId="34" fillId="0" borderId="8" xfId="1" applyNumberFormat="1" applyFont="1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2" fillId="0" borderId="0" xfId="1" applyNumberFormat="1" applyFont="1" applyAlignment="1">
      <alignment horizontal="center"/>
    </xf>
    <xf numFmtId="0" fontId="36" fillId="0" borderId="0" xfId="0" applyFont="1" applyAlignment="1">
      <alignment wrapText="1"/>
    </xf>
    <xf numFmtId="10" fontId="0" fillId="0" borderId="0" xfId="8" applyNumberFormat="1" applyFont="1"/>
    <xf numFmtId="0" fontId="27" fillId="0" borderId="0" xfId="6" applyAlignment="1" applyProtection="1">
      <alignment horizontal="center" vertical="center"/>
    </xf>
    <xf numFmtId="2" fontId="0" fillId="0" borderId="0" xfId="0" applyNumberFormat="1"/>
    <xf numFmtId="0" fontId="37" fillId="0" borderId="0" xfId="0" applyFont="1" applyAlignment="1">
      <alignment wrapText="1"/>
    </xf>
    <xf numFmtId="2" fontId="37" fillId="0" borderId="0" xfId="0" applyNumberFormat="1" applyFont="1" applyAlignment="1">
      <alignment wrapText="1"/>
    </xf>
    <xf numFmtId="0" fontId="38" fillId="0" borderId="0" xfId="0" applyFont="1"/>
    <xf numFmtId="0" fontId="19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39" fillId="0" borderId="0" xfId="9" applyFont="1" applyAlignment="1">
      <alignment horizontal="center"/>
    </xf>
    <xf numFmtId="0" fontId="8" fillId="0" borderId="0" xfId="9"/>
    <xf numFmtId="0" fontId="38" fillId="0" borderId="0" xfId="9" applyFont="1" applyAlignment="1">
      <alignment horizontal="center"/>
    </xf>
    <xf numFmtId="1" fontId="40" fillId="0" borderId="0" xfId="9" applyNumberFormat="1" applyFont="1"/>
    <xf numFmtId="0" fontId="35" fillId="0" borderId="0" xfId="9" applyFont="1"/>
    <xf numFmtId="0" fontId="39" fillId="0" borderId="0" xfId="9" applyFont="1" applyAlignment="1">
      <alignment horizontal="center" wrapText="1"/>
    </xf>
    <xf numFmtId="0" fontId="38" fillId="0" borderId="0" xfId="9" applyFont="1" applyAlignment="1">
      <alignment horizontal="center" wrapText="1"/>
    </xf>
    <xf numFmtId="0" fontId="38" fillId="0" borderId="0" xfId="0" applyFont="1" applyAlignment="1">
      <alignment horizontal="center"/>
    </xf>
    <xf numFmtId="0" fontId="41" fillId="0" borderId="0" xfId="0" applyFont="1" applyAlignment="1">
      <alignment horizontal="center" wrapText="1"/>
    </xf>
    <xf numFmtId="10" fontId="41" fillId="0" borderId="0" xfId="0" applyNumberFormat="1" applyFont="1" applyAlignment="1">
      <alignment horizontal="center" wrapText="1"/>
    </xf>
    <xf numFmtId="0" fontId="9" fillId="0" borderId="0" xfId="5" quotePrefix="1" applyFont="1"/>
    <xf numFmtId="0" fontId="27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0" fillId="0" borderId="3" xfId="0" applyFont="1" applyBorder="1" applyAlignment="1">
      <alignment horizontal="left" vertical="top" wrapText="1"/>
    </xf>
    <xf numFmtId="0" fontId="38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0" fillId="0" borderId="0" xfId="9" applyFont="1" applyAlignment="1">
      <alignment wrapText="1"/>
    </xf>
    <xf numFmtId="0" fontId="40" fillId="0" borderId="0" xfId="9" applyFont="1"/>
    <xf numFmtId="14" fontId="0" fillId="0" borderId="0" xfId="0" applyNumberFormat="1"/>
    <xf numFmtId="0" fontId="41" fillId="0" borderId="0" xfId="0" applyFont="1" applyAlignment="1">
      <alignment wrapText="1"/>
    </xf>
    <xf numFmtId="0" fontId="9" fillId="0" borderId="0" xfId="5" applyFont="1" applyAlignment="1">
      <alignment horizontal="center"/>
    </xf>
    <xf numFmtId="0" fontId="9" fillId="0" borderId="0" xfId="6" applyFont="1" applyAlignment="1" applyProtection="1"/>
    <xf numFmtId="0" fontId="27" fillId="0" borderId="0" xfId="6" applyAlignment="1" applyProtection="1">
      <alignment horizontal="center"/>
    </xf>
    <xf numFmtId="1" fontId="9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9" fillId="0" borderId="0" xfId="5" applyFont="1" applyAlignment="1">
      <alignment horizontal="left"/>
    </xf>
    <xf numFmtId="0" fontId="9" fillId="0" borderId="0" xfId="5" applyFont="1"/>
    <xf numFmtId="0" fontId="0" fillId="0" borderId="11" xfId="0" applyBorder="1" applyAlignment="1">
      <alignment wrapText="1"/>
    </xf>
    <xf numFmtId="2" fontId="10" fillId="0" borderId="2" xfId="0" applyNumberFormat="1" applyFont="1" applyBorder="1" applyAlignment="1">
      <alignment horizontal="left" vertical="top" wrapText="1"/>
    </xf>
    <xf numFmtId="0" fontId="10" fillId="0" borderId="2" xfId="0" applyFont="1" applyBorder="1" applyAlignment="1">
      <alignment horizontal="right" vertical="top" wrapText="1"/>
    </xf>
    <xf numFmtId="2" fontId="10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4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9" fillId="0" borderId="0" xfId="1"/>
    <xf numFmtId="0" fontId="9" fillId="0" borderId="8" xfId="1" applyBorder="1" applyAlignment="1">
      <alignment horizontal="left"/>
    </xf>
    <xf numFmtId="1" fontId="9" fillId="0" borderId="0" xfId="1" applyNumberFormat="1"/>
    <xf numFmtId="14" fontId="9" fillId="0" borderId="0" xfId="1" applyNumberFormat="1"/>
    <xf numFmtId="0" fontId="9" fillId="0" borderId="0" xfId="1" applyAlignment="1">
      <alignment horizontal="center"/>
    </xf>
    <xf numFmtId="0" fontId="18" fillId="0" borderId="9" xfId="1" applyFont="1" applyBorder="1" applyAlignment="1">
      <alignment horizontal="center"/>
    </xf>
    <xf numFmtId="0" fontId="18" fillId="0" borderId="15" xfId="1" applyFont="1" applyBorder="1" applyAlignment="1">
      <alignment horizontal="center"/>
    </xf>
    <xf numFmtId="0" fontId="18" fillId="0" borderId="10" xfId="1" applyFont="1" applyBorder="1" applyAlignment="1">
      <alignment horizontal="center"/>
    </xf>
    <xf numFmtId="0" fontId="18" fillId="0" borderId="10" xfId="1" applyFont="1" applyBorder="1" applyAlignment="1">
      <alignment horizontal="center" wrapText="1"/>
    </xf>
    <xf numFmtId="0" fontId="18" fillId="0" borderId="0" xfId="1" applyFont="1" applyAlignment="1">
      <alignment horizontal="center"/>
    </xf>
    <xf numFmtId="0" fontId="18" fillId="0" borderId="16" xfId="1" applyFont="1" applyBorder="1" applyAlignment="1">
      <alignment horizontal="center"/>
    </xf>
    <xf numFmtId="0" fontId="18" fillId="0" borderId="0" xfId="1" applyFont="1" applyAlignment="1">
      <alignment horizontal="center" wrapText="1"/>
    </xf>
    <xf numFmtId="167" fontId="18" fillId="0" borderId="0" xfId="10" applyNumberFormat="1" applyFont="1" applyAlignment="1">
      <alignment horizontal="right"/>
    </xf>
    <xf numFmtId="167" fontId="18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18" fillId="0" borderId="17" xfId="10" applyNumberFormat="1" applyFont="1" applyBorder="1" applyAlignment="1">
      <alignment horizontal="right"/>
    </xf>
    <xf numFmtId="9" fontId="0" fillId="0" borderId="0" xfId="11" applyFont="1"/>
    <xf numFmtId="0" fontId="9" fillId="6" borderId="0" xfId="1" applyFill="1"/>
    <xf numFmtId="0" fontId="9" fillId="7" borderId="0" xfId="1" applyFill="1"/>
    <xf numFmtId="167" fontId="9" fillId="7" borderId="0" xfId="1" applyNumberFormat="1" applyFill="1"/>
    <xf numFmtId="0" fontId="18" fillId="0" borderId="0" xfId="12" applyFont="1" applyAlignment="1">
      <alignment horizontal="left" vertical="center"/>
    </xf>
    <xf numFmtId="0" fontId="9" fillId="0" borderId="0" xfId="12">
      <alignment horizontal="center" vertical="center"/>
    </xf>
    <xf numFmtId="0" fontId="25" fillId="0" borderId="0" xfId="1" applyFont="1" applyAlignment="1">
      <alignment vertical="center" wrapText="1"/>
    </xf>
    <xf numFmtId="0" fontId="25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9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9" fillId="0" borderId="0" xfId="1" applyNumberFormat="1"/>
    <xf numFmtId="16" fontId="18" fillId="0" borderId="0" xfId="1" applyNumberFormat="1" applyFont="1" applyAlignment="1">
      <alignment horizontal="center"/>
    </xf>
    <xf numFmtId="0" fontId="9" fillId="0" borderId="0" xfId="1" applyAlignment="1">
      <alignment horizontal="right"/>
    </xf>
    <xf numFmtId="0" fontId="18" fillId="0" borderId="0" xfId="13" applyFont="1"/>
    <xf numFmtId="0" fontId="43" fillId="0" borderId="0" xfId="13"/>
    <xf numFmtId="0" fontId="9" fillId="0" borderId="0" xfId="13" applyFont="1" applyAlignment="1">
      <alignment horizontal="center"/>
    </xf>
    <xf numFmtId="0" fontId="9" fillId="0" borderId="0" xfId="13" applyFont="1"/>
    <xf numFmtId="0" fontId="18" fillId="0" borderId="8" xfId="13" applyFont="1" applyBorder="1" applyAlignment="1">
      <alignment horizontal="center"/>
    </xf>
    <xf numFmtId="0" fontId="18" fillId="0" borderId="9" xfId="13" applyFont="1" applyBorder="1" applyAlignment="1">
      <alignment horizontal="center"/>
    </xf>
    <xf numFmtId="0" fontId="18" fillId="0" borderId="15" xfId="13" applyFont="1" applyBorder="1" applyAlignment="1">
      <alignment horizontal="center"/>
    </xf>
    <xf numFmtId="0" fontId="18" fillId="0" borderId="10" xfId="13" applyFont="1" applyBorder="1" applyAlignment="1">
      <alignment horizontal="center"/>
    </xf>
    <xf numFmtId="0" fontId="18" fillId="0" borderId="10" xfId="13" applyFont="1" applyBorder="1" applyAlignment="1">
      <alignment horizontal="center" wrapText="1"/>
    </xf>
    <xf numFmtId="0" fontId="18" fillId="0" borderId="0" xfId="13" applyFont="1" applyAlignment="1">
      <alignment horizontal="center"/>
    </xf>
    <xf numFmtId="0" fontId="18" fillId="0" borderId="16" xfId="13" applyFont="1" applyBorder="1" applyAlignment="1">
      <alignment horizontal="center"/>
    </xf>
    <xf numFmtId="0" fontId="18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3" fillId="0" borderId="0" xfId="13" applyNumberFormat="1"/>
    <xf numFmtId="167" fontId="0" fillId="0" borderId="0" xfId="11" applyNumberFormat="1" applyFont="1"/>
    <xf numFmtId="0" fontId="43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9" fillId="0" borderId="8" xfId="10" applyNumberFormat="1" applyBorder="1" applyAlignment="1">
      <alignment horizontal="center"/>
    </xf>
    <xf numFmtId="166" fontId="9" fillId="0" borderId="8" xfId="11" applyNumberFormat="1" applyBorder="1" applyAlignment="1">
      <alignment horizontal="center"/>
    </xf>
    <xf numFmtId="167" fontId="9" fillId="0" borderId="0" xfId="10" applyNumberFormat="1" applyAlignment="1">
      <alignment horizontal="center"/>
    </xf>
    <xf numFmtId="9" fontId="9" fillId="0" borderId="0" xfId="11" applyAlignment="1">
      <alignment horizontal="center"/>
    </xf>
    <xf numFmtId="0" fontId="46" fillId="5" borderId="24" xfId="13" applyFont="1" applyFill="1" applyBorder="1" applyAlignment="1">
      <alignment horizontal="center" vertical="top" wrapText="1"/>
    </xf>
    <xf numFmtId="0" fontId="45" fillId="5" borderId="25" xfId="13" applyFont="1" applyFill="1" applyBorder="1" applyAlignment="1">
      <alignment horizontal="center" vertical="top" wrapText="1"/>
    </xf>
    <xf numFmtId="0" fontId="46" fillId="5" borderId="26" xfId="13" applyFont="1" applyFill="1" applyBorder="1" applyAlignment="1">
      <alignment horizontal="center" vertical="top" wrapText="1"/>
    </xf>
    <xf numFmtId="0" fontId="46" fillId="5" borderId="2" xfId="13" applyFont="1" applyFill="1" applyBorder="1" applyAlignment="1">
      <alignment horizontal="center" vertical="top" wrapText="1"/>
    </xf>
    <xf numFmtId="0" fontId="45" fillId="5" borderId="2" xfId="13" applyFont="1" applyFill="1" applyBorder="1" applyAlignment="1">
      <alignment horizontal="center" vertical="top" wrapText="1"/>
    </xf>
    <xf numFmtId="0" fontId="47" fillId="0" borderId="0" xfId="13" applyFont="1"/>
    <xf numFmtId="167" fontId="46" fillId="5" borderId="27" xfId="10" applyNumberFormat="1" applyFont="1" applyFill="1" applyBorder="1" applyAlignment="1">
      <alignment horizontal="center" vertical="center" wrapText="1"/>
    </xf>
    <xf numFmtId="0" fontId="46" fillId="5" borderId="28" xfId="13" applyFont="1" applyFill="1" applyBorder="1" applyAlignment="1">
      <alignment horizontal="center" vertical="top" wrapText="1"/>
    </xf>
    <xf numFmtId="0" fontId="14" fillId="5" borderId="18" xfId="13" applyFont="1" applyFill="1" applyBorder="1" applyAlignment="1">
      <alignment horizontal="center" vertical="center" wrapText="1"/>
    </xf>
    <xf numFmtId="166" fontId="46" fillId="5" borderId="14" xfId="11" applyNumberFormat="1" applyFont="1" applyFill="1" applyBorder="1" applyAlignment="1">
      <alignment horizontal="center" vertical="top" wrapText="1"/>
    </xf>
    <xf numFmtId="0" fontId="18" fillId="0" borderId="8" xfId="13" applyFont="1" applyBorder="1" applyAlignment="1">
      <alignment horizontal="left"/>
    </xf>
    <xf numFmtId="0" fontId="9" fillId="0" borderId="8" xfId="13" applyFont="1" applyBorder="1" applyAlignment="1">
      <alignment horizontal="center"/>
    </xf>
    <xf numFmtId="0" fontId="31" fillId="8" borderId="8" xfId="13" applyFont="1" applyFill="1" applyBorder="1" applyAlignment="1">
      <alignment horizontal="left"/>
    </xf>
    <xf numFmtId="1" fontId="9" fillId="0" borderId="8" xfId="13" applyNumberFormat="1" applyFont="1" applyBorder="1" applyAlignment="1">
      <alignment horizontal="center"/>
    </xf>
    <xf numFmtId="1" fontId="29" fillId="0" borderId="8" xfId="13" applyNumberFormat="1" applyFont="1" applyBorder="1" applyAlignment="1">
      <alignment horizontal="center"/>
    </xf>
    <xf numFmtId="9" fontId="9" fillId="0" borderId="8" xfId="11" applyBorder="1" applyAlignment="1">
      <alignment horizontal="center"/>
    </xf>
    <xf numFmtId="1" fontId="32" fillId="8" borderId="8" xfId="13" applyNumberFormat="1" applyFont="1" applyFill="1" applyBorder="1" applyAlignment="1">
      <alignment horizontal="center"/>
    </xf>
    <xf numFmtId="1" fontId="31" fillId="8" borderId="8" xfId="13" applyNumberFormat="1" applyFont="1" applyFill="1" applyBorder="1" applyAlignment="1">
      <alignment horizontal="center"/>
    </xf>
    <xf numFmtId="0" fontId="31" fillId="8" borderId="8" xfId="13" applyFont="1" applyFill="1" applyBorder="1" applyAlignment="1">
      <alignment horizontal="center"/>
    </xf>
    <xf numFmtId="0" fontId="18" fillId="0" borderId="8" xfId="13" applyFont="1" applyBorder="1" applyAlignment="1">
      <alignment horizontal="center" wrapText="1"/>
    </xf>
    <xf numFmtId="1" fontId="18" fillId="0" borderId="8" xfId="13" applyNumberFormat="1" applyFont="1" applyBorder="1" applyAlignment="1">
      <alignment horizontal="center"/>
    </xf>
    <xf numFmtId="1" fontId="30" fillId="0" borderId="8" xfId="13" applyNumberFormat="1" applyFont="1" applyBorder="1" applyAlignment="1">
      <alignment horizontal="center"/>
    </xf>
    <xf numFmtId="0" fontId="43" fillId="8" borderId="0" xfId="13" applyFill="1"/>
    <xf numFmtId="1" fontId="35" fillId="0" borderId="8" xfId="13" applyNumberFormat="1" applyFont="1" applyBorder="1" applyAlignment="1">
      <alignment horizontal="center"/>
    </xf>
    <xf numFmtId="1" fontId="38" fillId="0" borderId="8" xfId="13" applyNumberFormat="1" applyFont="1" applyBorder="1" applyAlignment="1">
      <alignment horizontal="center"/>
    </xf>
    <xf numFmtId="0" fontId="43" fillId="9" borderId="0" xfId="13" applyFill="1"/>
    <xf numFmtId="0" fontId="48" fillId="0" borderId="0" xfId="13" applyFont="1"/>
    <xf numFmtId="0" fontId="18" fillId="7" borderId="0" xfId="13" applyFont="1" applyFill="1"/>
    <xf numFmtId="3" fontId="43" fillId="0" borderId="0" xfId="13" applyNumberFormat="1"/>
    <xf numFmtId="0" fontId="46" fillId="5" borderId="18" xfId="13" applyFont="1" applyFill="1" applyBorder="1" applyAlignment="1">
      <alignment horizontal="center" vertical="center" wrapText="1"/>
    </xf>
    <xf numFmtId="166" fontId="45" fillId="5" borderId="27" xfId="11" applyNumberFormat="1" applyFont="1" applyFill="1" applyBorder="1" applyAlignment="1">
      <alignment horizontal="center" vertical="center" wrapText="1"/>
    </xf>
    <xf numFmtId="0" fontId="9" fillId="7" borderId="0" xfId="13" applyFont="1" applyFill="1"/>
    <xf numFmtId="0" fontId="9" fillId="0" borderId="0" xfId="14"/>
    <xf numFmtId="0" fontId="27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2" fillId="5" borderId="14" xfId="13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43" fillId="0" borderId="0" xfId="13" applyNumberFormat="1"/>
    <xf numFmtId="0" fontId="39" fillId="0" borderId="0" xfId="16" applyFont="1" applyAlignment="1">
      <alignment horizontal="center"/>
    </xf>
    <xf numFmtId="0" fontId="49" fillId="10" borderId="8" xfId="16" applyFont="1" applyFill="1" applyBorder="1" applyAlignment="1">
      <alignment horizontal="center" vertical="center"/>
    </xf>
    <xf numFmtId="0" fontId="6" fillId="0" borderId="0" xfId="16"/>
    <xf numFmtId="0" fontId="50" fillId="0" borderId="8" xfId="16" applyFont="1" applyBorder="1" applyAlignment="1">
      <alignment vertical="center" wrapText="1"/>
    </xf>
    <xf numFmtId="0" fontId="46" fillId="5" borderId="27" xfId="10" applyNumberFormat="1" applyFont="1" applyFill="1" applyBorder="1" applyAlignment="1">
      <alignment horizontal="center" vertical="center" wrapText="1"/>
    </xf>
    <xf numFmtId="167" fontId="29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39" fillId="0" borderId="8" xfId="16" applyFont="1" applyBorder="1" applyAlignment="1">
      <alignment horizontal="center"/>
    </xf>
    <xf numFmtId="0" fontId="6" fillId="0" borderId="8" xfId="16" applyBorder="1"/>
    <xf numFmtId="14" fontId="51" fillId="0" borderId="0" xfId="6" quotePrefix="1" applyNumberFormat="1" applyFont="1" applyAlignment="1" applyProtection="1">
      <alignment horizontal="left"/>
    </xf>
    <xf numFmtId="0" fontId="18" fillId="0" borderId="4" xfId="1" applyFont="1" applyBorder="1" applyAlignment="1">
      <alignment horizontal="center" wrapText="1"/>
    </xf>
    <xf numFmtId="1" fontId="30" fillId="0" borderId="0" xfId="1" applyNumberFormat="1" applyFont="1" applyAlignment="1">
      <alignment horizontal="center"/>
    </xf>
    <xf numFmtId="0" fontId="18" fillId="0" borderId="8" xfId="1" applyFont="1" applyBorder="1"/>
    <xf numFmtId="1" fontId="9" fillId="0" borderId="4" xfId="1" applyNumberFormat="1" applyBorder="1"/>
    <xf numFmtId="0" fontId="0" fillId="0" borderId="2" xfId="0" applyBorder="1"/>
    <xf numFmtId="0" fontId="52" fillId="0" borderId="0" xfId="4" applyFont="1" applyAlignment="1">
      <alignment horizontal="centerContinuous"/>
    </xf>
    <xf numFmtId="0" fontId="52" fillId="0" borderId="0" xfId="4" applyFont="1" applyAlignment="1">
      <alignment horizontal="center"/>
    </xf>
    <xf numFmtId="0" fontId="52" fillId="0" borderId="0" xfId="4" applyFont="1"/>
    <xf numFmtId="0" fontId="54" fillId="0" borderId="0" xfId="4" applyFont="1" applyAlignment="1">
      <alignment horizontal="centerContinuous"/>
    </xf>
    <xf numFmtId="0" fontId="54" fillId="0" borderId="0" xfId="4" applyFont="1" applyAlignment="1">
      <alignment horizontal="center"/>
    </xf>
    <xf numFmtId="0" fontId="54" fillId="0" borderId="0" xfId="4" applyFont="1"/>
    <xf numFmtId="0" fontId="22" fillId="0" borderId="0" xfId="4" applyAlignment="1">
      <alignment horizont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horizontal="right"/>
    </xf>
    <xf numFmtId="0" fontId="22" fillId="0" borderId="0" xfId="4" applyAlignment="1">
      <alignment horizontal="fill"/>
    </xf>
    <xf numFmtId="0" fontId="56" fillId="0" borderId="0" xfId="4" applyFont="1"/>
    <xf numFmtId="168" fontId="22" fillId="0" borderId="0" xfId="4" applyNumberFormat="1"/>
    <xf numFmtId="168" fontId="22" fillId="0" borderId="0" xfId="4" applyNumberFormat="1" applyAlignment="1">
      <alignment horizontal="center"/>
    </xf>
    <xf numFmtId="168" fontId="22" fillId="0" borderId="5" xfId="4" applyNumberFormat="1" applyBorder="1"/>
    <xf numFmtId="0" fontId="9" fillId="0" borderId="0" xfId="4" applyFont="1" applyAlignment="1">
      <alignment horizontal="center"/>
    </xf>
    <xf numFmtId="1" fontId="22" fillId="0" borderId="0" xfId="4" applyNumberFormat="1" applyAlignment="1">
      <alignment horizontal="center"/>
    </xf>
    <xf numFmtId="0" fontId="33" fillId="0" borderId="0" xfId="4" applyFont="1"/>
    <xf numFmtId="0" fontId="57" fillId="0" borderId="0" xfId="4" applyFont="1"/>
    <xf numFmtId="168" fontId="58" fillId="0" borderId="0" xfId="4" applyNumberFormat="1" applyFont="1"/>
    <xf numFmtId="168" fontId="59" fillId="0" borderId="0" xfId="4" applyNumberFormat="1" applyFont="1"/>
    <xf numFmtId="10" fontId="59" fillId="0" borderId="0" xfId="4" applyNumberFormat="1" applyFont="1" applyAlignment="1">
      <alignment horizontal="center"/>
    </xf>
    <xf numFmtId="168" fontId="60" fillId="0" borderId="0" xfId="4" applyNumberFormat="1" applyFont="1"/>
    <xf numFmtId="168" fontId="24" fillId="0" borderId="0" xfId="4" applyNumberFormat="1" applyFont="1"/>
    <xf numFmtId="168" fontId="61" fillId="0" borderId="0" xfId="4" applyNumberFormat="1" applyFont="1"/>
    <xf numFmtId="0" fontId="61" fillId="0" borderId="0" xfId="4" applyFont="1" applyAlignment="1">
      <alignment horizontal="center"/>
    </xf>
    <xf numFmtId="168" fontId="61" fillId="0" borderId="5" xfId="4" applyNumberFormat="1" applyFont="1" applyBorder="1"/>
    <xf numFmtId="168" fontId="61" fillId="0" borderId="0" xfId="4" applyNumberFormat="1" applyFont="1" applyAlignment="1">
      <alignment horizontal="center"/>
    </xf>
    <xf numFmtId="1" fontId="61" fillId="0" borderId="0" xfId="4" applyNumberFormat="1" applyFont="1" applyAlignment="1">
      <alignment horizontal="center"/>
    </xf>
    <xf numFmtId="1" fontId="63" fillId="0" borderId="0" xfId="4" applyNumberFormat="1" applyFont="1" applyAlignment="1">
      <alignment horizontal="center"/>
    </xf>
    <xf numFmtId="168" fontId="57" fillId="0" borderId="0" xfId="4" applyNumberFormat="1" applyFont="1"/>
    <xf numFmtId="168" fontId="65" fillId="0" borderId="0" xfId="4" applyNumberFormat="1" applyFont="1"/>
    <xf numFmtId="168" fontId="66" fillId="0" borderId="0" xfId="4" applyNumberFormat="1" applyFont="1" applyAlignment="1">
      <alignment horizontal="center"/>
    </xf>
    <xf numFmtId="168" fontId="66" fillId="0" borderId="0" xfId="4" applyNumberFormat="1" applyFont="1"/>
    <xf numFmtId="0" fontId="66" fillId="0" borderId="0" xfId="4" applyFont="1" applyAlignment="1">
      <alignment horizontal="center"/>
    </xf>
    <xf numFmtId="168" fontId="56" fillId="0" borderId="0" xfId="4" applyNumberFormat="1" applyFont="1"/>
    <xf numFmtId="168" fontId="62" fillId="0" borderId="5" xfId="4" applyNumberFormat="1" applyFont="1" applyBorder="1"/>
    <xf numFmtId="1" fontId="22" fillId="0" borderId="5" xfId="4" applyNumberFormat="1" applyBorder="1"/>
    <xf numFmtId="1" fontId="62" fillId="0" borderId="5" xfId="4" applyNumberFormat="1" applyFont="1" applyBorder="1"/>
    <xf numFmtId="168" fontId="64" fillId="0" borderId="0" xfId="4" applyNumberFormat="1" applyFont="1"/>
    <xf numFmtId="168" fontId="57" fillId="0" borderId="0" xfId="4" applyNumberFormat="1" applyFont="1" applyAlignment="1">
      <alignment horizontal="center"/>
    </xf>
    <xf numFmtId="168" fontId="67" fillId="0" borderId="0" xfId="4" applyNumberFormat="1" applyFont="1"/>
    <xf numFmtId="0" fontId="22" fillId="11" borderId="0" xfId="4" applyFill="1"/>
    <xf numFmtId="10" fontId="68" fillId="12" borderId="40" xfId="4" applyNumberFormat="1" applyFont="1" applyFill="1" applyBorder="1"/>
    <xf numFmtId="168" fontId="22" fillId="0" borderId="41" xfId="4" applyNumberFormat="1" applyBorder="1"/>
    <xf numFmtId="1" fontId="22" fillId="0" borderId="41" xfId="4" applyNumberFormat="1" applyBorder="1"/>
    <xf numFmtId="1" fontId="62" fillId="0" borderId="41" xfId="4" applyNumberFormat="1" applyFont="1" applyBorder="1"/>
    <xf numFmtId="168" fontId="61" fillId="0" borderId="41" xfId="4" applyNumberFormat="1" applyFont="1" applyBorder="1"/>
    <xf numFmtId="0" fontId="61" fillId="0" borderId="5" xfId="4" applyFont="1" applyBorder="1"/>
    <xf numFmtId="0" fontId="61" fillId="0" borderId="41" xfId="4" applyFont="1" applyBorder="1"/>
    <xf numFmtId="0" fontId="61" fillId="0" borderId="0" xfId="4" applyFont="1"/>
    <xf numFmtId="168" fontId="22" fillId="0" borderId="5" xfId="4" applyNumberFormat="1" applyBorder="1" applyAlignment="1">
      <alignment horizontal="center"/>
    </xf>
    <xf numFmtId="0" fontId="62" fillId="0" borderId="0" xfId="0" applyFont="1"/>
    <xf numFmtId="0" fontId="49" fillId="14" borderId="8" xfId="17" applyFont="1" applyFill="1" applyBorder="1" applyAlignment="1">
      <alignment horizontal="center" vertical="center"/>
    </xf>
    <xf numFmtId="0" fontId="70" fillId="14" borderId="8" xfId="17" applyFont="1" applyFill="1" applyBorder="1" applyAlignment="1">
      <alignment horizontal="center" vertical="center"/>
    </xf>
    <xf numFmtId="0" fontId="5" fillId="0" borderId="0" xfId="17"/>
    <xf numFmtId="0" fontId="71" fillId="0" borderId="8" xfId="17" applyFont="1" applyBorder="1" applyAlignment="1">
      <alignment horizontal="right" vertical="center" wrapText="1"/>
    </xf>
    <xf numFmtId="0" fontId="71" fillId="0" borderId="8" xfId="17" applyFont="1" applyBorder="1" applyAlignment="1">
      <alignment vertical="center" wrapText="1"/>
    </xf>
    <xf numFmtId="167" fontId="35" fillId="0" borderId="8" xfId="13" applyNumberFormat="1" applyFont="1" applyBorder="1" applyAlignment="1">
      <alignment horizontal="center"/>
    </xf>
    <xf numFmtId="2" fontId="9" fillId="0" borderId="8" xfId="13" applyNumberFormat="1" applyFont="1" applyBorder="1" applyAlignment="1">
      <alignment horizontal="center"/>
    </xf>
    <xf numFmtId="0" fontId="18" fillId="0" borderId="0" xfId="1" applyFont="1" applyAlignment="1">
      <alignment wrapText="1"/>
    </xf>
    <xf numFmtId="10" fontId="9" fillId="0" borderId="0" xfId="1" applyNumberFormat="1"/>
    <xf numFmtId="0" fontId="72" fillId="0" borderId="0" xfId="1" applyFont="1" applyAlignment="1">
      <alignment wrapText="1"/>
    </xf>
    <xf numFmtId="1" fontId="9" fillId="0" borderId="0" xfId="5" applyNumberFormat="1" applyFont="1" applyAlignment="1">
      <alignment horizontal="center"/>
    </xf>
    <xf numFmtId="0" fontId="9" fillId="0" borderId="0" xfId="5" quotePrefix="1" applyFont="1" applyAlignment="1">
      <alignment horizontal="center"/>
    </xf>
    <xf numFmtId="1" fontId="9" fillId="0" borderId="0" xfId="1" applyNumberFormat="1" applyAlignment="1">
      <alignment horizontal="center"/>
    </xf>
    <xf numFmtId="0" fontId="9" fillId="0" borderId="0" xfId="5" quotePrefix="1" applyFont="1" applyAlignment="1">
      <alignment horizontal="left"/>
    </xf>
    <xf numFmtId="0" fontId="28" fillId="0" borderId="0" xfId="1" applyFont="1" applyAlignment="1">
      <alignment horizontal="left" wrapText="1"/>
    </xf>
    <xf numFmtId="0" fontId="9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3" fillId="0" borderId="0" xfId="1" applyFont="1"/>
    <xf numFmtId="0" fontId="74" fillId="0" borderId="0" xfId="1" applyFont="1"/>
    <xf numFmtId="0" fontId="73" fillId="0" borderId="8" xfId="1" applyFont="1" applyBorder="1" applyAlignment="1">
      <alignment horizontal="left"/>
    </xf>
    <xf numFmtId="0" fontId="73" fillId="0" borderId="8" xfId="1" applyFont="1" applyBorder="1" applyAlignment="1">
      <alignment horizontal="center"/>
    </xf>
    <xf numFmtId="0" fontId="73" fillId="0" borderId="8" xfId="1" applyFont="1" applyBorder="1" applyAlignment="1">
      <alignment horizontal="center" wrapText="1"/>
    </xf>
    <xf numFmtId="0" fontId="73" fillId="0" borderId="4" xfId="1" applyFont="1" applyBorder="1" applyAlignment="1">
      <alignment horizontal="center" wrapText="1"/>
    </xf>
    <xf numFmtId="0" fontId="74" fillId="0" borderId="0" xfId="1" applyFont="1" applyAlignment="1">
      <alignment wrapText="1"/>
    </xf>
    <xf numFmtId="0" fontId="74" fillId="0" borderId="8" xfId="1" applyFont="1" applyBorder="1" applyAlignment="1">
      <alignment horizontal="left"/>
    </xf>
    <xf numFmtId="1" fontId="75" fillId="0" borderId="8" xfId="1" applyNumberFormat="1" applyFont="1" applyBorder="1" applyAlignment="1">
      <alignment horizontal="center"/>
    </xf>
    <xf numFmtId="1" fontId="76" fillId="0" borderId="8" xfId="1" applyNumberFormat="1" applyFont="1" applyBorder="1" applyAlignment="1">
      <alignment horizontal="center"/>
    </xf>
    <xf numFmtId="1" fontId="74" fillId="0" borderId="0" xfId="1" applyNumberFormat="1" applyFont="1"/>
    <xf numFmtId="167" fontId="73" fillId="0" borderId="0" xfId="1" applyNumberFormat="1" applyFont="1"/>
    <xf numFmtId="167" fontId="74" fillId="0" borderId="0" xfId="1" applyNumberFormat="1" applyFont="1"/>
    <xf numFmtId="43" fontId="74" fillId="0" borderId="0" xfId="1" applyNumberFormat="1" applyFont="1"/>
    <xf numFmtId="0" fontId="74" fillId="0" borderId="8" xfId="1" applyFont="1" applyBorder="1"/>
    <xf numFmtId="0" fontId="75" fillId="0" borderId="8" xfId="1" applyFont="1" applyBorder="1" applyAlignment="1">
      <alignment horizontal="center"/>
    </xf>
    <xf numFmtId="0" fontId="76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2" fillId="0" borderId="41" xfId="4" applyNumberFormat="1" applyBorder="1" applyAlignment="1">
      <alignment horizontal="center"/>
    </xf>
    <xf numFmtId="0" fontId="7" fillId="0" borderId="0" xfId="9" applyFont="1"/>
    <xf numFmtId="0" fontId="77" fillId="0" borderId="0" xfId="0" applyFont="1"/>
    <xf numFmtId="0" fontId="78" fillId="0" borderId="0" xfId="0" applyFont="1"/>
    <xf numFmtId="0" fontId="36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10" fillId="0" borderId="42" xfId="0" applyFont="1" applyBorder="1" applyAlignment="1">
      <alignment horizontal="left" vertical="top" wrapText="1"/>
    </xf>
    <xf numFmtId="0" fontId="73" fillId="0" borderId="0" xfId="1" applyFont="1" applyAlignment="1">
      <alignment horizontal="center"/>
    </xf>
    <xf numFmtId="0" fontId="4" fillId="0" borderId="8" xfId="16" applyFont="1" applyBorder="1"/>
    <xf numFmtId="1" fontId="22" fillId="0" borderId="5" xfId="4" applyNumberFormat="1" applyBorder="1" applyAlignment="1">
      <alignment horizontal="center"/>
    </xf>
    <xf numFmtId="0" fontId="3" fillId="0" borderId="0" xfId="9" applyFont="1"/>
    <xf numFmtId="1" fontId="61" fillId="0" borderId="5" xfId="4" applyNumberFormat="1" applyFont="1" applyBorder="1"/>
    <xf numFmtId="0" fontId="14" fillId="2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left" wrapText="1"/>
    </xf>
    <xf numFmtId="0" fontId="0" fillId="0" borderId="2" xfId="0" applyBorder="1" applyAlignment="1">
      <alignment horizontal="right" vertical="top" wrapText="1"/>
    </xf>
    <xf numFmtId="0" fontId="0" fillId="0" borderId="2" xfId="0" applyBorder="1" applyAlignment="1">
      <alignment wrapText="1"/>
    </xf>
    <xf numFmtId="0" fontId="10" fillId="0" borderId="24" xfId="0" applyFont="1" applyBorder="1" applyAlignment="1">
      <alignment horizontal="left" vertical="top" wrapText="1"/>
    </xf>
    <xf numFmtId="2" fontId="10" fillId="0" borderId="24" xfId="0" applyNumberFormat="1" applyFont="1" applyBorder="1" applyAlignment="1">
      <alignment horizontal="right" vertical="top" wrapText="1"/>
    </xf>
    <xf numFmtId="0" fontId="80" fillId="0" borderId="0" xfId="0" applyFont="1"/>
    <xf numFmtId="0" fontId="10" fillId="0" borderId="0" xfId="0" applyFont="1" applyBorder="1" applyAlignment="1">
      <alignment horizontal="left" vertical="top" wrapText="1"/>
    </xf>
    <xf numFmtId="0" fontId="0" fillId="0" borderId="0" xfId="0" applyBorder="1"/>
    <xf numFmtId="0" fontId="10" fillId="0" borderId="43" xfId="0" applyFont="1" applyBorder="1" applyAlignment="1">
      <alignment horizontal="left" vertical="top" wrapText="1"/>
    </xf>
    <xf numFmtId="2" fontId="10" fillId="0" borderId="43" xfId="0" applyNumberFormat="1" applyFont="1" applyBorder="1" applyAlignment="1">
      <alignment horizontal="right" vertical="top" wrapText="1"/>
    </xf>
    <xf numFmtId="0" fontId="27" fillId="0" borderId="0" xfId="6" quotePrefix="1" applyBorder="1" applyAlignment="1" applyProtection="1"/>
    <xf numFmtId="0" fontId="27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3" fillId="0" borderId="0" xfId="1" applyFont="1" applyAlignment="1">
      <alignment horizontal="left"/>
    </xf>
    <xf numFmtId="168" fontId="22" fillId="0" borderId="0" xfId="4" applyNumberFormat="1" applyBorder="1"/>
    <xf numFmtId="168" fontId="22" fillId="0" borderId="44" xfId="4" applyNumberFormat="1" applyBorder="1"/>
    <xf numFmtId="1" fontId="61" fillId="0" borderId="0" xfId="4" applyNumberFormat="1" applyFont="1" applyBorder="1"/>
    <xf numFmtId="1" fontId="22" fillId="0" borderId="44" xfId="4" applyNumberFormat="1" applyBorder="1"/>
    <xf numFmtId="1" fontId="22" fillId="0" borderId="44" xfId="4" applyNumberFormat="1" applyBorder="1" applyAlignment="1">
      <alignment horizontal="center"/>
    </xf>
    <xf numFmtId="1" fontId="61" fillId="0" borderId="41" xfId="4" applyNumberFormat="1" applyFont="1" applyBorder="1"/>
    <xf numFmtId="1" fontId="22" fillId="0" borderId="41" xfId="4" applyNumberFormat="1" applyFont="1" applyBorder="1" applyAlignment="1">
      <alignment horizontal="center"/>
    </xf>
    <xf numFmtId="168" fontId="22" fillId="0" borderId="5" xfId="4" applyNumberFormat="1" applyFont="1" applyBorder="1" applyAlignment="1">
      <alignment horizontal="center"/>
    </xf>
    <xf numFmtId="0" fontId="46" fillId="2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0" fontId="82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164" fontId="10" fillId="0" borderId="2" xfId="0" applyNumberFormat="1" applyFont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top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1" fillId="0" borderId="0" xfId="4" applyNumberFormat="1" applyFont="1" applyBorder="1"/>
    <xf numFmtId="0" fontId="22" fillId="0" borderId="0" xfId="4" applyBorder="1" applyAlignment="1">
      <alignment horizontal="center"/>
    </xf>
    <xf numFmtId="168" fontId="22" fillId="0" borderId="45" xfId="4" applyNumberFormat="1" applyBorder="1"/>
    <xf numFmtId="1" fontId="22" fillId="0" borderId="0" xfId="4" applyNumberFormat="1" applyBorder="1"/>
    <xf numFmtId="1" fontId="22" fillId="0" borderId="0" xfId="4" applyNumberFormat="1" applyBorder="1" applyAlignment="1">
      <alignment horizontal="center"/>
    </xf>
    <xf numFmtId="168" fontId="61" fillId="0" borderId="45" xfId="4" applyNumberFormat="1" applyFont="1" applyBorder="1"/>
    <xf numFmtId="168" fontId="22" fillId="0" borderId="45" xfId="4" applyNumberFormat="1" applyFont="1" applyBorder="1"/>
    <xf numFmtId="168" fontId="22" fillId="0" borderId="0" xfId="4" applyNumberFormat="1" applyFont="1" applyBorder="1" applyAlignment="1">
      <alignment horizontal="center"/>
    </xf>
    <xf numFmtId="168" fontId="22" fillId="0" borderId="45" xfId="4" applyNumberFormat="1" applyFont="1" applyBorder="1" applyAlignment="1">
      <alignment horizontal="center" vertical="center"/>
    </xf>
    <xf numFmtId="168" fontId="22" fillId="0" borderId="45" xfId="4" applyNumberFormat="1" applyBorder="1" applyAlignment="1">
      <alignment horizontal="center"/>
    </xf>
    <xf numFmtId="168" fontId="22" fillId="0" borderId="0" xfId="4" applyNumberFormat="1" applyBorder="1" applyAlignment="1">
      <alignment horizontal="center"/>
    </xf>
    <xf numFmtId="0" fontId="83" fillId="0" borderId="8" xfId="1" applyFont="1" applyBorder="1" applyAlignment="1">
      <alignment horizontal="center"/>
    </xf>
    <xf numFmtId="1" fontId="83" fillId="0" borderId="8" xfId="1" applyNumberFormat="1" applyFont="1" applyBorder="1" applyAlignment="1">
      <alignment horizontal="center"/>
    </xf>
    <xf numFmtId="0" fontId="84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2" fillId="0" borderId="0" xfId="1" applyNumberFormat="1" applyFont="1" applyAlignment="1">
      <alignment horizontal="center"/>
    </xf>
    <xf numFmtId="1" fontId="61" fillId="0" borderId="0" xfId="1" applyNumberFormat="1" applyFont="1" applyAlignment="1">
      <alignment horizontal="right"/>
    </xf>
    <xf numFmtId="0" fontId="2" fillId="0" borderId="8" xfId="16" applyFont="1" applyBorder="1"/>
    <xf numFmtId="0" fontId="10" fillId="0" borderId="2" xfId="0" quotePrefix="1" applyFont="1" applyBorder="1" applyAlignment="1">
      <alignment horizontal="left" vertical="top" wrapText="1"/>
    </xf>
    <xf numFmtId="0" fontId="5" fillId="0" borderId="8" xfId="17" applyBorder="1"/>
    <xf numFmtId="0" fontId="5" fillId="0" borderId="8" xfId="17" applyBorder="1" applyAlignment="1">
      <alignment horizontal="right"/>
    </xf>
    <xf numFmtId="0" fontId="5" fillId="0" borderId="0" xfId="17" applyAlignment="1">
      <alignment horizontal="right"/>
    </xf>
    <xf numFmtId="0" fontId="1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0" fillId="0" borderId="1" xfId="0" applyBorder="1"/>
    <xf numFmtId="0" fontId="10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5" fillId="0" borderId="8" xfId="2" applyNumberFormat="1" applyFont="1" applyBorder="1">
      <alignment horizontal="center" vertical="center"/>
    </xf>
    <xf numFmtId="14" fontId="25" fillId="0" borderId="8" xfId="4" applyNumberFormat="1" applyFont="1" applyBorder="1" applyAlignment="1">
      <alignment horizontal="center"/>
    </xf>
    <xf numFmtId="0" fontId="10" fillId="0" borderId="1" xfId="0" applyFont="1" applyBorder="1" applyAlignment="1">
      <alignment horizontal="left" wrapText="1"/>
    </xf>
    <xf numFmtId="0" fontId="12" fillId="2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wrapText="1"/>
    </xf>
    <xf numFmtId="14" fontId="10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79" fillId="13" borderId="0" xfId="6" applyFont="1" applyFill="1" applyAlignment="1" applyProtection="1">
      <alignment horizontal="center"/>
    </xf>
    <xf numFmtId="0" fontId="69" fillId="13" borderId="0" xfId="6" applyFont="1" applyFill="1" applyAlignment="1" applyProtection="1">
      <alignment horizontal="center"/>
    </xf>
    <xf numFmtId="0" fontId="12" fillId="5" borderId="12" xfId="13" applyFont="1" applyFill="1" applyBorder="1" applyAlignment="1">
      <alignment horizontal="center" vertical="top" wrapText="1"/>
    </xf>
    <xf numFmtId="0" fontId="12" fillId="5" borderId="13" xfId="13" applyFont="1" applyFill="1" applyBorder="1" applyAlignment="1">
      <alignment horizontal="center" vertical="top" wrapText="1"/>
    </xf>
    <xf numFmtId="0" fontId="43" fillId="0" borderId="30" xfId="13" applyBorder="1" applyAlignment="1">
      <alignment horizontal="center"/>
    </xf>
    <xf numFmtId="0" fontId="43" fillId="0" borderId="6" xfId="13" applyBorder="1" applyAlignment="1">
      <alignment horizontal="center"/>
    </xf>
    <xf numFmtId="0" fontId="43" fillId="0" borderId="31" xfId="13" applyBorder="1" applyAlignment="1">
      <alignment horizontal="center"/>
    </xf>
    <xf numFmtId="0" fontId="43" fillId="0" borderId="34" xfId="13" applyBorder="1" applyAlignment="1">
      <alignment horizontal="center"/>
    </xf>
    <xf numFmtId="0" fontId="43" fillId="0" borderId="0" xfId="13" applyAlignment="1">
      <alignment horizontal="center"/>
    </xf>
    <xf numFmtId="0" fontId="43" fillId="0" borderId="35" xfId="13" applyBorder="1" applyAlignment="1">
      <alignment horizontal="center"/>
    </xf>
    <xf numFmtId="0" fontId="43" fillId="0" borderId="32" xfId="13" applyBorder="1" applyAlignment="1">
      <alignment horizontal="center"/>
    </xf>
    <xf numFmtId="0" fontId="43" fillId="0" borderId="19" xfId="13" applyBorder="1" applyAlignment="1">
      <alignment horizontal="center"/>
    </xf>
    <xf numFmtId="0" fontId="43" fillId="0" borderId="33" xfId="13" applyBorder="1" applyAlignment="1">
      <alignment horizontal="center"/>
    </xf>
    <xf numFmtId="0" fontId="9" fillId="0" borderId="9" xfId="14" applyBorder="1" applyAlignment="1">
      <alignment horizontal="center"/>
    </xf>
    <xf numFmtId="0" fontId="9" fillId="0" borderId="29" xfId="14" applyBorder="1" applyAlignment="1">
      <alignment horizontal="center"/>
    </xf>
    <xf numFmtId="0" fontId="9" fillId="0" borderId="10" xfId="14" applyBorder="1" applyAlignment="1">
      <alignment horizontal="center"/>
    </xf>
    <xf numFmtId="0" fontId="9" fillId="0" borderId="30" xfId="14" applyBorder="1" applyAlignment="1">
      <alignment horizontal="center"/>
    </xf>
    <xf numFmtId="0" fontId="9" fillId="0" borderId="6" xfId="14" applyBorder="1" applyAlignment="1">
      <alignment horizontal="center"/>
    </xf>
    <xf numFmtId="0" fontId="9" fillId="0" borderId="31" xfId="14" applyBorder="1" applyAlignment="1">
      <alignment horizontal="center"/>
    </xf>
    <xf numFmtId="0" fontId="29" fillId="0" borderId="9" xfId="13" applyFont="1" applyBorder="1" applyAlignment="1">
      <alignment horizontal="center"/>
    </xf>
    <xf numFmtId="0" fontId="29" fillId="0" borderId="29" xfId="13" applyFont="1" applyBorder="1" applyAlignment="1">
      <alignment horizontal="center"/>
    </xf>
    <xf numFmtId="0" fontId="29" fillId="0" borderId="10" xfId="13" applyFont="1" applyBorder="1" applyAlignment="1">
      <alignment horizontal="center"/>
    </xf>
    <xf numFmtId="15" fontId="12" fillId="5" borderId="12" xfId="13" applyNumberFormat="1" applyFont="1" applyFill="1" applyBorder="1" applyAlignment="1">
      <alignment horizontal="center" vertical="top" wrapText="1"/>
    </xf>
    <xf numFmtId="15" fontId="12" fillId="5" borderId="13" xfId="13" applyNumberFormat="1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12" fillId="5" borderId="14" xfId="13" applyNumberFormat="1" applyFont="1" applyFill="1" applyBorder="1" applyAlignment="1">
      <alignment horizontal="center" vertical="top" wrapText="1"/>
    </xf>
    <xf numFmtId="0" fontId="12" fillId="5" borderId="21" xfId="13" applyFont="1" applyFill="1" applyBorder="1" applyAlignment="1">
      <alignment horizontal="center" vertical="top" wrapText="1"/>
    </xf>
    <xf numFmtId="0" fontId="12" fillId="5" borderId="0" xfId="13" applyFont="1" applyFill="1" applyAlignment="1">
      <alignment horizontal="center" vertical="top" wrapText="1"/>
    </xf>
    <xf numFmtId="0" fontId="44" fillId="5" borderId="1" xfId="13" applyFont="1" applyFill="1" applyBorder="1" applyAlignment="1">
      <alignment horizontal="center" vertical="center" wrapText="1"/>
    </xf>
    <xf numFmtId="0" fontId="44" fillId="5" borderId="24" xfId="13" applyFont="1" applyFill="1" applyBorder="1" applyAlignment="1">
      <alignment horizontal="center" vertical="center" wrapText="1"/>
    </xf>
    <xf numFmtId="0" fontId="45" fillId="5" borderId="1" xfId="13" applyFont="1" applyFill="1" applyBorder="1" applyAlignment="1">
      <alignment horizontal="center" vertical="top" wrapText="1"/>
    </xf>
    <xf numFmtId="0" fontId="45" fillId="5" borderId="22" xfId="13" applyFont="1" applyFill="1" applyBorder="1" applyAlignment="1">
      <alignment horizontal="center" vertical="top" wrapText="1"/>
    </xf>
    <xf numFmtId="0" fontId="46" fillId="5" borderId="7" xfId="13" applyFont="1" applyFill="1" applyBorder="1" applyAlignment="1">
      <alignment horizontal="center" vertical="center" wrapText="1"/>
    </xf>
    <xf numFmtId="0" fontId="46" fillId="5" borderId="16" xfId="13" applyFont="1" applyFill="1" applyBorder="1" applyAlignment="1">
      <alignment horizontal="center" vertical="center" wrapText="1"/>
    </xf>
    <xf numFmtId="0" fontId="45" fillId="5" borderId="13" xfId="13" applyFont="1" applyFill="1" applyBorder="1" applyAlignment="1">
      <alignment horizontal="center" vertical="top" wrapText="1"/>
    </xf>
    <xf numFmtId="0" fontId="45" fillId="5" borderId="14" xfId="13" applyFont="1" applyFill="1" applyBorder="1" applyAlignment="1">
      <alignment horizontal="center" vertical="top" wrapText="1"/>
    </xf>
    <xf numFmtId="0" fontId="45" fillId="5" borderId="23" xfId="13" applyFont="1" applyFill="1" applyBorder="1" applyAlignment="1">
      <alignment horizontal="center" vertical="center" wrapText="1"/>
    </xf>
    <xf numFmtId="0" fontId="45" fillId="5" borderId="24" xfId="13" applyFont="1" applyFill="1" applyBorder="1" applyAlignment="1">
      <alignment horizontal="center" vertical="center" wrapText="1"/>
    </xf>
    <xf numFmtId="0" fontId="9" fillId="0" borderId="9" xfId="13" applyFont="1" applyBorder="1" applyAlignment="1">
      <alignment horizontal="center"/>
    </xf>
    <xf numFmtId="0" fontId="9" fillId="0" borderId="29" xfId="13" applyFont="1" applyBorder="1" applyAlignment="1">
      <alignment horizontal="center"/>
    </xf>
    <xf numFmtId="0" fontId="9" fillId="0" borderId="10" xfId="13" applyFont="1" applyBorder="1" applyAlignment="1">
      <alignment horizontal="center"/>
    </xf>
    <xf numFmtId="0" fontId="45" fillId="5" borderId="36" xfId="13" applyFont="1" applyFill="1" applyBorder="1" applyAlignment="1">
      <alignment horizontal="center" vertical="center" wrapText="1"/>
    </xf>
    <xf numFmtId="0" fontId="45" fillId="5" borderId="37" xfId="13" applyFont="1" applyFill="1" applyBorder="1" applyAlignment="1">
      <alignment horizontal="center" vertical="center" wrapText="1"/>
    </xf>
    <xf numFmtId="0" fontId="21" fillId="0" borderId="6" xfId="2" applyFont="1" applyBorder="1" applyAlignment="1">
      <alignment horizontal="center"/>
    </xf>
    <xf numFmtId="0" fontId="21" fillId="0" borderId="5" xfId="2" applyFont="1" applyBorder="1" applyAlignment="1">
      <alignment horizontal="center"/>
    </xf>
    <xf numFmtId="15" fontId="12" fillId="5" borderId="12" xfId="1" applyNumberFormat="1" applyFont="1" applyFill="1" applyBorder="1" applyAlignment="1">
      <alignment horizontal="center" vertical="top" wrapText="1"/>
    </xf>
    <xf numFmtId="0" fontId="12" fillId="5" borderId="13" xfId="1" applyFont="1" applyFill="1" applyBorder="1" applyAlignment="1">
      <alignment horizontal="center" vertical="top" wrapText="1"/>
    </xf>
    <xf numFmtId="0" fontId="12" fillId="5" borderId="14" xfId="1" applyFont="1" applyFill="1" applyBorder="1" applyAlignment="1">
      <alignment horizontal="center" vertical="top" wrapText="1"/>
    </xf>
    <xf numFmtId="0" fontId="42" fillId="0" borderId="0" xfId="1" applyFont="1" applyAlignment="1">
      <alignment horizontal="center"/>
    </xf>
    <xf numFmtId="0" fontId="53" fillId="0" borderId="0" xfId="4" applyFont="1" applyAlignment="1">
      <alignment horizontal="center"/>
    </xf>
    <xf numFmtId="0" fontId="55" fillId="0" borderId="0" xfId="4" applyFont="1" applyAlignment="1">
      <alignment horizontal="center"/>
    </xf>
    <xf numFmtId="168" fontId="22" fillId="0" borderId="0" xfId="4" applyNumberFormat="1" applyAlignment="1">
      <alignment horizontal="right"/>
    </xf>
    <xf numFmtId="49" fontId="22" fillId="12" borderId="39" xfId="4" applyNumberFormat="1" applyFill="1" applyBorder="1"/>
    <xf numFmtId="49" fontId="22" fillId="12" borderId="40" xfId="4" applyNumberFormat="1" applyFill="1" applyBorder="1"/>
    <xf numFmtId="4" fontId="10" fillId="0" borderId="2" xfId="0" applyNumberFormat="1" applyFont="1" applyBorder="1" applyAlignment="1">
      <alignment horizontal="right" vertical="top" wrapText="1"/>
    </xf>
    <xf numFmtId="4" fontId="0" fillId="0" borderId="3" xfId="0" applyNumberFormat="1" applyBorder="1" applyAlignment="1">
      <alignment horizontal="right" vertical="top"/>
    </xf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42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0.2286</c:v>
                </c:pt>
                <c:pt idx="1">
                  <c:v>0.26711185308848079</c:v>
                </c:pt>
                <c:pt idx="2">
                  <c:v>0.19089316987740806</c:v>
                </c:pt>
                <c:pt idx="3">
                  <c:v>0.28104575163398693</c:v>
                </c:pt>
                <c:pt idx="4">
                  <c:v>0.20925925925925926</c:v>
                </c:pt>
                <c:pt idx="5">
                  <c:v>0.18140929535232383</c:v>
                </c:pt>
                <c:pt idx="6">
                  <c:v>0.1761006289308176</c:v>
                </c:pt>
                <c:pt idx="7">
                  <c:v>0.18972332015810275</c:v>
                </c:pt>
                <c:pt idx="8">
                  <c:v>0.28215767634854771</c:v>
                </c:pt>
                <c:pt idx="9">
                  <c:v>0.13855421686746988</c:v>
                </c:pt>
                <c:pt idx="10">
                  <c:v>0.17333333333333334</c:v>
                </c:pt>
                <c:pt idx="11">
                  <c:v>0.10810810810810811</c:v>
                </c:pt>
                <c:pt idx="12">
                  <c:v>0.45578231292517007</c:v>
                </c:pt>
                <c:pt idx="13">
                  <c:v>0.21978021978021978</c:v>
                </c:pt>
                <c:pt idx="14">
                  <c:v>0.46153846153846156</c:v>
                </c:pt>
                <c:pt idx="15">
                  <c:v>0.3543307086614173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aseline="0"/>
              <a:t>01/31/2021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188</c:v>
                </c:pt>
                <c:pt idx="3">
                  <c:v>179</c:v>
                </c:pt>
                <c:pt idx="4">
                  <c:v>211</c:v>
                </c:pt>
                <c:pt idx="5">
                  <c:v>167</c:v>
                </c:pt>
                <c:pt idx="6">
                  <c:v>116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2020 -2021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01/31/2021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88</c:v>
                </c:pt>
                <c:pt idx="1">
                  <c:v>97</c:v>
                </c:pt>
                <c:pt idx="2">
                  <c:v>117</c:v>
                </c:pt>
                <c:pt idx="3">
                  <c:v>124</c:v>
                </c:pt>
                <c:pt idx="4">
                  <c:v>120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14</c:v>
                </c:pt>
                <c:pt idx="1">
                  <c:v>118</c:v>
                </c:pt>
                <c:pt idx="2">
                  <c:v>245</c:v>
                </c:pt>
                <c:pt idx="3">
                  <c:v>68</c:v>
                </c:pt>
                <c:pt idx="4">
                  <c:v>110</c:v>
                </c:pt>
                <c:pt idx="5">
                  <c:v>106</c:v>
                </c:pt>
                <c:pt idx="6">
                  <c:v>179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01/31/2021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142</c:v>
                </c:pt>
                <c:pt idx="1">
                  <c:v>243</c:v>
                </c:pt>
                <c:pt idx="2">
                  <c:v>320</c:v>
                </c:pt>
                <c:pt idx="3">
                  <c:v>349</c:v>
                </c:pt>
                <c:pt idx="4">
                  <c:v>332</c:v>
                </c:pt>
                <c:pt idx="5">
                  <c:v>265</c:v>
                </c:pt>
                <c:pt idx="6">
                  <c:v>202</c:v>
                </c:pt>
                <c:pt idx="7">
                  <c:v>360</c:v>
                </c:pt>
                <c:pt idx="8">
                  <c:v>341</c:v>
                </c:pt>
                <c:pt idx="9">
                  <c:v>324</c:v>
                </c:pt>
                <c:pt idx="10">
                  <c:v>309</c:v>
                </c:pt>
                <c:pt idx="11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104</c:v>
                </c:pt>
                <c:pt idx="1">
                  <c:v>46</c:v>
                </c:pt>
                <c:pt idx="2">
                  <c:v>-57</c:v>
                </c:pt>
                <c:pt idx="3">
                  <c:v>111</c:v>
                </c:pt>
                <c:pt idx="4">
                  <c:v>101</c:v>
                </c:pt>
                <c:pt idx="5">
                  <c:v>61</c:v>
                </c:pt>
                <c:pt idx="6">
                  <c:v>-63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'Goals-4'!$D$34:$O$34</c:f>
              <c:numCache>
                <c:formatCode>0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188</c:v>
                </c:pt>
                <c:pt idx="3">
                  <c:v>179</c:v>
                </c:pt>
                <c:pt idx="4">
                  <c:v>211</c:v>
                </c:pt>
                <c:pt idx="5">
                  <c:v>167</c:v>
                </c:pt>
                <c:pt idx="6">
                  <c:v>116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'Goals-4'!$C$35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'Historical_Members_Data_96-16'!$D$4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'Historical_Members_Data_96-16'!$D$5:$D$22</c:f>
              <c:numCache>
                <c:formatCode>General</c:formatCode>
                <c:ptCount val="18"/>
                <c:pt idx="2" formatCode="0;[Red]\-0">
                  <c:v>278</c:v>
                </c:pt>
                <c:pt idx="3" formatCode="0;[Red]\-0">
                  <c:v>309</c:v>
                </c:pt>
                <c:pt idx="4" formatCode="0;[Red]\-0">
                  <c:v>211</c:v>
                </c:pt>
                <c:pt idx="5" formatCode="0;[Red]\-0">
                  <c:v>221</c:v>
                </c:pt>
                <c:pt idx="6" formatCode="0;[Red]\-0">
                  <c:v>237</c:v>
                </c:pt>
                <c:pt idx="7" formatCode="0;[Red]\-0">
                  <c:v>194</c:v>
                </c:pt>
                <c:pt idx="8" formatCode="0;[Red]\-0">
                  <c:v>147</c:v>
                </c:pt>
                <c:pt idx="9" formatCode="0;[Red]\-0">
                  <c:v>219</c:v>
                </c:pt>
                <c:pt idx="10" formatCode="0;[Red]\-0">
                  <c:v>219</c:v>
                </c:pt>
                <c:pt idx="11" formatCode="0;[Red]\-0">
                  <c:v>180</c:v>
                </c:pt>
                <c:pt idx="12" formatCode="0;[Red]\-0">
                  <c:v>258</c:v>
                </c:pt>
                <c:pt idx="13" formatCode="0;[Red]\-0">
                  <c:v>307</c:v>
                </c:pt>
                <c:pt idx="14" formatCode="0;[Red]\-0">
                  <c:v>238</c:v>
                </c:pt>
                <c:pt idx="15" formatCode="0;[Red]\-0">
                  <c:v>240</c:v>
                </c:pt>
                <c:pt idx="16" formatCode="0;[Red]\-0">
                  <c:v>289</c:v>
                </c:pt>
                <c:pt idx="17" formatCode="0;[Red]\-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'Historical_Members_Data_96-16'!$E$4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'Historical_Members_Data_96-16'!$E$5:$E$22</c:f>
              <c:numCache>
                <c:formatCode>General</c:formatCode>
                <c:ptCount val="18"/>
                <c:pt idx="2" formatCode="0;[Red]\-0">
                  <c:v>533</c:v>
                </c:pt>
                <c:pt idx="3" formatCode="0;[Red]\-0">
                  <c:v>619</c:v>
                </c:pt>
                <c:pt idx="4" formatCode="0;[Red]\-0">
                  <c:v>480</c:v>
                </c:pt>
                <c:pt idx="5" formatCode="0;[Red]\-0">
                  <c:v>577</c:v>
                </c:pt>
                <c:pt idx="6" formatCode="0;[Red]\-0">
                  <c:v>504</c:v>
                </c:pt>
                <c:pt idx="7" formatCode="0;[Red]\-0">
                  <c:v>538</c:v>
                </c:pt>
                <c:pt idx="8" formatCode="0;[Red]\-0">
                  <c:v>479</c:v>
                </c:pt>
                <c:pt idx="9" formatCode="0;[Red]\-0">
                  <c:v>510</c:v>
                </c:pt>
                <c:pt idx="10" formatCode="0;[Red]\-0">
                  <c:v>584</c:v>
                </c:pt>
                <c:pt idx="11" formatCode="0;[Red]\-0">
                  <c:v>481</c:v>
                </c:pt>
                <c:pt idx="12" formatCode="0;[Red]\-0">
                  <c:v>565</c:v>
                </c:pt>
                <c:pt idx="13" formatCode="0;[Red]\-0">
                  <c:v>644</c:v>
                </c:pt>
                <c:pt idx="14" formatCode="0;[Red]\-0">
                  <c:v>598</c:v>
                </c:pt>
                <c:pt idx="15" formatCode="0;[Red]\-0">
                  <c:v>597</c:v>
                </c:pt>
                <c:pt idx="16" formatCode="0;[Red]\-0">
                  <c:v>635</c:v>
                </c:pt>
                <c:pt idx="17" formatCode="0;[Red]\-0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'Historical_Members_Data_96-16'!$F$4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'Historical_Members_Data_96-16'!$F$5:$F$22</c:f>
              <c:numCache>
                <c:formatCode>General</c:formatCode>
                <c:ptCount val="18"/>
                <c:pt idx="2" formatCode="0;[Red]\-0">
                  <c:v>879</c:v>
                </c:pt>
                <c:pt idx="3" formatCode="0;[Red]\-0">
                  <c:v>864</c:v>
                </c:pt>
                <c:pt idx="4" formatCode="0;[Red]\-0">
                  <c:v>769</c:v>
                </c:pt>
                <c:pt idx="5" formatCode="0;[Red]\-0">
                  <c:v>912</c:v>
                </c:pt>
                <c:pt idx="6" formatCode="0;[Red]\-0">
                  <c:v>790</c:v>
                </c:pt>
                <c:pt idx="7" formatCode="0;[Red]\-0">
                  <c:v>816</c:v>
                </c:pt>
                <c:pt idx="8" formatCode="0;[Red]\-0">
                  <c:v>804</c:v>
                </c:pt>
                <c:pt idx="9" formatCode="0;[Red]\-0">
                  <c:v>858</c:v>
                </c:pt>
                <c:pt idx="10" formatCode="0;[Red]\-0">
                  <c:v>977</c:v>
                </c:pt>
                <c:pt idx="11" formatCode="0;[Red]\-0">
                  <c:v>692</c:v>
                </c:pt>
                <c:pt idx="12" formatCode="0;[Red]\-0">
                  <c:v>905</c:v>
                </c:pt>
                <c:pt idx="13" formatCode="0;[Red]\-0">
                  <c:v>960</c:v>
                </c:pt>
                <c:pt idx="14" formatCode="0;[Red]\-0">
                  <c:v>925</c:v>
                </c:pt>
                <c:pt idx="15" formatCode="0;[Red]\-0">
                  <c:v>1055</c:v>
                </c:pt>
                <c:pt idx="16" formatCode="0;[Red]\-0">
                  <c:v>1052</c:v>
                </c:pt>
                <c:pt idx="17" formatCode="0;[Red]\-0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'Historical_Members_Data_96-16'!$G$4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'Historical_Members_Data_96-16'!$G$5:$G$22</c:f>
              <c:numCache>
                <c:formatCode>General</c:formatCode>
                <c:ptCount val="18"/>
                <c:pt idx="2" formatCode="0;[Red]\-0">
                  <c:v>1232</c:v>
                </c:pt>
                <c:pt idx="3" formatCode="0;[Red]\-0">
                  <c:v>1234</c:v>
                </c:pt>
                <c:pt idx="4" formatCode="0;[Red]\-0">
                  <c:v>1128</c:v>
                </c:pt>
                <c:pt idx="5" formatCode="0;[Red]\-0">
                  <c:v>1328</c:v>
                </c:pt>
                <c:pt idx="6" formatCode="0;[Red]\-0">
                  <c:v>1237</c:v>
                </c:pt>
                <c:pt idx="7" formatCode="0;[Red]\-0">
                  <c:v>1310</c:v>
                </c:pt>
                <c:pt idx="8" formatCode="0;[Red]\-0">
                  <c:v>1242</c:v>
                </c:pt>
                <c:pt idx="9" formatCode="0;[Red]\-0">
                  <c:v>1369</c:v>
                </c:pt>
                <c:pt idx="10" formatCode="0;[Red]\-0">
                  <c:v>1425</c:v>
                </c:pt>
                <c:pt idx="11" formatCode="0;[Red]\-0">
                  <c:v>1145</c:v>
                </c:pt>
                <c:pt idx="12" formatCode="0;[Red]\-0">
                  <c:v>1430</c:v>
                </c:pt>
                <c:pt idx="13" formatCode="0;[Red]\-0">
                  <c:v>1466</c:v>
                </c:pt>
                <c:pt idx="14" formatCode="0;[Red]\-0">
                  <c:v>1363</c:v>
                </c:pt>
                <c:pt idx="15" formatCode="0;[Red]\-0">
                  <c:v>1551</c:v>
                </c:pt>
                <c:pt idx="16" formatCode="0;[Red]\-0">
                  <c:v>1514</c:v>
                </c:pt>
                <c:pt idx="17" formatCode="0;[Red]\-0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'Historical_Members_Data_96-16'!$H$4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'Historical_Members_Data_96-16'!$H$5:$H$22</c:f>
              <c:numCache>
                <c:formatCode>General</c:formatCode>
                <c:ptCount val="18"/>
                <c:pt idx="2" formatCode="0;[Red]\-0">
                  <c:v>1511</c:v>
                </c:pt>
                <c:pt idx="3" formatCode="0;[Red]\-0">
                  <c:v>1546</c:v>
                </c:pt>
                <c:pt idx="4" formatCode="0;[Red]\-0">
                  <c:v>1433</c:v>
                </c:pt>
                <c:pt idx="5" formatCode="0;[Red]\-0">
                  <c:v>1831</c:v>
                </c:pt>
                <c:pt idx="6" formatCode="0;[Red]\-0">
                  <c:v>1666</c:v>
                </c:pt>
                <c:pt idx="7" formatCode="0;[Red]\-0">
                  <c:v>1685</c:v>
                </c:pt>
                <c:pt idx="8" formatCode="0;[Red]\-0">
                  <c:v>1576</c:v>
                </c:pt>
                <c:pt idx="9" formatCode="0;[Red]\-0">
                  <c:v>1814</c:v>
                </c:pt>
                <c:pt idx="10" formatCode="0;[Red]\-0">
                  <c:v>1791</c:v>
                </c:pt>
                <c:pt idx="11" formatCode="0;[Red]\-0">
                  <c:v>1675</c:v>
                </c:pt>
                <c:pt idx="12" formatCode="0;[Red]\-0">
                  <c:v>1769</c:v>
                </c:pt>
                <c:pt idx="13" formatCode="0;[Red]\-0">
                  <c:v>1996</c:v>
                </c:pt>
                <c:pt idx="14" formatCode="0;[Red]\-0">
                  <c:v>1689</c:v>
                </c:pt>
                <c:pt idx="15" formatCode="0;[Red]\-0">
                  <c:v>2035</c:v>
                </c:pt>
                <c:pt idx="16" formatCode="0;[Red]\-0">
                  <c:v>1946</c:v>
                </c:pt>
                <c:pt idx="17" formatCode="0;[Red]\-0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'Historical_Members_Data_96-16'!$I$4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'Historical_Members_Data_96-16'!$I$5:$I$22</c:f>
              <c:numCache>
                <c:formatCode>General</c:formatCode>
                <c:ptCount val="18"/>
                <c:pt idx="2" formatCode="0;[Red]\-0">
                  <c:v>1902</c:v>
                </c:pt>
                <c:pt idx="3" formatCode="0;[Red]\-0">
                  <c:v>1950</c:v>
                </c:pt>
                <c:pt idx="4" formatCode="0;[Red]\-0">
                  <c:v>1818</c:v>
                </c:pt>
                <c:pt idx="5" formatCode="0;[Red]\-0">
                  <c:v>2148</c:v>
                </c:pt>
                <c:pt idx="6" formatCode="0;[Red]\-0">
                  <c:v>1950</c:v>
                </c:pt>
                <c:pt idx="7" formatCode="0;[Red]\-0">
                  <c:v>2105</c:v>
                </c:pt>
                <c:pt idx="8" formatCode="0;[Red]\-0">
                  <c:v>2084</c:v>
                </c:pt>
                <c:pt idx="9" formatCode="0;[Red]\-0">
                  <c:v>2324</c:v>
                </c:pt>
                <c:pt idx="10" formatCode="0;[Red]\-0">
                  <c:v>2168</c:v>
                </c:pt>
                <c:pt idx="11" formatCode="0;[Red]\-0">
                  <c:v>2077</c:v>
                </c:pt>
                <c:pt idx="12" formatCode="0;[Red]\-0">
                  <c:v>2137</c:v>
                </c:pt>
                <c:pt idx="13" formatCode="0;[Red]\-0">
                  <c:v>2371</c:v>
                </c:pt>
                <c:pt idx="14" formatCode="0;[Red]\-0">
                  <c:v>2102</c:v>
                </c:pt>
                <c:pt idx="15" formatCode="0;[Red]\-0">
                  <c:v>2478</c:v>
                </c:pt>
                <c:pt idx="16" formatCode="0;[Red]\-0">
                  <c:v>2248</c:v>
                </c:pt>
                <c:pt idx="17" formatCode="0;[Red]\-0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'Historical_Members_Data_96-16'!$J$4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'Historical_Members_Data_96-16'!$J$5:$J$22</c:f>
              <c:numCache>
                <c:formatCode>General</c:formatCode>
                <c:ptCount val="18"/>
                <c:pt idx="2" formatCode="0;[Red]\-0">
                  <c:v>2096</c:v>
                </c:pt>
                <c:pt idx="3" formatCode="0;[Red]\-0">
                  <c:v>2254</c:v>
                </c:pt>
                <c:pt idx="4" formatCode="0;[Red]\-0">
                  <c:v>2100</c:v>
                </c:pt>
                <c:pt idx="5" formatCode="0;[Red]\-0">
                  <c:v>2501</c:v>
                </c:pt>
                <c:pt idx="6" formatCode="0;[Red]\-0">
                  <c:v>2290</c:v>
                </c:pt>
                <c:pt idx="7" formatCode="0;[Red]\-0">
                  <c:v>2426</c:v>
                </c:pt>
                <c:pt idx="8" formatCode="0;[Red]\-0">
                  <c:v>2347</c:v>
                </c:pt>
                <c:pt idx="9" formatCode="0;[Red]\-0">
                  <c:v>2626</c:v>
                </c:pt>
                <c:pt idx="10" formatCode="0;[Red]\-0">
                  <c:v>2517</c:v>
                </c:pt>
                <c:pt idx="11" formatCode="0;[Red]\-0">
                  <c:v>2417</c:v>
                </c:pt>
                <c:pt idx="12" formatCode="0;[Red]\-0">
                  <c:v>2471</c:v>
                </c:pt>
                <c:pt idx="13" formatCode="0;[Red]\-0">
                  <c:v>2692</c:v>
                </c:pt>
                <c:pt idx="14" formatCode="0;[Red]\-0">
                  <c:v>2380</c:v>
                </c:pt>
                <c:pt idx="15" formatCode="0;[Red]\-0">
                  <c:v>2759</c:v>
                </c:pt>
                <c:pt idx="16" formatCode="0;[Red]\-0">
                  <c:v>2501</c:v>
                </c:pt>
                <c:pt idx="17" formatCode="0;[Red]\-0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'Historical_Members_Data_96-16'!$K$4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'Historical_Members_Data_96-16'!$K$5:$K$22</c:f>
              <c:numCache>
                <c:formatCode>General</c:formatCode>
                <c:ptCount val="18"/>
                <c:pt idx="2" formatCode="0;[Red]\-0">
                  <c:v>2429</c:v>
                </c:pt>
                <c:pt idx="3" formatCode="0;[Red]\-0">
                  <c:v>2728</c:v>
                </c:pt>
                <c:pt idx="4" formatCode="0;[Red]\-0">
                  <c:v>2481</c:v>
                </c:pt>
                <c:pt idx="5" formatCode="0;[Red]\-0">
                  <c:v>2848</c:v>
                </c:pt>
                <c:pt idx="6" formatCode="0;[Red]\-0">
                  <c:v>2719</c:v>
                </c:pt>
                <c:pt idx="7" formatCode="0;[Red]\-0">
                  <c:v>2818</c:v>
                </c:pt>
                <c:pt idx="8" formatCode="0;[Red]\-0">
                  <c:v>2683</c:v>
                </c:pt>
                <c:pt idx="9" formatCode="0;[Red]\-0">
                  <c:v>3098</c:v>
                </c:pt>
                <c:pt idx="10" formatCode="0;[Red]\-0">
                  <c:v>2879</c:v>
                </c:pt>
                <c:pt idx="11" formatCode="0;[Red]\-0">
                  <c:v>2729</c:v>
                </c:pt>
                <c:pt idx="12" formatCode="0;[Red]\-0">
                  <c:v>2845</c:v>
                </c:pt>
                <c:pt idx="13" formatCode="0;[Red]\-0">
                  <c:v>3105</c:v>
                </c:pt>
                <c:pt idx="14" formatCode="0;[Red]\-0">
                  <c:v>2805</c:v>
                </c:pt>
                <c:pt idx="15" formatCode="0;[Red]\-0">
                  <c:v>3275</c:v>
                </c:pt>
                <c:pt idx="16" formatCode="0;[Red]\-0">
                  <c:v>2928</c:v>
                </c:pt>
                <c:pt idx="17" formatCode="0;[Red]\-0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'Historical_Members_Data_96-16'!$L$4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'Historical_Members_Data_96-16'!$L$5:$L$22</c:f>
              <c:numCache>
                <c:formatCode>General</c:formatCode>
                <c:ptCount val="18"/>
                <c:pt idx="2" formatCode="0;[Red]\-0">
                  <c:v>2876</c:v>
                </c:pt>
                <c:pt idx="3" formatCode="0;[Red]\-0">
                  <c:v>3119</c:v>
                </c:pt>
                <c:pt idx="4" formatCode="0;[Red]\-0">
                  <c:v>2941</c:v>
                </c:pt>
                <c:pt idx="5" formatCode="0;[Red]\-0">
                  <c:v>3240</c:v>
                </c:pt>
                <c:pt idx="6" formatCode="0;[Red]\-0">
                  <c:v>3119</c:v>
                </c:pt>
                <c:pt idx="7" formatCode="0;[Red]\-0">
                  <c:v>3299</c:v>
                </c:pt>
                <c:pt idx="8" formatCode="0;[Red]\-0">
                  <c:v>3127</c:v>
                </c:pt>
                <c:pt idx="9" formatCode="0;[Red]\-0">
                  <c:v>3559</c:v>
                </c:pt>
                <c:pt idx="10" formatCode="0;[Red]\-0">
                  <c:v>3360</c:v>
                </c:pt>
                <c:pt idx="11" formatCode="0;[Red]\-0">
                  <c:v>3112</c:v>
                </c:pt>
                <c:pt idx="12" formatCode="0;[Red]\-0">
                  <c:v>3291</c:v>
                </c:pt>
                <c:pt idx="13" formatCode="0;[Red]\-0">
                  <c:v>3522</c:v>
                </c:pt>
                <c:pt idx="14" formatCode="0;[Red]\-0">
                  <c:v>3331</c:v>
                </c:pt>
                <c:pt idx="15" formatCode="0;[Red]\-0">
                  <c:v>3771</c:v>
                </c:pt>
                <c:pt idx="16" formatCode="0;[Red]\-0">
                  <c:v>3373</c:v>
                </c:pt>
                <c:pt idx="17" formatCode="0;[Red]\-0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'Historical_Members_Data_96-16'!$M$4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'Historical_Members_Data_96-16'!$M$5:$M$22</c:f>
              <c:numCache>
                <c:formatCode>General</c:formatCode>
                <c:ptCount val="18"/>
                <c:pt idx="2" formatCode="0;[Red]\-0">
                  <c:v>3221</c:v>
                </c:pt>
                <c:pt idx="3" formatCode="0;[Red]\-0">
                  <c:v>3517</c:v>
                </c:pt>
                <c:pt idx="4" formatCode="0;[Red]\-0">
                  <c:v>3269</c:v>
                </c:pt>
                <c:pt idx="5" formatCode="0;[Red]\-0">
                  <c:v>3604</c:v>
                </c:pt>
                <c:pt idx="6" formatCode="0;[Red]\-0">
                  <c:v>3546</c:v>
                </c:pt>
                <c:pt idx="7" formatCode="0;[Red]\-0">
                  <c:v>3772</c:v>
                </c:pt>
                <c:pt idx="8" formatCode="0;[Red]\-0">
                  <c:v>3510</c:v>
                </c:pt>
                <c:pt idx="9" formatCode="0;[Red]\-0">
                  <c:v>4032</c:v>
                </c:pt>
                <c:pt idx="10" formatCode="0;[Red]\-0">
                  <c:v>3708</c:v>
                </c:pt>
                <c:pt idx="11" formatCode="0;[Red]\-0">
                  <c:v>3540</c:v>
                </c:pt>
                <c:pt idx="12" formatCode="0;[Red]\-0">
                  <c:v>3719</c:v>
                </c:pt>
                <c:pt idx="13" formatCode="0;[Red]\-0">
                  <c:v>4018</c:v>
                </c:pt>
                <c:pt idx="14" formatCode="0;[Red]\-0">
                  <c:v>3748</c:v>
                </c:pt>
                <c:pt idx="15" formatCode="0;[Red]\-0">
                  <c:v>4269</c:v>
                </c:pt>
                <c:pt idx="16" formatCode="0;[Red]\-0">
                  <c:v>3730</c:v>
                </c:pt>
                <c:pt idx="17" formatCode="0;[Red]\-0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'Historical_Members_Data_96-16'!$N$4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'Historical_Members_Data_96-16'!$N$5:$N$22</c:f>
              <c:numCache>
                <c:formatCode>General</c:formatCode>
                <c:ptCount val="18"/>
                <c:pt idx="2" formatCode="0;[Red]\-0">
                  <c:v>3628</c:v>
                </c:pt>
                <c:pt idx="3" formatCode="0;[Red]\-0">
                  <c:v>3831</c:v>
                </c:pt>
                <c:pt idx="4" formatCode="0;[Red]\-0">
                  <c:v>3623</c:v>
                </c:pt>
                <c:pt idx="5" formatCode="0;[Red]\-0">
                  <c:v>3948</c:v>
                </c:pt>
                <c:pt idx="6" formatCode="0;[Red]\-0">
                  <c:v>4026</c:v>
                </c:pt>
                <c:pt idx="7" formatCode="0;[Red]\-0">
                  <c:v>4207</c:v>
                </c:pt>
                <c:pt idx="8" formatCode="0;[Red]\-0">
                  <c:v>3914</c:v>
                </c:pt>
                <c:pt idx="9" formatCode="0;[Red]\-0">
                  <c:v>4401</c:v>
                </c:pt>
                <c:pt idx="10" formatCode="0;[Red]\-0">
                  <c:v>4133</c:v>
                </c:pt>
                <c:pt idx="11" formatCode="0;[Red]\-0">
                  <c:v>4054</c:v>
                </c:pt>
                <c:pt idx="12" formatCode="0;[Red]\-0">
                  <c:v>4205</c:v>
                </c:pt>
                <c:pt idx="13" formatCode="0;[Red]\-0">
                  <c:v>4373</c:v>
                </c:pt>
                <c:pt idx="14" formatCode="0;[Red]\-0">
                  <c:v>4260</c:v>
                </c:pt>
                <c:pt idx="15" formatCode="0;[Red]\-0">
                  <c:v>4746</c:v>
                </c:pt>
                <c:pt idx="16" formatCode="0;[Red]\-0">
                  <c:v>4215</c:v>
                </c:pt>
                <c:pt idx="17" formatCode="0;[Red]\-0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'Historical_Members_Data_96-16'!$O$4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'Historical_Members_Data_96-16'!$O$5:$O$22</c:f>
              <c:numCache>
                <c:formatCode>General</c:formatCode>
                <c:ptCount val="18"/>
                <c:pt idx="2" formatCode="0;[Red]\-0">
                  <c:v>4082</c:v>
                </c:pt>
                <c:pt idx="3" formatCode="0;[Red]\-0">
                  <c:v>4145</c:v>
                </c:pt>
                <c:pt idx="4" formatCode="0;[Red]\-0">
                  <c:v>4166</c:v>
                </c:pt>
                <c:pt idx="5" formatCode="0;[Red]\-0">
                  <c:v>4366</c:v>
                </c:pt>
                <c:pt idx="6" formatCode="0;[Red]\-0">
                  <c:v>4471</c:v>
                </c:pt>
                <c:pt idx="7" formatCode="0;[Red]\-0">
                  <c:v>4821</c:v>
                </c:pt>
                <c:pt idx="8" formatCode="0;[Red]\-0">
                  <c:v>4438</c:v>
                </c:pt>
                <c:pt idx="9" formatCode="0;[Red]\-0">
                  <c:v>5016</c:v>
                </c:pt>
                <c:pt idx="10" formatCode="0;[Red]\-0">
                  <c:v>4736</c:v>
                </c:pt>
                <c:pt idx="11" formatCode="0;[Red]\-0">
                  <c:v>4577</c:v>
                </c:pt>
                <c:pt idx="12" formatCode="0;[Red]\-0">
                  <c:v>4667</c:v>
                </c:pt>
                <c:pt idx="13" formatCode="0;[Red]\-0">
                  <c:v>5033</c:v>
                </c:pt>
                <c:pt idx="14" formatCode="0;[Red]\-0">
                  <c:v>4812</c:v>
                </c:pt>
                <c:pt idx="15" formatCode="0;[Red]\-0">
                  <c:v>5238</c:v>
                </c:pt>
                <c:pt idx="16" formatCode="0;[Red]\-0">
                  <c:v>4982</c:v>
                </c:pt>
                <c:pt idx="17" formatCode="0;[Red]\-0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35</xdr:row>
      <xdr:rowOff>179293</xdr:rowOff>
    </xdr:from>
    <xdr:to>
      <xdr:col>9</xdr:col>
      <xdr:colOff>257736</xdr:colOff>
      <xdr:row>53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7</xdr:row>
      <xdr:rowOff>0</xdr:rowOff>
    </xdr:from>
    <xdr:to>
      <xdr:col>31</xdr:col>
      <xdr:colOff>0</xdr:colOff>
      <xdr:row>63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7</xdr:row>
      <xdr:rowOff>38100</xdr:rowOff>
    </xdr:from>
    <xdr:to>
      <xdr:col>28</xdr:col>
      <xdr:colOff>292100</xdr:colOff>
      <xdr:row>12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15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7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13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16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pamez@aol.com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16" Type="http://schemas.openxmlformats.org/officeDocument/2006/relationships/hyperlink" Target="mailto:michael.payne@kofc.org" TargetMode="External"/><Relationship Id="rId29" Type="http://schemas.openxmlformats.org/officeDocument/2006/relationships/hyperlink" Target="mailto:john.regan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24" Type="http://schemas.openxmlformats.org/officeDocument/2006/relationships/hyperlink" Target="mailto:thomas.supak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66" Type="http://schemas.openxmlformats.org/officeDocument/2006/relationships/hyperlink" Target="mailto:steve.michli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87" Type="http://schemas.openxmlformats.org/officeDocument/2006/relationships/hyperlink" Target="mailto:thomas.supak@kofc.org" TargetMode="External"/><Relationship Id="rId102" Type="http://schemas.openxmlformats.org/officeDocument/2006/relationships/hyperlink" Target="mailto:michael.payne@kofc.org" TargetMode="External"/><Relationship Id="rId5" Type="http://schemas.openxmlformats.org/officeDocument/2006/relationships/hyperlink" Target="mailto:joseph.hernandez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3" Type="http://schemas.openxmlformats.org/officeDocument/2006/relationships/hyperlink" Target="mailto:joseph.hernandez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25" Type="http://schemas.openxmlformats.org/officeDocument/2006/relationships/hyperlink" Target="mailto:michael.payne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46" Type="http://schemas.openxmlformats.org/officeDocument/2006/relationships/hyperlink" Target="mailto:chris.stark@kofc.org" TargetMode="External"/><Relationship Id="rId59" Type="http://schemas.openxmlformats.org/officeDocument/2006/relationships/hyperlink" Target="mailto:rich.lesak@kofc.org" TargetMode="External"/><Relationship Id="rId67" Type="http://schemas.openxmlformats.org/officeDocument/2006/relationships/hyperlink" Target="mailto:chris.star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printerSettings" Target="../printerSettings/printerSettings21.bin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54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15" Type="http://schemas.openxmlformats.org/officeDocument/2006/relationships/hyperlink" Target="mailto:john.regan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36" Type="http://schemas.openxmlformats.org/officeDocument/2006/relationships/hyperlink" Target="mailto:will.britten@kofc.org" TargetMode="External"/><Relationship Id="rId49" Type="http://schemas.openxmlformats.org/officeDocument/2006/relationships/hyperlink" Target="mailto:chris.stark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44" Type="http://schemas.openxmlformats.org/officeDocument/2006/relationships/hyperlink" Target="mailto:chris.stark@kofc.org" TargetMode="External"/><Relationship Id="rId52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42"/>
  <sheetViews>
    <sheetView zoomScaleNormal="100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7.85546875" bestFit="1" customWidth="1"/>
    <col min="14" max="14" width="1.85546875" bestFit="1" customWidth="1"/>
    <col min="15" max="15" width="7.85546875" customWidth="1"/>
    <col min="16" max="21" width="6" bestFit="1" customWidth="1"/>
    <col min="22" max="22" width="7.85546875" bestFit="1" customWidth="1"/>
    <col min="23" max="23" width="5" bestFit="1" customWidth="1"/>
  </cols>
  <sheetData>
    <row r="1" spans="1:23" ht="72.95" customHeight="1">
      <c r="A1" s="44"/>
      <c r="B1" s="44"/>
      <c r="C1" s="44"/>
      <c r="D1" s="387" t="s">
        <v>0</v>
      </c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88" t="s">
        <v>1</v>
      </c>
      <c r="E2" s="388"/>
      <c r="F2" s="389">
        <v>44227</v>
      </c>
      <c r="G2" s="390"/>
      <c r="H2" s="390"/>
      <c r="I2" s="44"/>
      <c r="J2" s="44"/>
      <c r="K2" s="44"/>
      <c r="L2" s="388" t="s">
        <v>2</v>
      </c>
      <c r="M2" s="388"/>
      <c r="N2" s="390" t="s">
        <v>3</v>
      </c>
      <c r="O2" s="390"/>
      <c r="P2" s="390"/>
      <c r="Q2" s="390"/>
      <c r="R2" s="44"/>
      <c r="S2" s="44"/>
      <c r="T2" s="44"/>
      <c r="U2" s="44"/>
      <c r="V2" s="44"/>
      <c r="W2" s="44"/>
    </row>
    <row r="3" spans="1:23" ht="17.100000000000001" customHeight="1" thickBot="1">
      <c r="A3" s="384" t="s">
        <v>4</v>
      </c>
      <c r="B3" s="384"/>
      <c r="C3" s="384"/>
      <c r="D3" s="384"/>
      <c r="E3" s="384"/>
      <c r="F3" s="385" t="s">
        <v>5</v>
      </c>
      <c r="G3" s="385"/>
      <c r="H3" s="385"/>
      <c r="I3" s="385"/>
      <c r="J3" s="385"/>
      <c r="K3" s="385"/>
      <c r="L3" s="385"/>
      <c r="M3" s="385"/>
      <c r="N3" s="45"/>
      <c r="O3" s="385" t="s">
        <v>6</v>
      </c>
      <c r="P3" s="385"/>
      <c r="Q3" s="385"/>
      <c r="R3" s="385"/>
      <c r="S3" s="385"/>
      <c r="T3" s="385"/>
      <c r="U3" s="385"/>
      <c r="V3" s="385"/>
      <c r="W3" s="44"/>
    </row>
    <row r="4" spans="1:23" ht="15" customHeight="1" thickBot="1">
      <c r="A4" s="384"/>
      <c r="B4" s="384"/>
      <c r="C4" s="384"/>
      <c r="D4" s="384"/>
      <c r="E4" s="384"/>
      <c r="F4" s="386" t="s">
        <v>7</v>
      </c>
      <c r="G4" s="386"/>
      <c r="H4" s="386"/>
      <c r="I4" s="386"/>
      <c r="J4" s="386"/>
      <c r="K4" s="386"/>
      <c r="L4" s="386"/>
      <c r="M4" s="386"/>
      <c r="N4" s="45"/>
      <c r="O4" s="386" t="s">
        <v>8</v>
      </c>
      <c r="P4" s="386"/>
      <c r="Q4" s="386"/>
      <c r="R4" s="386"/>
      <c r="S4" s="386"/>
      <c r="T4" s="386"/>
      <c r="U4" s="386"/>
      <c r="V4" s="386"/>
      <c r="W4" s="44"/>
    </row>
    <row r="5" spans="1:23" ht="33" customHeight="1" thickBot="1">
      <c r="A5" s="45"/>
      <c r="B5" s="342" t="s">
        <v>9</v>
      </c>
      <c r="C5" s="343" t="s">
        <v>10</v>
      </c>
      <c r="D5" s="344" t="s">
        <v>11</v>
      </c>
      <c r="E5" s="345" t="s">
        <v>12</v>
      </c>
      <c r="F5" s="342" t="s">
        <v>13</v>
      </c>
      <c r="G5" s="342" t="s">
        <v>14</v>
      </c>
      <c r="H5" s="342" t="s">
        <v>15</v>
      </c>
      <c r="I5" s="344" t="s">
        <v>16</v>
      </c>
      <c r="J5" s="342" t="s">
        <v>17</v>
      </c>
      <c r="K5" s="342" t="s">
        <v>18</v>
      </c>
      <c r="L5" s="344" t="s">
        <v>19</v>
      </c>
      <c r="M5" s="344" t="s">
        <v>20</v>
      </c>
      <c r="N5" s="346"/>
      <c r="O5" s="342" t="s">
        <v>13</v>
      </c>
      <c r="P5" s="342" t="s">
        <v>14</v>
      </c>
      <c r="Q5" s="342" t="s">
        <v>15</v>
      </c>
      <c r="R5" s="344" t="s">
        <v>16</v>
      </c>
      <c r="S5" s="342" t="s">
        <v>17</v>
      </c>
      <c r="T5" s="342" t="s">
        <v>18</v>
      </c>
      <c r="U5" s="344" t="s">
        <v>19</v>
      </c>
      <c r="V5" s="344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91</v>
      </c>
      <c r="F6" s="50">
        <v>4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445">
        <v>0</v>
      </c>
      <c r="N6" s="44"/>
      <c r="O6" s="50">
        <v>0</v>
      </c>
      <c r="P6" s="50">
        <v>0</v>
      </c>
      <c r="Q6" s="50">
        <v>1</v>
      </c>
      <c r="R6" s="50">
        <v>-1</v>
      </c>
      <c r="S6" s="50">
        <v>0</v>
      </c>
      <c r="T6" s="50">
        <v>1</v>
      </c>
      <c r="U6" s="50">
        <v>-1</v>
      </c>
      <c r="V6" s="348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561</v>
      </c>
      <c r="F7" s="50">
        <v>20</v>
      </c>
      <c r="G7" s="50">
        <v>0</v>
      </c>
      <c r="H7" s="50">
        <v>0</v>
      </c>
      <c r="I7" s="50">
        <v>0</v>
      </c>
      <c r="J7" s="50">
        <v>6</v>
      </c>
      <c r="K7" s="50">
        <v>0</v>
      </c>
      <c r="L7" s="50">
        <v>6</v>
      </c>
      <c r="M7" s="445">
        <v>30</v>
      </c>
      <c r="N7" s="44"/>
      <c r="O7" s="50">
        <v>0</v>
      </c>
      <c r="P7" s="50">
        <v>1</v>
      </c>
      <c r="Q7" s="50">
        <v>0</v>
      </c>
      <c r="R7" s="50">
        <v>1</v>
      </c>
      <c r="S7" s="50">
        <v>6</v>
      </c>
      <c r="T7" s="50">
        <v>1</v>
      </c>
      <c r="U7" s="50">
        <v>5</v>
      </c>
      <c r="V7" s="348">
        <v>0</v>
      </c>
      <c r="W7" s="44"/>
    </row>
    <row r="8" spans="1:23" ht="29.1" customHeight="1">
      <c r="A8" s="50" t="s">
        <v>21</v>
      </c>
      <c r="B8" s="50">
        <v>786</v>
      </c>
      <c r="C8" s="50" t="s">
        <v>391</v>
      </c>
      <c r="D8" s="50" t="s">
        <v>27</v>
      </c>
      <c r="E8" s="50">
        <v>305</v>
      </c>
      <c r="F8" s="50">
        <v>14</v>
      </c>
      <c r="G8" s="50">
        <v>0</v>
      </c>
      <c r="H8" s="50">
        <v>0</v>
      </c>
      <c r="I8" s="50">
        <v>0</v>
      </c>
      <c r="J8" s="50">
        <v>2</v>
      </c>
      <c r="K8" s="50">
        <v>0</v>
      </c>
      <c r="L8" s="50">
        <v>2</v>
      </c>
      <c r="M8" s="445">
        <v>14.29</v>
      </c>
      <c r="N8" s="44"/>
      <c r="O8" s="50">
        <v>0</v>
      </c>
      <c r="P8" s="50">
        <v>0</v>
      </c>
      <c r="Q8" s="50">
        <v>1</v>
      </c>
      <c r="R8" s="50">
        <v>-1</v>
      </c>
      <c r="S8" s="50">
        <v>3</v>
      </c>
      <c r="T8" s="50">
        <v>1</v>
      </c>
      <c r="U8" s="50">
        <v>2</v>
      </c>
      <c r="V8" s="348">
        <v>0</v>
      </c>
      <c r="W8" s="44"/>
    </row>
    <row r="9" spans="1:23" ht="29.1" customHeight="1">
      <c r="A9" s="50" t="s">
        <v>21</v>
      </c>
      <c r="B9" s="50">
        <v>787</v>
      </c>
      <c r="C9" s="50" t="s">
        <v>369</v>
      </c>
      <c r="D9" s="50" t="s">
        <v>29</v>
      </c>
      <c r="E9" s="50">
        <v>274</v>
      </c>
      <c r="F9" s="50">
        <v>12</v>
      </c>
      <c r="G9" s="50">
        <v>0</v>
      </c>
      <c r="H9" s="50">
        <v>0</v>
      </c>
      <c r="I9" s="50">
        <v>0</v>
      </c>
      <c r="J9" s="50">
        <v>1</v>
      </c>
      <c r="K9" s="50">
        <v>0</v>
      </c>
      <c r="L9" s="50">
        <v>1</v>
      </c>
      <c r="M9" s="445">
        <v>8.33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48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1744</v>
      </c>
      <c r="F10" s="50">
        <v>20</v>
      </c>
      <c r="G10" s="50">
        <v>1</v>
      </c>
      <c r="H10" s="50">
        <v>1</v>
      </c>
      <c r="I10" s="50">
        <v>0</v>
      </c>
      <c r="J10" s="50">
        <v>5</v>
      </c>
      <c r="K10" s="50">
        <v>7</v>
      </c>
      <c r="L10" s="50">
        <v>-2</v>
      </c>
      <c r="M10" s="445">
        <v>0</v>
      </c>
      <c r="N10" s="44"/>
      <c r="O10" s="50">
        <v>0</v>
      </c>
      <c r="P10" s="50">
        <v>0</v>
      </c>
      <c r="Q10" s="50">
        <v>2</v>
      </c>
      <c r="R10" s="50">
        <v>-2</v>
      </c>
      <c r="S10" s="50">
        <v>3</v>
      </c>
      <c r="T10" s="50">
        <v>7</v>
      </c>
      <c r="U10" s="50">
        <v>-4</v>
      </c>
      <c r="V10" s="348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311</v>
      </c>
      <c r="F11" s="50">
        <v>14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445">
        <v>0</v>
      </c>
      <c r="N11" s="44"/>
      <c r="O11" s="50">
        <v>0</v>
      </c>
      <c r="P11" s="50">
        <v>0</v>
      </c>
      <c r="Q11" s="50">
        <v>1</v>
      </c>
      <c r="R11" s="50">
        <v>-1</v>
      </c>
      <c r="S11" s="50">
        <v>0</v>
      </c>
      <c r="T11" s="50">
        <v>1</v>
      </c>
      <c r="U11" s="50">
        <v>-1</v>
      </c>
      <c r="V11" s="348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407</v>
      </c>
      <c r="D12" s="50" t="s">
        <v>35</v>
      </c>
      <c r="E12" s="50">
        <v>174</v>
      </c>
      <c r="F12" s="50">
        <v>8</v>
      </c>
      <c r="G12" s="50">
        <v>1</v>
      </c>
      <c r="H12" s="50">
        <v>0</v>
      </c>
      <c r="I12" s="50">
        <v>1</v>
      </c>
      <c r="J12" s="50">
        <v>7</v>
      </c>
      <c r="K12" s="50">
        <v>0</v>
      </c>
      <c r="L12" s="50">
        <v>7</v>
      </c>
      <c r="M12" s="445">
        <v>87.5</v>
      </c>
      <c r="N12" s="44"/>
      <c r="O12" s="50">
        <v>0</v>
      </c>
      <c r="P12" s="50">
        <v>1</v>
      </c>
      <c r="Q12" s="50">
        <v>1</v>
      </c>
      <c r="R12" s="50">
        <v>0</v>
      </c>
      <c r="S12" s="50">
        <v>2</v>
      </c>
      <c r="T12" s="50">
        <v>2</v>
      </c>
      <c r="U12" s="50">
        <v>0</v>
      </c>
      <c r="V12" s="348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181</v>
      </c>
      <c r="F13" s="50">
        <v>8</v>
      </c>
      <c r="G13" s="50">
        <v>0</v>
      </c>
      <c r="H13" s="50">
        <v>0</v>
      </c>
      <c r="I13" s="50">
        <v>0</v>
      </c>
      <c r="J13" s="50">
        <v>1</v>
      </c>
      <c r="K13" s="50">
        <v>0</v>
      </c>
      <c r="L13" s="50">
        <v>1</v>
      </c>
      <c r="M13" s="445">
        <v>12.5</v>
      </c>
      <c r="N13" s="44"/>
      <c r="O13" s="50">
        <v>0</v>
      </c>
      <c r="P13" s="50">
        <v>0</v>
      </c>
      <c r="Q13" s="50">
        <v>1</v>
      </c>
      <c r="R13" s="50">
        <v>-1</v>
      </c>
      <c r="S13" s="50">
        <v>1</v>
      </c>
      <c r="T13" s="50">
        <v>1</v>
      </c>
      <c r="U13" s="50">
        <v>0</v>
      </c>
      <c r="V13" s="348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193</v>
      </c>
      <c r="F14" s="50">
        <v>10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445">
        <v>0</v>
      </c>
      <c r="N14" s="44"/>
      <c r="O14" s="50">
        <v>0</v>
      </c>
      <c r="P14" s="50">
        <v>0</v>
      </c>
      <c r="Q14" s="50">
        <v>1</v>
      </c>
      <c r="R14" s="50">
        <v>-1</v>
      </c>
      <c r="S14" s="50">
        <v>1</v>
      </c>
      <c r="T14" s="50">
        <v>2</v>
      </c>
      <c r="U14" s="50">
        <v>-1</v>
      </c>
      <c r="V14" s="348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94</v>
      </c>
      <c r="F15" s="50">
        <v>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445">
        <v>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48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255</v>
      </c>
      <c r="F16" s="50">
        <v>12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445">
        <v>0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348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122</v>
      </c>
      <c r="D17" s="50" t="s">
        <v>43</v>
      </c>
      <c r="E17" s="50">
        <v>104</v>
      </c>
      <c r="F17" s="50">
        <v>5</v>
      </c>
      <c r="G17" s="50">
        <v>0</v>
      </c>
      <c r="H17" s="50">
        <v>2</v>
      </c>
      <c r="I17" s="50">
        <v>-2</v>
      </c>
      <c r="J17" s="50">
        <v>1</v>
      </c>
      <c r="K17" s="50">
        <v>2</v>
      </c>
      <c r="L17" s="50">
        <v>-1</v>
      </c>
      <c r="M17" s="445">
        <v>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48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6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445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48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407</v>
      </c>
      <c r="D19" s="50" t="s">
        <v>45</v>
      </c>
      <c r="E19" s="50">
        <v>132</v>
      </c>
      <c r="F19" s="50">
        <v>7</v>
      </c>
      <c r="G19" s="50">
        <v>0</v>
      </c>
      <c r="H19" s="50">
        <v>9</v>
      </c>
      <c r="I19" s="50">
        <v>-9</v>
      </c>
      <c r="J19" s="50">
        <v>0</v>
      </c>
      <c r="K19" s="50">
        <v>9</v>
      </c>
      <c r="L19" s="50">
        <v>-9</v>
      </c>
      <c r="M19" s="445">
        <v>0</v>
      </c>
      <c r="N19" s="44"/>
      <c r="O19" s="50">
        <v>0</v>
      </c>
      <c r="P19" s="50">
        <v>0</v>
      </c>
      <c r="Q19" s="50">
        <v>2</v>
      </c>
      <c r="R19" s="50">
        <v>-2</v>
      </c>
      <c r="S19" s="50">
        <v>0</v>
      </c>
      <c r="T19" s="50">
        <v>2</v>
      </c>
      <c r="U19" s="50">
        <v>-2</v>
      </c>
      <c r="V19" s="348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374</v>
      </c>
      <c r="D20" s="50" t="s">
        <v>47</v>
      </c>
      <c r="E20" s="50">
        <v>16</v>
      </c>
      <c r="F20" s="50">
        <v>11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445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48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1023</v>
      </c>
      <c r="D21" s="50" t="s">
        <v>49</v>
      </c>
      <c r="E21" s="50">
        <v>99</v>
      </c>
      <c r="F21" s="50">
        <v>5</v>
      </c>
      <c r="G21" s="50">
        <v>0</v>
      </c>
      <c r="H21" s="50">
        <v>0</v>
      </c>
      <c r="I21" s="50">
        <v>0</v>
      </c>
      <c r="J21" s="50">
        <v>1</v>
      </c>
      <c r="K21" s="50">
        <v>3</v>
      </c>
      <c r="L21" s="50">
        <v>-2</v>
      </c>
      <c r="M21" s="445">
        <v>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48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356</v>
      </c>
      <c r="D22" s="50" t="s">
        <v>51</v>
      </c>
      <c r="E22" s="50">
        <v>419</v>
      </c>
      <c r="F22" s="50">
        <v>20</v>
      </c>
      <c r="G22" s="50">
        <v>0</v>
      </c>
      <c r="H22" s="50">
        <v>3</v>
      </c>
      <c r="I22" s="50">
        <v>-3</v>
      </c>
      <c r="J22" s="50">
        <v>2</v>
      </c>
      <c r="K22" s="50">
        <v>3</v>
      </c>
      <c r="L22" s="50">
        <v>-1</v>
      </c>
      <c r="M22" s="445">
        <v>0</v>
      </c>
      <c r="N22" s="44"/>
      <c r="O22" s="50">
        <v>0</v>
      </c>
      <c r="P22" s="50">
        <v>0</v>
      </c>
      <c r="Q22" s="50">
        <v>2</v>
      </c>
      <c r="R22" s="50">
        <v>-2</v>
      </c>
      <c r="S22" s="50">
        <v>2</v>
      </c>
      <c r="T22" s="50">
        <v>5</v>
      </c>
      <c r="U22" s="50">
        <v>-3</v>
      </c>
      <c r="V22" s="348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348</v>
      </c>
      <c r="D23" s="50" t="s">
        <v>53</v>
      </c>
      <c r="E23" s="50">
        <v>325</v>
      </c>
      <c r="F23" s="50">
        <v>15</v>
      </c>
      <c r="G23" s="50">
        <v>1</v>
      </c>
      <c r="H23" s="50">
        <v>0</v>
      </c>
      <c r="I23" s="50">
        <v>1</v>
      </c>
      <c r="J23" s="50">
        <v>5</v>
      </c>
      <c r="K23" s="50">
        <v>4</v>
      </c>
      <c r="L23" s="50">
        <v>1</v>
      </c>
      <c r="M23" s="445">
        <v>6.67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1</v>
      </c>
      <c r="U23" s="50">
        <v>-1</v>
      </c>
      <c r="V23" s="348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125</v>
      </c>
      <c r="F24" s="50">
        <v>5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445">
        <v>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48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196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445">
        <v>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348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361</v>
      </c>
      <c r="D26" s="50" t="s">
        <v>59</v>
      </c>
      <c r="E26" s="50">
        <v>199</v>
      </c>
      <c r="F26" s="50">
        <v>9</v>
      </c>
      <c r="G26" s="50">
        <v>0</v>
      </c>
      <c r="H26" s="50">
        <v>0</v>
      </c>
      <c r="I26" s="50">
        <v>0</v>
      </c>
      <c r="J26" s="50">
        <v>1</v>
      </c>
      <c r="K26" s="50">
        <v>2</v>
      </c>
      <c r="L26" s="50">
        <v>-1</v>
      </c>
      <c r="M26" s="445">
        <v>0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1</v>
      </c>
      <c r="T26" s="50">
        <v>3</v>
      </c>
      <c r="U26" s="50">
        <v>-2</v>
      </c>
      <c r="V26" s="348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288</v>
      </c>
      <c r="F27" s="50">
        <v>14</v>
      </c>
      <c r="G27" s="50">
        <v>0</v>
      </c>
      <c r="H27" s="50">
        <v>0</v>
      </c>
      <c r="I27" s="50">
        <v>0</v>
      </c>
      <c r="J27" s="50">
        <v>2</v>
      </c>
      <c r="K27" s="50">
        <v>0</v>
      </c>
      <c r="L27" s="50">
        <v>2</v>
      </c>
      <c r="M27" s="445">
        <v>14.29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48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152</v>
      </c>
      <c r="F28" s="50">
        <v>7</v>
      </c>
      <c r="G28" s="50">
        <v>0</v>
      </c>
      <c r="H28" s="50">
        <v>0</v>
      </c>
      <c r="I28" s="50">
        <v>0</v>
      </c>
      <c r="J28" s="50">
        <v>2</v>
      </c>
      <c r="K28" s="50">
        <v>0</v>
      </c>
      <c r="L28" s="50">
        <v>2</v>
      </c>
      <c r="M28" s="445">
        <v>28.57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1</v>
      </c>
      <c r="T28" s="50">
        <v>1</v>
      </c>
      <c r="U28" s="50">
        <v>0</v>
      </c>
      <c r="V28" s="348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203</v>
      </c>
      <c r="F29" s="50">
        <v>10</v>
      </c>
      <c r="G29" s="50">
        <v>0</v>
      </c>
      <c r="H29" s="50">
        <v>7</v>
      </c>
      <c r="I29" s="50">
        <v>-7</v>
      </c>
      <c r="J29" s="50">
        <v>6</v>
      </c>
      <c r="K29" s="50">
        <v>7</v>
      </c>
      <c r="L29" s="50">
        <v>-1</v>
      </c>
      <c r="M29" s="445">
        <v>0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1</v>
      </c>
      <c r="V29" s="348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769</v>
      </c>
      <c r="D30" s="50" t="s">
        <v>66</v>
      </c>
      <c r="E30" s="50">
        <v>254</v>
      </c>
      <c r="F30" s="50">
        <v>12</v>
      </c>
      <c r="G30" s="50">
        <v>0</v>
      </c>
      <c r="H30" s="50">
        <v>0</v>
      </c>
      <c r="I30" s="50">
        <v>0</v>
      </c>
      <c r="J30" s="50">
        <v>4</v>
      </c>
      <c r="K30" s="50">
        <v>0</v>
      </c>
      <c r="L30" s="50">
        <v>4</v>
      </c>
      <c r="M30" s="445">
        <v>33.33</v>
      </c>
      <c r="N30" s="44"/>
      <c r="O30" s="50">
        <v>0</v>
      </c>
      <c r="P30" s="50">
        <v>0</v>
      </c>
      <c r="Q30" s="50">
        <v>1</v>
      </c>
      <c r="R30" s="50">
        <v>-1</v>
      </c>
      <c r="S30" s="50">
        <v>1</v>
      </c>
      <c r="T30" s="50">
        <v>2</v>
      </c>
      <c r="U30" s="50">
        <v>-1</v>
      </c>
      <c r="V30" s="348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513</v>
      </c>
      <c r="D31" s="50" t="s">
        <v>68</v>
      </c>
      <c r="E31" s="50">
        <v>317</v>
      </c>
      <c r="F31" s="50">
        <v>16</v>
      </c>
      <c r="G31" s="50">
        <v>0</v>
      </c>
      <c r="H31" s="50">
        <v>0</v>
      </c>
      <c r="I31" s="50">
        <v>0</v>
      </c>
      <c r="J31" s="50">
        <v>0</v>
      </c>
      <c r="K31" s="50">
        <v>1</v>
      </c>
      <c r="L31" s="50">
        <v>-1</v>
      </c>
      <c r="M31" s="445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1</v>
      </c>
      <c r="T31" s="50">
        <v>1</v>
      </c>
      <c r="U31" s="50">
        <v>0</v>
      </c>
      <c r="V31" s="348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84</v>
      </c>
      <c r="D32" s="50" t="s">
        <v>70</v>
      </c>
      <c r="E32" s="50">
        <v>55</v>
      </c>
      <c r="F32" s="50">
        <v>3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445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48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1020</v>
      </c>
      <c r="D33" s="50" t="s">
        <v>72</v>
      </c>
      <c r="E33" s="50">
        <v>105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445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48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457</v>
      </c>
      <c r="D34" s="50" t="s">
        <v>74</v>
      </c>
      <c r="E34" s="50">
        <v>81</v>
      </c>
      <c r="F34" s="50">
        <v>4</v>
      </c>
      <c r="G34" s="50">
        <v>0</v>
      </c>
      <c r="H34" s="50">
        <v>1</v>
      </c>
      <c r="I34" s="50">
        <v>-1</v>
      </c>
      <c r="J34" s="50">
        <v>0</v>
      </c>
      <c r="K34" s="50">
        <v>1</v>
      </c>
      <c r="L34" s="50">
        <v>-1</v>
      </c>
      <c r="M34" s="445">
        <v>0</v>
      </c>
      <c r="N34" s="44"/>
      <c r="O34" s="50">
        <v>0</v>
      </c>
      <c r="P34" s="50">
        <v>0</v>
      </c>
      <c r="Q34" s="50">
        <v>1</v>
      </c>
      <c r="R34" s="50">
        <v>-1</v>
      </c>
      <c r="S34" s="50">
        <v>0</v>
      </c>
      <c r="T34" s="50">
        <v>2</v>
      </c>
      <c r="U34" s="50">
        <v>-2</v>
      </c>
      <c r="V34" s="348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513</v>
      </c>
      <c r="D35" s="50" t="s">
        <v>75</v>
      </c>
      <c r="E35" s="50">
        <v>98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445">
        <v>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1</v>
      </c>
      <c r="U35" s="50">
        <v>-1</v>
      </c>
      <c r="V35" s="348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427</v>
      </c>
      <c r="D36" s="50" t="s">
        <v>77</v>
      </c>
      <c r="E36" s="50">
        <v>91</v>
      </c>
      <c r="F36" s="50">
        <v>4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445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1</v>
      </c>
      <c r="T36" s="50">
        <v>1</v>
      </c>
      <c r="U36" s="50">
        <v>0</v>
      </c>
      <c r="V36" s="348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427</v>
      </c>
      <c r="D37" s="50" t="s">
        <v>78</v>
      </c>
      <c r="E37" s="50">
        <v>101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445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48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427</v>
      </c>
      <c r="D38" s="50" t="s">
        <v>79</v>
      </c>
      <c r="E38" s="50">
        <v>275</v>
      </c>
      <c r="F38" s="50">
        <v>13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445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48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265</v>
      </c>
      <c r="F39" s="50">
        <v>11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445">
        <v>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1</v>
      </c>
      <c r="U39" s="50">
        <v>-1</v>
      </c>
      <c r="V39" s="348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151</v>
      </c>
      <c r="F40" s="50">
        <v>7</v>
      </c>
      <c r="G40" s="50">
        <v>0</v>
      </c>
      <c r="H40" s="50">
        <v>0</v>
      </c>
      <c r="I40" s="50">
        <v>0</v>
      </c>
      <c r="J40" s="50">
        <v>2</v>
      </c>
      <c r="K40" s="50">
        <v>1</v>
      </c>
      <c r="L40" s="50">
        <v>1</v>
      </c>
      <c r="M40" s="445">
        <v>14.29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348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3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445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48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770</v>
      </c>
      <c r="D42" s="50" t="s">
        <v>85</v>
      </c>
      <c r="E42" s="50">
        <v>193</v>
      </c>
      <c r="F42" s="50">
        <v>9</v>
      </c>
      <c r="G42" s="50">
        <v>0</v>
      </c>
      <c r="H42" s="50">
        <v>0</v>
      </c>
      <c r="I42" s="50">
        <v>0</v>
      </c>
      <c r="J42" s="50">
        <v>1</v>
      </c>
      <c r="K42" s="50">
        <v>0</v>
      </c>
      <c r="L42" s="50">
        <v>1</v>
      </c>
      <c r="M42" s="445">
        <v>11.11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1</v>
      </c>
      <c r="U42" s="50">
        <v>-1</v>
      </c>
      <c r="V42" s="348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372</v>
      </c>
      <c r="D43" s="50" t="s">
        <v>87</v>
      </c>
      <c r="E43" s="50">
        <v>262</v>
      </c>
      <c r="F43" s="50">
        <v>13</v>
      </c>
      <c r="G43" s="50">
        <v>0</v>
      </c>
      <c r="H43" s="50">
        <v>0</v>
      </c>
      <c r="I43" s="50">
        <v>0</v>
      </c>
      <c r="J43" s="50">
        <v>1</v>
      </c>
      <c r="K43" s="50">
        <v>0</v>
      </c>
      <c r="L43" s="50">
        <v>1</v>
      </c>
      <c r="M43" s="445">
        <v>7.69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1</v>
      </c>
      <c r="T43" s="50">
        <v>0</v>
      </c>
      <c r="U43" s="50">
        <v>1</v>
      </c>
      <c r="V43" s="348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771</v>
      </c>
      <c r="D44" s="50" t="s">
        <v>88</v>
      </c>
      <c r="E44" s="50">
        <v>195</v>
      </c>
      <c r="F44" s="50">
        <v>9</v>
      </c>
      <c r="G44" s="50">
        <v>0</v>
      </c>
      <c r="H44" s="50">
        <v>0</v>
      </c>
      <c r="I44" s="50">
        <v>0</v>
      </c>
      <c r="J44" s="50">
        <v>1</v>
      </c>
      <c r="K44" s="50">
        <v>0</v>
      </c>
      <c r="L44" s="50">
        <v>1</v>
      </c>
      <c r="M44" s="445">
        <v>11.11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348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772</v>
      </c>
      <c r="D45" s="50" t="s">
        <v>90</v>
      </c>
      <c r="E45" s="50">
        <v>81</v>
      </c>
      <c r="F45" s="50">
        <v>4</v>
      </c>
      <c r="G45" s="50">
        <v>0</v>
      </c>
      <c r="H45" s="50">
        <v>0</v>
      </c>
      <c r="I45" s="50">
        <v>0</v>
      </c>
      <c r="J45" s="50">
        <v>1</v>
      </c>
      <c r="K45" s="50">
        <v>0</v>
      </c>
      <c r="L45" s="50">
        <v>1</v>
      </c>
      <c r="M45" s="445">
        <v>25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48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506</v>
      </c>
      <c r="F46" s="50">
        <v>20</v>
      </c>
      <c r="G46" s="50">
        <v>0</v>
      </c>
      <c r="H46" s="50">
        <v>0</v>
      </c>
      <c r="I46" s="50">
        <v>0</v>
      </c>
      <c r="J46" s="50">
        <v>2</v>
      </c>
      <c r="K46" s="50">
        <v>0</v>
      </c>
      <c r="L46" s="50">
        <v>2</v>
      </c>
      <c r="M46" s="445">
        <v>10</v>
      </c>
      <c r="N46" s="44"/>
      <c r="O46" s="50">
        <v>0</v>
      </c>
      <c r="P46" s="50">
        <v>0</v>
      </c>
      <c r="Q46" s="50">
        <v>1</v>
      </c>
      <c r="R46" s="50">
        <v>-1</v>
      </c>
      <c r="S46" s="50">
        <v>1</v>
      </c>
      <c r="T46" s="50">
        <v>1</v>
      </c>
      <c r="U46" s="50">
        <v>0</v>
      </c>
      <c r="V46" s="348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445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48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472</v>
      </c>
      <c r="D48" s="50" t="s">
        <v>96</v>
      </c>
      <c r="E48" s="50">
        <v>655</v>
      </c>
      <c r="F48" s="50">
        <v>20</v>
      </c>
      <c r="G48" s="50">
        <v>0</v>
      </c>
      <c r="H48" s="50">
        <v>0</v>
      </c>
      <c r="I48" s="50">
        <v>0</v>
      </c>
      <c r="J48" s="50">
        <v>2</v>
      </c>
      <c r="K48" s="50">
        <v>0</v>
      </c>
      <c r="L48" s="50">
        <v>2</v>
      </c>
      <c r="M48" s="445">
        <v>10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1</v>
      </c>
      <c r="T48" s="50">
        <v>1</v>
      </c>
      <c r="U48" s="50">
        <v>0</v>
      </c>
      <c r="V48" s="348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424</v>
      </c>
      <c r="D49" s="50" t="s">
        <v>98</v>
      </c>
      <c r="E49" s="50">
        <v>212</v>
      </c>
      <c r="F49" s="50">
        <v>10</v>
      </c>
      <c r="G49" s="50">
        <v>0</v>
      </c>
      <c r="H49" s="50">
        <v>0</v>
      </c>
      <c r="I49" s="50">
        <v>0</v>
      </c>
      <c r="J49" s="50">
        <v>2</v>
      </c>
      <c r="K49" s="50">
        <v>0</v>
      </c>
      <c r="L49" s="50">
        <v>2</v>
      </c>
      <c r="M49" s="445">
        <v>20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48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513</v>
      </c>
      <c r="D50" s="50" t="s">
        <v>99</v>
      </c>
      <c r="E50" s="50">
        <v>57</v>
      </c>
      <c r="F50" s="50">
        <v>3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445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1</v>
      </c>
      <c r="U50" s="50">
        <v>-1</v>
      </c>
      <c r="V50" s="348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432</v>
      </c>
      <c r="D51" s="50" t="s">
        <v>101</v>
      </c>
      <c r="E51" s="50">
        <v>491</v>
      </c>
      <c r="F51" s="50">
        <v>20</v>
      </c>
      <c r="G51" s="50">
        <v>0</v>
      </c>
      <c r="H51" s="50">
        <v>0</v>
      </c>
      <c r="I51" s="50">
        <v>0</v>
      </c>
      <c r="J51" s="50">
        <v>0</v>
      </c>
      <c r="K51" s="50">
        <v>2</v>
      </c>
      <c r="L51" s="50">
        <v>-2</v>
      </c>
      <c r="M51" s="445">
        <v>0</v>
      </c>
      <c r="N51" s="44"/>
      <c r="O51" s="50">
        <v>0</v>
      </c>
      <c r="P51" s="50">
        <v>0</v>
      </c>
      <c r="Q51" s="50">
        <v>1</v>
      </c>
      <c r="R51" s="50">
        <v>-1</v>
      </c>
      <c r="S51" s="50">
        <v>0</v>
      </c>
      <c r="T51" s="50">
        <v>1</v>
      </c>
      <c r="U51" s="50">
        <v>-1</v>
      </c>
      <c r="V51" s="348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253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445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2</v>
      </c>
      <c r="U52" s="50">
        <v>-2</v>
      </c>
      <c r="V52" s="348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77</v>
      </c>
      <c r="F53" s="50">
        <v>4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445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48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773</v>
      </c>
      <c r="D54" s="50" t="s">
        <v>107</v>
      </c>
      <c r="E54" s="50">
        <v>187</v>
      </c>
      <c r="F54" s="50">
        <v>9</v>
      </c>
      <c r="G54" s="50">
        <v>0</v>
      </c>
      <c r="H54" s="50">
        <v>0</v>
      </c>
      <c r="I54" s="50">
        <v>0</v>
      </c>
      <c r="J54" s="50">
        <v>1</v>
      </c>
      <c r="K54" s="50">
        <v>21</v>
      </c>
      <c r="L54" s="50">
        <v>-20</v>
      </c>
      <c r="M54" s="445">
        <v>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1</v>
      </c>
      <c r="U54" s="50">
        <v>-1</v>
      </c>
      <c r="V54" s="348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774</v>
      </c>
      <c r="D55" s="50" t="s">
        <v>40</v>
      </c>
      <c r="E55" s="50">
        <v>72</v>
      </c>
      <c r="F55" s="50">
        <v>4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445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48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775</v>
      </c>
      <c r="D56" s="50" t="s">
        <v>110</v>
      </c>
      <c r="E56" s="50">
        <v>139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445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1</v>
      </c>
      <c r="T56" s="50">
        <v>2</v>
      </c>
      <c r="U56" s="50">
        <v>-1</v>
      </c>
      <c r="V56" s="348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776</v>
      </c>
      <c r="D57" s="50" t="s">
        <v>111</v>
      </c>
      <c r="E57" s="50">
        <v>604</v>
      </c>
      <c r="F57" s="50">
        <v>20</v>
      </c>
      <c r="G57" s="50">
        <v>0</v>
      </c>
      <c r="H57" s="50">
        <v>0</v>
      </c>
      <c r="I57" s="50">
        <v>0</v>
      </c>
      <c r="J57" s="50">
        <v>7</v>
      </c>
      <c r="K57" s="50">
        <v>0</v>
      </c>
      <c r="L57" s="50">
        <v>7</v>
      </c>
      <c r="M57" s="445">
        <v>35</v>
      </c>
      <c r="N57" s="44"/>
      <c r="O57" s="50">
        <v>0</v>
      </c>
      <c r="P57" s="50">
        <v>1</v>
      </c>
      <c r="Q57" s="50">
        <v>1</v>
      </c>
      <c r="R57" s="50">
        <v>0</v>
      </c>
      <c r="S57" s="50">
        <v>7</v>
      </c>
      <c r="T57" s="50">
        <v>2</v>
      </c>
      <c r="U57" s="50">
        <v>5</v>
      </c>
      <c r="V57" s="348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252</v>
      </c>
      <c r="D58" s="50" t="s">
        <v>23</v>
      </c>
      <c r="E58" s="50">
        <v>91</v>
      </c>
      <c r="F58" s="50">
        <v>4</v>
      </c>
      <c r="G58" s="50">
        <v>0</v>
      </c>
      <c r="H58" s="50">
        <v>0</v>
      </c>
      <c r="I58" s="50">
        <v>0</v>
      </c>
      <c r="J58" s="50">
        <v>1</v>
      </c>
      <c r="K58" s="50">
        <v>2</v>
      </c>
      <c r="L58" s="50">
        <v>-1</v>
      </c>
      <c r="M58" s="445">
        <v>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1</v>
      </c>
      <c r="U58" s="50">
        <v>-1</v>
      </c>
      <c r="V58" s="348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777</v>
      </c>
      <c r="D59" s="50" t="s">
        <v>114</v>
      </c>
      <c r="E59" s="50">
        <v>344</v>
      </c>
      <c r="F59" s="50">
        <v>17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445">
        <v>5.88</v>
      </c>
      <c r="N59" s="44"/>
      <c r="O59" s="50">
        <v>0</v>
      </c>
      <c r="P59" s="50">
        <v>0</v>
      </c>
      <c r="Q59" s="50">
        <v>1</v>
      </c>
      <c r="R59" s="50">
        <v>-1</v>
      </c>
      <c r="S59" s="50">
        <v>0</v>
      </c>
      <c r="T59" s="50">
        <v>1</v>
      </c>
      <c r="U59" s="50">
        <v>-1</v>
      </c>
      <c r="V59" s="348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147</v>
      </c>
      <c r="F60" s="50">
        <v>7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445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48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174</v>
      </c>
      <c r="F61" s="50">
        <v>8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445">
        <v>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48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778</v>
      </c>
      <c r="D62" s="50" t="s">
        <v>118</v>
      </c>
      <c r="E62" s="50">
        <v>84</v>
      </c>
      <c r="F62" s="50">
        <v>4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445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48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143</v>
      </c>
      <c r="F63" s="50">
        <v>6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445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48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170</v>
      </c>
      <c r="F64" s="50">
        <v>8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445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1</v>
      </c>
      <c r="T64" s="50">
        <v>1</v>
      </c>
      <c r="U64" s="50">
        <v>0</v>
      </c>
      <c r="V64" s="348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779</v>
      </c>
      <c r="D65" s="50" t="s">
        <v>123</v>
      </c>
      <c r="E65" s="50">
        <v>158</v>
      </c>
      <c r="F65" s="50">
        <v>8</v>
      </c>
      <c r="G65" s="50">
        <v>0</v>
      </c>
      <c r="H65" s="50">
        <v>3</v>
      </c>
      <c r="I65" s="50">
        <v>-3</v>
      </c>
      <c r="J65" s="50">
        <v>0</v>
      </c>
      <c r="K65" s="50">
        <v>3</v>
      </c>
      <c r="L65" s="50">
        <v>-3</v>
      </c>
      <c r="M65" s="445">
        <v>0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48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63</v>
      </c>
      <c r="F66" s="50">
        <v>3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445">
        <v>0</v>
      </c>
      <c r="N66" s="44"/>
      <c r="O66" s="50">
        <v>0</v>
      </c>
      <c r="P66" s="50">
        <v>0</v>
      </c>
      <c r="Q66" s="50">
        <v>1</v>
      </c>
      <c r="R66" s="50">
        <v>-1</v>
      </c>
      <c r="S66" s="50">
        <v>0</v>
      </c>
      <c r="T66" s="50">
        <v>1</v>
      </c>
      <c r="U66" s="50">
        <v>-1</v>
      </c>
      <c r="V66" s="348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122</v>
      </c>
      <c r="D67" s="50" t="s">
        <v>43</v>
      </c>
      <c r="E67" s="50">
        <v>44</v>
      </c>
      <c r="F67" s="50">
        <v>3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445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1</v>
      </c>
      <c r="U67" s="50">
        <v>-1</v>
      </c>
      <c r="V67" s="348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520</v>
      </c>
      <c r="D68" s="50" t="s">
        <v>126</v>
      </c>
      <c r="E68" s="50">
        <v>131</v>
      </c>
      <c r="F68" s="50">
        <v>6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445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2</v>
      </c>
      <c r="U68" s="50">
        <v>-2</v>
      </c>
      <c r="V68" s="348">
        <v>0</v>
      </c>
      <c r="W68" s="44"/>
    </row>
    <row r="69" spans="1:23" ht="29.1" customHeight="1">
      <c r="A69" s="50" t="s">
        <v>24</v>
      </c>
      <c r="B69" s="50">
        <v>2771</v>
      </c>
      <c r="C69" s="50" t="s">
        <v>159</v>
      </c>
      <c r="D69" s="50" t="s">
        <v>127</v>
      </c>
      <c r="E69" s="50">
        <v>166</v>
      </c>
      <c r="F69" s="50">
        <v>8</v>
      </c>
      <c r="G69" s="50">
        <v>0</v>
      </c>
      <c r="H69" s="50">
        <v>0</v>
      </c>
      <c r="I69" s="50">
        <v>0</v>
      </c>
      <c r="J69" s="50">
        <v>9</v>
      </c>
      <c r="K69" s="50">
        <v>0</v>
      </c>
      <c r="L69" s="50">
        <v>9</v>
      </c>
      <c r="M69" s="445">
        <v>112.5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348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778</v>
      </c>
      <c r="D70" s="50" t="s">
        <v>129</v>
      </c>
      <c r="E70" s="50">
        <v>45</v>
      </c>
      <c r="F70" s="50">
        <v>3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445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48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136</v>
      </c>
      <c r="F71" s="50">
        <v>7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445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3</v>
      </c>
      <c r="U71" s="50">
        <v>-3</v>
      </c>
      <c r="V71" s="348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109</v>
      </c>
      <c r="D72" s="50" t="s">
        <v>132</v>
      </c>
      <c r="E72" s="50">
        <v>152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445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48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780</v>
      </c>
      <c r="D73" s="50" t="s">
        <v>133</v>
      </c>
      <c r="E73" s="50">
        <v>191</v>
      </c>
      <c r="F73" s="50">
        <v>9</v>
      </c>
      <c r="G73" s="50">
        <v>1</v>
      </c>
      <c r="H73" s="50">
        <v>0</v>
      </c>
      <c r="I73" s="50">
        <v>1</v>
      </c>
      <c r="J73" s="50">
        <v>6</v>
      </c>
      <c r="K73" s="50">
        <v>0</v>
      </c>
      <c r="L73" s="50">
        <v>6</v>
      </c>
      <c r="M73" s="445">
        <v>66.67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4</v>
      </c>
      <c r="T73" s="50">
        <v>2</v>
      </c>
      <c r="U73" s="50">
        <v>2</v>
      </c>
      <c r="V73" s="348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295</v>
      </c>
      <c r="D74" s="50" t="s">
        <v>135</v>
      </c>
      <c r="E74" s="50">
        <v>106</v>
      </c>
      <c r="F74" s="50">
        <v>5</v>
      </c>
      <c r="G74" s="50">
        <v>1</v>
      </c>
      <c r="H74" s="50">
        <v>0</v>
      </c>
      <c r="I74" s="50">
        <v>1</v>
      </c>
      <c r="J74" s="50">
        <v>1</v>
      </c>
      <c r="K74" s="50">
        <v>0</v>
      </c>
      <c r="L74" s="50">
        <v>1</v>
      </c>
      <c r="M74" s="445">
        <v>20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48">
        <v>0</v>
      </c>
      <c r="W74" s="44"/>
    </row>
    <row r="75" spans="1:23" ht="29.1" customHeight="1">
      <c r="A75" s="50" t="s">
        <v>24</v>
      </c>
      <c r="B75" s="50">
        <v>2791</v>
      </c>
      <c r="C75" s="50" t="s">
        <v>163</v>
      </c>
      <c r="D75" s="50" t="s">
        <v>136</v>
      </c>
      <c r="E75" s="50">
        <v>85</v>
      </c>
      <c r="F75" s="50">
        <v>4</v>
      </c>
      <c r="G75" s="50">
        <v>0</v>
      </c>
      <c r="H75" s="50">
        <v>0</v>
      </c>
      <c r="I75" s="50">
        <v>0</v>
      </c>
      <c r="J75" s="50">
        <v>8</v>
      </c>
      <c r="K75" s="50">
        <v>0</v>
      </c>
      <c r="L75" s="50">
        <v>8</v>
      </c>
      <c r="M75" s="445">
        <v>200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48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333</v>
      </c>
      <c r="F76" s="50">
        <v>16</v>
      </c>
      <c r="G76" s="50">
        <v>0</v>
      </c>
      <c r="H76" s="50">
        <v>0</v>
      </c>
      <c r="I76" s="50">
        <v>0</v>
      </c>
      <c r="J76" s="50">
        <v>0</v>
      </c>
      <c r="K76" s="50">
        <v>1</v>
      </c>
      <c r="L76" s="50">
        <v>-1</v>
      </c>
      <c r="M76" s="445">
        <v>0</v>
      </c>
      <c r="N76" s="44"/>
      <c r="O76" s="50">
        <v>0</v>
      </c>
      <c r="P76" s="50">
        <v>0</v>
      </c>
      <c r="Q76" s="50">
        <v>2</v>
      </c>
      <c r="R76" s="50">
        <v>-2</v>
      </c>
      <c r="S76" s="50">
        <v>0</v>
      </c>
      <c r="T76" s="50">
        <v>2</v>
      </c>
      <c r="U76" s="50">
        <v>-2</v>
      </c>
      <c r="V76" s="348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109</v>
      </c>
      <c r="D77" s="50" t="s">
        <v>140</v>
      </c>
      <c r="E77" s="50">
        <v>50</v>
      </c>
      <c r="F77" s="50">
        <v>3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445">
        <v>0</v>
      </c>
      <c r="N77" s="325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48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781</v>
      </c>
      <c r="D78" s="50" t="s">
        <v>142</v>
      </c>
      <c r="E78" s="50">
        <v>71</v>
      </c>
      <c r="F78" s="50">
        <v>3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445">
        <v>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48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507</v>
      </c>
      <c r="D79" s="50" t="s">
        <v>143</v>
      </c>
      <c r="E79" s="50">
        <v>235</v>
      </c>
      <c r="F79" s="50">
        <v>11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445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48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372</v>
      </c>
      <c r="D80" s="50" t="s">
        <v>144</v>
      </c>
      <c r="E80" s="50">
        <v>289</v>
      </c>
      <c r="F80" s="50">
        <v>14</v>
      </c>
      <c r="G80" s="50">
        <v>1</v>
      </c>
      <c r="H80" s="50">
        <v>0</v>
      </c>
      <c r="I80" s="50">
        <v>1</v>
      </c>
      <c r="J80" s="50">
        <v>3</v>
      </c>
      <c r="K80" s="50">
        <v>10</v>
      </c>
      <c r="L80" s="50">
        <v>-7</v>
      </c>
      <c r="M80" s="445">
        <v>0</v>
      </c>
      <c r="N80" s="44"/>
      <c r="O80" s="50">
        <v>0</v>
      </c>
      <c r="P80" s="50">
        <v>1</v>
      </c>
      <c r="Q80" s="50">
        <v>0</v>
      </c>
      <c r="R80" s="50">
        <v>1</v>
      </c>
      <c r="S80" s="50">
        <v>4</v>
      </c>
      <c r="T80" s="50">
        <v>1</v>
      </c>
      <c r="U80" s="50">
        <v>3</v>
      </c>
      <c r="V80" s="348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358</v>
      </c>
      <c r="D81" s="50" t="s">
        <v>33</v>
      </c>
      <c r="E81" s="50">
        <v>499</v>
      </c>
      <c r="F81" s="50">
        <v>20</v>
      </c>
      <c r="G81" s="50">
        <v>0</v>
      </c>
      <c r="H81" s="50">
        <v>0</v>
      </c>
      <c r="I81" s="50">
        <v>0</v>
      </c>
      <c r="J81" s="50">
        <v>6</v>
      </c>
      <c r="K81" s="50">
        <v>0</v>
      </c>
      <c r="L81" s="50">
        <v>6</v>
      </c>
      <c r="M81" s="445">
        <v>30</v>
      </c>
      <c r="N81" s="44"/>
      <c r="O81" s="50">
        <v>0</v>
      </c>
      <c r="P81" s="50">
        <v>0</v>
      </c>
      <c r="Q81" s="50">
        <v>1</v>
      </c>
      <c r="R81" s="50">
        <v>-1</v>
      </c>
      <c r="S81" s="50">
        <v>3</v>
      </c>
      <c r="T81" s="50">
        <v>2</v>
      </c>
      <c r="U81" s="50">
        <v>1</v>
      </c>
      <c r="V81" s="348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372</v>
      </c>
      <c r="D82" s="50" t="s">
        <v>146</v>
      </c>
      <c r="E82" s="50">
        <v>204</v>
      </c>
      <c r="F82" s="50">
        <v>10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445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1</v>
      </c>
      <c r="U82" s="50">
        <v>-1</v>
      </c>
      <c r="V82" s="348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446</v>
      </c>
      <c r="D83" s="50" t="s">
        <v>148</v>
      </c>
      <c r="E83" s="50">
        <v>69</v>
      </c>
      <c r="F83" s="50">
        <v>3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445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48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445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48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775</v>
      </c>
      <c r="D85" s="50" t="s">
        <v>150</v>
      </c>
      <c r="E85" s="50">
        <v>278</v>
      </c>
      <c r="F85" s="50">
        <v>12</v>
      </c>
      <c r="G85" s="50">
        <v>5</v>
      </c>
      <c r="H85" s="50">
        <v>0</v>
      </c>
      <c r="I85" s="50">
        <v>5</v>
      </c>
      <c r="J85" s="50">
        <v>8</v>
      </c>
      <c r="K85" s="50">
        <v>0</v>
      </c>
      <c r="L85" s="50">
        <v>8</v>
      </c>
      <c r="M85" s="445">
        <v>66.67</v>
      </c>
      <c r="N85" s="44"/>
      <c r="O85" s="50">
        <v>0</v>
      </c>
      <c r="P85" s="50">
        <v>1</v>
      </c>
      <c r="Q85" s="50">
        <v>0</v>
      </c>
      <c r="R85" s="50">
        <v>1</v>
      </c>
      <c r="S85" s="50">
        <v>6</v>
      </c>
      <c r="T85" s="50">
        <v>0</v>
      </c>
      <c r="U85" s="50">
        <v>6</v>
      </c>
      <c r="V85" s="348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89</v>
      </c>
      <c r="D86" s="50" t="s">
        <v>152</v>
      </c>
      <c r="E86" s="50">
        <v>169</v>
      </c>
      <c r="F86" s="50">
        <v>8</v>
      </c>
      <c r="G86" s="50">
        <v>0</v>
      </c>
      <c r="H86" s="50">
        <v>0</v>
      </c>
      <c r="I86" s="50">
        <v>0</v>
      </c>
      <c r="J86" s="50">
        <v>5</v>
      </c>
      <c r="K86" s="50">
        <v>0</v>
      </c>
      <c r="L86" s="50">
        <v>5</v>
      </c>
      <c r="M86" s="445">
        <v>62.5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348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783</v>
      </c>
      <c r="D87" s="50" t="s">
        <v>154</v>
      </c>
      <c r="E87" s="50">
        <v>284</v>
      </c>
      <c r="F87" s="50">
        <v>14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445">
        <v>0</v>
      </c>
      <c r="N87" s="44"/>
      <c r="O87" s="50">
        <v>0</v>
      </c>
      <c r="P87" s="50">
        <v>0</v>
      </c>
      <c r="Q87" s="50">
        <v>1</v>
      </c>
      <c r="R87" s="50">
        <v>-1</v>
      </c>
      <c r="S87" s="50">
        <v>0</v>
      </c>
      <c r="T87" s="50">
        <v>4</v>
      </c>
      <c r="U87" s="50">
        <v>-4</v>
      </c>
      <c r="V87" s="348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237</v>
      </c>
      <c r="F88" s="50">
        <v>11</v>
      </c>
      <c r="G88" s="50">
        <v>0</v>
      </c>
      <c r="H88" s="50">
        <v>0</v>
      </c>
      <c r="I88" s="50">
        <v>0</v>
      </c>
      <c r="J88" s="50">
        <v>2</v>
      </c>
      <c r="K88" s="50">
        <v>0</v>
      </c>
      <c r="L88" s="50">
        <v>2</v>
      </c>
      <c r="M88" s="445">
        <v>18.18</v>
      </c>
      <c r="N88" s="44"/>
      <c r="O88" s="50">
        <v>0</v>
      </c>
      <c r="P88" s="50">
        <v>0</v>
      </c>
      <c r="Q88" s="50">
        <v>2</v>
      </c>
      <c r="R88" s="50">
        <v>-2</v>
      </c>
      <c r="S88" s="50">
        <v>3</v>
      </c>
      <c r="T88" s="50">
        <v>3</v>
      </c>
      <c r="U88" s="50">
        <v>0</v>
      </c>
      <c r="V88" s="348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472</v>
      </c>
      <c r="D89" s="50" t="s">
        <v>156</v>
      </c>
      <c r="E89" s="50">
        <v>301</v>
      </c>
      <c r="F89" s="50">
        <v>15</v>
      </c>
      <c r="G89" s="50">
        <v>0</v>
      </c>
      <c r="H89" s="50">
        <v>1</v>
      </c>
      <c r="I89" s="50">
        <v>-1</v>
      </c>
      <c r="J89" s="50">
        <v>2</v>
      </c>
      <c r="K89" s="50">
        <v>2</v>
      </c>
      <c r="L89" s="50">
        <v>0</v>
      </c>
      <c r="M89" s="445">
        <v>0</v>
      </c>
      <c r="N89" s="44"/>
      <c r="O89" s="50">
        <v>0</v>
      </c>
      <c r="P89" s="50">
        <v>0</v>
      </c>
      <c r="Q89" s="50">
        <v>1</v>
      </c>
      <c r="R89" s="50">
        <v>-1</v>
      </c>
      <c r="S89" s="50">
        <v>3</v>
      </c>
      <c r="T89" s="50">
        <v>4</v>
      </c>
      <c r="U89" s="50">
        <v>-1</v>
      </c>
      <c r="V89" s="348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811</v>
      </c>
      <c r="D90" s="50" t="s">
        <v>158</v>
      </c>
      <c r="E90" s="50">
        <v>133</v>
      </c>
      <c r="F90" s="50">
        <v>6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445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48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153</v>
      </c>
      <c r="D91" s="50" t="s">
        <v>149</v>
      </c>
      <c r="E91" s="50">
        <v>146</v>
      </c>
      <c r="F91" s="50">
        <v>7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445">
        <v>0</v>
      </c>
      <c r="N91" s="44"/>
      <c r="O91" s="50">
        <v>0</v>
      </c>
      <c r="P91" s="50">
        <v>0</v>
      </c>
      <c r="Q91" s="50">
        <v>1</v>
      </c>
      <c r="R91" s="50">
        <v>-1</v>
      </c>
      <c r="S91" s="50">
        <v>0</v>
      </c>
      <c r="T91" s="50">
        <v>1</v>
      </c>
      <c r="U91" s="50">
        <v>-1</v>
      </c>
      <c r="V91" s="348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776</v>
      </c>
      <c r="D92" s="50" t="s">
        <v>160</v>
      </c>
      <c r="E92" s="50">
        <v>150</v>
      </c>
      <c r="F92" s="50">
        <v>7</v>
      </c>
      <c r="G92" s="50">
        <v>1</v>
      </c>
      <c r="H92" s="50">
        <v>0</v>
      </c>
      <c r="I92" s="50">
        <v>1</v>
      </c>
      <c r="J92" s="50">
        <v>4</v>
      </c>
      <c r="K92" s="50">
        <v>0</v>
      </c>
      <c r="L92" s="50">
        <v>4</v>
      </c>
      <c r="M92" s="445">
        <v>57.14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48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446</v>
      </c>
      <c r="D93" s="50" t="s">
        <v>148</v>
      </c>
      <c r="E93" s="50">
        <v>314</v>
      </c>
      <c r="F93" s="50">
        <v>16</v>
      </c>
      <c r="G93" s="50">
        <v>0</v>
      </c>
      <c r="H93" s="50">
        <v>0</v>
      </c>
      <c r="I93" s="50">
        <v>0</v>
      </c>
      <c r="J93" s="50">
        <v>5</v>
      </c>
      <c r="K93" s="50">
        <v>0</v>
      </c>
      <c r="L93" s="50">
        <v>5</v>
      </c>
      <c r="M93" s="445">
        <v>31.25</v>
      </c>
      <c r="N93" s="44"/>
      <c r="O93" s="50">
        <v>0</v>
      </c>
      <c r="P93" s="50">
        <v>0</v>
      </c>
      <c r="Q93" s="50">
        <v>2</v>
      </c>
      <c r="R93" s="50">
        <v>-2</v>
      </c>
      <c r="S93" s="50">
        <v>1</v>
      </c>
      <c r="T93" s="50">
        <v>2</v>
      </c>
      <c r="U93" s="50">
        <v>-1</v>
      </c>
      <c r="V93" s="348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100</v>
      </c>
      <c r="F94" s="50">
        <v>5</v>
      </c>
      <c r="G94" s="50">
        <v>0</v>
      </c>
      <c r="H94" s="50">
        <v>0</v>
      </c>
      <c r="I94" s="50">
        <v>0</v>
      </c>
      <c r="J94" s="50">
        <v>1</v>
      </c>
      <c r="K94" s="50">
        <v>0</v>
      </c>
      <c r="L94" s="50">
        <v>1</v>
      </c>
      <c r="M94" s="445">
        <v>20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348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456</v>
      </c>
      <c r="D95" s="50" t="s">
        <v>162</v>
      </c>
      <c r="E95" s="50">
        <v>53</v>
      </c>
      <c r="F95" s="50">
        <v>3</v>
      </c>
      <c r="G95" s="50">
        <v>0</v>
      </c>
      <c r="H95" s="50">
        <v>0</v>
      </c>
      <c r="I95" s="50">
        <v>0</v>
      </c>
      <c r="J95" s="50">
        <v>1</v>
      </c>
      <c r="K95" s="50">
        <v>0</v>
      </c>
      <c r="L95" s="50">
        <v>1</v>
      </c>
      <c r="M95" s="445">
        <v>33.33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48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785</v>
      </c>
      <c r="D96" s="50" t="s">
        <v>164</v>
      </c>
      <c r="E96" s="50">
        <v>192</v>
      </c>
      <c r="F96" s="50">
        <v>9</v>
      </c>
      <c r="G96" s="50">
        <v>0</v>
      </c>
      <c r="H96" s="50">
        <v>0</v>
      </c>
      <c r="I96" s="50">
        <v>0</v>
      </c>
      <c r="J96" s="50">
        <v>1</v>
      </c>
      <c r="K96" s="50">
        <v>0</v>
      </c>
      <c r="L96" s="50">
        <v>1</v>
      </c>
      <c r="M96" s="445">
        <v>11.11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348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106</v>
      </c>
      <c r="D97" s="50" t="s">
        <v>166</v>
      </c>
      <c r="E97" s="50">
        <v>150</v>
      </c>
      <c r="F97" s="50">
        <v>7</v>
      </c>
      <c r="G97" s="50">
        <v>0</v>
      </c>
      <c r="H97" s="50">
        <v>0</v>
      </c>
      <c r="I97" s="50">
        <v>0</v>
      </c>
      <c r="J97" s="50">
        <v>4</v>
      </c>
      <c r="K97" s="50">
        <v>0</v>
      </c>
      <c r="L97" s="50">
        <v>4</v>
      </c>
      <c r="M97" s="445">
        <v>57.14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1</v>
      </c>
      <c r="T97" s="50">
        <v>1</v>
      </c>
      <c r="U97" s="50">
        <v>0</v>
      </c>
      <c r="V97" s="348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165</v>
      </c>
      <c r="D98" s="50" t="s">
        <v>167</v>
      </c>
      <c r="E98" s="50">
        <v>336</v>
      </c>
      <c r="F98" s="50">
        <v>15</v>
      </c>
      <c r="G98" s="50">
        <v>0</v>
      </c>
      <c r="H98" s="50">
        <v>1</v>
      </c>
      <c r="I98" s="50">
        <v>-1</v>
      </c>
      <c r="J98" s="50">
        <v>1</v>
      </c>
      <c r="K98" s="50">
        <v>1</v>
      </c>
      <c r="L98" s="50">
        <v>0</v>
      </c>
      <c r="M98" s="445">
        <v>0</v>
      </c>
      <c r="N98" s="44"/>
      <c r="O98" s="50">
        <v>0</v>
      </c>
      <c r="P98" s="50">
        <v>0</v>
      </c>
      <c r="Q98" s="50">
        <v>1</v>
      </c>
      <c r="R98" s="50">
        <v>-1</v>
      </c>
      <c r="S98" s="50">
        <v>0</v>
      </c>
      <c r="T98" s="50">
        <v>2</v>
      </c>
      <c r="U98" s="50">
        <v>-2</v>
      </c>
      <c r="V98" s="348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257</v>
      </c>
      <c r="F99" s="50">
        <v>12</v>
      </c>
      <c r="G99" s="50">
        <v>2</v>
      </c>
      <c r="H99" s="50">
        <v>0</v>
      </c>
      <c r="I99" s="50">
        <v>2</v>
      </c>
      <c r="J99" s="50">
        <v>4</v>
      </c>
      <c r="K99" s="50">
        <v>0</v>
      </c>
      <c r="L99" s="50">
        <v>4</v>
      </c>
      <c r="M99" s="445">
        <v>33.33</v>
      </c>
      <c r="N99" s="44"/>
      <c r="O99" s="50">
        <v>0</v>
      </c>
      <c r="P99" s="50">
        <v>1</v>
      </c>
      <c r="Q99" s="50">
        <v>0</v>
      </c>
      <c r="R99" s="50">
        <v>1</v>
      </c>
      <c r="S99" s="50">
        <v>3</v>
      </c>
      <c r="T99" s="50">
        <v>1</v>
      </c>
      <c r="U99" s="50">
        <v>2</v>
      </c>
      <c r="V99" s="348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32</v>
      </c>
      <c r="D100" s="50" t="s">
        <v>171</v>
      </c>
      <c r="E100" s="50">
        <v>128</v>
      </c>
      <c r="F100" s="50">
        <v>6</v>
      </c>
      <c r="G100" s="50">
        <v>0</v>
      </c>
      <c r="H100" s="50">
        <v>0</v>
      </c>
      <c r="I100" s="50">
        <v>0</v>
      </c>
      <c r="J100" s="50">
        <v>1</v>
      </c>
      <c r="K100" s="50">
        <v>23</v>
      </c>
      <c r="L100" s="50">
        <v>-22</v>
      </c>
      <c r="M100" s="445">
        <v>0</v>
      </c>
      <c r="N100" s="44"/>
      <c r="O100" s="50">
        <v>0</v>
      </c>
      <c r="P100" s="50">
        <v>0</v>
      </c>
      <c r="Q100" s="50">
        <v>1</v>
      </c>
      <c r="R100" s="50">
        <v>-1</v>
      </c>
      <c r="S100" s="50">
        <v>0</v>
      </c>
      <c r="T100" s="50">
        <v>6</v>
      </c>
      <c r="U100" s="50">
        <v>-6</v>
      </c>
      <c r="V100" s="348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472</v>
      </c>
      <c r="D101" s="50" t="s">
        <v>172</v>
      </c>
      <c r="E101" s="50">
        <v>167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445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48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173</v>
      </c>
      <c r="F102" s="50">
        <v>9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445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348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201</v>
      </c>
      <c r="F103" s="50">
        <v>10</v>
      </c>
      <c r="G103" s="50">
        <v>0</v>
      </c>
      <c r="H103" s="50">
        <v>0</v>
      </c>
      <c r="I103" s="50">
        <v>0</v>
      </c>
      <c r="J103" s="50">
        <v>5</v>
      </c>
      <c r="K103" s="50">
        <v>0</v>
      </c>
      <c r="L103" s="50">
        <v>5</v>
      </c>
      <c r="M103" s="445">
        <v>50</v>
      </c>
      <c r="N103" s="44"/>
      <c r="O103" s="50">
        <v>0</v>
      </c>
      <c r="P103" s="50">
        <v>0</v>
      </c>
      <c r="Q103" s="50">
        <v>2</v>
      </c>
      <c r="R103" s="50">
        <v>-2</v>
      </c>
      <c r="S103" s="50">
        <v>2</v>
      </c>
      <c r="T103" s="50">
        <v>2</v>
      </c>
      <c r="U103" s="50">
        <v>0</v>
      </c>
      <c r="V103" s="348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294</v>
      </c>
      <c r="F104" s="50">
        <v>14</v>
      </c>
      <c r="G104" s="50">
        <v>1</v>
      </c>
      <c r="H104" s="50">
        <v>0</v>
      </c>
      <c r="I104" s="50">
        <v>1</v>
      </c>
      <c r="J104" s="50">
        <v>1</v>
      </c>
      <c r="K104" s="50">
        <v>0</v>
      </c>
      <c r="L104" s="50">
        <v>1</v>
      </c>
      <c r="M104" s="445">
        <v>7.14</v>
      </c>
      <c r="N104" s="44"/>
      <c r="O104" s="50">
        <v>0</v>
      </c>
      <c r="P104" s="50">
        <v>1</v>
      </c>
      <c r="Q104" s="50">
        <v>1</v>
      </c>
      <c r="R104" s="50">
        <v>0</v>
      </c>
      <c r="S104" s="50">
        <v>1</v>
      </c>
      <c r="T104" s="50">
        <v>2</v>
      </c>
      <c r="U104" s="50">
        <v>-1</v>
      </c>
      <c r="V104" s="348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80</v>
      </c>
      <c r="F105" s="50">
        <v>4</v>
      </c>
      <c r="G105" s="50">
        <v>0</v>
      </c>
      <c r="H105" s="50">
        <v>0</v>
      </c>
      <c r="I105" s="50">
        <v>0</v>
      </c>
      <c r="J105" s="50">
        <v>1</v>
      </c>
      <c r="K105" s="50">
        <v>0</v>
      </c>
      <c r="L105" s="50">
        <v>1</v>
      </c>
      <c r="M105" s="445">
        <v>25</v>
      </c>
      <c r="N105" s="44"/>
      <c r="O105" s="50">
        <v>0</v>
      </c>
      <c r="P105" s="50">
        <v>0</v>
      </c>
      <c r="Q105" s="50">
        <v>1</v>
      </c>
      <c r="R105" s="50">
        <v>-1</v>
      </c>
      <c r="S105" s="50">
        <v>1</v>
      </c>
      <c r="T105" s="50">
        <v>1</v>
      </c>
      <c r="U105" s="50">
        <v>0</v>
      </c>
      <c r="V105" s="348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100</v>
      </c>
      <c r="D106" s="50" t="s">
        <v>179</v>
      </c>
      <c r="E106" s="50">
        <v>211</v>
      </c>
      <c r="F106" s="50">
        <v>10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445">
        <v>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48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472</v>
      </c>
      <c r="D107" s="50" t="s">
        <v>180</v>
      </c>
      <c r="E107" s="50">
        <v>179</v>
      </c>
      <c r="F107" s="50">
        <v>9</v>
      </c>
      <c r="G107" s="50">
        <v>1</v>
      </c>
      <c r="H107" s="50">
        <v>0</v>
      </c>
      <c r="I107" s="50">
        <v>1</v>
      </c>
      <c r="J107" s="50">
        <v>1</v>
      </c>
      <c r="K107" s="50">
        <v>0</v>
      </c>
      <c r="L107" s="50">
        <v>1</v>
      </c>
      <c r="M107" s="445">
        <v>11.11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348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230</v>
      </c>
      <c r="F108" s="50">
        <v>11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445">
        <v>0</v>
      </c>
      <c r="N108" s="44"/>
      <c r="O108" s="50">
        <v>0</v>
      </c>
      <c r="P108" s="50">
        <v>0</v>
      </c>
      <c r="Q108" s="50">
        <v>5</v>
      </c>
      <c r="R108" s="50">
        <v>-5</v>
      </c>
      <c r="S108" s="50">
        <v>1</v>
      </c>
      <c r="T108" s="50">
        <v>5</v>
      </c>
      <c r="U108" s="50">
        <v>-4</v>
      </c>
      <c r="V108" s="348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702</v>
      </c>
      <c r="D109" s="50" t="s">
        <v>27</v>
      </c>
      <c r="E109" s="50">
        <v>89</v>
      </c>
      <c r="F109" s="50">
        <v>4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445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1</v>
      </c>
      <c r="T109" s="50">
        <v>0</v>
      </c>
      <c r="U109" s="50">
        <v>1</v>
      </c>
      <c r="V109" s="348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111</v>
      </c>
      <c r="F110" s="50">
        <v>5</v>
      </c>
      <c r="G110" s="50">
        <v>0</v>
      </c>
      <c r="H110" s="50">
        <v>0</v>
      </c>
      <c r="I110" s="50">
        <v>0</v>
      </c>
      <c r="J110" s="50">
        <v>1</v>
      </c>
      <c r="K110" s="50">
        <v>0</v>
      </c>
      <c r="L110" s="50">
        <v>1</v>
      </c>
      <c r="M110" s="445">
        <v>20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48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777</v>
      </c>
      <c r="D111" s="50" t="s">
        <v>186</v>
      </c>
      <c r="E111" s="50">
        <v>156</v>
      </c>
      <c r="F111" s="50">
        <v>7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445">
        <v>0</v>
      </c>
      <c r="N111" s="44"/>
      <c r="O111" s="50">
        <v>0</v>
      </c>
      <c r="P111" s="50">
        <v>0</v>
      </c>
      <c r="Q111" s="50">
        <v>1</v>
      </c>
      <c r="R111" s="50">
        <v>-1</v>
      </c>
      <c r="S111" s="50">
        <v>0</v>
      </c>
      <c r="T111" s="50">
        <v>2</v>
      </c>
      <c r="U111" s="50">
        <v>-2</v>
      </c>
      <c r="V111" s="348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432</v>
      </c>
      <c r="D112" s="50" t="s">
        <v>187</v>
      </c>
      <c r="E112" s="50">
        <v>323</v>
      </c>
      <c r="F112" s="50">
        <v>16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445">
        <v>0</v>
      </c>
      <c r="N112" s="44"/>
      <c r="O112" s="50">
        <v>0</v>
      </c>
      <c r="P112" s="50">
        <v>0</v>
      </c>
      <c r="Q112" s="50">
        <v>1</v>
      </c>
      <c r="R112" s="50">
        <v>-1</v>
      </c>
      <c r="S112" s="50">
        <v>1</v>
      </c>
      <c r="T112" s="50">
        <v>2</v>
      </c>
      <c r="U112" s="50">
        <v>-1</v>
      </c>
      <c r="V112" s="348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170</v>
      </c>
      <c r="F113" s="50">
        <v>8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445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1</v>
      </c>
      <c r="U113" s="50">
        <v>-1</v>
      </c>
      <c r="V113" s="348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190</v>
      </c>
      <c r="F114" s="50">
        <v>9</v>
      </c>
      <c r="G114" s="50">
        <v>0</v>
      </c>
      <c r="H114" s="50">
        <v>0</v>
      </c>
      <c r="I114" s="50">
        <v>0</v>
      </c>
      <c r="J114" s="50">
        <v>0</v>
      </c>
      <c r="K114" s="50">
        <v>42</v>
      </c>
      <c r="L114" s="50">
        <v>-42</v>
      </c>
      <c r="M114" s="445">
        <v>0</v>
      </c>
      <c r="N114" s="44"/>
      <c r="O114" s="50">
        <v>0</v>
      </c>
      <c r="P114" s="50">
        <v>0</v>
      </c>
      <c r="Q114" s="50">
        <v>1</v>
      </c>
      <c r="R114" s="50">
        <v>-1</v>
      </c>
      <c r="S114" s="50">
        <v>0</v>
      </c>
      <c r="T114" s="50">
        <v>3</v>
      </c>
      <c r="U114" s="50">
        <v>-3</v>
      </c>
      <c r="V114" s="348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457</v>
      </c>
      <c r="D115" s="50" t="s">
        <v>190</v>
      </c>
      <c r="E115" s="50">
        <v>202</v>
      </c>
      <c r="F115" s="50">
        <v>10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445">
        <v>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48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364</v>
      </c>
      <c r="D116" s="50" t="s">
        <v>192</v>
      </c>
      <c r="E116" s="50">
        <v>220</v>
      </c>
      <c r="F116" s="50">
        <v>11</v>
      </c>
      <c r="G116" s="50">
        <v>0</v>
      </c>
      <c r="H116" s="50">
        <v>0</v>
      </c>
      <c r="I116" s="50">
        <v>0</v>
      </c>
      <c r="J116" s="50">
        <v>6</v>
      </c>
      <c r="K116" s="50">
        <v>0</v>
      </c>
      <c r="L116" s="50">
        <v>6</v>
      </c>
      <c r="M116" s="445">
        <v>54.55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1</v>
      </c>
      <c r="T116" s="50">
        <v>1</v>
      </c>
      <c r="U116" s="50">
        <v>0</v>
      </c>
      <c r="V116" s="348">
        <v>0</v>
      </c>
      <c r="W116" s="44"/>
    </row>
    <row r="117" spans="1:23" ht="29.1" customHeight="1">
      <c r="A117" s="50" t="s">
        <v>24</v>
      </c>
      <c r="B117" s="50">
        <v>3421</v>
      </c>
      <c r="C117" s="50" t="s">
        <v>106</v>
      </c>
      <c r="D117" s="50" t="s">
        <v>193</v>
      </c>
      <c r="E117" s="50">
        <v>97</v>
      </c>
      <c r="F117" s="50">
        <v>5</v>
      </c>
      <c r="G117" s="50">
        <v>0</v>
      </c>
      <c r="H117" s="50">
        <v>0</v>
      </c>
      <c r="I117" s="50">
        <v>0</v>
      </c>
      <c r="J117" s="50">
        <v>5</v>
      </c>
      <c r="K117" s="50">
        <v>0</v>
      </c>
      <c r="L117" s="50">
        <v>5</v>
      </c>
      <c r="M117" s="445">
        <v>100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1</v>
      </c>
      <c r="T117" s="50">
        <v>0</v>
      </c>
      <c r="U117" s="50">
        <v>1</v>
      </c>
      <c r="V117" s="348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283</v>
      </c>
      <c r="F118" s="50">
        <v>13</v>
      </c>
      <c r="G118" s="50">
        <v>0</v>
      </c>
      <c r="H118" s="50">
        <v>0</v>
      </c>
      <c r="I118" s="50">
        <v>0</v>
      </c>
      <c r="J118" s="50">
        <v>3</v>
      </c>
      <c r="K118" s="50">
        <v>0</v>
      </c>
      <c r="L118" s="50">
        <v>3</v>
      </c>
      <c r="M118" s="445">
        <v>23.08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1</v>
      </c>
      <c r="U118" s="50">
        <v>-1</v>
      </c>
      <c r="V118" s="348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275</v>
      </c>
      <c r="D119" s="50" t="s">
        <v>196</v>
      </c>
      <c r="E119" s="50">
        <v>115</v>
      </c>
      <c r="F119" s="50">
        <v>5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445">
        <v>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348">
        <v>0</v>
      </c>
      <c r="W119" s="44"/>
    </row>
    <row r="120" spans="1:23" ht="29.1" customHeight="1">
      <c r="A120" s="50" t="s">
        <v>24</v>
      </c>
      <c r="B120" s="50">
        <v>3458</v>
      </c>
      <c r="C120" s="50" t="s">
        <v>58</v>
      </c>
      <c r="D120" s="50" t="s">
        <v>197</v>
      </c>
      <c r="E120" s="50">
        <v>134</v>
      </c>
      <c r="F120" s="50">
        <v>6</v>
      </c>
      <c r="G120" s="50">
        <v>0</v>
      </c>
      <c r="H120" s="50">
        <v>0</v>
      </c>
      <c r="I120" s="50">
        <v>0</v>
      </c>
      <c r="J120" s="50">
        <v>6</v>
      </c>
      <c r="K120" s="50">
        <v>0</v>
      </c>
      <c r="L120" s="50">
        <v>6</v>
      </c>
      <c r="M120" s="445">
        <v>100</v>
      </c>
      <c r="N120" s="44"/>
      <c r="O120" s="50">
        <v>0</v>
      </c>
      <c r="P120" s="50">
        <v>0</v>
      </c>
      <c r="Q120" s="50">
        <v>1</v>
      </c>
      <c r="R120" s="50">
        <v>-1</v>
      </c>
      <c r="S120" s="50">
        <v>0</v>
      </c>
      <c r="T120" s="50">
        <v>1</v>
      </c>
      <c r="U120" s="50">
        <v>-1</v>
      </c>
      <c r="V120" s="348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1050</v>
      </c>
      <c r="D121" s="50" t="s">
        <v>199</v>
      </c>
      <c r="E121" s="50">
        <v>78</v>
      </c>
      <c r="F121" s="50">
        <v>3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445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1</v>
      </c>
      <c r="T121" s="50">
        <v>0</v>
      </c>
      <c r="U121" s="50">
        <v>1</v>
      </c>
      <c r="V121" s="348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424</v>
      </c>
      <c r="D122" s="50" t="s">
        <v>200</v>
      </c>
      <c r="E122" s="50">
        <v>383</v>
      </c>
      <c r="F122" s="50">
        <v>18</v>
      </c>
      <c r="G122" s="50">
        <v>0</v>
      </c>
      <c r="H122" s="50">
        <v>0</v>
      </c>
      <c r="I122" s="50">
        <v>0</v>
      </c>
      <c r="J122" s="50">
        <v>4</v>
      </c>
      <c r="K122" s="50">
        <v>0</v>
      </c>
      <c r="L122" s="50">
        <v>4</v>
      </c>
      <c r="M122" s="445">
        <v>22.22</v>
      </c>
      <c r="N122" s="44"/>
      <c r="O122" s="50">
        <v>0</v>
      </c>
      <c r="P122" s="50">
        <v>0</v>
      </c>
      <c r="Q122" s="50">
        <v>2</v>
      </c>
      <c r="R122" s="50">
        <v>-2</v>
      </c>
      <c r="S122" s="50">
        <v>0</v>
      </c>
      <c r="T122" s="50">
        <v>3</v>
      </c>
      <c r="U122" s="50">
        <v>-3</v>
      </c>
      <c r="V122" s="348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787</v>
      </c>
      <c r="D123" s="50" t="s">
        <v>201</v>
      </c>
      <c r="E123" s="50">
        <v>283</v>
      </c>
      <c r="F123" s="50">
        <v>14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445">
        <v>0</v>
      </c>
      <c r="N123" s="44"/>
      <c r="O123" s="50">
        <v>0</v>
      </c>
      <c r="P123" s="50">
        <v>0</v>
      </c>
      <c r="Q123" s="50">
        <v>1</v>
      </c>
      <c r="R123" s="50">
        <v>-1</v>
      </c>
      <c r="S123" s="50">
        <v>0</v>
      </c>
      <c r="T123" s="50">
        <v>1</v>
      </c>
      <c r="U123" s="50">
        <v>-1</v>
      </c>
      <c r="V123" s="348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446</v>
      </c>
      <c r="D124" s="50" t="s">
        <v>202</v>
      </c>
      <c r="E124" s="50">
        <v>28</v>
      </c>
      <c r="F124" s="50">
        <v>3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445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48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223</v>
      </c>
      <c r="D125" s="50" t="s">
        <v>203</v>
      </c>
      <c r="E125" s="50">
        <v>80</v>
      </c>
      <c r="F125" s="50">
        <v>4</v>
      </c>
      <c r="G125" s="50">
        <v>0</v>
      </c>
      <c r="H125" s="50">
        <v>0</v>
      </c>
      <c r="I125" s="50">
        <v>0</v>
      </c>
      <c r="J125" s="50">
        <v>1</v>
      </c>
      <c r="K125" s="50">
        <v>0</v>
      </c>
      <c r="L125" s="50">
        <v>1</v>
      </c>
      <c r="M125" s="445">
        <v>25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48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520</v>
      </c>
      <c r="D126" s="50" t="s">
        <v>204</v>
      </c>
      <c r="E126" s="50">
        <v>88</v>
      </c>
      <c r="F126" s="50">
        <v>4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445">
        <v>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48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48</v>
      </c>
      <c r="D127" s="50" t="s">
        <v>31</v>
      </c>
      <c r="E127" s="50">
        <v>253</v>
      </c>
      <c r="F127" s="50">
        <v>12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445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48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85</v>
      </c>
      <c r="F128" s="50">
        <v>4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445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48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219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445">
        <v>0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1</v>
      </c>
      <c r="T129" s="50">
        <v>0</v>
      </c>
      <c r="U129" s="50">
        <v>1</v>
      </c>
      <c r="V129" s="348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427</v>
      </c>
      <c r="D130" s="50" t="s">
        <v>209</v>
      </c>
      <c r="E130" s="50">
        <v>87</v>
      </c>
      <c r="F130" s="50">
        <v>4</v>
      </c>
      <c r="G130" s="50">
        <v>0</v>
      </c>
      <c r="H130" s="50">
        <v>0</v>
      </c>
      <c r="I130" s="50">
        <v>0</v>
      </c>
      <c r="J130" s="50">
        <v>1</v>
      </c>
      <c r="K130" s="50">
        <v>0</v>
      </c>
      <c r="L130" s="50">
        <v>1</v>
      </c>
      <c r="M130" s="445">
        <v>25</v>
      </c>
      <c r="N130" s="44"/>
      <c r="O130" s="50">
        <v>0</v>
      </c>
      <c r="P130" s="50">
        <v>0</v>
      </c>
      <c r="Q130" s="50">
        <v>1</v>
      </c>
      <c r="R130" s="50">
        <v>-1</v>
      </c>
      <c r="S130" s="50">
        <v>0</v>
      </c>
      <c r="T130" s="50">
        <v>2</v>
      </c>
      <c r="U130" s="50">
        <v>-2</v>
      </c>
      <c r="V130" s="348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203</v>
      </c>
      <c r="F131" s="50">
        <v>10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445">
        <v>0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1</v>
      </c>
      <c r="T131" s="50">
        <v>1</v>
      </c>
      <c r="U131" s="50">
        <v>0</v>
      </c>
      <c r="V131" s="348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788</v>
      </c>
      <c r="D132" s="50" t="s">
        <v>211</v>
      </c>
      <c r="E132" s="50">
        <v>92</v>
      </c>
      <c r="F132" s="50">
        <v>4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445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48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390</v>
      </c>
      <c r="F133" s="50">
        <v>19</v>
      </c>
      <c r="G133" s="50">
        <v>0</v>
      </c>
      <c r="H133" s="50">
        <v>1</v>
      </c>
      <c r="I133" s="50">
        <v>-1</v>
      </c>
      <c r="J133" s="50">
        <v>0</v>
      </c>
      <c r="K133" s="50">
        <v>3</v>
      </c>
      <c r="L133" s="50">
        <v>-3</v>
      </c>
      <c r="M133" s="445">
        <v>0</v>
      </c>
      <c r="N133" s="44"/>
      <c r="O133" s="50">
        <v>0</v>
      </c>
      <c r="P133" s="50">
        <v>0</v>
      </c>
      <c r="Q133" s="50">
        <v>3</v>
      </c>
      <c r="R133" s="50">
        <v>-3</v>
      </c>
      <c r="S133" s="50">
        <v>1</v>
      </c>
      <c r="T133" s="50">
        <v>6</v>
      </c>
      <c r="U133" s="50">
        <v>-5</v>
      </c>
      <c r="V133" s="348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777</v>
      </c>
      <c r="D134" s="50" t="s">
        <v>213</v>
      </c>
      <c r="E134" s="50">
        <v>40</v>
      </c>
      <c r="F134" s="50">
        <v>3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445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48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42</v>
      </c>
      <c r="F135" s="50">
        <v>3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445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48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160</v>
      </c>
      <c r="F136" s="50">
        <v>8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445">
        <v>0</v>
      </c>
      <c r="N136" s="44"/>
      <c r="O136" s="50">
        <v>0</v>
      </c>
      <c r="P136" s="50">
        <v>0</v>
      </c>
      <c r="Q136" s="50">
        <v>1</v>
      </c>
      <c r="R136" s="50">
        <v>-1</v>
      </c>
      <c r="S136" s="50">
        <v>1</v>
      </c>
      <c r="T136" s="50">
        <v>1</v>
      </c>
      <c r="U136" s="50">
        <v>0</v>
      </c>
      <c r="V136" s="348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156</v>
      </c>
      <c r="F137" s="50">
        <v>7</v>
      </c>
      <c r="G137" s="50">
        <v>0</v>
      </c>
      <c r="H137" s="50">
        <v>0</v>
      </c>
      <c r="I137" s="50">
        <v>0</v>
      </c>
      <c r="J137" s="50">
        <v>1</v>
      </c>
      <c r="K137" s="50">
        <v>0</v>
      </c>
      <c r="L137" s="50">
        <v>1</v>
      </c>
      <c r="M137" s="445">
        <v>14.29</v>
      </c>
      <c r="N137" s="44"/>
      <c r="O137" s="50">
        <v>0</v>
      </c>
      <c r="P137" s="50">
        <v>1</v>
      </c>
      <c r="Q137" s="50">
        <v>1</v>
      </c>
      <c r="R137" s="50">
        <v>0</v>
      </c>
      <c r="S137" s="50">
        <v>1</v>
      </c>
      <c r="T137" s="50">
        <v>1</v>
      </c>
      <c r="U137" s="50">
        <v>0</v>
      </c>
      <c r="V137" s="348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251</v>
      </c>
      <c r="F138" s="50">
        <v>11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445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1</v>
      </c>
      <c r="T138" s="50">
        <v>2</v>
      </c>
      <c r="U138" s="50">
        <v>-1</v>
      </c>
      <c r="V138" s="348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71</v>
      </c>
      <c r="F139" s="50">
        <v>4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445">
        <v>0</v>
      </c>
      <c r="N139" s="44"/>
      <c r="O139" s="50">
        <v>0</v>
      </c>
      <c r="P139" s="50">
        <v>0</v>
      </c>
      <c r="Q139" s="50">
        <v>1</v>
      </c>
      <c r="R139" s="50">
        <v>-1</v>
      </c>
      <c r="S139" s="50">
        <v>0</v>
      </c>
      <c r="T139" s="50">
        <v>1</v>
      </c>
      <c r="U139" s="50">
        <v>-1</v>
      </c>
      <c r="V139" s="348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364</v>
      </c>
      <c r="D140" s="50" t="s">
        <v>219</v>
      </c>
      <c r="E140" s="50">
        <v>489</v>
      </c>
      <c r="F140" s="50">
        <v>20</v>
      </c>
      <c r="G140" s="50">
        <v>0</v>
      </c>
      <c r="H140" s="50">
        <v>0</v>
      </c>
      <c r="I140" s="50">
        <v>0</v>
      </c>
      <c r="J140" s="50">
        <v>4</v>
      </c>
      <c r="K140" s="50">
        <v>7</v>
      </c>
      <c r="L140" s="50">
        <v>-3</v>
      </c>
      <c r="M140" s="445">
        <v>0</v>
      </c>
      <c r="N140" s="44"/>
      <c r="O140" s="50">
        <v>0</v>
      </c>
      <c r="P140" s="50">
        <v>1</v>
      </c>
      <c r="Q140" s="50">
        <v>1</v>
      </c>
      <c r="R140" s="50">
        <v>0</v>
      </c>
      <c r="S140" s="50">
        <v>3</v>
      </c>
      <c r="T140" s="50">
        <v>1</v>
      </c>
      <c r="U140" s="50">
        <v>2</v>
      </c>
      <c r="V140" s="348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465</v>
      </c>
      <c r="F141" s="50">
        <v>20</v>
      </c>
      <c r="G141" s="50">
        <v>0</v>
      </c>
      <c r="H141" s="50">
        <v>1</v>
      </c>
      <c r="I141" s="50">
        <v>-1</v>
      </c>
      <c r="J141" s="50">
        <v>0</v>
      </c>
      <c r="K141" s="50">
        <v>2</v>
      </c>
      <c r="L141" s="50">
        <v>-2</v>
      </c>
      <c r="M141" s="445">
        <v>0</v>
      </c>
      <c r="N141" s="44"/>
      <c r="O141" s="50">
        <v>0</v>
      </c>
      <c r="P141" s="50">
        <v>0</v>
      </c>
      <c r="Q141" s="50">
        <v>1</v>
      </c>
      <c r="R141" s="50">
        <v>-1</v>
      </c>
      <c r="S141" s="50">
        <v>0</v>
      </c>
      <c r="T141" s="50">
        <v>3</v>
      </c>
      <c r="U141" s="50">
        <v>-3</v>
      </c>
      <c r="V141" s="348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379</v>
      </c>
      <c r="D142" s="50" t="s">
        <v>27</v>
      </c>
      <c r="E142" s="50">
        <v>190</v>
      </c>
      <c r="F142" s="50">
        <v>9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445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1</v>
      </c>
      <c r="T142" s="50">
        <v>1</v>
      </c>
      <c r="U142" s="50">
        <v>0</v>
      </c>
      <c r="V142" s="348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99</v>
      </c>
      <c r="F143" s="50">
        <v>5</v>
      </c>
      <c r="G143" s="50">
        <v>0</v>
      </c>
      <c r="H143" s="50">
        <v>0</v>
      </c>
      <c r="I143" s="50">
        <v>0</v>
      </c>
      <c r="J143" s="50">
        <v>1</v>
      </c>
      <c r="K143" s="50">
        <v>0</v>
      </c>
      <c r="L143" s="50">
        <v>1</v>
      </c>
      <c r="M143" s="445">
        <v>20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1</v>
      </c>
      <c r="T143" s="50">
        <v>0</v>
      </c>
      <c r="U143" s="50">
        <v>1</v>
      </c>
      <c r="V143" s="348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155</v>
      </c>
      <c r="D144" s="50" t="s">
        <v>27</v>
      </c>
      <c r="E144" s="50">
        <v>170</v>
      </c>
      <c r="F144" s="50">
        <v>8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445">
        <v>0</v>
      </c>
      <c r="N144" s="44"/>
      <c r="O144" s="50">
        <v>0</v>
      </c>
      <c r="P144" s="50">
        <v>0</v>
      </c>
      <c r="Q144" s="50">
        <v>1</v>
      </c>
      <c r="R144" s="50">
        <v>-1</v>
      </c>
      <c r="S144" s="50">
        <v>1</v>
      </c>
      <c r="T144" s="50">
        <v>2</v>
      </c>
      <c r="U144" s="50">
        <v>-1</v>
      </c>
      <c r="V144" s="348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789</v>
      </c>
      <c r="D145" s="50" t="s">
        <v>224</v>
      </c>
      <c r="E145" s="50">
        <v>237</v>
      </c>
      <c r="F145" s="50">
        <v>11</v>
      </c>
      <c r="G145" s="50">
        <v>0</v>
      </c>
      <c r="H145" s="50">
        <v>0</v>
      </c>
      <c r="I145" s="50">
        <v>0</v>
      </c>
      <c r="J145" s="50">
        <v>0</v>
      </c>
      <c r="K145" s="50">
        <v>1</v>
      </c>
      <c r="L145" s="50">
        <v>-1</v>
      </c>
      <c r="M145" s="445">
        <v>0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2</v>
      </c>
      <c r="T145" s="50">
        <v>1</v>
      </c>
      <c r="U145" s="50">
        <v>1</v>
      </c>
      <c r="V145" s="348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790</v>
      </c>
      <c r="D146" s="50" t="s">
        <v>225</v>
      </c>
      <c r="E146" s="50">
        <v>45</v>
      </c>
      <c r="F146" s="50">
        <v>3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445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1</v>
      </c>
      <c r="U146" s="50">
        <v>-1</v>
      </c>
      <c r="V146" s="348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189</v>
      </c>
      <c r="F147" s="50">
        <v>9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445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2</v>
      </c>
      <c r="U147" s="50">
        <v>-2</v>
      </c>
      <c r="V147" s="348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791</v>
      </c>
      <c r="D148" s="50" t="s">
        <v>228</v>
      </c>
      <c r="E148" s="50">
        <v>31</v>
      </c>
      <c r="F148" s="50">
        <v>3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445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48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164</v>
      </c>
      <c r="F149" s="50">
        <v>8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445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48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205</v>
      </c>
      <c r="D150" s="50" t="s">
        <v>23</v>
      </c>
      <c r="E150" s="50">
        <v>81</v>
      </c>
      <c r="F150" s="50">
        <v>4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445">
        <v>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1</v>
      </c>
      <c r="U150" s="50">
        <v>-1</v>
      </c>
      <c r="V150" s="348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800</v>
      </c>
      <c r="D151" s="50" t="s">
        <v>232</v>
      </c>
      <c r="E151" s="50">
        <v>117</v>
      </c>
      <c r="F151" s="50">
        <v>6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445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48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266</v>
      </c>
      <c r="F152" s="50">
        <v>12</v>
      </c>
      <c r="G152" s="50">
        <v>0</v>
      </c>
      <c r="H152" s="50">
        <v>0</v>
      </c>
      <c r="I152" s="50">
        <v>0</v>
      </c>
      <c r="J152" s="50">
        <v>0</v>
      </c>
      <c r="K152" s="50">
        <v>0</v>
      </c>
      <c r="L152" s="50">
        <v>0</v>
      </c>
      <c r="M152" s="445">
        <v>0</v>
      </c>
      <c r="N152" s="44"/>
      <c r="O152" s="50">
        <v>0</v>
      </c>
      <c r="P152" s="50">
        <v>2</v>
      </c>
      <c r="Q152" s="50">
        <v>1</v>
      </c>
      <c r="R152" s="50">
        <v>1</v>
      </c>
      <c r="S152" s="50">
        <v>4</v>
      </c>
      <c r="T152" s="50">
        <v>2</v>
      </c>
      <c r="U152" s="50">
        <v>2</v>
      </c>
      <c r="V152" s="348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784</v>
      </c>
      <c r="D153" s="50" t="s">
        <v>235</v>
      </c>
      <c r="E153" s="50">
        <v>135</v>
      </c>
      <c r="F153" s="50">
        <v>7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445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48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288</v>
      </c>
      <c r="F154" s="50">
        <v>12</v>
      </c>
      <c r="G154" s="50">
        <v>0</v>
      </c>
      <c r="H154" s="50">
        <v>1</v>
      </c>
      <c r="I154" s="50">
        <v>-1</v>
      </c>
      <c r="J154" s="50">
        <v>0</v>
      </c>
      <c r="K154" s="50">
        <v>1</v>
      </c>
      <c r="L154" s="50">
        <v>-1</v>
      </c>
      <c r="M154" s="445">
        <v>0</v>
      </c>
      <c r="N154" s="44"/>
      <c r="O154" s="50">
        <v>0</v>
      </c>
      <c r="P154" s="50">
        <v>0</v>
      </c>
      <c r="Q154" s="50">
        <v>1</v>
      </c>
      <c r="R154" s="50">
        <v>-1</v>
      </c>
      <c r="S154" s="50">
        <v>0</v>
      </c>
      <c r="T154" s="50">
        <v>2</v>
      </c>
      <c r="U154" s="50">
        <v>-2</v>
      </c>
      <c r="V154" s="348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227</v>
      </c>
      <c r="D155" s="50" t="s">
        <v>59</v>
      </c>
      <c r="E155" s="50">
        <v>218</v>
      </c>
      <c r="F155" s="50">
        <v>10</v>
      </c>
      <c r="G155" s="50">
        <v>1</v>
      </c>
      <c r="H155" s="50">
        <v>1</v>
      </c>
      <c r="I155" s="50">
        <v>0</v>
      </c>
      <c r="J155" s="50">
        <v>1</v>
      </c>
      <c r="K155" s="50">
        <v>1</v>
      </c>
      <c r="L155" s="50">
        <v>0</v>
      </c>
      <c r="M155" s="445">
        <v>0</v>
      </c>
      <c r="N155" s="44"/>
      <c r="O155" s="50">
        <v>0</v>
      </c>
      <c r="P155" s="50">
        <v>0</v>
      </c>
      <c r="Q155" s="50">
        <v>1</v>
      </c>
      <c r="R155" s="50">
        <v>-1</v>
      </c>
      <c r="S155" s="50">
        <v>1</v>
      </c>
      <c r="T155" s="50">
        <v>2</v>
      </c>
      <c r="U155" s="50">
        <v>-1</v>
      </c>
      <c r="V155" s="348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1056</v>
      </c>
      <c r="D156" s="50" t="s">
        <v>59</v>
      </c>
      <c r="E156" s="50">
        <v>117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445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48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782</v>
      </c>
      <c r="D157" s="50" t="s">
        <v>143</v>
      </c>
      <c r="E157" s="50">
        <v>272</v>
      </c>
      <c r="F157" s="50">
        <v>12</v>
      </c>
      <c r="G157" s="50">
        <v>0</v>
      </c>
      <c r="H157" s="50">
        <v>1</v>
      </c>
      <c r="I157" s="50">
        <v>-1</v>
      </c>
      <c r="J157" s="50">
        <v>0</v>
      </c>
      <c r="K157" s="50">
        <v>1</v>
      </c>
      <c r="L157" s="50">
        <v>-1</v>
      </c>
      <c r="M157" s="445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1</v>
      </c>
      <c r="U157" s="50">
        <v>-1</v>
      </c>
      <c r="V157" s="348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153</v>
      </c>
      <c r="F158" s="50">
        <v>7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445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1</v>
      </c>
      <c r="T158" s="50">
        <v>0</v>
      </c>
      <c r="U158" s="50">
        <v>1</v>
      </c>
      <c r="V158" s="348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243</v>
      </c>
      <c r="D159" s="50" t="s">
        <v>241</v>
      </c>
      <c r="E159" s="50">
        <v>291</v>
      </c>
      <c r="F159" s="50">
        <v>14</v>
      </c>
      <c r="G159" s="50">
        <v>0</v>
      </c>
      <c r="H159" s="50">
        <v>1</v>
      </c>
      <c r="I159" s="50">
        <v>-1</v>
      </c>
      <c r="J159" s="50">
        <v>2</v>
      </c>
      <c r="K159" s="50">
        <v>1</v>
      </c>
      <c r="L159" s="50">
        <v>1</v>
      </c>
      <c r="M159" s="445">
        <v>7.14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5</v>
      </c>
      <c r="T159" s="50">
        <v>0</v>
      </c>
      <c r="U159" s="50">
        <v>5</v>
      </c>
      <c r="V159" s="348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769</v>
      </c>
      <c r="D160" s="50" t="s">
        <v>242</v>
      </c>
      <c r="E160" s="50">
        <v>68</v>
      </c>
      <c r="F160" s="50">
        <v>3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445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1</v>
      </c>
      <c r="U160" s="50">
        <v>-1</v>
      </c>
      <c r="V160" s="348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346</v>
      </c>
      <c r="D161" s="50" t="s">
        <v>244</v>
      </c>
      <c r="E161" s="50">
        <v>65</v>
      </c>
      <c r="F161" s="50">
        <v>3</v>
      </c>
      <c r="G161" s="50">
        <v>0</v>
      </c>
      <c r="H161" s="50">
        <v>0</v>
      </c>
      <c r="I161" s="50">
        <v>0</v>
      </c>
      <c r="J161" s="50">
        <v>1</v>
      </c>
      <c r="K161" s="50">
        <v>0</v>
      </c>
      <c r="L161" s="50">
        <v>1</v>
      </c>
      <c r="M161" s="445">
        <v>33.33</v>
      </c>
      <c r="N161" s="44"/>
      <c r="O161" s="50">
        <v>0</v>
      </c>
      <c r="P161" s="50">
        <v>0</v>
      </c>
      <c r="Q161" s="50">
        <v>1</v>
      </c>
      <c r="R161" s="50">
        <v>-1</v>
      </c>
      <c r="S161" s="50">
        <v>1</v>
      </c>
      <c r="T161" s="50">
        <v>1</v>
      </c>
      <c r="U161" s="50">
        <v>0</v>
      </c>
      <c r="V161" s="348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140</v>
      </c>
      <c r="F162" s="50">
        <v>7</v>
      </c>
      <c r="G162" s="50">
        <v>0</v>
      </c>
      <c r="H162" s="50">
        <v>0</v>
      </c>
      <c r="I162" s="50">
        <v>0</v>
      </c>
      <c r="J162" s="50">
        <v>3</v>
      </c>
      <c r="K162" s="50">
        <v>1</v>
      </c>
      <c r="L162" s="50">
        <v>2</v>
      </c>
      <c r="M162" s="445">
        <v>28.57</v>
      </c>
      <c r="N162" s="44"/>
      <c r="O162" s="50">
        <v>0</v>
      </c>
      <c r="P162" s="50">
        <v>0</v>
      </c>
      <c r="Q162" s="50">
        <v>1</v>
      </c>
      <c r="R162" s="50">
        <v>-1</v>
      </c>
      <c r="S162" s="50">
        <v>2</v>
      </c>
      <c r="T162" s="50">
        <v>1</v>
      </c>
      <c r="U162" s="50">
        <v>1</v>
      </c>
      <c r="V162" s="348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145</v>
      </c>
      <c r="F163" s="50">
        <v>7</v>
      </c>
      <c r="G163" s="50">
        <v>0</v>
      </c>
      <c r="H163" s="50">
        <v>0</v>
      </c>
      <c r="I163" s="50">
        <v>0</v>
      </c>
      <c r="J163" s="50">
        <v>3</v>
      </c>
      <c r="K163" s="50">
        <v>0</v>
      </c>
      <c r="L163" s="50">
        <v>3</v>
      </c>
      <c r="M163" s="445">
        <v>42.86</v>
      </c>
      <c r="N163" s="44"/>
      <c r="O163" s="50">
        <v>0</v>
      </c>
      <c r="P163" s="50">
        <v>0</v>
      </c>
      <c r="Q163" s="50">
        <v>2</v>
      </c>
      <c r="R163" s="50">
        <v>-2</v>
      </c>
      <c r="S163" s="50">
        <v>0</v>
      </c>
      <c r="T163" s="50">
        <v>3</v>
      </c>
      <c r="U163" s="50">
        <v>-3</v>
      </c>
      <c r="V163" s="348">
        <v>0</v>
      </c>
      <c r="W163" s="44"/>
    </row>
    <row r="164" spans="1:23" ht="29.1" customHeight="1">
      <c r="A164" s="50" t="s">
        <v>21</v>
      </c>
      <c r="B164" s="50">
        <v>5035</v>
      </c>
      <c r="C164" s="50" t="s">
        <v>275</v>
      </c>
      <c r="D164" s="50" t="s">
        <v>247</v>
      </c>
      <c r="E164" s="50">
        <v>69</v>
      </c>
      <c r="F164" s="50">
        <v>3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445">
        <v>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48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302</v>
      </c>
      <c r="F165" s="50">
        <v>13</v>
      </c>
      <c r="G165" s="50">
        <v>0</v>
      </c>
      <c r="H165" s="50">
        <v>0</v>
      </c>
      <c r="I165" s="50">
        <v>0</v>
      </c>
      <c r="J165" s="50">
        <v>0</v>
      </c>
      <c r="K165" s="50">
        <v>13</v>
      </c>
      <c r="L165" s="50">
        <v>-13</v>
      </c>
      <c r="M165" s="445">
        <v>0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1</v>
      </c>
      <c r="T165" s="50">
        <v>4</v>
      </c>
      <c r="U165" s="50">
        <v>-3</v>
      </c>
      <c r="V165" s="348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1059</v>
      </c>
      <c r="D166" s="50" t="s">
        <v>249</v>
      </c>
      <c r="E166" s="50">
        <v>101</v>
      </c>
      <c r="F166" s="50">
        <v>5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445">
        <v>0</v>
      </c>
      <c r="N166" s="44"/>
      <c r="O166" s="50">
        <v>0</v>
      </c>
      <c r="P166" s="50">
        <v>0</v>
      </c>
      <c r="Q166" s="50">
        <v>1</v>
      </c>
      <c r="R166" s="50">
        <v>-1</v>
      </c>
      <c r="S166" s="50">
        <v>0</v>
      </c>
      <c r="T166" s="50">
        <v>1</v>
      </c>
      <c r="U166" s="50">
        <v>-1</v>
      </c>
      <c r="V166" s="348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135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445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1</v>
      </c>
      <c r="T167" s="50">
        <v>1</v>
      </c>
      <c r="U167" s="50">
        <v>0</v>
      </c>
      <c r="V167" s="348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100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445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1</v>
      </c>
      <c r="T168" s="50">
        <v>1</v>
      </c>
      <c r="U168" s="50">
        <v>0</v>
      </c>
      <c r="V168" s="348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176</v>
      </c>
      <c r="D169" s="50" t="s">
        <v>251</v>
      </c>
      <c r="E169" s="50">
        <v>129</v>
      </c>
      <c r="F169" s="50">
        <v>6</v>
      </c>
      <c r="G169" s="50">
        <v>0</v>
      </c>
      <c r="H169" s="50">
        <v>0</v>
      </c>
      <c r="I169" s="50">
        <v>0</v>
      </c>
      <c r="J169" s="50">
        <v>2</v>
      </c>
      <c r="K169" s="50">
        <v>0</v>
      </c>
      <c r="L169" s="50">
        <v>2</v>
      </c>
      <c r="M169" s="445">
        <v>33.33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2</v>
      </c>
      <c r="T169" s="50">
        <v>0</v>
      </c>
      <c r="U169" s="50">
        <v>2</v>
      </c>
      <c r="V169" s="348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1016</v>
      </c>
      <c r="D170" s="50" t="s">
        <v>253</v>
      </c>
      <c r="E170" s="50">
        <v>143</v>
      </c>
      <c r="F170" s="50">
        <v>7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445">
        <v>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48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424</v>
      </c>
      <c r="D171" s="50" t="s">
        <v>254</v>
      </c>
      <c r="E171" s="50">
        <v>295</v>
      </c>
      <c r="F171" s="50">
        <v>14</v>
      </c>
      <c r="G171" s="50">
        <v>1</v>
      </c>
      <c r="H171" s="50">
        <v>0</v>
      </c>
      <c r="I171" s="50">
        <v>1</v>
      </c>
      <c r="J171" s="50">
        <v>5</v>
      </c>
      <c r="K171" s="50">
        <v>2</v>
      </c>
      <c r="L171" s="50">
        <v>3</v>
      </c>
      <c r="M171" s="445">
        <v>21.43</v>
      </c>
      <c r="N171" s="44"/>
      <c r="O171" s="50">
        <v>0</v>
      </c>
      <c r="P171" s="50">
        <v>1</v>
      </c>
      <c r="Q171" s="50">
        <v>0</v>
      </c>
      <c r="R171" s="50">
        <v>1</v>
      </c>
      <c r="S171" s="50">
        <v>1</v>
      </c>
      <c r="T171" s="50">
        <v>2</v>
      </c>
      <c r="U171" s="50">
        <v>-1</v>
      </c>
      <c r="V171" s="348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259</v>
      </c>
      <c r="F172" s="50">
        <v>12</v>
      </c>
      <c r="G172" s="50">
        <v>0</v>
      </c>
      <c r="H172" s="50">
        <v>0</v>
      </c>
      <c r="I172" s="50">
        <v>0</v>
      </c>
      <c r="J172" s="50">
        <v>1</v>
      </c>
      <c r="K172" s="50">
        <v>0</v>
      </c>
      <c r="L172" s="50">
        <v>1</v>
      </c>
      <c r="M172" s="445">
        <v>8.33</v>
      </c>
      <c r="N172" s="44"/>
      <c r="O172" s="50">
        <v>0</v>
      </c>
      <c r="P172" s="50">
        <v>0</v>
      </c>
      <c r="Q172" s="50">
        <v>2</v>
      </c>
      <c r="R172" s="50">
        <v>-2</v>
      </c>
      <c r="S172" s="50">
        <v>0</v>
      </c>
      <c r="T172" s="50">
        <v>2</v>
      </c>
      <c r="U172" s="50">
        <v>-2</v>
      </c>
      <c r="V172" s="348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372</v>
      </c>
      <c r="D173" s="50" t="s">
        <v>256</v>
      </c>
      <c r="E173" s="50">
        <v>86</v>
      </c>
      <c r="F173" s="50">
        <v>4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445">
        <v>0</v>
      </c>
      <c r="N173" s="44"/>
      <c r="O173" s="50">
        <v>0</v>
      </c>
      <c r="P173" s="50">
        <v>0</v>
      </c>
      <c r="Q173" s="50">
        <v>1</v>
      </c>
      <c r="R173" s="50">
        <v>-1</v>
      </c>
      <c r="S173" s="50">
        <v>0</v>
      </c>
      <c r="T173" s="50">
        <v>1</v>
      </c>
      <c r="U173" s="50">
        <v>-1</v>
      </c>
      <c r="V173" s="348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170</v>
      </c>
      <c r="F174" s="50">
        <v>9</v>
      </c>
      <c r="G174" s="50">
        <v>0</v>
      </c>
      <c r="H174" s="50">
        <v>0</v>
      </c>
      <c r="I174" s="50">
        <v>0</v>
      </c>
      <c r="J174" s="50">
        <v>1</v>
      </c>
      <c r="K174" s="50">
        <v>0</v>
      </c>
      <c r="L174" s="50">
        <v>1</v>
      </c>
      <c r="M174" s="445">
        <v>11.11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1</v>
      </c>
      <c r="T174" s="50">
        <v>0</v>
      </c>
      <c r="U174" s="50">
        <v>1</v>
      </c>
      <c r="V174" s="348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348</v>
      </c>
      <c r="D175" s="50" t="s">
        <v>258</v>
      </c>
      <c r="E175" s="50">
        <v>126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445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1</v>
      </c>
      <c r="T175" s="50">
        <v>2</v>
      </c>
      <c r="U175" s="50">
        <v>-1</v>
      </c>
      <c r="V175" s="348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182</v>
      </c>
      <c r="F176" s="50">
        <v>9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445">
        <v>11.11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1</v>
      </c>
      <c r="T176" s="50">
        <v>0</v>
      </c>
      <c r="U176" s="50">
        <v>1</v>
      </c>
      <c r="V176" s="348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188</v>
      </c>
      <c r="F177" s="50">
        <v>9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445">
        <v>11.11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1</v>
      </c>
      <c r="U177" s="50">
        <v>-1</v>
      </c>
      <c r="V177" s="348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262</v>
      </c>
      <c r="F178" s="50">
        <v>11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445">
        <v>0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48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193</v>
      </c>
      <c r="F179" s="50">
        <v>9</v>
      </c>
      <c r="G179" s="50">
        <v>0</v>
      </c>
      <c r="H179" s="50">
        <v>0</v>
      </c>
      <c r="I179" s="50">
        <v>0</v>
      </c>
      <c r="J179" s="50">
        <v>1</v>
      </c>
      <c r="K179" s="50">
        <v>0</v>
      </c>
      <c r="L179" s="50">
        <v>1</v>
      </c>
      <c r="M179" s="445">
        <v>11.11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48">
        <v>0</v>
      </c>
      <c r="W179" s="44"/>
    </row>
    <row r="180" spans="1:23" ht="29.1" customHeight="1">
      <c r="A180" s="50" t="s">
        <v>24</v>
      </c>
      <c r="B180" s="50">
        <v>5348</v>
      </c>
      <c r="C180" s="50" t="s">
        <v>223</v>
      </c>
      <c r="D180" s="50" t="s">
        <v>264</v>
      </c>
      <c r="E180" s="50">
        <v>47</v>
      </c>
      <c r="F180" s="50">
        <v>3</v>
      </c>
      <c r="G180" s="50">
        <v>0</v>
      </c>
      <c r="H180" s="50">
        <v>0</v>
      </c>
      <c r="I180" s="50">
        <v>0</v>
      </c>
      <c r="J180" s="50">
        <v>15</v>
      </c>
      <c r="K180" s="50">
        <v>0</v>
      </c>
      <c r="L180" s="50">
        <v>15</v>
      </c>
      <c r="M180" s="445">
        <v>500</v>
      </c>
      <c r="N180" s="44"/>
      <c r="O180" s="50">
        <v>0</v>
      </c>
      <c r="P180" s="50">
        <v>0</v>
      </c>
      <c r="Q180" s="50">
        <v>1</v>
      </c>
      <c r="R180" s="50">
        <v>-1</v>
      </c>
      <c r="S180" s="50">
        <v>0</v>
      </c>
      <c r="T180" s="50">
        <v>1</v>
      </c>
      <c r="U180" s="50">
        <v>-1</v>
      </c>
      <c r="V180" s="348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109</v>
      </c>
      <c r="D181" s="50" t="s">
        <v>265</v>
      </c>
      <c r="E181" s="50">
        <v>47</v>
      </c>
      <c r="F181" s="50">
        <v>3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445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1</v>
      </c>
      <c r="T181" s="50">
        <v>0</v>
      </c>
      <c r="U181" s="50">
        <v>1</v>
      </c>
      <c r="V181" s="348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1030</v>
      </c>
      <c r="D182" s="50" t="s">
        <v>266</v>
      </c>
      <c r="E182" s="50">
        <v>45</v>
      </c>
      <c r="F182" s="50">
        <v>3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445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48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127</v>
      </c>
      <c r="F183" s="50">
        <v>6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445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48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59</v>
      </c>
      <c r="F184" s="50">
        <v>3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445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1</v>
      </c>
      <c r="U184" s="50">
        <v>-1</v>
      </c>
      <c r="V184" s="348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794</v>
      </c>
      <c r="D185" s="50" t="s">
        <v>269</v>
      </c>
      <c r="E185" s="50">
        <v>118</v>
      </c>
      <c r="F185" s="50">
        <v>5</v>
      </c>
      <c r="G185" s="50">
        <v>1</v>
      </c>
      <c r="H185" s="50">
        <v>0</v>
      </c>
      <c r="I185" s="50">
        <v>1</v>
      </c>
      <c r="J185" s="50">
        <v>2</v>
      </c>
      <c r="K185" s="50">
        <v>1</v>
      </c>
      <c r="L185" s="50">
        <v>1</v>
      </c>
      <c r="M185" s="445">
        <v>20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48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249</v>
      </c>
      <c r="F186" s="50">
        <v>12</v>
      </c>
      <c r="G186" s="50">
        <v>0</v>
      </c>
      <c r="H186" s="50">
        <v>0</v>
      </c>
      <c r="I186" s="50">
        <v>0</v>
      </c>
      <c r="J186" s="50">
        <v>8</v>
      </c>
      <c r="K186" s="50">
        <v>0</v>
      </c>
      <c r="L186" s="50">
        <v>8</v>
      </c>
      <c r="M186" s="445">
        <v>66.67</v>
      </c>
      <c r="N186" s="44"/>
      <c r="O186" s="50">
        <v>0</v>
      </c>
      <c r="P186" s="50">
        <v>1</v>
      </c>
      <c r="Q186" s="50">
        <v>1</v>
      </c>
      <c r="R186" s="50">
        <v>0</v>
      </c>
      <c r="S186" s="50">
        <v>1</v>
      </c>
      <c r="T186" s="50">
        <v>2</v>
      </c>
      <c r="U186" s="50">
        <v>-1</v>
      </c>
      <c r="V186" s="348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168</v>
      </c>
      <c r="F187" s="50">
        <v>8</v>
      </c>
      <c r="G187" s="50">
        <v>1</v>
      </c>
      <c r="H187" s="50">
        <v>0</v>
      </c>
      <c r="I187" s="50">
        <v>1</v>
      </c>
      <c r="J187" s="50">
        <v>5</v>
      </c>
      <c r="K187" s="50">
        <v>0</v>
      </c>
      <c r="L187" s="50">
        <v>5</v>
      </c>
      <c r="M187" s="445">
        <v>62.5</v>
      </c>
      <c r="N187" s="44"/>
      <c r="O187" s="50">
        <v>0</v>
      </c>
      <c r="P187" s="50">
        <v>1</v>
      </c>
      <c r="Q187" s="50">
        <v>0</v>
      </c>
      <c r="R187" s="50">
        <v>1</v>
      </c>
      <c r="S187" s="50">
        <v>2</v>
      </c>
      <c r="T187" s="50">
        <v>1</v>
      </c>
      <c r="U187" s="50">
        <v>1</v>
      </c>
      <c r="V187" s="348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795</v>
      </c>
      <c r="D188" s="50" t="s">
        <v>271</v>
      </c>
      <c r="E188" s="50">
        <v>109</v>
      </c>
      <c r="F188" s="50">
        <v>5</v>
      </c>
      <c r="G188" s="50">
        <v>0</v>
      </c>
      <c r="H188" s="50">
        <v>1</v>
      </c>
      <c r="I188" s="50">
        <v>-1</v>
      </c>
      <c r="J188" s="50">
        <v>0</v>
      </c>
      <c r="K188" s="50">
        <v>1</v>
      </c>
      <c r="L188" s="50">
        <v>-1</v>
      </c>
      <c r="M188" s="445">
        <v>0</v>
      </c>
      <c r="N188" s="44"/>
      <c r="O188" s="50">
        <v>0</v>
      </c>
      <c r="P188" s="50">
        <v>0</v>
      </c>
      <c r="Q188" s="50">
        <v>2</v>
      </c>
      <c r="R188" s="50">
        <v>-2</v>
      </c>
      <c r="S188" s="50">
        <v>0</v>
      </c>
      <c r="T188" s="50">
        <v>3</v>
      </c>
      <c r="U188" s="50">
        <v>-3</v>
      </c>
      <c r="V188" s="348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381</v>
      </c>
      <c r="D189" s="50" t="s">
        <v>43</v>
      </c>
      <c r="E189" s="50">
        <v>107</v>
      </c>
      <c r="F189" s="50">
        <v>5</v>
      </c>
      <c r="G189" s="50">
        <v>0</v>
      </c>
      <c r="H189" s="50">
        <v>0</v>
      </c>
      <c r="I189" s="50">
        <v>0</v>
      </c>
      <c r="J189" s="50">
        <v>4</v>
      </c>
      <c r="K189" s="50">
        <v>0</v>
      </c>
      <c r="L189" s="50">
        <v>4</v>
      </c>
      <c r="M189" s="445">
        <v>80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48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106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1</v>
      </c>
      <c r="L190" s="50">
        <v>-1</v>
      </c>
      <c r="M190" s="445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1</v>
      </c>
      <c r="U190" s="50">
        <v>-1</v>
      </c>
      <c r="V190" s="348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248</v>
      </c>
      <c r="F191" s="50">
        <v>12</v>
      </c>
      <c r="G191" s="50">
        <v>0</v>
      </c>
      <c r="H191" s="50">
        <v>1</v>
      </c>
      <c r="I191" s="50">
        <v>-1</v>
      </c>
      <c r="J191" s="50">
        <v>3</v>
      </c>
      <c r="K191" s="50">
        <v>1</v>
      </c>
      <c r="L191" s="50">
        <v>2</v>
      </c>
      <c r="M191" s="445">
        <v>16.670000000000002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1</v>
      </c>
      <c r="T191" s="50">
        <v>1</v>
      </c>
      <c r="U191" s="50">
        <v>0</v>
      </c>
      <c r="V191" s="348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445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48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91</v>
      </c>
      <c r="D193" s="50" t="s">
        <v>278</v>
      </c>
      <c r="E193" s="50">
        <v>394</v>
      </c>
      <c r="F193" s="50">
        <v>19</v>
      </c>
      <c r="G193" s="50">
        <v>0</v>
      </c>
      <c r="H193" s="50">
        <v>0</v>
      </c>
      <c r="I193" s="50">
        <v>0</v>
      </c>
      <c r="J193" s="50">
        <v>12</v>
      </c>
      <c r="K193" s="50">
        <v>0</v>
      </c>
      <c r="L193" s="50">
        <v>12</v>
      </c>
      <c r="M193" s="445">
        <v>63.16</v>
      </c>
      <c r="N193" s="44"/>
      <c r="O193" s="50">
        <v>0</v>
      </c>
      <c r="P193" s="50">
        <v>0</v>
      </c>
      <c r="Q193" s="50">
        <v>1</v>
      </c>
      <c r="R193" s="50">
        <v>-1</v>
      </c>
      <c r="S193" s="50">
        <v>3</v>
      </c>
      <c r="T193" s="50">
        <v>4</v>
      </c>
      <c r="U193" s="50">
        <v>-1</v>
      </c>
      <c r="V193" s="348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68</v>
      </c>
      <c r="F194" s="50">
        <v>3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445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2</v>
      </c>
      <c r="U194" s="50">
        <v>-2</v>
      </c>
      <c r="V194" s="348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445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48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295</v>
      </c>
      <c r="D196" s="50" t="s">
        <v>280</v>
      </c>
      <c r="E196" s="50">
        <v>160</v>
      </c>
      <c r="F196" s="50">
        <v>8</v>
      </c>
      <c r="G196" s="50">
        <v>0</v>
      </c>
      <c r="H196" s="50">
        <v>0</v>
      </c>
      <c r="I196" s="50">
        <v>0</v>
      </c>
      <c r="J196" s="50">
        <v>6</v>
      </c>
      <c r="K196" s="50">
        <v>1</v>
      </c>
      <c r="L196" s="50">
        <v>5</v>
      </c>
      <c r="M196" s="445">
        <v>62.5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2</v>
      </c>
      <c r="T196" s="50">
        <v>2</v>
      </c>
      <c r="U196" s="50">
        <v>0</v>
      </c>
      <c r="V196" s="348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396</v>
      </c>
      <c r="F197" s="50">
        <v>17</v>
      </c>
      <c r="G197" s="50">
        <v>3</v>
      </c>
      <c r="H197" s="50">
        <v>1</v>
      </c>
      <c r="I197" s="50">
        <v>2</v>
      </c>
      <c r="J197" s="50">
        <v>13</v>
      </c>
      <c r="K197" s="50">
        <v>2</v>
      </c>
      <c r="L197" s="50">
        <v>11</v>
      </c>
      <c r="M197" s="445">
        <v>64.709999999999994</v>
      </c>
      <c r="N197" s="44"/>
      <c r="O197" s="50">
        <v>0</v>
      </c>
      <c r="P197" s="50">
        <v>0</v>
      </c>
      <c r="Q197" s="50">
        <v>1</v>
      </c>
      <c r="R197" s="50">
        <v>-1</v>
      </c>
      <c r="S197" s="50">
        <v>2</v>
      </c>
      <c r="T197" s="50">
        <v>2</v>
      </c>
      <c r="U197" s="50">
        <v>0</v>
      </c>
      <c r="V197" s="348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268</v>
      </c>
      <c r="D198" s="50" t="s">
        <v>43</v>
      </c>
      <c r="E198" s="50">
        <v>68</v>
      </c>
      <c r="F198" s="50">
        <v>3</v>
      </c>
      <c r="G198" s="50">
        <v>0</v>
      </c>
      <c r="H198" s="50">
        <v>0</v>
      </c>
      <c r="I198" s="50">
        <v>0</v>
      </c>
      <c r="J198" s="50">
        <v>4</v>
      </c>
      <c r="K198" s="50">
        <v>0</v>
      </c>
      <c r="L198" s="50">
        <v>4</v>
      </c>
      <c r="M198" s="445">
        <v>133.33000000000001</v>
      </c>
      <c r="N198" s="44"/>
      <c r="O198" s="50">
        <v>0</v>
      </c>
      <c r="P198" s="50">
        <v>0</v>
      </c>
      <c r="Q198" s="50">
        <v>2</v>
      </c>
      <c r="R198" s="50">
        <v>-2</v>
      </c>
      <c r="S198" s="50">
        <v>0</v>
      </c>
      <c r="T198" s="50">
        <v>2</v>
      </c>
      <c r="U198" s="50">
        <v>-2</v>
      </c>
      <c r="V198" s="348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702</v>
      </c>
      <c r="D199" s="50" t="s">
        <v>284</v>
      </c>
      <c r="E199" s="50">
        <v>342</v>
      </c>
      <c r="F199" s="50">
        <v>16</v>
      </c>
      <c r="G199" s="50">
        <v>0</v>
      </c>
      <c r="H199" s="50">
        <v>0</v>
      </c>
      <c r="I199" s="50">
        <v>0</v>
      </c>
      <c r="J199" s="50">
        <v>6</v>
      </c>
      <c r="K199" s="50">
        <v>2</v>
      </c>
      <c r="L199" s="50">
        <v>4</v>
      </c>
      <c r="M199" s="445">
        <v>25</v>
      </c>
      <c r="N199" s="44"/>
      <c r="O199" s="50">
        <v>0</v>
      </c>
      <c r="P199" s="50">
        <v>2</v>
      </c>
      <c r="Q199" s="50">
        <v>0</v>
      </c>
      <c r="R199" s="50">
        <v>2</v>
      </c>
      <c r="S199" s="50">
        <v>3</v>
      </c>
      <c r="T199" s="50">
        <v>2</v>
      </c>
      <c r="U199" s="50">
        <v>1</v>
      </c>
      <c r="V199" s="348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240</v>
      </c>
      <c r="F200" s="50">
        <v>11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445">
        <v>0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1</v>
      </c>
      <c r="U200" s="50">
        <v>-1</v>
      </c>
      <c r="V200" s="348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194</v>
      </c>
      <c r="D201" s="50" t="s">
        <v>287</v>
      </c>
      <c r="E201" s="50">
        <v>153</v>
      </c>
      <c r="F201" s="50">
        <v>7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445">
        <v>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348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298</v>
      </c>
      <c r="F202" s="50">
        <v>14</v>
      </c>
      <c r="G202" s="50">
        <v>0</v>
      </c>
      <c r="H202" s="50">
        <v>0</v>
      </c>
      <c r="I202" s="50">
        <v>0</v>
      </c>
      <c r="J202" s="50">
        <v>2</v>
      </c>
      <c r="K202" s="50">
        <v>23</v>
      </c>
      <c r="L202" s="50">
        <v>-21</v>
      </c>
      <c r="M202" s="445">
        <v>0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2</v>
      </c>
      <c r="T202" s="50">
        <v>5</v>
      </c>
      <c r="U202" s="50">
        <v>-3</v>
      </c>
      <c r="V202" s="348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215</v>
      </c>
      <c r="F203" s="50">
        <v>10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445">
        <v>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1</v>
      </c>
      <c r="T203" s="50">
        <v>1</v>
      </c>
      <c r="U203" s="50">
        <v>0</v>
      </c>
      <c r="V203" s="348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224</v>
      </c>
      <c r="F204" s="50">
        <v>11</v>
      </c>
      <c r="G204" s="50">
        <v>0</v>
      </c>
      <c r="H204" s="50">
        <v>0</v>
      </c>
      <c r="I204" s="50">
        <v>0</v>
      </c>
      <c r="J204" s="50">
        <v>5</v>
      </c>
      <c r="K204" s="50">
        <v>0</v>
      </c>
      <c r="L204" s="50">
        <v>5</v>
      </c>
      <c r="M204" s="445">
        <v>45.45</v>
      </c>
      <c r="N204" s="44"/>
      <c r="O204" s="50">
        <v>0</v>
      </c>
      <c r="P204" s="50">
        <v>0</v>
      </c>
      <c r="Q204" s="50">
        <v>1</v>
      </c>
      <c r="R204" s="50">
        <v>-1</v>
      </c>
      <c r="S204" s="50">
        <v>2</v>
      </c>
      <c r="T204" s="50">
        <v>2</v>
      </c>
      <c r="U204" s="50">
        <v>0</v>
      </c>
      <c r="V204" s="348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206</v>
      </c>
      <c r="F205" s="50">
        <v>10</v>
      </c>
      <c r="G205" s="50">
        <v>0</v>
      </c>
      <c r="H205" s="50">
        <v>0</v>
      </c>
      <c r="I205" s="50">
        <v>0</v>
      </c>
      <c r="J205" s="50">
        <v>2</v>
      </c>
      <c r="K205" s="50">
        <v>0</v>
      </c>
      <c r="L205" s="50">
        <v>2</v>
      </c>
      <c r="M205" s="445">
        <v>20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48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324</v>
      </c>
      <c r="F206" s="50">
        <v>15</v>
      </c>
      <c r="G206" s="50">
        <v>1</v>
      </c>
      <c r="H206" s="50">
        <v>0</v>
      </c>
      <c r="I206" s="50">
        <v>1</v>
      </c>
      <c r="J206" s="50">
        <v>1</v>
      </c>
      <c r="K206" s="50">
        <v>0</v>
      </c>
      <c r="L206" s="50">
        <v>1</v>
      </c>
      <c r="M206" s="445">
        <v>6.67</v>
      </c>
      <c r="N206" s="44"/>
      <c r="O206" s="50">
        <v>0</v>
      </c>
      <c r="P206" s="50">
        <v>0</v>
      </c>
      <c r="Q206" s="50">
        <v>1</v>
      </c>
      <c r="R206" s="50">
        <v>-1</v>
      </c>
      <c r="S206" s="50">
        <v>0</v>
      </c>
      <c r="T206" s="50">
        <v>2</v>
      </c>
      <c r="U206" s="50">
        <v>-2</v>
      </c>
      <c r="V206" s="348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312</v>
      </c>
      <c r="F207" s="50">
        <v>15</v>
      </c>
      <c r="G207" s="50">
        <v>0</v>
      </c>
      <c r="H207" s="50">
        <v>6</v>
      </c>
      <c r="I207" s="50">
        <v>-6</v>
      </c>
      <c r="J207" s="50">
        <v>5</v>
      </c>
      <c r="K207" s="50">
        <v>21</v>
      </c>
      <c r="L207" s="50">
        <v>-16</v>
      </c>
      <c r="M207" s="445">
        <v>0</v>
      </c>
      <c r="N207" s="44"/>
      <c r="O207" s="50">
        <v>0</v>
      </c>
      <c r="P207" s="50">
        <v>0</v>
      </c>
      <c r="Q207" s="50">
        <v>2</v>
      </c>
      <c r="R207" s="50">
        <v>-2</v>
      </c>
      <c r="S207" s="50">
        <v>5</v>
      </c>
      <c r="T207" s="50">
        <v>11</v>
      </c>
      <c r="U207" s="50">
        <v>-6</v>
      </c>
      <c r="V207" s="348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368</v>
      </c>
      <c r="F208" s="50">
        <v>17</v>
      </c>
      <c r="G208" s="50">
        <v>0</v>
      </c>
      <c r="H208" s="50">
        <v>0</v>
      </c>
      <c r="I208" s="50">
        <v>0</v>
      </c>
      <c r="J208" s="50">
        <v>3</v>
      </c>
      <c r="K208" s="50">
        <v>0</v>
      </c>
      <c r="L208" s="50">
        <v>3</v>
      </c>
      <c r="M208" s="445">
        <v>17.649999999999999</v>
      </c>
      <c r="N208" s="44"/>
      <c r="O208" s="50">
        <v>0</v>
      </c>
      <c r="P208" s="50">
        <v>0</v>
      </c>
      <c r="Q208" s="50">
        <v>1</v>
      </c>
      <c r="R208" s="50">
        <v>-1</v>
      </c>
      <c r="S208" s="50">
        <v>2</v>
      </c>
      <c r="T208" s="50">
        <v>2</v>
      </c>
      <c r="U208" s="50">
        <v>0</v>
      </c>
      <c r="V208" s="348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771</v>
      </c>
      <c r="D209" s="50" t="s">
        <v>298</v>
      </c>
      <c r="E209" s="50">
        <v>72</v>
      </c>
      <c r="F209" s="50">
        <v>3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445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48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197</v>
      </c>
      <c r="F210" s="50">
        <v>10</v>
      </c>
      <c r="G210" s="50">
        <v>0</v>
      </c>
      <c r="H210" s="50">
        <v>0</v>
      </c>
      <c r="I210" s="50">
        <v>0</v>
      </c>
      <c r="J210" s="50">
        <v>3</v>
      </c>
      <c r="K210" s="50">
        <v>0</v>
      </c>
      <c r="L210" s="50">
        <v>3</v>
      </c>
      <c r="M210" s="445">
        <v>30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48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154</v>
      </c>
      <c r="F211" s="50">
        <v>7</v>
      </c>
      <c r="G211" s="50">
        <v>0</v>
      </c>
      <c r="H211" s="50">
        <v>0</v>
      </c>
      <c r="I211" s="50">
        <v>0</v>
      </c>
      <c r="J211" s="50">
        <v>1</v>
      </c>
      <c r="K211" s="50">
        <v>0</v>
      </c>
      <c r="L211" s="50">
        <v>1</v>
      </c>
      <c r="M211" s="445">
        <v>14.29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1</v>
      </c>
      <c r="U211" s="50">
        <v>-1</v>
      </c>
      <c r="V211" s="348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291</v>
      </c>
      <c r="D212" s="50" t="s">
        <v>1514</v>
      </c>
      <c r="E212" s="50">
        <v>57</v>
      </c>
      <c r="F212" s="50">
        <v>3</v>
      </c>
      <c r="G212" s="50">
        <v>0</v>
      </c>
      <c r="H212" s="50">
        <v>1</v>
      </c>
      <c r="I212" s="50">
        <v>-1</v>
      </c>
      <c r="J212" s="50">
        <v>1</v>
      </c>
      <c r="K212" s="50">
        <v>1</v>
      </c>
      <c r="L212" s="50">
        <v>0</v>
      </c>
      <c r="M212" s="445">
        <v>0</v>
      </c>
      <c r="N212" s="44"/>
      <c r="O212" s="50">
        <v>0</v>
      </c>
      <c r="P212" s="50">
        <v>0</v>
      </c>
      <c r="Q212" s="50">
        <v>1</v>
      </c>
      <c r="R212" s="50">
        <v>-1</v>
      </c>
      <c r="S212" s="50">
        <v>0</v>
      </c>
      <c r="T212" s="50">
        <v>1</v>
      </c>
      <c r="U212" s="50">
        <v>-1</v>
      </c>
      <c r="V212" s="348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118</v>
      </c>
      <c r="F213" s="50">
        <v>6</v>
      </c>
      <c r="G213" s="50">
        <v>0</v>
      </c>
      <c r="H213" s="50">
        <v>0</v>
      </c>
      <c r="I213" s="50">
        <v>0</v>
      </c>
      <c r="J213" s="50">
        <v>1</v>
      </c>
      <c r="K213" s="50">
        <v>0</v>
      </c>
      <c r="L213" s="50">
        <v>1</v>
      </c>
      <c r="M213" s="445">
        <v>16.670000000000002</v>
      </c>
      <c r="N213" s="44"/>
      <c r="O213" s="50">
        <v>0</v>
      </c>
      <c r="P213" s="50">
        <v>0</v>
      </c>
      <c r="Q213" s="50">
        <v>1</v>
      </c>
      <c r="R213" s="50">
        <v>-1</v>
      </c>
      <c r="S213" s="50">
        <v>0</v>
      </c>
      <c r="T213" s="50">
        <v>1</v>
      </c>
      <c r="U213" s="50">
        <v>-1</v>
      </c>
      <c r="V213" s="348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67</v>
      </c>
      <c r="F214" s="50">
        <v>3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445">
        <v>0</v>
      </c>
      <c r="N214" s="44"/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348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1011</v>
      </c>
      <c r="E215" s="50">
        <v>171</v>
      </c>
      <c r="F215" s="50">
        <v>8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445">
        <v>0</v>
      </c>
      <c r="N215" s="44"/>
      <c r="O215" s="50">
        <v>0</v>
      </c>
      <c r="P215" s="50">
        <v>0</v>
      </c>
      <c r="Q215" s="50">
        <v>1</v>
      </c>
      <c r="R215" s="50">
        <v>-1</v>
      </c>
      <c r="S215" s="50">
        <v>0</v>
      </c>
      <c r="T215" s="50">
        <v>2</v>
      </c>
      <c r="U215" s="50">
        <v>-2</v>
      </c>
      <c r="V215" s="348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82</v>
      </c>
      <c r="F216" s="50">
        <v>4</v>
      </c>
      <c r="G216" s="50">
        <v>0</v>
      </c>
      <c r="H216" s="50">
        <v>0</v>
      </c>
      <c r="I216" s="50">
        <v>0</v>
      </c>
      <c r="J216" s="50">
        <v>0</v>
      </c>
      <c r="K216" s="50">
        <v>4</v>
      </c>
      <c r="L216" s="50">
        <v>-4</v>
      </c>
      <c r="M216" s="445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48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778</v>
      </c>
      <c r="D217" s="50" t="s">
        <v>302</v>
      </c>
      <c r="E217" s="50">
        <v>73</v>
      </c>
      <c r="F217" s="50">
        <v>4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445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48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351</v>
      </c>
      <c r="F218" s="50">
        <v>17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445">
        <v>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1</v>
      </c>
      <c r="T218" s="50">
        <v>1</v>
      </c>
      <c r="U218" s="50">
        <v>0</v>
      </c>
      <c r="V218" s="348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405</v>
      </c>
      <c r="D219" s="50" t="s">
        <v>33</v>
      </c>
      <c r="E219" s="50">
        <v>47</v>
      </c>
      <c r="F219" s="50">
        <v>3</v>
      </c>
      <c r="G219" s="50">
        <v>0</v>
      </c>
      <c r="H219" s="50">
        <v>0</v>
      </c>
      <c r="I219" s="50">
        <v>0</v>
      </c>
      <c r="J219" s="50">
        <v>1</v>
      </c>
      <c r="K219" s="50">
        <v>0</v>
      </c>
      <c r="L219" s="50">
        <v>1</v>
      </c>
      <c r="M219" s="445">
        <v>33.33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48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153</v>
      </c>
      <c r="D220" s="50" t="s">
        <v>305</v>
      </c>
      <c r="E220" s="50">
        <v>42</v>
      </c>
      <c r="F220" s="50">
        <v>3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445">
        <v>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48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99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445">
        <v>0</v>
      </c>
      <c r="N221" s="44"/>
      <c r="O221" s="50">
        <v>0</v>
      </c>
      <c r="P221" s="50">
        <v>0</v>
      </c>
      <c r="Q221" s="50">
        <v>1</v>
      </c>
      <c r="R221" s="50">
        <v>-1</v>
      </c>
      <c r="S221" s="50">
        <v>1</v>
      </c>
      <c r="T221" s="50">
        <v>1</v>
      </c>
      <c r="U221" s="50">
        <v>0</v>
      </c>
      <c r="V221" s="348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228</v>
      </c>
      <c r="F222" s="50">
        <v>11</v>
      </c>
      <c r="G222" s="50">
        <v>0</v>
      </c>
      <c r="H222" s="50">
        <v>0</v>
      </c>
      <c r="I222" s="50">
        <v>0</v>
      </c>
      <c r="J222" s="50">
        <v>2</v>
      </c>
      <c r="K222" s="50">
        <v>0</v>
      </c>
      <c r="L222" s="50">
        <v>2</v>
      </c>
      <c r="M222" s="445">
        <v>18.18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1</v>
      </c>
      <c r="T222" s="50">
        <v>0</v>
      </c>
      <c r="U222" s="50">
        <v>1</v>
      </c>
      <c r="V222" s="348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816</v>
      </c>
      <c r="D223" s="50" t="s">
        <v>33</v>
      </c>
      <c r="E223" s="50">
        <v>93</v>
      </c>
      <c r="F223" s="50">
        <v>4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445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48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680</v>
      </c>
      <c r="F224" s="50">
        <v>20</v>
      </c>
      <c r="G224" s="50">
        <v>1</v>
      </c>
      <c r="H224" s="50">
        <v>0</v>
      </c>
      <c r="I224" s="50">
        <v>1</v>
      </c>
      <c r="J224" s="50">
        <v>5</v>
      </c>
      <c r="K224" s="50">
        <v>0</v>
      </c>
      <c r="L224" s="50">
        <v>5</v>
      </c>
      <c r="M224" s="445">
        <v>25</v>
      </c>
      <c r="N224" s="44"/>
      <c r="O224" s="50">
        <v>0</v>
      </c>
      <c r="P224" s="50">
        <v>1</v>
      </c>
      <c r="Q224" s="50">
        <v>3</v>
      </c>
      <c r="R224" s="50">
        <v>-2</v>
      </c>
      <c r="S224" s="50">
        <v>4</v>
      </c>
      <c r="T224" s="50">
        <v>4</v>
      </c>
      <c r="U224" s="50">
        <v>0</v>
      </c>
      <c r="V224" s="348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84</v>
      </c>
      <c r="F225" s="50">
        <v>4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445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48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101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445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48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707</v>
      </c>
      <c r="D227" s="50" t="s">
        <v>23</v>
      </c>
      <c r="E227" s="50">
        <v>53</v>
      </c>
      <c r="F227" s="50">
        <v>3</v>
      </c>
      <c r="G227" s="50">
        <v>0</v>
      </c>
      <c r="H227" s="50">
        <v>0</v>
      </c>
      <c r="I227" s="50">
        <v>0</v>
      </c>
      <c r="J227" s="50">
        <v>1</v>
      </c>
      <c r="K227" s="50">
        <v>0</v>
      </c>
      <c r="L227" s="50">
        <v>1</v>
      </c>
      <c r="M227" s="445">
        <v>33.33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48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431</v>
      </c>
      <c r="F228" s="50">
        <v>20</v>
      </c>
      <c r="G228" s="50">
        <v>0</v>
      </c>
      <c r="H228" s="50">
        <v>4</v>
      </c>
      <c r="I228" s="50">
        <v>-4</v>
      </c>
      <c r="J228" s="50">
        <v>1</v>
      </c>
      <c r="K228" s="50">
        <v>5</v>
      </c>
      <c r="L228" s="50">
        <v>-4</v>
      </c>
      <c r="M228" s="445">
        <v>0</v>
      </c>
      <c r="N228" s="44"/>
      <c r="O228" s="50">
        <v>0</v>
      </c>
      <c r="P228" s="50">
        <v>1</v>
      </c>
      <c r="Q228" s="50">
        <v>1</v>
      </c>
      <c r="R228" s="50">
        <v>0</v>
      </c>
      <c r="S228" s="50">
        <v>2</v>
      </c>
      <c r="T228" s="50">
        <v>1</v>
      </c>
      <c r="U228" s="50">
        <v>1</v>
      </c>
      <c r="V228" s="348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1021</v>
      </c>
      <c r="D229" s="50" t="s">
        <v>313</v>
      </c>
      <c r="E229" s="50">
        <v>45</v>
      </c>
      <c r="F229" s="50">
        <v>3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445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48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797</v>
      </c>
      <c r="D230" s="50" t="s">
        <v>314</v>
      </c>
      <c r="E230" s="50">
        <v>133</v>
      </c>
      <c r="F230" s="50">
        <v>6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445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48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211</v>
      </c>
      <c r="F231" s="50">
        <v>10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445">
        <v>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2</v>
      </c>
      <c r="T231" s="50">
        <v>0</v>
      </c>
      <c r="U231" s="50">
        <v>2</v>
      </c>
      <c r="V231" s="348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786</v>
      </c>
      <c r="D232" s="50" t="s">
        <v>31</v>
      </c>
      <c r="E232" s="50">
        <v>105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445">
        <v>0</v>
      </c>
      <c r="N232" s="44"/>
      <c r="O232" s="50">
        <v>0</v>
      </c>
      <c r="P232" s="50">
        <v>0</v>
      </c>
      <c r="Q232" s="50">
        <v>1</v>
      </c>
      <c r="R232" s="50">
        <v>-1</v>
      </c>
      <c r="S232" s="50">
        <v>0</v>
      </c>
      <c r="T232" s="50">
        <v>2</v>
      </c>
      <c r="U232" s="50">
        <v>-2</v>
      </c>
      <c r="V232" s="348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208</v>
      </c>
      <c r="F233" s="50">
        <v>10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445">
        <v>0</v>
      </c>
      <c r="N233" s="44"/>
      <c r="O233" s="50">
        <v>0</v>
      </c>
      <c r="P233" s="50">
        <v>0</v>
      </c>
      <c r="Q233" s="50">
        <v>3</v>
      </c>
      <c r="R233" s="50">
        <v>-3</v>
      </c>
      <c r="S233" s="50">
        <v>1</v>
      </c>
      <c r="T233" s="50">
        <v>5</v>
      </c>
      <c r="U233" s="50">
        <v>-4</v>
      </c>
      <c r="V233" s="348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381</v>
      </c>
      <c r="D234" s="50" t="s">
        <v>43</v>
      </c>
      <c r="E234" s="50">
        <v>55</v>
      </c>
      <c r="F234" s="50">
        <v>3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445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48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795</v>
      </c>
      <c r="D235" s="50" t="s">
        <v>317</v>
      </c>
      <c r="E235" s="50">
        <v>138</v>
      </c>
      <c r="F235" s="50">
        <v>7</v>
      </c>
      <c r="G235" s="50">
        <v>0</v>
      </c>
      <c r="H235" s="50">
        <v>0</v>
      </c>
      <c r="I235" s="50">
        <v>0</v>
      </c>
      <c r="J235" s="50">
        <v>3</v>
      </c>
      <c r="K235" s="50">
        <v>4</v>
      </c>
      <c r="L235" s="50">
        <v>-1</v>
      </c>
      <c r="M235" s="445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1</v>
      </c>
      <c r="U235" s="50">
        <v>-1</v>
      </c>
      <c r="V235" s="348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307</v>
      </c>
      <c r="F236" s="50">
        <v>15</v>
      </c>
      <c r="G236" s="50">
        <v>0</v>
      </c>
      <c r="H236" s="50">
        <v>0</v>
      </c>
      <c r="I236" s="50">
        <v>0</v>
      </c>
      <c r="J236" s="50">
        <v>4</v>
      </c>
      <c r="K236" s="50">
        <v>1</v>
      </c>
      <c r="L236" s="50">
        <v>3</v>
      </c>
      <c r="M236" s="445">
        <v>20</v>
      </c>
      <c r="N236" s="44"/>
      <c r="O236" s="50">
        <v>0</v>
      </c>
      <c r="P236" s="50">
        <v>0</v>
      </c>
      <c r="Q236" s="50">
        <v>3</v>
      </c>
      <c r="R236" s="50">
        <v>-3</v>
      </c>
      <c r="S236" s="50">
        <v>0</v>
      </c>
      <c r="T236" s="50">
        <v>4</v>
      </c>
      <c r="U236" s="50">
        <v>-4</v>
      </c>
      <c r="V236" s="348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791</v>
      </c>
      <c r="D237" s="50" t="s">
        <v>319</v>
      </c>
      <c r="E237" s="50">
        <v>42</v>
      </c>
      <c r="F237" s="50">
        <v>3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445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48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288</v>
      </c>
      <c r="F238" s="50">
        <v>13</v>
      </c>
      <c r="G238" s="50">
        <v>4</v>
      </c>
      <c r="H238" s="50">
        <v>0</v>
      </c>
      <c r="I238" s="50">
        <v>4</v>
      </c>
      <c r="J238" s="50">
        <v>6</v>
      </c>
      <c r="K238" s="50">
        <v>0</v>
      </c>
      <c r="L238" s="50">
        <v>6</v>
      </c>
      <c r="M238" s="445">
        <v>46.15</v>
      </c>
      <c r="N238" s="44"/>
      <c r="O238" s="50">
        <v>0</v>
      </c>
      <c r="P238" s="50">
        <v>0</v>
      </c>
      <c r="Q238" s="50">
        <v>2</v>
      </c>
      <c r="R238" s="50">
        <v>-2</v>
      </c>
      <c r="S238" s="50">
        <v>0</v>
      </c>
      <c r="T238" s="50">
        <v>3</v>
      </c>
      <c r="U238" s="50">
        <v>-3</v>
      </c>
      <c r="V238" s="348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270</v>
      </c>
      <c r="D239" s="50" t="s">
        <v>33</v>
      </c>
      <c r="E239" s="50">
        <v>120</v>
      </c>
      <c r="F239" s="50">
        <v>6</v>
      </c>
      <c r="G239" s="50">
        <v>0</v>
      </c>
      <c r="H239" s="50">
        <v>0</v>
      </c>
      <c r="I239" s="50">
        <v>0</v>
      </c>
      <c r="J239" s="50">
        <v>2</v>
      </c>
      <c r="K239" s="50">
        <v>5</v>
      </c>
      <c r="L239" s="50">
        <v>-3</v>
      </c>
      <c r="M239" s="445">
        <v>0</v>
      </c>
      <c r="N239" s="44"/>
      <c r="O239" s="50">
        <v>0</v>
      </c>
      <c r="P239" s="50">
        <v>0</v>
      </c>
      <c r="Q239" s="50">
        <v>1</v>
      </c>
      <c r="R239" s="50">
        <v>-1</v>
      </c>
      <c r="S239" s="50">
        <v>3</v>
      </c>
      <c r="T239" s="50">
        <v>4</v>
      </c>
      <c r="U239" s="50">
        <v>-1</v>
      </c>
      <c r="V239" s="348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87</v>
      </c>
      <c r="F240" s="50">
        <v>4</v>
      </c>
      <c r="G240" s="50">
        <v>0</v>
      </c>
      <c r="H240" s="50">
        <v>0</v>
      </c>
      <c r="I240" s="50">
        <v>0</v>
      </c>
      <c r="J240" s="50">
        <v>1</v>
      </c>
      <c r="K240" s="50">
        <v>0</v>
      </c>
      <c r="L240" s="50">
        <v>1</v>
      </c>
      <c r="M240" s="445">
        <v>25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48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76</v>
      </c>
      <c r="F241" s="50">
        <v>4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445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1</v>
      </c>
      <c r="T241" s="50">
        <v>0</v>
      </c>
      <c r="U241" s="50">
        <v>1</v>
      </c>
      <c r="V241" s="348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77</v>
      </c>
      <c r="F242" s="50">
        <v>4</v>
      </c>
      <c r="G242" s="50">
        <v>0</v>
      </c>
      <c r="H242" s="50">
        <v>0</v>
      </c>
      <c r="I242" s="50">
        <v>0</v>
      </c>
      <c r="J242" s="50">
        <v>2</v>
      </c>
      <c r="K242" s="50">
        <v>0</v>
      </c>
      <c r="L242" s="50">
        <v>2</v>
      </c>
      <c r="M242" s="445">
        <v>50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48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507</v>
      </c>
      <c r="D243" s="50" t="s">
        <v>325</v>
      </c>
      <c r="E243" s="50">
        <v>150</v>
      </c>
      <c r="F243" s="50">
        <v>7</v>
      </c>
      <c r="G243" s="50">
        <v>0</v>
      </c>
      <c r="H243" s="50">
        <v>0</v>
      </c>
      <c r="I243" s="50">
        <v>0</v>
      </c>
      <c r="J243" s="50">
        <v>6</v>
      </c>
      <c r="K243" s="50">
        <v>0</v>
      </c>
      <c r="L243" s="50">
        <v>6</v>
      </c>
      <c r="M243" s="445">
        <v>85.71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1</v>
      </c>
      <c r="T243" s="50">
        <v>0</v>
      </c>
      <c r="U243" s="50">
        <v>1</v>
      </c>
      <c r="V243" s="348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65</v>
      </c>
      <c r="D244" s="50" t="s">
        <v>43</v>
      </c>
      <c r="E244" s="50">
        <v>60</v>
      </c>
      <c r="F244" s="50">
        <v>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445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48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208</v>
      </c>
      <c r="F245" s="50">
        <v>10</v>
      </c>
      <c r="G245" s="50">
        <v>1</v>
      </c>
      <c r="H245" s="50">
        <v>0</v>
      </c>
      <c r="I245" s="50">
        <v>1</v>
      </c>
      <c r="J245" s="50">
        <v>2</v>
      </c>
      <c r="K245" s="50">
        <v>0</v>
      </c>
      <c r="L245" s="50">
        <v>2</v>
      </c>
      <c r="M245" s="445">
        <v>20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1</v>
      </c>
      <c r="T245" s="50">
        <v>1</v>
      </c>
      <c r="U245" s="50">
        <v>0</v>
      </c>
      <c r="V245" s="348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214</v>
      </c>
      <c r="F246" s="50">
        <v>10</v>
      </c>
      <c r="G246" s="50">
        <v>0</v>
      </c>
      <c r="H246" s="50">
        <v>0</v>
      </c>
      <c r="I246" s="50">
        <v>0</v>
      </c>
      <c r="J246" s="50">
        <v>4</v>
      </c>
      <c r="K246" s="50">
        <v>0</v>
      </c>
      <c r="L246" s="50">
        <v>4</v>
      </c>
      <c r="M246" s="445">
        <v>40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1</v>
      </c>
      <c r="T246" s="50">
        <v>1</v>
      </c>
      <c r="U246" s="50">
        <v>0</v>
      </c>
      <c r="V246" s="348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67</v>
      </c>
      <c r="F247" s="50">
        <v>3</v>
      </c>
      <c r="G247" s="50">
        <v>0</v>
      </c>
      <c r="H247" s="50">
        <v>0</v>
      </c>
      <c r="I247" s="50">
        <v>0</v>
      </c>
      <c r="J247" s="50">
        <v>1</v>
      </c>
      <c r="K247" s="50">
        <v>0</v>
      </c>
      <c r="L247" s="50">
        <v>1</v>
      </c>
      <c r="M247" s="445">
        <v>33.33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1</v>
      </c>
      <c r="T247" s="50">
        <v>0</v>
      </c>
      <c r="U247" s="50">
        <v>1</v>
      </c>
      <c r="V247" s="348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295</v>
      </c>
      <c r="D248" s="50" t="s">
        <v>135</v>
      </c>
      <c r="E248" s="50">
        <v>115</v>
      </c>
      <c r="F248" s="50">
        <v>6</v>
      </c>
      <c r="G248" s="50">
        <v>0</v>
      </c>
      <c r="H248" s="50">
        <v>0</v>
      </c>
      <c r="I248" s="50">
        <v>0</v>
      </c>
      <c r="J248" s="50">
        <v>1</v>
      </c>
      <c r="K248" s="50">
        <v>0</v>
      </c>
      <c r="L248" s="50">
        <v>1</v>
      </c>
      <c r="M248" s="445">
        <v>16.670000000000002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1</v>
      </c>
      <c r="T248" s="50">
        <v>1</v>
      </c>
      <c r="U248" s="50">
        <v>0</v>
      </c>
      <c r="V248" s="348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79</v>
      </c>
      <c r="F249" s="50">
        <v>4</v>
      </c>
      <c r="G249" s="50">
        <v>0</v>
      </c>
      <c r="H249" s="50">
        <v>0</v>
      </c>
      <c r="I249" s="50">
        <v>0</v>
      </c>
      <c r="J249" s="50">
        <v>1</v>
      </c>
      <c r="K249" s="50">
        <v>0</v>
      </c>
      <c r="L249" s="50">
        <v>1</v>
      </c>
      <c r="M249" s="445">
        <v>25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1</v>
      </c>
      <c r="T249" s="50">
        <v>0</v>
      </c>
      <c r="U249" s="50">
        <v>1</v>
      </c>
      <c r="V249" s="348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115</v>
      </c>
      <c r="F250" s="50">
        <v>5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445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48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61</v>
      </c>
      <c r="D251" s="50" t="s">
        <v>329</v>
      </c>
      <c r="E251" s="50">
        <v>189</v>
      </c>
      <c r="F251" s="50">
        <v>9</v>
      </c>
      <c r="G251" s="50">
        <v>0</v>
      </c>
      <c r="H251" s="50">
        <v>0</v>
      </c>
      <c r="I251" s="50">
        <v>0</v>
      </c>
      <c r="J251" s="50">
        <v>2</v>
      </c>
      <c r="K251" s="50">
        <v>0</v>
      </c>
      <c r="L251" s="50">
        <v>2</v>
      </c>
      <c r="M251" s="445">
        <v>22.22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1</v>
      </c>
      <c r="T251" s="50">
        <v>0</v>
      </c>
      <c r="U251" s="50">
        <v>1</v>
      </c>
      <c r="V251" s="348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175</v>
      </c>
      <c r="F252" s="50">
        <v>8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445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48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65</v>
      </c>
      <c r="D253" s="50" t="s">
        <v>43</v>
      </c>
      <c r="E253" s="50">
        <v>154</v>
      </c>
      <c r="F253" s="50">
        <v>7</v>
      </c>
      <c r="G253" s="50">
        <v>0</v>
      </c>
      <c r="H253" s="50">
        <v>0</v>
      </c>
      <c r="I253" s="50">
        <v>0</v>
      </c>
      <c r="J253" s="50">
        <v>3</v>
      </c>
      <c r="K253" s="50">
        <v>0</v>
      </c>
      <c r="L253" s="50">
        <v>3</v>
      </c>
      <c r="M253" s="445">
        <v>42.86</v>
      </c>
      <c r="N253" s="44"/>
      <c r="O253" s="50">
        <v>0</v>
      </c>
      <c r="P253" s="50">
        <v>1</v>
      </c>
      <c r="Q253" s="50">
        <v>0</v>
      </c>
      <c r="R253" s="50">
        <v>1</v>
      </c>
      <c r="S253" s="50">
        <v>1</v>
      </c>
      <c r="T253" s="50">
        <v>0</v>
      </c>
      <c r="U253" s="50">
        <v>1</v>
      </c>
      <c r="V253" s="348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194</v>
      </c>
      <c r="F254" s="50">
        <v>9</v>
      </c>
      <c r="G254" s="50">
        <v>0</v>
      </c>
      <c r="H254" s="50">
        <v>0</v>
      </c>
      <c r="I254" s="50">
        <v>0</v>
      </c>
      <c r="J254" s="50">
        <v>1</v>
      </c>
      <c r="K254" s="50">
        <v>0</v>
      </c>
      <c r="L254" s="50">
        <v>1</v>
      </c>
      <c r="M254" s="445">
        <v>11.11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2</v>
      </c>
      <c r="T254" s="50">
        <v>1</v>
      </c>
      <c r="U254" s="50">
        <v>1</v>
      </c>
      <c r="V254" s="348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445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48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364</v>
      </c>
      <c r="D256" s="50" t="s">
        <v>334</v>
      </c>
      <c r="E256" s="50">
        <v>122</v>
      </c>
      <c r="F256" s="50">
        <v>6</v>
      </c>
      <c r="G256" s="50">
        <v>1</v>
      </c>
      <c r="H256" s="50">
        <v>0</v>
      </c>
      <c r="I256" s="50">
        <v>1</v>
      </c>
      <c r="J256" s="50">
        <v>3</v>
      </c>
      <c r="K256" s="50">
        <v>0</v>
      </c>
      <c r="L256" s="50">
        <v>3</v>
      </c>
      <c r="M256" s="445">
        <v>50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48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128</v>
      </c>
      <c r="D257" s="50" t="s">
        <v>335</v>
      </c>
      <c r="E257" s="50">
        <v>41</v>
      </c>
      <c r="F257" s="50">
        <v>3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445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48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103</v>
      </c>
      <c r="F258" s="50">
        <v>5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445">
        <v>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48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52</v>
      </c>
      <c r="D259" s="50" t="s">
        <v>33</v>
      </c>
      <c r="E259" s="50">
        <v>259</v>
      </c>
      <c r="F259" s="50">
        <v>13</v>
      </c>
      <c r="G259" s="50">
        <v>0</v>
      </c>
      <c r="H259" s="50">
        <v>0</v>
      </c>
      <c r="I259" s="50">
        <v>0</v>
      </c>
      <c r="J259" s="50">
        <v>1</v>
      </c>
      <c r="K259" s="50">
        <v>0</v>
      </c>
      <c r="L259" s="50">
        <v>1</v>
      </c>
      <c r="M259" s="445">
        <v>7.69</v>
      </c>
      <c r="N259" s="44"/>
      <c r="O259" s="50">
        <v>0</v>
      </c>
      <c r="P259" s="50">
        <v>0</v>
      </c>
      <c r="Q259" s="50">
        <v>4</v>
      </c>
      <c r="R259" s="50">
        <v>-4</v>
      </c>
      <c r="S259" s="50">
        <v>1</v>
      </c>
      <c r="T259" s="50">
        <v>4</v>
      </c>
      <c r="U259" s="50">
        <v>-3</v>
      </c>
      <c r="V259" s="348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391</v>
      </c>
      <c r="D260" s="50" t="s">
        <v>27</v>
      </c>
      <c r="E260" s="50">
        <v>148</v>
      </c>
      <c r="F260" s="50">
        <v>7</v>
      </c>
      <c r="G260" s="50">
        <v>0</v>
      </c>
      <c r="H260" s="50">
        <v>0</v>
      </c>
      <c r="I260" s="50">
        <v>0</v>
      </c>
      <c r="J260" s="50">
        <v>3</v>
      </c>
      <c r="K260" s="50">
        <v>0</v>
      </c>
      <c r="L260" s="50">
        <v>3</v>
      </c>
      <c r="M260" s="445">
        <v>42.86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2</v>
      </c>
      <c r="T260" s="50">
        <v>0</v>
      </c>
      <c r="U260" s="50">
        <v>2</v>
      </c>
      <c r="V260" s="348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56</v>
      </c>
      <c r="F261" s="50">
        <v>3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445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1</v>
      </c>
      <c r="U261" s="50">
        <v>-1</v>
      </c>
      <c r="V261" s="348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83</v>
      </c>
      <c r="F262" s="50">
        <v>4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445">
        <v>0</v>
      </c>
      <c r="N262" s="44"/>
      <c r="O262" s="50">
        <v>0</v>
      </c>
      <c r="P262" s="50">
        <v>0</v>
      </c>
      <c r="Q262" s="50">
        <v>1</v>
      </c>
      <c r="R262" s="50">
        <v>-1</v>
      </c>
      <c r="S262" s="50">
        <v>0</v>
      </c>
      <c r="T262" s="50">
        <v>1</v>
      </c>
      <c r="U262" s="50">
        <v>-1</v>
      </c>
      <c r="V262" s="348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136</v>
      </c>
      <c r="F263" s="50">
        <v>7</v>
      </c>
      <c r="G263" s="50">
        <v>0</v>
      </c>
      <c r="H263" s="50">
        <v>0</v>
      </c>
      <c r="I263" s="50">
        <v>0</v>
      </c>
      <c r="J263" s="50">
        <v>4</v>
      </c>
      <c r="K263" s="50">
        <v>1</v>
      </c>
      <c r="L263" s="50">
        <v>3</v>
      </c>
      <c r="M263" s="445">
        <v>42.86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1</v>
      </c>
      <c r="T263" s="50">
        <v>0</v>
      </c>
      <c r="U263" s="50">
        <v>1</v>
      </c>
      <c r="V263" s="348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251</v>
      </c>
      <c r="F264" s="50">
        <v>12</v>
      </c>
      <c r="G264" s="50">
        <v>1</v>
      </c>
      <c r="H264" s="50">
        <v>3</v>
      </c>
      <c r="I264" s="50">
        <v>-2</v>
      </c>
      <c r="J264" s="50">
        <v>2</v>
      </c>
      <c r="K264" s="50">
        <v>3</v>
      </c>
      <c r="L264" s="50">
        <v>-1</v>
      </c>
      <c r="M264" s="445">
        <v>0</v>
      </c>
      <c r="N264" s="44"/>
      <c r="O264" s="50">
        <v>0</v>
      </c>
      <c r="P264" s="50">
        <v>1</v>
      </c>
      <c r="Q264" s="50">
        <v>2</v>
      </c>
      <c r="R264" s="50">
        <v>-1</v>
      </c>
      <c r="S264" s="50">
        <v>2</v>
      </c>
      <c r="T264" s="50">
        <v>4</v>
      </c>
      <c r="U264" s="50">
        <v>-2</v>
      </c>
      <c r="V264" s="348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75</v>
      </c>
      <c r="F265" s="50">
        <v>4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445">
        <v>0</v>
      </c>
      <c r="N265" s="44"/>
      <c r="O265" s="50">
        <v>0</v>
      </c>
      <c r="P265" s="50">
        <v>0</v>
      </c>
      <c r="Q265" s="50">
        <v>1</v>
      </c>
      <c r="R265" s="50">
        <v>-1</v>
      </c>
      <c r="S265" s="50">
        <v>0</v>
      </c>
      <c r="T265" s="50">
        <v>1</v>
      </c>
      <c r="U265" s="50">
        <v>-1</v>
      </c>
      <c r="V265" s="348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1072</v>
      </c>
      <c r="D266" s="50" t="s">
        <v>135</v>
      </c>
      <c r="E266" s="50">
        <v>37</v>
      </c>
      <c r="F266" s="50">
        <v>3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445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48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356</v>
      </c>
      <c r="D267" s="50" t="s">
        <v>340</v>
      </c>
      <c r="E267" s="50">
        <v>101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445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1</v>
      </c>
      <c r="T267" s="50">
        <v>0</v>
      </c>
      <c r="U267" s="50">
        <v>1</v>
      </c>
      <c r="V267" s="348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30</v>
      </c>
      <c r="D268" s="50" t="s">
        <v>33</v>
      </c>
      <c r="E268" s="50">
        <v>60</v>
      </c>
      <c r="F268" s="50">
        <v>3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445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48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283</v>
      </c>
      <c r="D269" s="50" t="s">
        <v>341</v>
      </c>
      <c r="E269" s="50">
        <v>97</v>
      </c>
      <c r="F269" s="50">
        <v>5</v>
      </c>
      <c r="G269" s="50">
        <v>0</v>
      </c>
      <c r="H269" s="50">
        <v>0</v>
      </c>
      <c r="I269" s="50">
        <v>0</v>
      </c>
      <c r="J269" s="50">
        <v>1</v>
      </c>
      <c r="K269" s="50">
        <v>0</v>
      </c>
      <c r="L269" s="50">
        <v>1</v>
      </c>
      <c r="M269" s="445">
        <v>20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1</v>
      </c>
      <c r="T269" s="50">
        <v>0</v>
      </c>
      <c r="U269" s="50">
        <v>1</v>
      </c>
      <c r="V269" s="348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313</v>
      </c>
      <c r="F270" s="50">
        <v>16</v>
      </c>
      <c r="G270" s="50">
        <v>4</v>
      </c>
      <c r="H270" s="50">
        <v>0</v>
      </c>
      <c r="I270" s="50">
        <v>4</v>
      </c>
      <c r="J270" s="50">
        <v>8</v>
      </c>
      <c r="K270" s="50">
        <v>0</v>
      </c>
      <c r="L270" s="50">
        <v>8</v>
      </c>
      <c r="M270" s="445">
        <v>50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2</v>
      </c>
      <c r="U270" s="50">
        <v>-2</v>
      </c>
      <c r="V270" s="348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361</v>
      </c>
      <c r="D271" s="50" t="s">
        <v>59</v>
      </c>
      <c r="E271" s="50">
        <v>61</v>
      </c>
      <c r="F271" s="50">
        <v>3</v>
      </c>
      <c r="G271" s="50">
        <v>0</v>
      </c>
      <c r="H271" s="50">
        <v>0</v>
      </c>
      <c r="I271" s="50">
        <v>0</v>
      </c>
      <c r="J271" s="50">
        <v>0</v>
      </c>
      <c r="K271" s="50">
        <v>2</v>
      </c>
      <c r="L271" s="50">
        <v>-2</v>
      </c>
      <c r="M271" s="445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2</v>
      </c>
      <c r="U271" s="50">
        <v>-2</v>
      </c>
      <c r="V271" s="348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445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48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775</v>
      </c>
      <c r="D273" s="50" t="s">
        <v>150</v>
      </c>
      <c r="E273" s="50">
        <v>54</v>
      </c>
      <c r="F273" s="50">
        <v>3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445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48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264</v>
      </c>
      <c r="F274" s="50">
        <v>13</v>
      </c>
      <c r="G274" s="50">
        <v>1</v>
      </c>
      <c r="H274" s="50">
        <v>0</v>
      </c>
      <c r="I274" s="50">
        <v>1</v>
      </c>
      <c r="J274" s="50">
        <v>7</v>
      </c>
      <c r="K274" s="50">
        <v>0</v>
      </c>
      <c r="L274" s="50">
        <v>7</v>
      </c>
      <c r="M274" s="445">
        <v>53.85</v>
      </c>
      <c r="N274" s="44"/>
      <c r="O274" s="50">
        <v>0</v>
      </c>
      <c r="P274" s="50">
        <v>1</v>
      </c>
      <c r="Q274" s="50">
        <v>0</v>
      </c>
      <c r="R274" s="50">
        <v>1</v>
      </c>
      <c r="S274" s="50">
        <v>4</v>
      </c>
      <c r="T274" s="50">
        <v>2</v>
      </c>
      <c r="U274" s="50">
        <v>2</v>
      </c>
      <c r="V274" s="348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424</v>
      </c>
      <c r="F275" s="50">
        <v>20</v>
      </c>
      <c r="G275" s="50">
        <v>0</v>
      </c>
      <c r="H275" s="50">
        <v>2</v>
      </c>
      <c r="I275" s="50">
        <v>-2</v>
      </c>
      <c r="J275" s="50">
        <v>4</v>
      </c>
      <c r="K275" s="50">
        <v>5</v>
      </c>
      <c r="L275" s="50">
        <v>-1</v>
      </c>
      <c r="M275" s="445">
        <v>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2</v>
      </c>
      <c r="T275" s="50">
        <v>2</v>
      </c>
      <c r="U275" s="50">
        <v>0</v>
      </c>
      <c r="V275" s="348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318</v>
      </c>
      <c r="F276" s="50">
        <v>15</v>
      </c>
      <c r="G276" s="50">
        <v>2</v>
      </c>
      <c r="H276" s="50">
        <v>0</v>
      </c>
      <c r="I276" s="50">
        <v>2</v>
      </c>
      <c r="J276" s="50">
        <v>2</v>
      </c>
      <c r="K276" s="50">
        <v>0</v>
      </c>
      <c r="L276" s="50">
        <v>2</v>
      </c>
      <c r="M276" s="445">
        <v>13.33</v>
      </c>
      <c r="N276" s="44"/>
      <c r="O276" s="50">
        <v>0</v>
      </c>
      <c r="P276" s="50">
        <v>1</v>
      </c>
      <c r="Q276" s="50">
        <v>1</v>
      </c>
      <c r="R276" s="50">
        <v>0</v>
      </c>
      <c r="S276" s="50">
        <v>2</v>
      </c>
      <c r="T276" s="50">
        <v>1</v>
      </c>
      <c r="U276" s="50">
        <v>1</v>
      </c>
      <c r="V276" s="348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805</v>
      </c>
      <c r="D277" s="50" t="s">
        <v>90</v>
      </c>
      <c r="E277" s="50">
        <v>58</v>
      </c>
      <c r="F277" s="50">
        <v>3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445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48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217</v>
      </c>
      <c r="D278" s="50" t="s">
        <v>349</v>
      </c>
      <c r="E278" s="50">
        <v>79</v>
      </c>
      <c r="F278" s="50">
        <v>4</v>
      </c>
      <c r="G278" s="50">
        <v>1</v>
      </c>
      <c r="H278" s="50">
        <v>0</v>
      </c>
      <c r="I278" s="50">
        <v>1</v>
      </c>
      <c r="J278" s="50">
        <v>1</v>
      </c>
      <c r="K278" s="50">
        <v>1</v>
      </c>
      <c r="L278" s="50">
        <v>0</v>
      </c>
      <c r="M278" s="445">
        <v>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48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38</v>
      </c>
      <c r="F279" s="50">
        <v>3</v>
      </c>
      <c r="G279" s="50">
        <v>0</v>
      </c>
      <c r="H279" s="50">
        <v>0</v>
      </c>
      <c r="I279" s="50">
        <v>0</v>
      </c>
      <c r="J279" s="50">
        <v>1</v>
      </c>
      <c r="K279" s="50">
        <v>0</v>
      </c>
      <c r="L279" s="50">
        <v>1</v>
      </c>
      <c r="M279" s="445">
        <v>33.33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48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1071</v>
      </c>
      <c r="D280" s="50" t="s">
        <v>351</v>
      </c>
      <c r="E280" s="50">
        <v>22</v>
      </c>
      <c r="F280" s="50">
        <v>3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445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48">
        <v>0</v>
      </c>
      <c r="W280" s="44"/>
    </row>
    <row r="281" spans="1:23" ht="29.1" customHeight="1">
      <c r="A281" s="50" t="s">
        <v>24</v>
      </c>
      <c r="B281" s="50">
        <v>7720</v>
      </c>
      <c r="C281" s="50" t="s">
        <v>1052</v>
      </c>
      <c r="D281" s="50" t="s">
        <v>353</v>
      </c>
      <c r="E281" s="50">
        <v>68</v>
      </c>
      <c r="F281" s="50">
        <v>3</v>
      </c>
      <c r="G281" s="50">
        <v>1</v>
      </c>
      <c r="H281" s="50">
        <v>0</v>
      </c>
      <c r="I281" s="50">
        <v>1</v>
      </c>
      <c r="J281" s="50">
        <v>5</v>
      </c>
      <c r="K281" s="50">
        <v>0</v>
      </c>
      <c r="L281" s="50">
        <v>5</v>
      </c>
      <c r="M281" s="445">
        <v>166.67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1</v>
      </c>
      <c r="U281" s="50">
        <v>-1</v>
      </c>
      <c r="V281" s="348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354</v>
      </c>
      <c r="E282" s="50">
        <v>248</v>
      </c>
      <c r="F282" s="50">
        <v>12</v>
      </c>
      <c r="G282" s="50">
        <v>0</v>
      </c>
      <c r="H282" s="50">
        <v>5</v>
      </c>
      <c r="I282" s="50">
        <v>-5</v>
      </c>
      <c r="J282" s="50">
        <v>3</v>
      </c>
      <c r="K282" s="50">
        <v>5</v>
      </c>
      <c r="L282" s="50">
        <v>-2</v>
      </c>
      <c r="M282" s="445">
        <v>0</v>
      </c>
      <c r="N282" s="44"/>
      <c r="O282" s="50">
        <v>0</v>
      </c>
      <c r="P282" s="50">
        <v>0</v>
      </c>
      <c r="Q282" s="50">
        <v>2</v>
      </c>
      <c r="R282" s="50">
        <v>-2</v>
      </c>
      <c r="S282" s="50">
        <v>1</v>
      </c>
      <c r="T282" s="50">
        <v>2</v>
      </c>
      <c r="U282" s="50">
        <v>-1</v>
      </c>
      <c r="V282" s="348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355</v>
      </c>
      <c r="E283" s="50">
        <v>311</v>
      </c>
      <c r="F283" s="50">
        <v>15</v>
      </c>
      <c r="G283" s="50">
        <v>1</v>
      </c>
      <c r="H283" s="50">
        <v>0</v>
      </c>
      <c r="I283" s="50">
        <v>1</v>
      </c>
      <c r="J283" s="50">
        <v>4</v>
      </c>
      <c r="K283" s="50">
        <v>31</v>
      </c>
      <c r="L283" s="50">
        <v>-27</v>
      </c>
      <c r="M283" s="445">
        <v>0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5</v>
      </c>
      <c r="U283" s="50">
        <v>-5</v>
      </c>
      <c r="V283" s="348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76</v>
      </c>
      <c r="F284" s="50">
        <v>4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445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48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772</v>
      </c>
      <c r="D285" s="50" t="s">
        <v>90</v>
      </c>
      <c r="E285" s="50">
        <v>16</v>
      </c>
      <c r="F285" s="50">
        <v>7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445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48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65</v>
      </c>
      <c r="F286" s="50">
        <v>3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445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48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445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48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357</v>
      </c>
      <c r="E288" s="50">
        <v>162</v>
      </c>
      <c r="F288" s="50">
        <v>8</v>
      </c>
      <c r="G288" s="50">
        <v>0</v>
      </c>
      <c r="H288" s="50">
        <v>0</v>
      </c>
      <c r="I288" s="50">
        <v>0</v>
      </c>
      <c r="J288" s="50">
        <v>1</v>
      </c>
      <c r="K288" s="50">
        <v>0</v>
      </c>
      <c r="L288" s="50">
        <v>1</v>
      </c>
      <c r="M288" s="445">
        <v>12.5</v>
      </c>
      <c r="N288" s="44"/>
      <c r="O288" s="50">
        <v>0</v>
      </c>
      <c r="P288" s="50">
        <v>0</v>
      </c>
      <c r="Q288" s="50">
        <v>1</v>
      </c>
      <c r="R288" s="50">
        <v>-1</v>
      </c>
      <c r="S288" s="50">
        <v>1</v>
      </c>
      <c r="T288" s="50">
        <v>1</v>
      </c>
      <c r="U288" s="50">
        <v>0</v>
      </c>
      <c r="V288" s="348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349</v>
      </c>
      <c r="F289" s="50">
        <v>16</v>
      </c>
      <c r="G289" s="50">
        <v>0</v>
      </c>
      <c r="H289" s="50">
        <v>1</v>
      </c>
      <c r="I289" s="50">
        <v>-1</v>
      </c>
      <c r="J289" s="50">
        <v>1</v>
      </c>
      <c r="K289" s="50">
        <v>1</v>
      </c>
      <c r="L289" s="50">
        <v>0</v>
      </c>
      <c r="M289" s="445">
        <v>0</v>
      </c>
      <c r="N289" s="44"/>
      <c r="O289" s="50">
        <v>0</v>
      </c>
      <c r="P289" s="50">
        <v>0</v>
      </c>
      <c r="Q289" s="50">
        <v>1</v>
      </c>
      <c r="R289" s="50">
        <v>-1</v>
      </c>
      <c r="S289" s="50">
        <v>0</v>
      </c>
      <c r="T289" s="50">
        <v>2</v>
      </c>
      <c r="U289" s="50">
        <v>-2</v>
      </c>
      <c r="V289" s="348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359</v>
      </c>
      <c r="E290" s="50">
        <v>56</v>
      </c>
      <c r="F290" s="50">
        <v>3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445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48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799</v>
      </c>
      <c r="D291" s="50" t="s">
        <v>360</v>
      </c>
      <c r="E291" s="50">
        <v>52</v>
      </c>
      <c r="F291" s="50">
        <v>3</v>
      </c>
      <c r="G291" s="50">
        <v>1</v>
      </c>
      <c r="H291" s="50">
        <v>0</v>
      </c>
      <c r="I291" s="50">
        <v>1</v>
      </c>
      <c r="J291" s="50">
        <v>1</v>
      </c>
      <c r="K291" s="50">
        <v>0</v>
      </c>
      <c r="L291" s="50">
        <v>1</v>
      </c>
      <c r="M291" s="445">
        <v>33.33</v>
      </c>
      <c r="N291" s="44"/>
      <c r="O291" s="50">
        <v>0</v>
      </c>
      <c r="P291" s="50">
        <v>1</v>
      </c>
      <c r="Q291" s="50">
        <v>1</v>
      </c>
      <c r="R291" s="50">
        <v>0</v>
      </c>
      <c r="S291" s="50">
        <v>1</v>
      </c>
      <c r="T291" s="50">
        <v>2</v>
      </c>
      <c r="U291" s="50">
        <v>-1</v>
      </c>
      <c r="V291" s="348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277</v>
      </c>
      <c r="D292" s="50" t="s">
        <v>33</v>
      </c>
      <c r="E292" s="50">
        <v>287</v>
      </c>
      <c r="F292" s="50">
        <v>14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445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48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374</v>
      </c>
      <c r="D293" s="50" t="s">
        <v>47</v>
      </c>
      <c r="E293" s="50">
        <v>21</v>
      </c>
      <c r="F293" s="50">
        <v>3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445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48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800</v>
      </c>
      <c r="D294" s="50" t="s">
        <v>362</v>
      </c>
      <c r="E294" s="50">
        <v>62</v>
      </c>
      <c r="F294" s="50">
        <v>3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445">
        <v>0</v>
      </c>
      <c r="N294" s="44"/>
      <c r="O294" s="50">
        <v>0</v>
      </c>
      <c r="P294" s="50">
        <v>0</v>
      </c>
      <c r="Q294" s="50">
        <v>1</v>
      </c>
      <c r="R294" s="50">
        <v>-1</v>
      </c>
      <c r="S294" s="50">
        <v>0</v>
      </c>
      <c r="T294" s="50">
        <v>3</v>
      </c>
      <c r="U294" s="50">
        <v>-3</v>
      </c>
      <c r="V294" s="348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249</v>
      </c>
      <c r="F295" s="50">
        <v>12</v>
      </c>
      <c r="G295" s="50">
        <v>0</v>
      </c>
      <c r="H295" s="50">
        <v>1</v>
      </c>
      <c r="I295" s="50">
        <v>-1</v>
      </c>
      <c r="J295" s="50">
        <v>1</v>
      </c>
      <c r="K295" s="50">
        <v>5</v>
      </c>
      <c r="L295" s="50">
        <v>-4</v>
      </c>
      <c r="M295" s="445">
        <v>0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1</v>
      </c>
      <c r="U295" s="50">
        <v>-1</v>
      </c>
      <c r="V295" s="348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363</v>
      </c>
      <c r="E296" s="50">
        <v>252</v>
      </c>
      <c r="F296" s="50">
        <v>12</v>
      </c>
      <c r="G296" s="50">
        <v>0</v>
      </c>
      <c r="H296" s="50">
        <v>0</v>
      </c>
      <c r="I296" s="50">
        <v>0</v>
      </c>
      <c r="J296" s="50">
        <v>2</v>
      </c>
      <c r="K296" s="50">
        <v>0</v>
      </c>
      <c r="L296" s="50">
        <v>2</v>
      </c>
      <c r="M296" s="445">
        <v>16.670000000000002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3</v>
      </c>
      <c r="T296" s="50">
        <v>1</v>
      </c>
      <c r="U296" s="50">
        <v>2</v>
      </c>
      <c r="V296" s="348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349</v>
      </c>
      <c r="F297" s="50">
        <v>17</v>
      </c>
      <c r="G297" s="50">
        <v>0</v>
      </c>
      <c r="H297" s="50">
        <v>0</v>
      </c>
      <c r="I297" s="50">
        <v>0</v>
      </c>
      <c r="J297" s="50">
        <v>5</v>
      </c>
      <c r="K297" s="50">
        <v>0</v>
      </c>
      <c r="L297" s="50">
        <v>5</v>
      </c>
      <c r="M297" s="445">
        <v>29.41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3</v>
      </c>
      <c r="U297" s="50">
        <v>-3</v>
      </c>
      <c r="V297" s="348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365</v>
      </c>
      <c r="E298" s="50">
        <v>133</v>
      </c>
      <c r="F298" s="50">
        <v>7</v>
      </c>
      <c r="G298" s="50">
        <v>0</v>
      </c>
      <c r="H298" s="50">
        <v>5</v>
      </c>
      <c r="I298" s="50">
        <v>-5</v>
      </c>
      <c r="J298" s="50">
        <v>0</v>
      </c>
      <c r="K298" s="50">
        <v>5</v>
      </c>
      <c r="L298" s="50">
        <v>-5</v>
      </c>
      <c r="M298" s="445">
        <v>0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1</v>
      </c>
      <c r="T298" s="50">
        <v>0</v>
      </c>
      <c r="U298" s="50">
        <v>1</v>
      </c>
      <c r="V298" s="348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100</v>
      </c>
      <c r="F299" s="50">
        <v>5</v>
      </c>
      <c r="G299" s="50">
        <v>2</v>
      </c>
      <c r="H299" s="50">
        <v>0</v>
      </c>
      <c r="I299" s="50">
        <v>2</v>
      </c>
      <c r="J299" s="50">
        <v>4</v>
      </c>
      <c r="K299" s="50">
        <v>0</v>
      </c>
      <c r="L299" s="50">
        <v>4</v>
      </c>
      <c r="M299" s="445">
        <v>80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48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366</v>
      </c>
      <c r="E300" s="50">
        <v>116</v>
      </c>
      <c r="F300" s="50">
        <v>6</v>
      </c>
      <c r="G300" s="50">
        <v>1</v>
      </c>
      <c r="H300" s="50">
        <v>0</v>
      </c>
      <c r="I300" s="50">
        <v>1</v>
      </c>
      <c r="J300" s="50">
        <v>2</v>
      </c>
      <c r="K300" s="50">
        <v>0</v>
      </c>
      <c r="L300" s="50">
        <v>2</v>
      </c>
      <c r="M300" s="445">
        <v>33.33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2</v>
      </c>
      <c r="U300" s="50">
        <v>-2</v>
      </c>
      <c r="V300" s="348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367</v>
      </c>
      <c r="E301" s="50">
        <v>78</v>
      </c>
      <c r="F301" s="50">
        <v>4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445">
        <v>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4</v>
      </c>
      <c r="U301" s="50">
        <v>-4</v>
      </c>
      <c r="V301" s="348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352</v>
      </c>
      <c r="D302" s="50" t="s">
        <v>23</v>
      </c>
      <c r="E302" s="50">
        <v>60</v>
      </c>
      <c r="F302" s="50">
        <v>3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445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348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405</v>
      </c>
      <c r="F303" s="50">
        <v>20</v>
      </c>
      <c r="G303" s="50">
        <v>0</v>
      </c>
      <c r="H303" s="50">
        <v>0</v>
      </c>
      <c r="I303" s="50">
        <v>0</v>
      </c>
      <c r="J303" s="50">
        <v>5</v>
      </c>
      <c r="K303" s="50">
        <v>0</v>
      </c>
      <c r="L303" s="50">
        <v>5</v>
      </c>
      <c r="M303" s="445">
        <v>25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1</v>
      </c>
      <c r="T303" s="50">
        <v>0</v>
      </c>
      <c r="U303" s="50">
        <v>1</v>
      </c>
      <c r="V303" s="348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381</v>
      </c>
      <c r="D304" s="50" t="s">
        <v>43</v>
      </c>
      <c r="E304" s="50">
        <v>52</v>
      </c>
      <c r="F304" s="50">
        <v>3</v>
      </c>
      <c r="G304" s="50">
        <v>0</v>
      </c>
      <c r="H304" s="50">
        <v>0</v>
      </c>
      <c r="I304" s="50">
        <v>0</v>
      </c>
      <c r="J304" s="50">
        <v>1</v>
      </c>
      <c r="K304" s="50">
        <v>0</v>
      </c>
      <c r="L304" s="50">
        <v>1</v>
      </c>
      <c r="M304" s="445">
        <v>33.33</v>
      </c>
      <c r="N304" s="44"/>
      <c r="O304" s="50">
        <v>0</v>
      </c>
      <c r="P304" s="50">
        <v>0</v>
      </c>
      <c r="Q304" s="50">
        <v>1</v>
      </c>
      <c r="R304" s="50">
        <v>-1</v>
      </c>
      <c r="S304" s="50">
        <v>0</v>
      </c>
      <c r="T304" s="50">
        <v>1</v>
      </c>
      <c r="U304" s="50">
        <v>-1</v>
      </c>
      <c r="V304" s="348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379</v>
      </c>
      <c r="D305" s="50" t="s">
        <v>27</v>
      </c>
      <c r="E305" s="50">
        <v>37</v>
      </c>
      <c r="F305" s="50">
        <v>3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445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48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776</v>
      </c>
      <c r="D306" s="50" t="s">
        <v>368</v>
      </c>
      <c r="E306" s="50">
        <v>101</v>
      </c>
      <c r="F306" s="50">
        <v>5</v>
      </c>
      <c r="G306" s="50">
        <v>0</v>
      </c>
      <c r="H306" s="50">
        <v>0</v>
      </c>
      <c r="I306" s="50">
        <v>0</v>
      </c>
      <c r="J306" s="50">
        <v>2</v>
      </c>
      <c r="K306" s="50">
        <v>0</v>
      </c>
      <c r="L306" s="50">
        <v>2</v>
      </c>
      <c r="M306" s="445">
        <v>40</v>
      </c>
      <c r="N306" s="44"/>
      <c r="O306" s="50">
        <v>0</v>
      </c>
      <c r="P306" s="50">
        <v>0</v>
      </c>
      <c r="Q306" s="50">
        <v>1</v>
      </c>
      <c r="R306" s="50">
        <v>-1</v>
      </c>
      <c r="S306" s="50">
        <v>2</v>
      </c>
      <c r="T306" s="50">
        <v>1</v>
      </c>
      <c r="U306" s="50">
        <v>1</v>
      </c>
      <c r="V306" s="348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708</v>
      </c>
      <c r="D307" s="50" t="s">
        <v>33</v>
      </c>
      <c r="E307" s="50">
        <v>307</v>
      </c>
      <c r="F307" s="50">
        <v>14</v>
      </c>
      <c r="G307" s="50">
        <v>0</v>
      </c>
      <c r="H307" s="50">
        <v>1</v>
      </c>
      <c r="I307" s="50">
        <v>-1</v>
      </c>
      <c r="J307" s="50">
        <v>0</v>
      </c>
      <c r="K307" s="50">
        <v>2</v>
      </c>
      <c r="L307" s="50">
        <v>-2</v>
      </c>
      <c r="M307" s="445">
        <v>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1</v>
      </c>
      <c r="U307" s="50">
        <v>-1</v>
      </c>
      <c r="V307" s="348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799</v>
      </c>
      <c r="D308" s="50" t="s">
        <v>150</v>
      </c>
      <c r="E308" s="50">
        <v>123</v>
      </c>
      <c r="F308" s="50">
        <v>6</v>
      </c>
      <c r="G308" s="50">
        <v>0</v>
      </c>
      <c r="H308" s="50">
        <v>0</v>
      </c>
      <c r="I308" s="50">
        <v>0</v>
      </c>
      <c r="J308" s="50">
        <v>1</v>
      </c>
      <c r="K308" s="50">
        <v>0</v>
      </c>
      <c r="L308" s="50">
        <v>1</v>
      </c>
      <c r="M308" s="445">
        <v>16.670000000000002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48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370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445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48">
        <v>0</v>
      </c>
      <c r="W309" s="44"/>
    </row>
    <row r="310" spans="1:23" ht="29.1" customHeight="1">
      <c r="A310" s="50" t="s">
        <v>24</v>
      </c>
      <c r="B310" s="50">
        <v>8131</v>
      </c>
      <c r="C310" s="50" t="s">
        <v>50</v>
      </c>
      <c r="D310" s="50" t="s">
        <v>371</v>
      </c>
      <c r="E310" s="50">
        <v>94</v>
      </c>
      <c r="F310" s="50">
        <v>4</v>
      </c>
      <c r="G310" s="50">
        <v>0</v>
      </c>
      <c r="H310" s="50">
        <v>0</v>
      </c>
      <c r="I310" s="50">
        <v>0</v>
      </c>
      <c r="J310" s="50">
        <v>5</v>
      </c>
      <c r="K310" s="50">
        <v>0</v>
      </c>
      <c r="L310" s="50">
        <v>5</v>
      </c>
      <c r="M310" s="445">
        <v>125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0</v>
      </c>
      <c r="U310" s="50">
        <v>1</v>
      </c>
      <c r="V310" s="348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516</v>
      </c>
      <c r="D311" s="50" t="s">
        <v>55</v>
      </c>
      <c r="E311" s="50">
        <v>157</v>
      </c>
      <c r="F311" s="50">
        <v>8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445">
        <v>0</v>
      </c>
      <c r="N311" s="44"/>
      <c r="O311" s="50">
        <v>0</v>
      </c>
      <c r="P311" s="50">
        <v>0</v>
      </c>
      <c r="Q311" s="50">
        <v>1</v>
      </c>
      <c r="R311" s="50">
        <v>-1</v>
      </c>
      <c r="S311" s="50">
        <v>0</v>
      </c>
      <c r="T311" s="50">
        <v>3</v>
      </c>
      <c r="U311" s="50">
        <v>-3</v>
      </c>
      <c r="V311" s="348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3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445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48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801</v>
      </c>
      <c r="D313" s="50" t="s">
        <v>373</v>
      </c>
      <c r="E313" s="50">
        <v>128</v>
      </c>
      <c r="F313" s="50">
        <v>6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445">
        <v>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48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329</v>
      </c>
      <c r="F314" s="50">
        <v>15</v>
      </c>
      <c r="G314" s="50">
        <v>0</v>
      </c>
      <c r="H314" s="50">
        <v>1</v>
      </c>
      <c r="I314" s="50">
        <v>-1</v>
      </c>
      <c r="J314" s="50">
        <v>0</v>
      </c>
      <c r="K314" s="50">
        <v>1</v>
      </c>
      <c r="L314" s="50">
        <v>-1</v>
      </c>
      <c r="M314" s="445">
        <v>0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5</v>
      </c>
      <c r="U314" s="50">
        <v>-5</v>
      </c>
      <c r="V314" s="348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786</v>
      </c>
      <c r="D315" s="50" t="s">
        <v>375</v>
      </c>
      <c r="E315" s="50">
        <v>244</v>
      </c>
      <c r="F315" s="50">
        <v>11</v>
      </c>
      <c r="G315" s="50">
        <v>0</v>
      </c>
      <c r="H315" s="50">
        <v>0</v>
      </c>
      <c r="I315" s="50">
        <v>0</v>
      </c>
      <c r="J315" s="50">
        <v>5</v>
      </c>
      <c r="K315" s="50">
        <v>0</v>
      </c>
      <c r="L315" s="50">
        <v>5</v>
      </c>
      <c r="M315" s="445">
        <v>45.45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1</v>
      </c>
      <c r="T315" s="50">
        <v>3</v>
      </c>
      <c r="U315" s="50">
        <v>-2</v>
      </c>
      <c r="V315" s="348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168</v>
      </c>
      <c r="F316" s="50">
        <v>8</v>
      </c>
      <c r="G316" s="50">
        <v>0</v>
      </c>
      <c r="H316" s="50">
        <v>0</v>
      </c>
      <c r="I316" s="50">
        <v>0</v>
      </c>
      <c r="J316" s="50">
        <v>1</v>
      </c>
      <c r="K316" s="50">
        <v>0</v>
      </c>
      <c r="L316" s="50">
        <v>1</v>
      </c>
      <c r="M316" s="445">
        <v>12.5</v>
      </c>
      <c r="N316" s="44"/>
      <c r="O316" s="50">
        <v>0</v>
      </c>
      <c r="P316" s="50">
        <v>0</v>
      </c>
      <c r="Q316" s="50">
        <v>1</v>
      </c>
      <c r="R316" s="50">
        <v>-1</v>
      </c>
      <c r="S316" s="50">
        <v>0</v>
      </c>
      <c r="T316" s="50">
        <v>1</v>
      </c>
      <c r="U316" s="50">
        <v>-1</v>
      </c>
      <c r="V316" s="348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268</v>
      </c>
      <c r="D317" s="50" t="s">
        <v>43</v>
      </c>
      <c r="E317" s="50">
        <v>139</v>
      </c>
      <c r="F317" s="50">
        <v>7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445">
        <v>0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348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376</v>
      </c>
      <c r="E318" s="50">
        <v>95</v>
      </c>
      <c r="F318" s="50">
        <v>5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445">
        <v>0</v>
      </c>
      <c r="N318" s="44"/>
      <c r="O318" s="50">
        <v>0</v>
      </c>
      <c r="P318" s="50">
        <v>0</v>
      </c>
      <c r="Q318" s="50">
        <v>1</v>
      </c>
      <c r="R318" s="50">
        <v>-1</v>
      </c>
      <c r="S318" s="50">
        <v>0</v>
      </c>
      <c r="T318" s="50">
        <v>1</v>
      </c>
      <c r="U318" s="50">
        <v>-1</v>
      </c>
      <c r="V318" s="348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377</v>
      </c>
      <c r="E319" s="50">
        <v>53</v>
      </c>
      <c r="F319" s="50">
        <v>3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445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48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378</v>
      </c>
      <c r="E320" s="50">
        <v>68</v>
      </c>
      <c r="F320" s="50">
        <v>3</v>
      </c>
      <c r="G320" s="50">
        <v>0</v>
      </c>
      <c r="H320" s="50">
        <v>0</v>
      </c>
      <c r="I320" s="50">
        <v>0</v>
      </c>
      <c r="J320" s="50">
        <v>1</v>
      </c>
      <c r="K320" s="50">
        <v>0</v>
      </c>
      <c r="L320" s="50">
        <v>1</v>
      </c>
      <c r="M320" s="445">
        <v>33.33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48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405</v>
      </c>
      <c r="D321" s="50" t="s">
        <v>33</v>
      </c>
      <c r="E321" s="50">
        <v>108</v>
      </c>
      <c r="F321" s="50">
        <v>5</v>
      </c>
      <c r="G321" s="50">
        <v>0</v>
      </c>
      <c r="H321" s="50">
        <v>0</v>
      </c>
      <c r="I321" s="50">
        <v>0</v>
      </c>
      <c r="J321" s="50">
        <v>1</v>
      </c>
      <c r="K321" s="50">
        <v>0</v>
      </c>
      <c r="L321" s="50">
        <v>1</v>
      </c>
      <c r="M321" s="445">
        <v>20</v>
      </c>
      <c r="N321" s="44"/>
      <c r="O321" s="50">
        <v>0</v>
      </c>
      <c r="P321" s="50">
        <v>1</v>
      </c>
      <c r="Q321" s="50">
        <v>0</v>
      </c>
      <c r="R321" s="50">
        <v>1</v>
      </c>
      <c r="S321" s="50">
        <v>2</v>
      </c>
      <c r="T321" s="50">
        <v>0</v>
      </c>
      <c r="U321" s="50">
        <v>2</v>
      </c>
      <c r="V321" s="348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380</v>
      </c>
      <c r="E322" s="50">
        <v>27</v>
      </c>
      <c r="F322" s="50">
        <v>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445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48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194</v>
      </c>
      <c r="F323" s="50">
        <v>10</v>
      </c>
      <c r="G323" s="50">
        <v>0</v>
      </c>
      <c r="H323" s="50">
        <v>0</v>
      </c>
      <c r="I323" s="50">
        <v>0</v>
      </c>
      <c r="J323" s="50">
        <v>4</v>
      </c>
      <c r="K323" s="50">
        <v>0</v>
      </c>
      <c r="L323" s="50">
        <v>4</v>
      </c>
      <c r="M323" s="445">
        <v>40</v>
      </c>
      <c r="N323" s="44"/>
      <c r="O323" s="50">
        <v>0</v>
      </c>
      <c r="P323" s="50">
        <v>0</v>
      </c>
      <c r="Q323" s="50">
        <v>0</v>
      </c>
      <c r="R323" s="50">
        <v>0</v>
      </c>
      <c r="S323" s="50">
        <v>3</v>
      </c>
      <c r="T323" s="50">
        <v>1</v>
      </c>
      <c r="U323" s="50">
        <v>2</v>
      </c>
      <c r="V323" s="348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802</v>
      </c>
      <c r="D324" s="50" t="s">
        <v>382</v>
      </c>
      <c r="E324" s="50">
        <v>335</v>
      </c>
      <c r="F324" s="50">
        <v>17</v>
      </c>
      <c r="G324" s="50">
        <v>0</v>
      </c>
      <c r="H324" s="50">
        <v>0</v>
      </c>
      <c r="I324" s="50">
        <v>0</v>
      </c>
      <c r="J324" s="50">
        <v>4</v>
      </c>
      <c r="K324" s="50">
        <v>1</v>
      </c>
      <c r="L324" s="50">
        <v>3</v>
      </c>
      <c r="M324" s="445">
        <v>17.649999999999999</v>
      </c>
      <c r="N324" s="44"/>
      <c r="O324" s="50">
        <v>0</v>
      </c>
      <c r="P324" s="50">
        <v>1</v>
      </c>
      <c r="Q324" s="50">
        <v>0</v>
      </c>
      <c r="R324" s="50">
        <v>1</v>
      </c>
      <c r="S324" s="50">
        <v>1</v>
      </c>
      <c r="T324" s="50">
        <v>2</v>
      </c>
      <c r="U324" s="50">
        <v>-1</v>
      </c>
      <c r="V324" s="348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168</v>
      </c>
      <c r="D325" s="50" t="s">
        <v>27</v>
      </c>
      <c r="E325" s="50">
        <v>108</v>
      </c>
      <c r="F325" s="50">
        <v>5</v>
      </c>
      <c r="G325" s="50">
        <v>0</v>
      </c>
      <c r="H325" s="50">
        <v>0</v>
      </c>
      <c r="I325" s="50">
        <v>0</v>
      </c>
      <c r="J325" s="50">
        <v>2</v>
      </c>
      <c r="K325" s="50">
        <v>0</v>
      </c>
      <c r="L325" s="50">
        <v>2</v>
      </c>
      <c r="M325" s="445">
        <v>40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348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383</v>
      </c>
      <c r="E326" s="50">
        <v>353</v>
      </c>
      <c r="F326" s="50">
        <v>17</v>
      </c>
      <c r="G326" s="50">
        <v>0</v>
      </c>
      <c r="H326" s="50">
        <v>1</v>
      </c>
      <c r="I326" s="50">
        <v>-1</v>
      </c>
      <c r="J326" s="50">
        <v>0</v>
      </c>
      <c r="K326" s="50">
        <v>9</v>
      </c>
      <c r="L326" s="50">
        <v>-9</v>
      </c>
      <c r="M326" s="445">
        <v>0</v>
      </c>
      <c r="N326" s="325"/>
      <c r="O326" s="50">
        <v>0</v>
      </c>
      <c r="P326" s="50">
        <v>0</v>
      </c>
      <c r="Q326" s="50">
        <v>0</v>
      </c>
      <c r="R326" s="50">
        <v>0</v>
      </c>
      <c r="S326" s="50">
        <v>1</v>
      </c>
      <c r="T326" s="50">
        <v>1</v>
      </c>
      <c r="U326" s="50">
        <v>0</v>
      </c>
      <c r="V326" s="348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801</v>
      </c>
      <c r="D327" s="50" t="s">
        <v>384</v>
      </c>
      <c r="E327" s="50">
        <v>74</v>
      </c>
      <c r="F327" s="50">
        <v>4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445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48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386</v>
      </c>
      <c r="E328" s="50">
        <v>135</v>
      </c>
      <c r="F328" s="50">
        <v>7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445">
        <v>0</v>
      </c>
      <c r="N328" s="44"/>
      <c r="O328" s="50">
        <v>0</v>
      </c>
      <c r="P328" s="50">
        <v>0</v>
      </c>
      <c r="Q328" s="50">
        <v>1</v>
      </c>
      <c r="R328" s="50">
        <v>-1</v>
      </c>
      <c r="S328" s="50">
        <v>4</v>
      </c>
      <c r="T328" s="50">
        <v>2</v>
      </c>
      <c r="U328" s="50">
        <v>2</v>
      </c>
      <c r="V328" s="348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387</v>
      </c>
      <c r="E329" s="50">
        <v>87</v>
      </c>
      <c r="F329" s="50">
        <v>4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445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48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388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445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48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801</v>
      </c>
      <c r="D331" s="50" t="s">
        <v>389</v>
      </c>
      <c r="E331" s="50">
        <v>54</v>
      </c>
      <c r="F331" s="50">
        <v>3</v>
      </c>
      <c r="G331" s="50">
        <v>0</v>
      </c>
      <c r="H331" s="50">
        <v>0</v>
      </c>
      <c r="I331" s="50">
        <v>0</v>
      </c>
      <c r="J331" s="50">
        <v>1</v>
      </c>
      <c r="K331" s="50">
        <v>0</v>
      </c>
      <c r="L331" s="50">
        <v>1</v>
      </c>
      <c r="M331" s="445">
        <v>33.33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1</v>
      </c>
      <c r="U331" s="50">
        <v>-1</v>
      </c>
      <c r="V331" s="348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815</v>
      </c>
      <c r="D332" s="50" t="s">
        <v>322</v>
      </c>
      <c r="E332" s="50">
        <v>19</v>
      </c>
      <c r="F332" s="50">
        <v>4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445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48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356</v>
      </c>
      <c r="D333" s="50" t="s">
        <v>51</v>
      </c>
      <c r="E333" s="50">
        <v>121</v>
      </c>
      <c r="F333" s="50">
        <v>6</v>
      </c>
      <c r="G333" s="50">
        <v>0</v>
      </c>
      <c r="H333" s="50">
        <v>0</v>
      </c>
      <c r="I333" s="50">
        <v>0</v>
      </c>
      <c r="J333" s="50">
        <v>1</v>
      </c>
      <c r="K333" s="50">
        <v>0</v>
      </c>
      <c r="L333" s="50">
        <v>1</v>
      </c>
      <c r="M333" s="445">
        <v>16.670000000000002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1</v>
      </c>
      <c r="T333" s="50">
        <v>0</v>
      </c>
      <c r="U333" s="50">
        <v>1</v>
      </c>
      <c r="V333" s="348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358</v>
      </c>
      <c r="D334" s="50" t="s">
        <v>33</v>
      </c>
      <c r="E334" s="50">
        <v>173</v>
      </c>
      <c r="F334" s="50">
        <v>9</v>
      </c>
      <c r="G334" s="50">
        <v>2</v>
      </c>
      <c r="H334" s="50">
        <v>0</v>
      </c>
      <c r="I334" s="50">
        <v>2</v>
      </c>
      <c r="J334" s="50">
        <v>3</v>
      </c>
      <c r="K334" s="50">
        <v>0</v>
      </c>
      <c r="L334" s="50">
        <v>3</v>
      </c>
      <c r="M334" s="445">
        <v>33.33</v>
      </c>
      <c r="N334" s="50"/>
      <c r="O334" s="50">
        <v>0</v>
      </c>
      <c r="P334" s="50">
        <v>0</v>
      </c>
      <c r="Q334" s="50">
        <v>0</v>
      </c>
      <c r="R334" s="50">
        <v>0</v>
      </c>
      <c r="S334" s="50">
        <v>1</v>
      </c>
      <c r="T334" s="50">
        <v>1</v>
      </c>
      <c r="U334" s="50">
        <v>0</v>
      </c>
      <c r="V334" s="348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3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445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48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348</v>
      </c>
      <c r="D336" s="50" t="s">
        <v>390</v>
      </c>
      <c r="E336" s="50">
        <v>269</v>
      </c>
      <c r="F336" s="50">
        <v>13</v>
      </c>
      <c r="G336" s="50">
        <v>0</v>
      </c>
      <c r="H336" s="50">
        <v>0</v>
      </c>
      <c r="I336" s="50">
        <v>0</v>
      </c>
      <c r="J336" s="50">
        <v>6</v>
      </c>
      <c r="K336" s="50">
        <v>0</v>
      </c>
      <c r="L336" s="50">
        <v>6</v>
      </c>
      <c r="M336" s="445">
        <v>46.15</v>
      </c>
      <c r="N336" s="44"/>
      <c r="O336" s="50">
        <v>0</v>
      </c>
      <c r="P336" s="50">
        <v>1</v>
      </c>
      <c r="Q336" s="50">
        <v>0</v>
      </c>
      <c r="R336" s="50">
        <v>1</v>
      </c>
      <c r="S336" s="50">
        <v>4</v>
      </c>
      <c r="T336" s="50">
        <v>2</v>
      </c>
      <c r="U336" s="50">
        <v>2</v>
      </c>
      <c r="V336" s="348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134</v>
      </c>
      <c r="D337" s="50" t="s">
        <v>27</v>
      </c>
      <c r="E337" s="50">
        <v>116</v>
      </c>
      <c r="F337" s="50">
        <v>6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445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1</v>
      </c>
      <c r="U337" s="50">
        <v>-1</v>
      </c>
      <c r="V337" s="348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392</v>
      </c>
      <c r="E338" s="50">
        <v>104</v>
      </c>
      <c r="F338" s="50">
        <v>5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445">
        <v>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1</v>
      </c>
      <c r="T338" s="50">
        <v>0</v>
      </c>
      <c r="U338" s="50">
        <v>1</v>
      </c>
      <c r="V338" s="348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1051</v>
      </c>
      <c r="D339" s="50" t="s">
        <v>33</v>
      </c>
      <c r="E339" s="50">
        <v>475</v>
      </c>
      <c r="F339" s="50">
        <v>20</v>
      </c>
      <c r="G339" s="50">
        <v>0</v>
      </c>
      <c r="H339" s="50">
        <v>2</v>
      </c>
      <c r="I339" s="50">
        <v>-2</v>
      </c>
      <c r="J339" s="50">
        <v>2</v>
      </c>
      <c r="K339" s="50">
        <v>14</v>
      </c>
      <c r="L339" s="50">
        <v>-12</v>
      </c>
      <c r="M339" s="445">
        <v>0</v>
      </c>
      <c r="N339" s="44"/>
      <c r="O339" s="50">
        <v>0</v>
      </c>
      <c r="P339" s="50">
        <v>0</v>
      </c>
      <c r="Q339" s="50">
        <v>2</v>
      </c>
      <c r="R339" s="50">
        <v>-2</v>
      </c>
      <c r="S339" s="50">
        <v>0</v>
      </c>
      <c r="T339" s="50">
        <v>5</v>
      </c>
      <c r="U339" s="50">
        <v>-5</v>
      </c>
      <c r="V339" s="348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393</v>
      </c>
      <c r="E340" s="50">
        <v>150</v>
      </c>
      <c r="F340" s="50">
        <v>7</v>
      </c>
      <c r="G340" s="50">
        <v>0</v>
      </c>
      <c r="H340" s="50">
        <v>0</v>
      </c>
      <c r="I340" s="50">
        <v>0</v>
      </c>
      <c r="J340" s="50">
        <v>1</v>
      </c>
      <c r="K340" s="50">
        <v>0</v>
      </c>
      <c r="L340" s="50">
        <v>1</v>
      </c>
      <c r="M340" s="445">
        <v>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48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233</v>
      </c>
      <c r="D341" s="50" t="s">
        <v>394</v>
      </c>
      <c r="E341" s="50">
        <v>294</v>
      </c>
      <c r="F341" s="50">
        <v>15</v>
      </c>
      <c r="G341" s="50">
        <v>0</v>
      </c>
      <c r="H341" s="50">
        <v>0</v>
      </c>
      <c r="I341" s="50">
        <v>0</v>
      </c>
      <c r="J341" s="50">
        <v>11</v>
      </c>
      <c r="K341" s="50">
        <v>0</v>
      </c>
      <c r="L341" s="50">
        <v>11</v>
      </c>
      <c r="M341" s="445">
        <v>73.33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1</v>
      </c>
      <c r="U341" s="50">
        <v>-1</v>
      </c>
      <c r="V341" s="348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782</v>
      </c>
      <c r="D342" s="50" t="s">
        <v>395</v>
      </c>
      <c r="E342" s="50">
        <v>344</v>
      </c>
      <c r="F342" s="50">
        <v>16</v>
      </c>
      <c r="G342" s="50">
        <v>0</v>
      </c>
      <c r="H342" s="50">
        <v>1</v>
      </c>
      <c r="I342" s="50">
        <v>-1</v>
      </c>
      <c r="J342" s="50">
        <v>0</v>
      </c>
      <c r="K342" s="50">
        <v>2</v>
      </c>
      <c r="L342" s="50">
        <v>-2</v>
      </c>
      <c r="M342" s="445">
        <v>0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2</v>
      </c>
      <c r="T342" s="50">
        <v>3</v>
      </c>
      <c r="U342" s="50">
        <v>-1</v>
      </c>
      <c r="V342" s="348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800</v>
      </c>
      <c r="D343" s="50" t="s">
        <v>396</v>
      </c>
      <c r="E343" s="50">
        <v>35</v>
      </c>
      <c r="F343" s="50">
        <v>3</v>
      </c>
      <c r="G343" s="50">
        <v>0</v>
      </c>
      <c r="H343" s="50">
        <v>0</v>
      </c>
      <c r="I343" s="50">
        <v>0</v>
      </c>
      <c r="J343" s="50">
        <v>2</v>
      </c>
      <c r="K343" s="50">
        <v>0</v>
      </c>
      <c r="L343" s="50">
        <v>2</v>
      </c>
      <c r="M343" s="445">
        <v>66.67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48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397</v>
      </c>
      <c r="E344" s="50">
        <v>244</v>
      </c>
      <c r="F344" s="50">
        <v>12</v>
      </c>
      <c r="G344" s="50">
        <v>0</v>
      </c>
      <c r="H344" s="50">
        <v>0</v>
      </c>
      <c r="I344" s="50">
        <v>0</v>
      </c>
      <c r="J344" s="50">
        <v>1</v>
      </c>
      <c r="K344" s="50">
        <v>3</v>
      </c>
      <c r="L344" s="50">
        <v>-2</v>
      </c>
      <c r="M344" s="445">
        <v>0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3</v>
      </c>
      <c r="T344" s="50">
        <v>3</v>
      </c>
      <c r="U344" s="50">
        <v>0</v>
      </c>
      <c r="V344" s="348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296</v>
      </c>
      <c r="D345" s="50" t="s">
        <v>398</v>
      </c>
      <c r="E345" s="50">
        <v>118</v>
      </c>
      <c r="F345" s="50">
        <v>6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445">
        <v>0</v>
      </c>
      <c r="N345" s="44"/>
      <c r="O345" s="50">
        <v>0</v>
      </c>
      <c r="P345" s="50">
        <v>0</v>
      </c>
      <c r="Q345" s="50">
        <v>1</v>
      </c>
      <c r="R345" s="50">
        <v>-1</v>
      </c>
      <c r="S345" s="50">
        <v>0</v>
      </c>
      <c r="T345" s="50">
        <v>1</v>
      </c>
      <c r="U345" s="50">
        <v>-1</v>
      </c>
      <c r="V345" s="348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803</v>
      </c>
      <c r="D346" s="50" t="s">
        <v>399</v>
      </c>
      <c r="E346" s="50">
        <v>80</v>
      </c>
      <c r="F346" s="50">
        <v>4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445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348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788</v>
      </c>
      <c r="D347" s="50" t="s">
        <v>400</v>
      </c>
      <c r="E347" s="50">
        <v>20</v>
      </c>
      <c r="F347" s="50">
        <v>3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445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48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795</v>
      </c>
      <c r="D348" s="50" t="s">
        <v>401</v>
      </c>
      <c r="E348" s="50">
        <v>63</v>
      </c>
      <c r="F348" s="50">
        <v>3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445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48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402</v>
      </c>
      <c r="E349" s="50">
        <v>82</v>
      </c>
      <c r="F349" s="50">
        <v>4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445">
        <v>0</v>
      </c>
      <c r="N349" s="44"/>
      <c r="O349" s="50">
        <v>0</v>
      </c>
      <c r="P349" s="50">
        <v>0</v>
      </c>
      <c r="Q349" s="50">
        <v>1</v>
      </c>
      <c r="R349" s="50">
        <v>-1</v>
      </c>
      <c r="S349" s="50">
        <v>0</v>
      </c>
      <c r="T349" s="50">
        <v>1</v>
      </c>
      <c r="U349" s="50">
        <v>-1</v>
      </c>
      <c r="V349" s="348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84</v>
      </c>
      <c r="D350" s="50" t="s">
        <v>403</v>
      </c>
      <c r="E350" s="50">
        <v>107</v>
      </c>
      <c r="F350" s="50">
        <v>5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445">
        <v>0</v>
      </c>
      <c r="N350" s="44"/>
      <c r="O350" s="50">
        <v>0</v>
      </c>
      <c r="P350" s="50">
        <v>0</v>
      </c>
      <c r="Q350" s="50">
        <v>1</v>
      </c>
      <c r="R350" s="50">
        <v>-1</v>
      </c>
      <c r="S350" s="50">
        <v>0</v>
      </c>
      <c r="T350" s="50">
        <v>1</v>
      </c>
      <c r="U350" s="50">
        <v>-1</v>
      </c>
      <c r="V350" s="348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405</v>
      </c>
      <c r="D351" s="50" t="s">
        <v>33</v>
      </c>
      <c r="E351" s="50">
        <v>49</v>
      </c>
      <c r="F351" s="50">
        <v>3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445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48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702</v>
      </c>
      <c r="D352" s="50" t="s">
        <v>27</v>
      </c>
      <c r="E352" s="50">
        <v>125</v>
      </c>
      <c r="F352" s="50">
        <v>6</v>
      </c>
      <c r="G352" s="50">
        <v>0</v>
      </c>
      <c r="H352" s="50">
        <v>0</v>
      </c>
      <c r="I352" s="50">
        <v>0</v>
      </c>
      <c r="J352" s="50">
        <v>2</v>
      </c>
      <c r="K352" s="50">
        <v>0</v>
      </c>
      <c r="L352" s="50">
        <v>2</v>
      </c>
      <c r="M352" s="445">
        <v>33.33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2</v>
      </c>
      <c r="U352" s="50">
        <v>-2</v>
      </c>
      <c r="V352" s="348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804</v>
      </c>
      <c r="D353" s="50" t="s">
        <v>404</v>
      </c>
      <c r="E353" s="50">
        <v>53</v>
      </c>
      <c r="F353" s="50">
        <v>3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445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48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48</v>
      </c>
      <c r="F354" s="50">
        <v>3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445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1</v>
      </c>
      <c r="T354" s="50">
        <v>0</v>
      </c>
      <c r="U354" s="50">
        <v>1</v>
      </c>
      <c r="V354" s="348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708</v>
      </c>
      <c r="D355" s="50" t="s">
        <v>33</v>
      </c>
      <c r="E355" s="50">
        <v>717</v>
      </c>
      <c r="F355" s="50">
        <v>20</v>
      </c>
      <c r="G355" s="50">
        <v>1</v>
      </c>
      <c r="H355" s="50">
        <v>0</v>
      </c>
      <c r="I355" s="50">
        <v>1</v>
      </c>
      <c r="J355" s="50">
        <v>4</v>
      </c>
      <c r="K355" s="50">
        <v>0</v>
      </c>
      <c r="L355" s="50">
        <v>4</v>
      </c>
      <c r="M355" s="445">
        <v>20</v>
      </c>
      <c r="N355" s="44"/>
      <c r="O355" s="50">
        <v>0</v>
      </c>
      <c r="P355" s="50">
        <v>1</v>
      </c>
      <c r="Q355" s="50">
        <v>2</v>
      </c>
      <c r="R355" s="50">
        <v>-1</v>
      </c>
      <c r="S355" s="50">
        <v>3</v>
      </c>
      <c r="T355" s="50">
        <v>4</v>
      </c>
      <c r="U355" s="50">
        <v>-1</v>
      </c>
      <c r="V355" s="348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783</v>
      </c>
      <c r="D356" s="50" t="s">
        <v>164</v>
      </c>
      <c r="E356" s="50">
        <v>151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445">
        <v>0</v>
      </c>
      <c r="N356" s="44"/>
      <c r="O356" s="50">
        <v>0</v>
      </c>
      <c r="P356" s="50">
        <v>0</v>
      </c>
      <c r="Q356" s="50">
        <v>1</v>
      </c>
      <c r="R356" s="50">
        <v>-1</v>
      </c>
      <c r="S356" s="50">
        <v>1</v>
      </c>
      <c r="T356" s="50">
        <v>3</v>
      </c>
      <c r="U356" s="50">
        <v>-2</v>
      </c>
      <c r="V356" s="348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1050</v>
      </c>
      <c r="D357" s="50" t="s">
        <v>406</v>
      </c>
      <c r="E357" s="50">
        <v>32</v>
      </c>
      <c r="F357" s="50">
        <v>3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445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48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771</v>
      </c>
      <c r="D358" s="50" t="s">
        <v>88</v>
      </c>
      <c r="E358" s="50">
        <v>103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445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48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195</v>
      </c>
      <c r="F359" s="50">
        <v>10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445">
        <v>0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1</v>
      </c>
      <c r="U359" s="50">
        <v>-1</v>
      </c>
      <c r="V359" s="348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71</v>
      </c>
      <c r="D360" s="50" t="s">
        <v>408</v>
      </c>
      <c r="E360" s="50">
        <v>68</v>
      </c>
      <c r="F360" s="50">
        <v>3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445">
        <v>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48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65</v>
      </c>
      <c r="F361" s="50">
        <v>3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445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48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456</v>
      </c>
      <c r="D362" s="50" t="s">
        <v>409</v>
      </c>
      <c r="E362" s="50">
        <v>70</v>
      </c>
      <c r="F362" s="50">
        <v>3</v>
      </c>
      <c r="G362" s="50">
        <v>0</v>
      </c>
      <c r="H362" s="50">
        <v>0</v>
      </c>
      <c r="I362" s="50">
        <v>0</v>
      </c>
      <c r="J362" s="50">
        <v>1</v>
      </c>
      <c r="K362" s="50">
        <v>0</v>
      </c>
      <c r="L362" s="50">
        <v>1</v>
      </c>
      <c r="M362" s="445">
        <v>33.33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348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792</v>
      </c>
      <c r="D363" s="50" t="s">
        <v>410</v>
      </c>
      <c r="E363" s="50">
        <v>65</v>
      </c>
      <c r="F363" s="50">
        <v>3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445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48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84</v>
      </c>
      <c r="F364" s="50">
        <v>4</v>
      </c>
      <c r="G364" s="50">
        <v>2</v>
      </c>
      <c r="H364" s="50">
        <v>0</v>
      </c>
      <c r="I364" s="50">
        <v>2</v>
      </c>
      <c r="J364" s="50">
        <v>2</v>
      </c>
      <c r="K364" s="50">
        <v>0</v>
      </c>
      <c r="L364" s="50">
        <v>2</v>
      </c>
      <c r="M364" s="445">
        <v>50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348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411</v>
      </c>
      <c r="E365" s="50">
        <v>69</v>
      </c>
      <c r="F365" s="50">
        <v>3</v>
      </c>
      <c r="G365" s="50">
        <v>0</v>
      </c>
      <c r="H365" s="50">
        <v>0</v>
      </c>
      <c r="I365" s="50">
        <v>0</v>
      </c>
      <c r="J365" s="50">
        <v>1</v>
      </c>
      <c r="K365" s="50">
        <v>1</v>
      </c>
      <c r="L365" s="50">
        <v>0</v>
      </c>
      <c r="M365" s="445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1</v>
      </c>
      <c r="T365" s="50">
        <v>0</v>
      </c>
      <c r="U365" s="50">
        <v>1</v>
      </c>
      <c r="V365" s="348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109</v>
      </c>
      <c r="D366" s="50" t="s">
        <v>132</v>
      </c>
      <c r="E366" s="50">
        <v>75</v>
      </c>
      <c r="F366" s="50">
        <v>4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445">
        <v>0</v>
      </c>
      <c r="N366" s="44"/>
      <c r="O366" s="50">
        <v>0</v>
      </c>
      <c r="P366" s="50">
        <v>1</v>
      </c>
      <c r="Q366" s="50">
        <v>0</v>
      </c>
      <c r="R366" s="50">
        <v>1</v>
      </c>
      <c r="S366" s="50">
        <v>1</v>
      </c>
      <c r="T366" s="50">
        <v>0</v>
      </c>
      <c r="U366" s="50">
        <v>1</v>
      </c>
      <c r="V366" s="348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412</v>
      </c>
      <c r="E367" s="50">
        <v>327</v>
      </c>
      <c r="F367" s="50">
        <v>16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3</v>
      </c>
      <c r="M367" s="445">
        <v>18.75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2</v>
      </c>
      <c r="T367" s="50">
        <v>3</v>
      </c>
      <c r="U367" s="50">
        <v>-1</v>
      </c>
      <c r="V367" s="348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220</v>
      </c>
      <c r="D368" s="50" t="s">
        <v>413</v>
      </c>
      <c r="E368" s="50">
        <v>478</v>
      </c>
      <c r="F368" s="50">
        <v>20</v>
      </c>
      <c r="G368" s="50">
        <v>0</v>
      </c>
      <c r="H368" s="50">
        <v>0</v>
      </c>
      <c r="I368" s="50">
        <v>0</v>
      </c>
      <c r="J368" s="50">
        <v>5</v>
      </c>
      <c r="K368" s="50">
        <v>51</v>
      </c>
      <c r="L368" s="50">
        <v>-46</v>
      </c>
      <c r="M368" s="445">
        <v>0</v>
      </c>
      <c r="N368" s="44"/>
      <c r="O368" s="50">
        <v>0</v>
      </c>
      <c r="P368" s="50">
        <v>0</v>
      </c>
      <c r="Q368" s="50">
        <v>1</v>
      </c>
      <c r="R368" s="50">
        <v>-1</v>
      </c>
      <c r="S368" s="50">
        <v>1</v>
      </c>
      <c r="T368" s="50">
        <v>12</v>
      </c>
      <c r="U368" s="50">
        <v>-11</v>
      </c>
      <c r="V368" s="348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414</v>
      </c>
      <c r="E369" s="50">
        <v>60</v>
      </c>
      <c r="F369" s="50">
        <v>3</v>
      </c>
      <c r="G369" s="50">
        <v>0</v>
      </c>
      <c r="H369" s="50">
        <v>0</v>
      </c>
      <c r="I369" s="50">
        <v>0</v>
      </c>
      <c r="J369" s="50">
        <v>2</v>
      </c>
      <c r="K369" s="50">
        <v>0</v>
      </c>
      <c r="L369" s="50">
        <v>2</v>
      </c>
      <c r="M369" s="445">
        <v>66.67</v>
      </c>
      <c r="N369" s="44"/>
      <c r="O369" s="50">
        <v>0</v>
      </c>
      <c r="P369" s="50">
        <v>1</v>
      </c>
      <c r="Q369" s="50">
        <v>0</v>
      </c>
      <c r="R369" s="50">
        <v>1</v>
      </c>
      <c r="S369" s="50">
        <v>1</v>
      </c>
      <c r="T369" s="50">
        <v>0</v>
      </c>
      <c r="U369" s="50">
        <v>1</v>
      </c>
      <c r="V369" s="348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307</v>
      </c>
      <c r="D370" s="50" t="s">
        <v>27</v>
      </c>
      <c r="E370" s="50">
        <v>36</v>
      </c>
      <c r="F370" s="50">
        <v>3</v>
      </c>
      <c r="G370" s="50">
        <v>1</v>
      </c>
      <c r="H370" s="50">
        <v>0</v>
      </c>
      <c r="I370" s="50">
        <v>1</v>
      </c>
      <c r="J370" s="50">
        <v>1</v>
      </c>
      <c r="K370" s="50">
        <v>0</v>
      </c>
      <c r="L370" s="50">
        <v>1</v>
      </c>
      <c r="M370" s="445">
        <v>33.33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48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415</v>
      </c>
      <c r="E371" s="50">
        <v>152</v>
      </c>
      <c r="F371" s="50">
        <v>8</v>
      </c>
      <c r="G371" s="50">
        <v>0</v>
      </c>
      <c r="H371" s="50">
        <v>0</v>
      </c>
      <c r="I371" s="50">
        <v>0</v>
      </c>
      <c r="J371" s="50">
        <v>0</v>
      </c>
      <c r="K371" s="50">
        <v>3</v>
      </c>
      <c r="L371" s="50">
        <v>-3</v>
      </c>
      <c r="M371" s="445">
        <v>0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348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416</v>
      </c>
      <c r="E372" s="50">
        <v>103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445">
        <v>0</v>
      </c>
      <c r="N372" s="44"/>
      <c r="O372" s="50">
        <v>0</v>
      </c>
      <c r="P372" s="50">
        <v>0</v>
      </c>
      <c r="Q372" s="50">
        <v>1</v>
      </c>
      <c r="R372" s="50">
        <v>-1</v>
      </c>
      <c r="S372" s="50">
        <v>0</v>
      </c>
      <c r="T372" s="50">
        <v>1</v>
      </c>
      <c r="U372" s="50">
        <v>-1</v>
      </c>
      <c r="V372" s="348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1071</v>
      </c>
      <c r="D373" s="50" t="s">
        <v>23</v>
      </c>
      <c r="E373" s="50">
        <v>19</v>
      </c>
      <c r="F373" s="50">
        <v>4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445">
        <v>0</v>
      </c>
      <c r="N373" s="325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48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356</v>
      </c>
      <c r="D374" s="50" t="s">
        <v>51</v>
      </c>
      <c r="E374" s="50">
        <v>512</v>
      </c>
      <c r="F374" s="50">
        <v>20</v>
      </c>
      <c r="G374" s="50">
        <v>0</v>
      </c>
      <c r="H374" s="50">
        <v>0</v>
      </c>
      <c r="I374" s="50">
        <v>0</v>
      </c>
      <c r="J374" s="50">
        <v>3</v>
      </c>
      <c r="K374" s="50">
        <v>0</v>
      </c>
      <c r="L374" s="50">
        <v>3</v>
      </c>
      <c r="M374" s="445">
        <v>15</v>
      </c>
      <c r="N374" s="44"/>
      <c r="O374" s="50">
        <v>0</v>
      </c>
      <c r="P374" s="50">
        <v>0</v>
      </c>
      <c r="Q374" s="50">
        <v>1</v>
      </c>
      <c r="R374" s="50">
        <v>-1</v>
      </c>
      <c r="S374" s="50">
        <v>1</v>
      </c>
      <c r="T374" s="50">
        <v>3</v>
      </c>
      <c r="U374" s="50">
        <v>-2</v>
      </c>
      <c r="V374" s="348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205</v>
      </c>
      <c r="D375" s="50" t="s">
        <v>23</v>
      </c>
      <c r="E375" s="50">
        <v>63</v>
      </c>
      <c r="F375" s="50">
        <v>3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445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48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804</v>
      </c>
      <c r="D376" s="50" t="s">
        <v>417</v>
      </c>
      <c r="E376" s="50">
        <v>52</v>
      </c>
      <c r="F376" s="50">
        <v>3</v>
      </c>
      <c r="G376" s="50">
        <v>0</v>
      </c>
      <c r="H376" s="50">
        <v>0</v>
      </c>
      <c r="I376" s="50">
        <v>0</v>
      </c>
      <c r="J376" s="50">
        <v>4</v>
      </c>
      <c r="K376" s="50">
        <v>0</v>
      </c>
      <c r="L376" s="50">
        <v>4</v>
      </c>
      <c r="M376" s="445">
        <v>133.33000000000001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1</v>
      </c>
      <c r="T376" s="50">
        <v>2</v>
      </c>
      <c r="U376" s="50">
        <v>-1</v>
      </c>
      <c r="V376" s="348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418</v>
      </c>
      <c r="E377" s="50">
        <v>139</v>
      </c>
      <c r="F377" s="50">
        <v>7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445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1</v>
      </c>
      <c r="U377" s="50">
        <v>-1</v>
      </c>
      <c r="V377" s="348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233</v>
      </c>
      <c r="D378" s="50" t="s">
        <v>33</v>
      </c>
      <c r="E378" s="50">
        <v>216</v>
      </c>
      <c r="F378" s="50">
        <v>10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445">
        <v>0</v>
      </c>
      <c r="N378" s="44"/>
      <c r="O378" s="50">
        <v>0</v>
      </c>
      <c r="P378" s="50">
        <v>0</v>
      </c>
      <c r="Q378" s="50">
        <v>1</v>
      </c>
      <c r="R378" s="50">
        <v>-1</v>
      </c>
      <c r="S378" s="50">
        <v>1</v>
      </c>
      <c r="T378" s="50">
        <v>1</v>
      </c>
      <c r="U378" s="50">
        <v>0</v>
      </c>
      <c r="V378" s="348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804</v>
      </c>
      <c r="D379" s="50" t="s">
        <v>154</v>
      </c>
      <c r="E379" s="50">
        <v>129</v>
      </c>
      <c r="F379" s="50">
        <v>6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445">
        <v>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1</v>
      </c>
      <c r="T379" s="50">
        <v>0</v>
      </c>
      <c r="U379" s="50">
        <v>1</v>
      </c>
      <c r="V379" s="348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268</v>
      </c>
      <c r="D380" s="50" t="s">
        <v>43</v>
      </c>
      <c r="E380" s="50">
        <v>204</v>
      </c>
      <c r="F380" s="50">
        <v>10</v>
      </c>
      <c r="G380" s="50">
        <v>0</v>
      </c>
      <c r="H380" s="50">
        <v>1</v>
      </c>
      <c r="I380" s="50">
        <v>-1</v>
      </c>
      <c r="J380" s="50">
        <v>0</v>
      </c>
      <c r="K380" s="50">
        <v>1</v>
      </c>
      <c r="L380" s="50">
        <v>-1</v>
      </c>
      <c r="M380" s="445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48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419</v>
      </c>
      <c r="E381" s="50">
        <v>86</v>
      </c>
      <c r="F381" s="50">
        <v>4</v>
      </c>
      <c r="G381" s="50">
        <v>0</v>
      </c>
      <c r="H381" s="50">
        <v>0</v>
      </c>
      <c r="I381" s="50">
        <v>0</v>
      </c>
      <c r="J381" s="50">
        <v>3</v>
      </c>
      <c r="K381" s="50">
        <v>0</v>
      </c>
      <c r="L381" s="50">
        <v>3</v>
      </c>
      <c r="M381" s="445">
        <v>75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48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780</v>
      </c>
      <c r="D382" s="50" t="s">
        <v>420</v>
      </c>
      <c r="E382" s="50">
        <v>57</v>
      </c>
      <c r="F382" s="50">
        <v>3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445">
        <v>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1</v>
      </c>
      <c r="T382" s="50">
        <v>0</v>
      </c>
      <c r="U382" s="50">
        <v>1</v>
      </c>
      <c r="V382" s="348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379</v>
      </c>
      <c r="D383" s="50" t="s">
        <v>27</v>
      </c>
      <c r="E383" s="50">
        <v>176</v>
      </c>
      <c r="F383" s="50">
        <v>9</v>
      </c>
      <c r="G383" s="50">
        <v>0</v>
      </c>
      <c r="H383" s="50">
        <v>0</v>
      </c>
      <c r="I383" s="50">
        <v>0</v>
      </c>
      <c r="J383" s="50">
        <v>2</v>
      </c>
      <c r="K383" s="50">
        <v>0</v>
      </c>
      <c r="L383" s="50">
        <v>2</v>
      </c>
      <c r="M383" s="445">
        <v>22.22</v>
      </c>
      <c r="N383" s="44"/>
      <c r="O383" s="50">
        <v>0</v>
      </c>
      <c r="P383" s="50">
        <v>0</v>
      </c>
      <c r="Q383" s="50">
        <v>1</v>
      </c>
      <c r="R383" s="50">
        <v>-1</v>
      </c>
      <c r="S383" s="50">
        <v>1</v>
      </c>
      <c r="T383" s="50">
        <v>2</v>
      </c>
      <c r="U383" s="50">
        <v>-1</v>
      </c>
      <c r="V383" s="348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195</v>
      </c>
      <c r="F384" s="50">
        <v>9</v>
      </c>
      <c r="G384" s="50">
        <v>0</v>
      </c>
      <c r="H384" s="50">
        <v>1</v>
      </c>
      <c r="I384" s="50">
        <v>-1</v>
      </c>
      <c r="J384" s="50">
        <v>8</v>
      </c>
      <c r="K384" s="50">
        <v>2</v>
      </c>
      <c r="L384" s="50">
        <v>6</v>
      </c>
      <c r="M384" s="445">
        <v>66.67</v>
      </c>
      <c r="N384" s="44"/>
      <c r="O384" s="50">
        <v>0</v>
      </c>
      <c r="P384" s="50">
        <v>1</v>
      </c>
      <c r="Q384" s="50">
        <v>0</v>
      </c>
      <c r="R384" s="50">
        <v>1</v>
      </c>
      <c r="S384" s="50">
        <v>7</v>
      </c>
      <c r="T384" s="50">
        <v>1</v>
      </c>
      <c r="U384" s="50">
        <v>6</v>
      </c>
      <c r="V384" s="348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421</v>
      </c>
      <c r="E385" s="50">
        <v>313</v>
      </c>
      <c r="F385" s="50">
        <v>15</v>
      </c>
      <c r="G385" s="50">
        <v>0</v>
      </c>
      <c r="H385" s="50">
        <v>0</v>
      </c>
      <c r="I385" s="50">
        <v>0</v>
      </c>
      <c r="J385" s="50">
        <v>1</v>
      </c>
      <c r="K385" s="50">
        <v>0</v>
      </c>
      <c r="L385" s="50">
        <v>1</v>
      </c>
      <c r="M385" s="445">
        <v>6.67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348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153</v>
      </c>
      <c r="D386" s="50" t="s">
        <v>149</v>
      </c>
      <c r="E386" s="50">
        <v>125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445">
        <v>0</v>
      </c>
      <c r="N386" s="44"/>
      <c r="O386" s="50">
        <v>0</v>
      </c>
      <c r="P386" s="50">
        <v>0</v>
      </c>
      <c r="Q386" s="50">
        <v>1</v>
      </c>
      <c r="R386" s="50">
        <v>-1</v>
      </c>
      <c r="S386" s="50">
        <v>0</v>
      </c>
      <c r="T386" s="50">
        <v>2</v>
      </c>
      <c r="U386" s="50">
        <v>-2</v>
      </c>
      <c r="V386" s="348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1022</v>
      </c>
      <c r="D387" s="50" t="s">
        <v>33</v>
      </c>
      <c r="E387" s="50">
        <v>64</v>
      </c>
      <c r="F387" s="50">
        <v>3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445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48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422</v>
      </c>
      <c r="E388" s="50">
        <v>256</v>
      </c>
      <c r="F388" s="50">
        <v>12</v>
      </c>
      <c r="G388" s="50">
        <v>0</v>
      </c>
      <c r="H388" s="50">
        <v>0</v>
      </c>
      <c r="I388" s="50">
        <v>0</v>
      </c>
      <c r="J388" s="50">
        <v>2</v>
      </c>
      <c r="K388" s="50">
        <v>1</v>
      </c>
      <c r="L388" s="50">
        <v>1</v>
      </c>
      <c r="M388" s="445">
        <v>8.33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1</v>
      </c>
      <c r="T388" s="50">
        <v>1</v>
      </c>
      <c r="U388" s="50">
        <v>0</v>
      </c>
      <c r="V388" s="348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42</v>
      </c>
      <c r="F389" s="50">
        <v>3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445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48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423</v>
      </c>
      <c r="E390" s="50">
        <v>94</v>
      </c>
      <c r="F390" s="50">
        <v>5</v>
      </c>
      <c r="G390" s="50">
        <v>0</v>
      </c>
      <c r="H390" s="50">
        <v>0</v>
      </c>
      <c r="I390" s="50">
        <v>0</v>
      </c>
      <c r="J390" s="50">
        <v>1</v>
      </c>
      <c r="K390" s="50">
        <v>0</v>
      </c>
      <c r="L390" s="50">
        <v>1</v>
      </c>
      <c r="M390" s="445">
        <v>20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1</v>
      </c>
      <c r="U390" s="50">
        <v>-1</v>
      </c>
      <c r="V390" s="348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425</v>
      </c>
      <c r="E391" s="50">
        <v>360</v>
      </c>
      <c r="F391" s="50">
        <v>18</v>
      </c>
      <c r="G391" s="50">
        <v>1</v>
      </c>
      <c r="H391" s="50">
        <v>0</v>
      </c>
      <c r="I391" s="50">
        <v>1</v>
      </c>
      <c r="J391" s="50">
        <v>3</v>
      </c>
      <c r="K391" s="50">
        <v>0</v>
      </c>
      <c r="L391" s="50">
        <v>3</v>
      </c>
      <c r="M391" s="445">
        <v>16.670000000000002</v>
      </c>
      <c r="N391" s="44"/>
      <c r="O391" s="50">
        <v>0</v>
      </c>
      <c r="P391" s="50">
        <v>0</v>
      </c>
      <c r="Q391" s="50">
        <v>1</v>
      </c>
      <c r="R391" s="50">
        <v>-1</v>
      </c>
      <c r="S391" s="50">
        <v>0</v>
      </c>
      <c r="T391" s="50">
        <v>1</v>
      </c>
      <c r="U391" s="50">
        <v>-1</v>
      </c>
      <c r="V391" s="348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432</v>
      </c>
      <c r="D392" s="50" t="s">
        <v>101</v>
      </c>
      <c r="E392" s="50">
        <v>155</v>
      </c>
      <c r="F392" s="50">
        <v>8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445">
        <v>0</v>
      </c>
      <c r="N392" s="44"/>
      <c r="O392" s="50">
        <v>0</v>
      </c>
      <c r="P392" s="50">
        <v>0</v>
      </c>
      <c r="Q392" s="50">
        <v>2</v>
      </c>
      <c r="R392" s="50">
        <v>-2</v>
      </c>
      <c r="S392" s="50">
        <v>2</v>
      </c>
      <c r="T392" s="50">
        <v>3</v>
      </c>
      <c r="U392" s="50">
        <v>-1</v>
      </c>
      <c r="V392" s="348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432</v>
      </c>
      <c r="D393" s="50" t="s">
        <v>426</v>
      </c>
      <c r="E393" s="50">
        <v>100</v>
      </c>
      <c r="F393" s="50">
        <v>5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445">
        <v>0</v>
      </c>
      <c r="N393" s="44"/>
      <c r="O393" s="50">
        <v>0</v>
      </c>
      <c r="P393" s="50">
        <v>0</v>
      </c>
      <c r="Q393" s="50">
        <v>1</v>
      </c>
      <c r="R393" s="50">
        <v>-1</v>
      </c>
      <c r="S393" s="50">
        <v>0</v>
      </c>
      <c r="T393" s="50">
        <v>1</v>
      </c>
      <c r="U393" s="50">
        <v>-1</v>
      </c>
      <c r="V393" s="348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361</v>
      </c>
      <c r="D394" s="50" t="s">
        <v>59</v>
      </c>
      <c r="E394" s="50">
        <v>60</v>
      </c>
      <c r="F394" s="50">
        <v>3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445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48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170</v>
      </c>
      <c r="D395" s="50" t="s">
        <v>27</v>
      </c>
      <c r="E395" s="50">
        <v>99</v>
      </c>
      <c r="F395" s="50">
        <v>5</v>
      </c>
      <c r="G395" s="50">
        <v>2</v>
      </c>
      <c r="H395" s="50">
        <v>0</v>
      </c>
      <c r="I395" s="50">
        <v>2</v>
      </c>
      <c r="J395" s="50">
        <v>4</v>
      </c>
      <c r="K395" s="50">
        <v>0</v>
      </c>
      <c r="L395" s="50">
        <v>4</v>
      </c>
      <c r="M395" s="445">
        <v>80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1</v>
      </c>
      <c r="T395" s="50">
        <v>0</v>
      </c>
      <c r="U395" s="50">
        <v>1</v>
      </c>
      <c r="V395" s="348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428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445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48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429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445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48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456</v>
      </c>
      <c r="D398" s="50" t="s">
        <v>430</v>
      </c>
      <c r="E398" s="50">
        <v>115</v>
      </c>
      <c r="F398" s="50">
        <v>6</v>
      </c>
      <c r="G398" s="50">
        <v>0</v>
      </c>
      <c r="H398" s="50">
        <v>0</v>
      </c>
      <c r="I398" s="50">
        <v>0</v>
      </c>
      <c r="J398" s="50">
        <v>2</v>
      </c>
      <c r="K398" s="50">
        <v>0</v>
      </c>
      <c r="L398" s="50">
        <v>2</v>
      </c>
      <c r="M398" s="445">
        <v>33.33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1</v>
      </c>
      <c r="T398" s="50">
        <v>0</v>
      </c>
      <c r="U398" s="50">
        <v>1</v>
      </c>
      <c r="V398" s="348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1057</v>
      </c>
      <c r="D399" s="50" t="s">
        <v>431</v>
      </c>
      <c r="E399" s="50">
        <v>84</v>
      </c>
      <c r="F399" s="50">
        <v>4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445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48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236</v>
      </c>
      <c r="D400" s="50" t="s">
        <v>27</v>
      </c>
      <c r="E400" s="50">
        <v>26</v>
      </c>
      <c r="F400" s="50">
        <v>3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445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48">
        <v>0</v>
      </c>
      <c r="W400" s="44"/>
    </row>
    <row r="401" spans="1:23" ht="29.1" customHeight="1">
      <c r="A401" s="50" t="s">
        <v>21</v>
      </c>
      <c r="B401" s="50">
        <v>9626</v>
      </c>
      <c r="C401" s="50" t="s">
        <v>798</v>
      </c>
      <c r="D401" s="50" t="s">
        <v>90</v>
      </c>
      <c r="E401" s="50">
        <v>139</v>
      </c>
      <c r="F401" s="50">
        <v>7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445">
        <v>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48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32</v>
      </c>
      <c r="D402" s="50" t="s">
        <v>433</v>
      </c>
      <c r="E402" s="50">
        <v>42</v>
      </c>
      <c r="F402" s="50">
        <v>3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445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48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41</v>
      </c>
      <c r="D403" s="50" t="s">
        <v>434</v>
      </c>
      <c r="E403" s="50">
        <v>81</v>
      </c>
      <c r="F403" s="50">
        <v>4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445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48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789</v>
      </c>
      <c r="D404" s="50" t="s">
        <v>435</v>
      </c>
      <c r="E404" s="50">
        <v>126</v>
      </c>
      <c r="F404" s="50">
        <v>6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445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48">
        <v>0</v>
      </c>
      <c r="W404" s="44"/>
    </row>
    <row r="405" spans="1:23" ht="29.1" customHeight="1">
      <c r="A405" s="50" t="s">
        <v>24</v>
      </c>
      <c r="B405" s="50">
        <v>9644</v>
      </c>
      <c r="C405" s="50" t="s">
        <v>243</v>
      </c>
      <c r="D405" s="50" t="s">
        <v>436</v>
      </c>
      <c r="E405" s="50">
        <v>94</v>
      </c>
      <c r="F405" s="50">
        <v>5</v>
      </c>
      <c r="G405" s="50">
        <v>0</v>
      </c>
      <c r="H405" s="50">
        <v>0</v>
      </c>
      <c r="I405" s="50">
        <v>0</v>
      </c>
      <c r="J405" s="50">
        <v>6</v>
      </c>
      <c r="K405" s="50">
        <v>0</v>
      </c>
      <c r="L405" s="50">
        <v>6</v>
      </c>
      <c r="M405" s="445">
        <v>120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2</v>
      </c>
      <c r="T405" s="50">
        <v>0</v>
      </c>
      <c r="U405" s="50">
        <v>2</v>
      </c>
      <c r="V405" s="348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781</v>
      </c>
      <c r="D406" s="50" t="s">
        <v>437</v>
      </c>
      <c r="E406" s="50">
        <v>73</v>
      </c>
      <c r="F406" s="50">
        <v>4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445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48">
        <v>0</v>
      </c>
      <c r="W406" s="44"/>
    </row>
    <row r="407" spans="1:23" ht="29.1" customHeight="1">
      <c r="A407" s="50" t="s">
        <v>24</v>
      </c>
      <c r="B407" s="50">
        <v>9674</v>
      </c>
      <c r="C407" s="50" t="s">
        <v>785</v>
      </c>
      <c r="D407" s="50" t="s">
        <v>438</v>
      </c>
      <c r="E407" s="50">
        <v>58</v>
      </c>
      <c r="F407" s="50">
        <v>3</v>
      </c>
      <c r="G407" s="50">
        <v>0</v>
      </c>
      <c r="H407" s="50">
        <v>0</v>
      </c>
      <c r="I407" s="50">
        <v>0</v>
      </c>
      <c r="J407" s="50">
        <v>6</v>
      </c>
      <c r="K407" s="50">
        <v>0</v>
      </c>
      <c r="L407" s="50">
        <v>6</v>
      </c>
      <c r="M407" s="445">
        <v>200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48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439</v>
      </c>
      <c r="E408" s="50">
        <v>203</v>
      </c>
      <c r="F408" s="50">
        <v>10</v>
      </c>
      <c r="G408" s="50">
        <v>0</v>
      </c>
      <c r="H408" s="50">
        <v>0</v>
      </c>
      <c r="I408" s="50">
        <v>0</v>
      </c>
      <c r="J408" s="50">
        <v>1</v>
      </c>
      <c r="K408" s="50">
        <v>0</v>
      </c>
      <c r="L408" s="50">
        <v>1</v>
      </c>
      <c r="M408" s="445">
        <v>10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1</v>
      </c>
      <c r="T408" s="50">
        <v>0</v>
      </c>
      <c r="U408" s="50">
        <v>1</v>
      </c>
      <c r="V408" s="348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3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445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48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296</v>
      </c>
      <c r="D410" s="50" t="s">
        <v>440</v>
      </c>
      <c r="E410" s="50">
        <v>91</v>
      </c>
      <c r="F410" s="50">
        <v>4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445">
        <v>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3</v>
      </c>
      <c r="T410" s="50">
        <v>0</v>
      </c>
      <c r="U410" s="50">
        <v>3</v>
      </c>
      <c r="V410" s="348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806</v>
      </c>
      <c r="D411" s="50" t="s">
        <v>441</v>
      </c>
      <c r="E411" s="50">
        <v>52</v>
      </c>
      <c r="F411" s="50">
        <v>3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445">
        <v>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48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442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445">
        <v>0</v>
      </c>
      <c r="N412" s="325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48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391</v>
      </c>
      <c r="D413" s="50" t="s">
        <v>27</v>
      </c>
      <c r="E413" s="50">
        <v>36</v>
      </c>
      <c r="F413" s="50">
        <v>3</v>
      </c>
      <c r="G413" s="50">
        <v>0</v>
      </c>
      <c r="H413" s="50">
        <v>0</v>
      </c>
      <c r="I413" s="50">
        <v>0</v>
      </c>
      <c r="J413" s="50">
        <v>2</v>
      </c>
      <c r="K413" s="50">
        <v>0</v>
      </c>
      <c r="L413" s="50">
        <v>2</v>
      </c>
      <c r="M413" s="445">
        <v>66.67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48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295</v>
      </c>
      <c r="D414" s="50" t="s">
        <v>33</v>
      </c>
      <c r="E414" s="50">
        <v>144</v>
      </c>
      <c r="F414" s="50">
        <v>7</v>
      </c>
      <c r="G414" s="50">
        <v>0</v>
      </c>
      <c r="H414" s="50">
        <v>0</v>
      </c>
      <c r="I414" s="50">
        <v>0</v>
      </c>
      <c r="J414" s="50">
        <v>5</v>
      </c>
      <c r="K414" s="50">
        <v>0</v>
      </c>
      <c r="L414" s="50">
        <v>5</v>
      </c>
      <c r="M414" s="445">
        <v>71.430000000000007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2</v>
      </c>
      <c r="T414" s="50">
        <v>1</v>
      </c>
      <c r="U414" s="50">
        <v>1</v>
      </c>
      <c r="V414" s="348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1498</v>
      </c>
      <c r="D415" s="50" t="s">
        <v>27</v>
      </c>
      <c r="E415" s="50">
        <v>35</v>
      </c>
      <c r="F415" s="50">
        <v>3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445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48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774</v>
      </c>
      <c r="D416" s="50" t="s">
        <v>443</v>
      </c>
      <c r="E416" s="50">
        <v>33</v>
      </c>
      <c r="F416" s="50">
        <v>3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445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48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444</v>
      </c>
      <c r="E417" s="50">
        <v>190</v>
      </c>
      <c r="F417" s="50">
        <v>9</v>
      </c>
      <c r="G417" s="50">
        <v>0</v>
      </c>
      <c r="H417" s="50">
        <v>0</v>
      </c>
      <c r="I417" s="50">
        <v>0</v>
      </c>
      <c r="J417" s="50">
        <v>1</v>
      </c>
      <c r="K417" s="50">
        <v>0</v>
      </c>
      <c r="L417" s="50">
        <v>1</v>
      </c>
      <c r="M417" s="445">
        <v>11.11</v>
      </c>
      <c r="N417" s="44"/>
      <c r="O417" s="50">
        <v>0</v>
      </c>
      <c r="P417" s="50">
        <v>0</v>
      </c>
      <c r="Q417" s="50">
        <v>1</v>
      </c>
      <c r="R417" s="50">
        <v>-1</v>
      </c>
      <c r="S417" s="50">
        <v>1</v>
      </c>
      <c r="T417" s="50">
        <v>1</v>
      </c>
      <c r="U417" s="50">
        <v>0</v>
      </c>
      <c r="V417" s="348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306</v>
      </c>
      <c r="F418" s="50">
        <v>15</v>
      </c>
      <c r="G418" s="50">
        <v>0</v>
      </c>
      <c r="H418" s="50">
        <v>1</v>
      </c>
      <c r="I418" s="50">
        <v>-1</v>
      </c>
      <c r="J418" s="50">
        <v>1</v>
      </c>
      <c r="K418" s="50">
        <v>35</v>
      </c>
      <c r="L418" s="50">
        <v>-34</v>
      </c>
      <c r="M418" s="445">
        <v>0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1</v>
      </c>
      <c r="T418" s="50">
        <v>7</v>
      </c>
      <c r="U418" s="50">
        <v>-6</v>
      </c>
      <c r="V418" s="348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445</v>
      </c>
      <c r="E419" s="50">
        <v>234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445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1</v>
      </c>
      <c r="T419" s="50">
        <v>0</v>
      </c>
      <c r="U419" s="50">
        <v>1</v>
      </c>
      <c r="V419" s="348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807</v>
      </c>
      <c r="D420" s="50" t="s">
        <v>447</v>
      </c>
      <c r="E420" s="50">
        <v>52</v>
      </c>
      <c r="F420" s="50">
        <v>3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445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48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97</v>
      </c>
      <c r="D421" s="50" t="s">
        <v>448</v>
      </c>
      <c r="E421" s="50">
        <v>69</v>
      </c>
      <c r="F421" s="50">
        <v>3</v>
      </c>
      <c r="G421" s="50">
        <v>0</v>
      </c>
      <c r="H421" s="50">
        <v>0</v>
      </c>
      <c r="I421" s="50">
        <v>0</v>
      </c>
      <c r="J421" s="50">
        <v>1</v>
      </c>
      <c r="K421" s="50">
        <v>0</v>
      </c>
      <c r="L421" s="50">
        <v>1</v>
      </c>
      <c r="M421" s="445">
        <v>33.33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1</v>
      </c>
      <c r="U421" s="50">
        <v>-1</v>
      </c>
      <c r="V421" s="348">
        <v>0</v>
      </c>
      <c r="W421" s="44"/>
    </row>
    <row r="422" spans="1:23" ht="29.1" customHeight="1">
      <c r="A422" s="50" t="s">
        <v>24</v>
      </c>
      <c r="B422" s="50">
        <v>9796</v>
      </c>
      <c r="C422" s="50" t="s">
        <v>139</v>
      </c>
      <c r="D422" s="50" t="s">
        <v>40</v>
      </c>
      <c r="E422" s="50">
        <v>108</v>
      </c>
      <c r="F422" s="50">
        <v>5</v>
      </c>
      <c r="G422" s="50">
        <v>0</v>
      </c>
      <c r="H422" s="50">
        <v>0</v>
      </c>
      <c r="I422" s="50">
        <v>0</v>
      </c>
      <c r="J422" s="50">
        <v>7</v>
      </c>
      <c r="K422" s="50">
        <v>0</v>
      </c>
      <c r="L422" s="50">
        <v>7</v>
      </c>
      <c r="M422" s="445">
        <v>140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348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449</v>
      </c>
      <c r="E423" s="50">
        <v>50</v>
      </c>
      <c r="F423" s="50">
        <v>3</v>
      </c>
      <c r="G423" s="50">
        <v>0</v>
      </c>
      <c r="H423" s="50">
        <v>0</v>
      </c>
      <c r="I423" s="50">
        <v>0</v>
      </c>
      <c r="J423" s="50">
        <v>1</v>
      </c>
      <c r="K423" s="50">
        <v>0</v>
      </c>
      <c r="L423" s="50">
        <v>1</v>
      </c>
      <c r="M423" s="445">
        <v>33.33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1</v>
      </c>
      <c r="T423" s="50">
        <v>0</v>
      </c>
      <c r="U423" s="50">
        <v>1</v>
      </c>
      <c r="V423" s="348">
        <v>0</v>
      </c>
      <c r="W423" s="44"/>
    </row>
    <row r="424" spans="1:23" ht="29.1" customHeight="1">
      <c r="A424" s="50" t="s">
        <v>24</v>
      </c>
      <c r="B424" s="50">
        <v>9868</v>
      </c>
      <c r="C424" s="50" t="s">
        <v>1015</v>
      </c>
      <c r="D424" s="50" t="s">
        <v>143</v>
      </c>
      <c r="E424" s="50">
        <v>234</v>
      </c>
      <c r="F424" s="50">
        <v>11</v>
      </c>
      <c r="G424" s="50">
        <v>0</v>
      </c>
      <c r="H424" s="50">
        <v>0</v>
      </c>
      <c r="I424" s="50">
        <v>0</v>
      </c>
      <c r="J424" s="50">
        <v>12</v>
      </c>
      <c r="K424" s="50">
        <v>1</v>
      </c>
      <c r="L424" s="50">
        <v>11</v>
      </c>
      <c r="M424" s="445">
        <v>100</v>
      </c>
      <c r="N424" s="44"/>
      <c r="O424" s="50">
        <v>0</v>
      </c>
      <c r="P424" s="50">
        <v>0</v>
      </c>
      <c r="Q424" s="50">
        <v>1</v>
      </c>
      <c r="R424" s="50">
        <v>-1</v>
      </c>
      <c r="S424" s="50">
        <v>5</v>
      </c>
      <c r="T424" s="50">
        <v>1</v>
      </c>
      <c r="U424" s="50">
        <v>4</v>
      </c>
      <c r="V424" s="348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450</v>
      </c>
      <c r="E425" s="50">
        <v>384</v>
      </c>
      <c r="F425" s="50">
        <v>18</v>
      </c>
      <c r="G425" s="50">
        <v>0</v>
      </c>
      <c r="H425" s="50">
        <v>0</v>
      </c>
      <c r="I425" s="50">
        <v>0</v>
      </c>
      <c r="J425" s="50">
        <v>1</v>
      </c>
      <c r="K425" s="50">
        <v>0</v>
      </c>
      <c r="L425" s="50">
        <v>1</v>
      </c>
      <c r="M425" s="445">
        <v>5.56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3</v>
      </c>
      <c r="T425" s="50">
        <v>2</v>
      </c>
      <c r="U425" s="50">
        <v>1</v>
      </c>
      <c r="V425" s="348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170</v>
      </c>
      <c r="F426" s="50">
        <v>8</v>
      </c>
      <c r="G426" s="50">
        <v>0</v>
      </c>
      <c r="H426" s="50">
        <v>0</v>
      </c>
      <c r="I426" s="50">
        <v>0</v>
      </c>
      <c r="J426" s="50">
        <v>1</v>
      </c>
      <c r="K426" s="50">
        <v>1</v>
      </c>
      <c r="L426" s="50">
        <v>0</v>
      </c>
      <c r="M426" s="445">
        <v>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1</v>
      </c>
      <c r="U426" s="50">
        <v>-1</v>
      </c>
      <c r="V426" s="348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239</v>
      </c>
      <c r="D427" s="50" t="s">
        <v>451</v>
      </c>
      <c r="E427" s="50">
        <v>205</v>
      </c>
      <c r="F427" s="50">
        <v>10</v>
      </c>
      <c r="G427" s="50">
        <v>0</v>
      </c>
      <c r="H427" s="50">
        <v>0</v>
      </c>
      <c r="I427" s="50">
        <v>0</v>
      </c>
      <c r="J427" s="50">
        <v>1</v>
      </c>
      <c r="K427" s="50">
        <v>0</v>
      </c>
      <c r="L427" s="50">
        <v>1</v>
      </c>
      <c r="M427" s="445">
        <v>10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2</v>
      </c>
      <c r="U427" s="50">
        <v>-2</v>
      </c>
      <c r="V427" s="348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452</v>
      </c>
      <c r="E428" s="50">
        <v>313</v>
      </c>
      <c r="F428" s="50">
        <v>15</v>
      </c>
      <c r="G428" s="50">
        <v>0</v>
      </c>
      <c r="H428" s="50">
        <v>1</v>
      </c>
      <c r="I428" s="50">
        <v>-1</v>
      </c>
      <c r="J428" s="50">
        <v>1</v>
      </c>
      <c r="K428" s="50">
        <v>8</v>
      </c>
      <c r="L428" s="50">
        <v>-7</v>
      </c>
      <c r="M428" s="445">
        <v>0</v>
      </c>
      <c r="N428" s="44"/>
      <c r="O428" s="50">
        <v>0</v>
      </c>
      <c r="P428" s="50">
        <v>0</v>
      </c>
      <c r="Q428" s="50">
        <v>1</v>
      </c>
      <c r="R428" s="50">
        <v>-1</v>
      </c>
      <c r="S428" s="50">
        <v>0</v>
      </c>
      <c r="T428" s="50">
        <v>5</v>
      </c>
      <c r="U428" s="50">
        <v>-5</v>
      </c>
      <c r="V428" s="348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486</v>
      </c>
      <c r="F429" s="50">
        <v>20</v>
      </c>
      <c r="G429" s="50">
        <v>0</v>
      </c>
      <c r="H429" s="50">
        <v>4</v>
      </c>
      <c r="I429" s="50">
        <v>-4</v>
      </c>
      <c r="J429" s="50">
        <v>12</v>
      </c>
      <c r="K429" s="50">
        <v>4</v>
      </c>
      <c r="L429" s="50">
        <v>8</v>
      </c>
      <c r="M429" s="445">
        <v>40</v>
      </c>
      <c r="N429" s="44"/>
      <c r="O429" s="50">
        <v>0</v>
      </c>
      <c r="P429" s="50">
        <v>0</v>
      </c>
      <c r="Q429" s="50">
        <v>1</v>
      </c>
      <c r="R429" s="50">
        <v>-1</v>
      </c>
      <c r="S429" s="50">
        <v>3</v>
      </c>
      <c r="T429" s="50">
        <v>1</v>
      </c>
      <c r="U429" s="50">
        <v>2</v>
      </c>
      <c r="V429" s="348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369</v>
      </c>
      <c r="D430" s="50" t="s">
        <v>29</v>
      </c>
      <c r="E430" s="50">
        <v>184</v>
      </c>
      <c r="F430" s="50">
        <v>9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445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48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777</v>
      </c>
      <c r="D431" s="50" t="s">
        <v>453</v>
      </c>
      <c r="E431" s="50">
        <v>97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445">
        <v>0</v>
      </c>
      <c r="N431" s="44"/>
      <c r="O431" s="50">
        <v>0</v>
      </c>
      <c r="P431" s="50">
        <v>0</v>
      </c>
      <c r="Q431" s="50">
        <v>1</v>
      </c>
      <c r="R431" s="50">
        <v>-1</v>
      </c>
      <c r="S431" s="50">
        <v>0</v>
      </c>
      <c r="T431" s="50">
        <v>1</v>
      </c>
      <c r="U431" s="50">
        <v>-1</v>
      </c>
      <c r="V431" s="348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191</v>
      </c>
      <c r="F432" s="50">
        <v>9</v>
      </c>
      <c r="G432" s="50">
        <v>0</v>
      </c>
      <c r="H432" s="50">
        <v>0</v>
      </c>
      <c r="I432" s="50">
        <v>0</v>
      </c>
      <c r="J432" s="50">
        <v>4</v>
      </c>
      <c r="K432" s="50">
        <v>3</v>
      </c>
      <c r="L432" s="50">
        <v>1</v>
      </c>
      <c r="M432" s="445">
        <v>11.11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3</v>
      </c>
      <c r="U432" s="50">
        <v>-2</v>
      </c>
      <c r="V432" s="348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72</v>
      </c>
      <c r="F433" s="50">
        <v>4</v>
      </c>
      <c r="G433" s="50">
        <v>0</v>
      </c>
      <c r="H433" s="50">
        <v>0</v>
      </c>
      <c r="I433" s="50">
        <v>0</v>
      </c>
      <c r="J433" s="50">
        <v>2</v>
      </c>
      <c r="K433" s="50">
        <v>0</v>
      </c>
      <c r="L433" s="50">
        <v>2</v>
      </c>
      <c r="M433" s="445">
        <v>50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1</v>
      </c>
      <c r="T433" s="50">
        <v>3</v>
      </c>
      <c r="U433" s="50">
        <v>-2</v>
      </c>
      <c r="V433" s="348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75</v>
      </c>
      <c r="F434" s="50">
        <v>4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445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48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808</v>
      </c>
      <c r="D435" s="50" t="s">
        <v>66</v>
      </c>
      <c r="E435" s="50">
        <v>24</v>
      </c>
      <c r="F435" s="50">
        <v>3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445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48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170</v>
      </c>
      <c r="D436" s="50" t="s">
        <v>27</v>
      </c>
      <c r="E436" s="50">
        <v>291</v>
      </c>
      <c r="F436" s="50">
        <v>14</v>
      </c>
      <c r="G436" s="50">
        <v>2</v>
      </c>
      <c r="H436" s="50">
        <v>0</v>
      </c>
      <c r="I436" s="50">
        <v>2</v>
      </c>
      <c r="J436" s="50">
        <v>9</v>
      </c>
      <c r="K436" s="50">
        <v>1</v>
      </c>
      <c r="L436" s="50">
        <v>8</v>
      </c>
      <c r="M436" s="445">
        <v>57.14</v>
      </c>
      <c r="N436" s="44"/>
      <c r="O436" s="50">
        <v>0</v>
      </c>
      <c r="P436" s="50">
        <v>1</v>
      </c>
      <c r="Q436" s="50">
        <v>1</v>
      </c>
      <c r="R436" s="50">
        <v>0</v>
      </c>
      <c r="S436" s="50">
        <v>4</v>
      </c>
      <c r="T436" s="50">
        <v>1</v>
      </c>
      <c r="U436" s="50">
        <v>3</v>
      </c>
      <c r="V436" s="348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1016</v>
      </c>
      <c r="D437" s="50" t="s">
        <v>455</v>
      </c>
      <c r="E437" s="50">
        <v>41</v>
      </c>
      <c r="F437" s="50">
        <v>3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445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48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809</v>
      </c>
      <c r="D438" s="50" t="s">
        <v>40</v>
      </c>
      <c r="E438" s="50">
        <v>153</v>
      </c>
      <c r="F438" s="50">
        <v>7</v>
      </c>
      <c r="G438" s="50">
        <v>0</v>
      </c>
      <c r="H438" s="50">
        <v>0</v>
      </c>
      <c r="I438" s="50">
        <v>0</v>
      </c>
      <c r="J438" s="50">
        <v>1</v>
      </c>
      <c r="K438" s="50">
        <v>0</v>
      </c>
      <c r="L438" s="50">
        <v>1</v>
      </c>
      <c r="M438" s="445">
        <v>14.29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1</v>
      </c>
      <c r="T438" s="50">
        <v>0</v>
      </c>
      <c r="U438" s="50">
        <v>1</v>
      </c>
      <c r="V438" s="348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445">
        <v>0</v>
      </c>
      <c r="N439" s="325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48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107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445">
        <v>0</v>
      </c>
      <c r="N440" s="44"/>
      <c r="O440" s="50">
        <v>0</v>
      </c>
      <c r="P440" s="50">
        <v>0</v>
      </c>
      <c r="Q440" s="50">
        <v>1</v>
      </c>
      <c r="R440" s="50">
        <v>-1</v>
      </c>
      <c r="S440" s="50">
        <v>0</v>
      </c>
      <c r="T440" s="50">
        <v>1</v>
      </c>
      <c r="U440" s="50">
        <v>-1</v>
      </c>
      <c r="V440" s="348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702</v>
      </c>
      <c r="D441" s="50" t="s">
        <v>27</v>
      </c>
      <c r="E441" s="50">
        <v>103</v>
      </c>
      <c r="F441" s="50">
        <v>5</v>
      </c>
      <c r="G441" s="50">
        <v>0</v>
      </c>
      <c r="H441" s="50">
        <v>0</v>
      </c>
      <c r="I441" s="50">
        <v>0</v>
      </c>
      <c r="J441" s="50">
        <v>1</v>
      </c>
      <c r="K441" s="50">
        <v>4</v>
      </c>
      <c r="L441" s="50">
        <v>-3</v>
      </c>
      <c r="M441" s="445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2</v>
      </c>
      <c r="U441" s="50">
        <v>-2</v>
      </c>
      <c r="V441" s="348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1059</v>
      </c>
      <c r="D442" s="50" t="s">
        <v>458</v>
      </c>
      <c r="E442" s="50">
        <v>107</v>
      </c>
      <c r="F442" s="50">
        <v>5</v>
      </c>
      <c r="G442" s="50">
        <v>0</v>
      </c>
      <c r="H442" s="50">
        <v>0</v>
      </c>
      <c r="I442" s="50">
        <v>0</v>
      </c>
      <c r="J442" s="50">
        <v>0</v>
      </c>
      <c r="K442" s="50">
        <v>1</v>
      </c>
      <c r="L442" s="50">
        <v>-1</v>
      </c>
      <c r="M442" s="445">
        <v>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48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379</v>
      </c>
      <c r="D443" s="50" t="s">
        <v>27</v>
      </c>
      <c r="E443" s="50">
        <v>91</v>
      </c>
      <c r="F443" s="50">
        <v>4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445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48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62</v>
      </c>
      <c r="F444" s="50">
        <v>3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445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48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105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445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48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459</v>
      </c>
      <c r="E446" s="50">
        <v>71</v>
      </c>
      <c r="F446" s="50">
        <v>3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445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48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178</v>
      </c>
      <c r="F447" s="50">
        <v>9</v>
      </c>
      <c r="G447" s="50">
        <v>0</v>
      </c>
      <c r="H447" s="50">
        <v>1</v>
      </c>
      <c r="I447" s="50">
        <v>-1</v>
      </c>
      <c r="J447" s="50">
        <v>3</v>
      </c>
      <c r="K447" s="50">
        <v>16</v>
      </c>
      <c r="L447" s="50">
        <v>-13</v>
      </c>
      <c r="M447" s="445">
        <v>0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6</v>
      </c>
      <c r="U447" s="50">
        <v>-6</v>
      </c>
      <c r="V447" s="348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793</v>
      </c>
      <c r="D448" s="50" t="s">
        <v>460</v>
      </c>
      <c r="E448" s="50">
        <v>359</v>
      </c>
      <c r="F448" s="50">
        <v>17</v>
      </c>
      <c r="G448" s="50">
        <v>0</v>
      </c>
      <c r="H448" s="50">
        <v>0</v>
      </c>
      <c r="I448" s="50">
        <v>0</v>
      </c>
      <c r="J448" s="50">
        <v>1</v>
      </c>
      <c r="K448" s="50">
        <v>1</v>
      </c>
      <c r="L448" s="50">
        <v>0</v>
      </c>
      <c r="M448" s="445">
        <v>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1</v>
      </c>
      <c r="T448" s="50">
        <v>1</v>
      </c>
      <c r="U448" s="50">
        <v>0</v>
      </c>
      <c r="V448" s="348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461</v>
      </c>
      <c r="E449" s="50">
        <v>109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445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48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1052</v>
      </c>
      <c r="D450" s="50" t="s">
        <v>462</v>
      </c>
      <c r="E450" s="50">
        <v>61</v>
      </c>
      <c r="F450" s="50">
        <v>3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445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1</v>
      </c>
      <c r="T450" s="50">
        <v>0</v>
      </c>
      <c r="U450" s="50">
        <v>1</v>
      </c>
      <c r="V450" s="348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463</v>
      </c>
      <c r="E451" s="50">
        <v>138</v>
      </c>
      <c r="F451" s="50">
        <v>7</v>
      </c>
      <c r="G451" s="50">
        <v>2</v>
      </c>
      <c r="H451" s="50">
        <v>0</v>
      </c>
      <c r="I451" s="50">
        <v>2</v>
      </c>
      <c r="J451" s="50">
        <v>3</v>
      </c>
      <c r="K451" s="50">
        <v>0</v>
      </c>
      <c r="L451" s="50">
        <v>3</v>
      </c>
      <c r="M451" s="445">
        <v>42.86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48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62</v>
      </c>
      <c r="F452" s="50">
        <v>3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445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1</v>
      </c>
      <c r="T452" s="50">
        <v>0</v>
      </c>
      <c r="U452" s="50">
        <v>1</v>
      </c>
      <c r="V452" s="348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1021</v>
      </c>
      <c r="D453" s="50" t="s">
        <v>464</v>
      </c>
      <c r="E453" s="50">
        <v>26</v>
      </c>
      <c r="F453" s="50">
        <v>3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445">
        <v>33.33</v>
      </c>
      <c r="N453" s="44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48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55</v>
      </c>
      <c r="F454" s="50">
        <v>3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445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48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465</v>
      </c>
      <c r="E455" s="50">
        <v>49</v>
      </c>
      <c r="F455" s="50">
        <v>3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445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48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810</v>
      </c>
      <c r="D456" s="50" t="s">
        <v>228</v>
      </c>
      <c r="E456" s="50">
        <v>92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445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48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187</v>
      </c>
      <c r="F457" s="50">
        <v>9</v>
      </c>
      <c r="G457" s="50">
        <v>3</v>
      </c>
      <c r="H457" s="50">
        <v>0</v>
      </c>
      <c r="I457" s="50">
        <v>3</v>
      </c>
      <c r="J457" s="50">
        <v>6</v>
      </c>
      <c r="K457" s="50">
        <v>1</v>
      </c>
      <c r="L457" s="50">
        <v>5</v>
      </c>
      <c r="M457" s="445">
        <v>55.56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2</v>
      </c>
      <c r="U457" s="50">
        <v>-2</v>
      </c>
      <c r="V457" s="348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808</v>
      </c>
      <c r="D458" s="50" t="s">
        <v>466</v>
      </c>
      <c r="E458" s="50">
        <v>64</v>
      </c>
      <c r="F458" s="50">
        <v>3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445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48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86</v>
      </c>
      <c r="D459" s="50" t="s">
        <v>467</v>
      </c>
      <c r="E459" s="50">
        <v>208</v>
      </c>
      <c r="F459" s="50">
        <v>10</v>
      </c>
      <c r="G459" s="50">
        <v>1</v>
      </c>
      <c r="H459" s="50">
        <v>0</v>
      </c>
      <c r="I459" s="50">
        <v>1</v>
      </c>
      <c r="J459" s="50">
        <v>5</v>
      </c>
      <c r="K459" s="50">
        <v>0</v>
      </c>
      <c r="L459" s="50">
        <v>5</v>
      </c>
      <c r="M459" s="445">
        <v>50</v>
      </c>
      <c r="N459" s="44"/>
      <c r="O459" s="50">
        <v>0</v>
      </c>
      <c r="P459" s="50">
        <v>1</v>
      </c>
      <c r="Q459" s="50">
        <v>1</v>
      </c>
      <c r="R459" s="50">
        <v>0</v>
      </c>
      <c r="S459" s="50">
        <v>2</v>
      </c>
      <c r="T459" s="50">
        <v>1</v>
      </c>
      <c r="U459" s="50">
        <v>1</v>
      </c>
      <c r="V459" s="348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507</v>
      </c>
      <c r="D460" s="50" t="s">
        <v>468</v>
      </c>
      <c r="E460" s="50">
        <v>40</v>
      </c>
      <c r="F460" s="50">
        <v>3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445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48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811</v>
      </c>
      <c r="D461" s="50" t="s">
        <v>469</v>
      </c>
      <c r="E461" s="50">
        <v>88</v>
      </c>
      <c r="F461" s="50">
        <v>4</v>
      </c>
      <c r="G461" s="50">
        <v>0</v>
      </c>
      <c r="H461" s="50">
        <v>0</v>
      </c>
      <c r="I461" s="50">
        <v>0</v>
      </c>
      <c r="J461" s="50">
        <v>2</v>
      </c>
      <c r="K461" s="50">
        <v>0</v>
      </c>
      <c r="L461" s="50">
        <v>2</v>
      </c>
      <c r="M461" s="445">
        <v>50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1</v>
      </c>
      <c r="T461" s="50">
        <v>1</v>
      </c>
      <c r="U461" s="50">
        <v>0</v>
      </c>
      <c r="V461" s="348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173</v>
      </c>
      <c r="F462" s="50">
        <v>9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445">
        <v>0</v>
      </c>
      <c r="N462" s="44"/>
      <c r="O462" s="50">
        <v>0</v>
      </c>
      <c r="P462" s="50">
        <v>0</v>
      </c>
      <c r="Q462" s="50">
        <v>1</v>
      </c>
      <c r="R462" s="50">
        <v>-1</v>
      </c>
      <c r="S462" s="50">
        <v>0</v>
      </c>
      <c r="T462" s="50">
        <v>1</v>
      </c>
      <c r="U462" s="50">
        <v>-1</v>
      </c>
      <c r="V462" s="348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790</v>
      </c>
      <c r="D463" s="50" t="s">
        <v>55</v>
      </c>
      <c r="E463" s="50">
        <v>35</v>
      </c>
      <c r="F463" s="50">
        <v>3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445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48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311</v>
      </c>
      <c r="D464" s="50" t="s">
        <v>470</v>
      </c>
      <c r="E464" s="50">
        <v>191</v>
      </c>
      <c r="F464" s="50">
        <v>9</v>
      </c>
      <c r="G464" s="50">
        <v>0</v>
      </c>
      <c r="H464" s="50">
        <v>2</v>
      </c>
      <c r="I464" s="50">
        <v>-2</v>
      </c>
      <c r="J464" s="50">
        <v>0</v>
      </c>
      <c r="K464" s="50">
        <v>2</v>
      </c>
      <c r="L464" s="50">
        <v>-2</v>
      </c>
      <c r="M464" s="445">
        <v>0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  <c r="U464" s="50">
        <v>0</v>
      </c>
      <c r="V464" s="348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446</v>
      </c>
      <c r="D465" s="50" t="s">
        <v>148</v>
      </c>
      <c r="E465" s="50">
        <v>94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445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48">
        <v>0</v>
      </c>
      <c r="W465" s="44"/>
    </row>
    <row r="466" spans="1:23" ht="29.1" customHeight="1">
      <c r="A466" s="50" t="s">
        <v>24</v>
      </c>
      <c r="B466" s="50">
        <v>10404</v>
      </c>
      <c r="C466" s="50" t="s">
        <v>785</v>
      </c>
      <c r="D466" s="50" t="s">
        <v>164</v>
      </c>
      <c r="E466" s="50">
        <v>58</v>
      </c>
      <c r="F466" s="50">
        <v>3</v>
      </c>
      <c r="G466" s="50">
        <v>1</v>
      </c>
      <c r="H466" s="50">
        <v>0</v>
      </c>
      <c r="I466" s="50">
        <v>1</v>
      </c>
      <c r="J466" s="50">
        <v>4</v>
      </c>
      <c r="K466" s="50">
        <v>0</v>
      </c>
      <c r="L466" s="50">
        <v>4</v>
      </c>
      <c r="M466" s="445">
        <v>133.33000000000001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48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456</v>
      </c>
      <c r="D467" s="50" t="s">
        <v>471</v>
      </c>
      <c r="E467" s="50">
        <v>73</v>
      </c>
      <c r="F467" s="50">
        <v>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445">
        <v>0</v>
      </c>
      <c r="N467" s="44"/>
      <c r="O467" s="50">
        <v>0</v>
      </c>
      <c r="P467" s="50">
        <v>1</v>
      </c>
      <c r="Q467" s="50">
        <v>0</v>
      </c>
      <c r="R467" s="50">
        <v>1</v>
      </c>
      <c r="S467" s="50">
        <v>1</v>
      </c>
      <c r="T467" s="50">
        <v>0</v>
      </c>
      <c r="U467" s="50">
        <v>1</v>
      </c>
      <c r="V467" s="348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812</v>
      </c>
      <c r="D468" s="50" t="s">
        <v>90</v>
      </c>
      <c r="E468" s="50">
        <v>116</v>
      </c>
      <c r="F468" s="50">
        <v>6</v>
      </c>
      <c r="G468" s="50">
        <v>0</v>
      </c>
      <c r="H468" s="50">
        <v>0</v>
      </c>
      <c r="I468" s="50">
        <v>0</v>
      </c>
      <c r="J468" s="50">
        <v>1</v>
      </c>
      <c r="K468" s="50">
        <v>0</v>
      </c>
      <c r="L468" s="50">
        <v>1</v>
      </c>
      <c r="M468" s="445">
        <v>16.670000000000002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1</v>
      </c>
      <c r="T468" s="50">
        <v>0</v>
      </c>
      <c r="U468" s="50">
        <v>1</v>
      </c>
      <c r="V468" s="348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112</v>
      </c>
      <c r="D469" s="50" t="s">
        <v>23</v>
      </c>
      <c r="E469" s="50">
        <v>326</v>
      </c>
      <c r="F469" s="50">
        <v>16</v>
      </c>
      <c r="G469" s="50">
        <v>1</v>
      </c>
      <c r="H469" s="50">
        <v>0</v>
      </c>
      <c r="I469" s="50">
        <v>1</v>
      </c>
      <c r="J469" s="50">
        <v>4</v>
      </c>
      <c r="K469" s="50">
        <v>0</v>
      </c>
      <c r="L469" s="50">
        <v>4</v>
      </c>
      <c r="M469" s="445">
        <v>25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1</v>
      </c>
      <c r="U469" s="50">
        <v>-1</v>
      </c>
      <c r="V469" s="348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62</v>
      </c>
      <c r="F470" s="50">
        <v>3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445">
        <v>0</v>
      </c>
      <c r="N470" s="44"/>
      <c r="O470" s="50">
        <v>0</v>
      </c>
      <c r="P470" s="50">
        <v>0</v>
      </c>
      <c r="Q470" s="50">
        <v>1</v>
      </c>
      <c r="R470" s="50">
        <v>-1</v>
      </c>
      <c r="S470" s="50">
        <v>0</v>
      </c>
      <c r="T470" s="50">
        <v>1</v>
      </c>
      <c r="U470" s="50">
        <v>-1</v>
      </c>
      <c r="V470" s="348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473</v>
      </c>
      <c r="E471" s="50">
        <v>80</v>
      </c>
      <c r="F471" s="50">
        <v>4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445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1</v>
      </c>
      <c r="T471" s="50">
        <v>0</v>
      </c>
      <c r="U471" s="50">
        <v>1</v>
      </c>
      <c r="V471" s="348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1499</v>
      </c>
      <c r="D472" s="50" t="s">
        <v>474</v>
      </c>
      <c r="E472" s="50">
        <v>11</v>
      </c>
      <c r="F472" s="50">
        <v>13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445">
        <v>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48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259</v>
      </c>
      <c r="D473" s="50" t="s">
        <v>475</v>
      </c>
      <c r="E473" s="50">
        <v>86</v>
      </c>
      <c r="F473" s="50">
        <v>4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445">
        <v>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48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95</v>
      </c>
      <c r="D474" s="50" t="s">
        <v>476</v>
      </c>
      <c r="E474" s="50">
        <v>99</v>
      </c>
      <c r="F474" s="50">
        <v>5</v>
      </c>
      <c r="G474" s="50">
        <v>0</v>
      </c>
      <c r="H474" s="50">
        <v>0</v>
      </c>
      <c r="I474" s="50">
        <v>0</v>
      </c>
      <c r="J474" s="50">
        <v>3</v>
      </c>
      <c r="K474" s="50">
        <v>0</v>
      </c>
      <c r="L474" s="50">
        <v>3</v>
      </c>
      <c r="M474" s="445">
        <v>60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  <c r="U474" s="50">
        <v>0</v>
      </c>
      <c r="V474" s="348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792</v>
      </c>
      <c r="D475" s="50" t="s">
        <v>477</v>
      </c>
      <c r="E475" s="50">
        <v>49</v>
      </c>
      <c r="F475" s="50">
        <v>3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445">
        <v>100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1</v>
      </c>
      <c r="U475" s="50">
        <v>-1</v>
      </c>
      <c r="V475" s="348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1052</v>
      </c>
      <c r="D476" s="50" t="s">
        <v>478</v>
      </c>
      <c r="E476" s="50">
        <v>43</v>
      </c>
      <c r="F476" s="50">
        <v>3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445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48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178</v>
      </c>
      <c r="D477" s="50" t="s">
        <v>479</v>
      </c>
      <c r="E477" s="50">
        <v>141</v>
      </c>
      <c r="F477" s="50">
        <v>7</v>
      </c>
      <c r="G477" s="50">
        <v>0</v>
      </c>
      <c r="H477" s="50">
        <v>0</v>
      </c>
      <c r="I477" s="50">
        <v>0</v>
      </c>
      <c r="J477" s="50">
        <v>9</v>
      </c>
      <c r="K477" s="50">
        <v>38</v>
      </c>
      <c r="L477" s="50">
        <v>-29</v>
      </c>
      <c r="M477" s="445">
        <v>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4</v>
      </c>
      <c r="T477" s="50">
        <v>9</v>
      </c>
      <c r="U477" s="50">
        <v>-5</v>
      </c>
      <c r="V477" s="348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71</v>
      </c>
      <c r="D478" s="50" t="s">
        <v>480</v>
      </c>
      <c r="E478" s="50">
        <v>97</v>
      </c>
      <c r="F478" s="50">
        <v>5</v>
      </c>
      <c r="G478" s="50">
        <v>0</v>
      </c>
      <c r="H478" s="50">
        <v>0</v>
      </c>
      <c r="I478" s="50">
        <v>0</v>
      </c>
      <c r="J478" s="50">
        <v>1</v>
      </c>
      <c r="K478" s="50">
        <v>2</v>
      </c>
      <c r="L478" s="50">
        <v>-1</v>
      </c>
      <c r="M478" s="445">
        <v>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  <c r="U478" s="50">
        <v>0</v>
      </c>
      <c r="V478" s="348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797</v>
      </c>
      <c r="D479" s="50" t="s">
        <v>481</v>
      </c>
      <c r="E479" s="50">
        <v>66</v>
      </c>
      <c r="F479" s="50">
        <v>3</v>
      </c>
      <c r="G479" s="50">
        <v>2</v>
      </c>
      <c r="H479" s="50">
        <v>0</v>
      </c>
      <c r="I479" s="50">
        <v>2</v>
      </c>
      <c r="J479" s="50">
        <v>2</v>
      </c>
      <c r="K479" s="50">
        <v>0</v>
      </c>
      <c r="L479" s="50">
        <v>2</v>
      </c>
      <c r="M479" s="445">
        <v>66.67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48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212</v>
      </c>
      <c r="D480" s="50" t="s">
        <v>208</v>
      </c>
      <c r="E480" s="50">
        <v>87</v>
      </c>
      <c r="F480" s="50">
        <v>4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445">
        <v>0</v>
      </c>
      <c r="N480" s="44"/>
      <c r="O480" s="50">
        <v>0</v>
      </c>
      <c r="P480" s="50">
        <v>0</v>
      </c>
      <c r="Q480" s="50">
        <v>1</v>
      </c>
      <c r="R480" s="50">
        <v>-1</v>
      </c>
      <c r="S480" s="50">
        <v>0</v>
      </c>
      <c r="T480" s="50">
        <v>1</v>
      </c>
      <c r="U480" s="50">
        <v>-1</v>
      </c>
      <c r="V480" s="348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445">
        <v>0</v>
      </c>
      <c r="N481" s="325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48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212</v>
      </c>
      <c r="D482" s="50" t="s">
        <v>482</v>
      </c>
      <c r="E482" s="50">
        <v>168</v>
      </c>
      <c r="F482" s="50">
        <v>8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445">
        <v>0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0</v>
      </c>
      <c r="U482" s="50">
        <v>0</v>
      </c>
      <c r="V482" s="348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56</v>
      </c>
      <c r="F483" s="50">
        <v>3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445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48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483</v>
      </c>
      <c r="E484" s="50">
        <v>112</v>
      </c>
      <c r="F484" s="50">
        <v>6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445">
        <v>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48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1073</v>
      </c>
      <c r="D485" s="50" t="s">
        <v>269</v>
      </c>
      <c r="E485" s="50">
        <v>22</v>
      </c>
      <c r="F485" s="50">
        <v>3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445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48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803</v>
      </c>
      <c r="D486" s="50" t="s">
        <v>1069</v>
      </c>
      <c r="E486" s="50">
        <v>90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445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48">
        <v>0</v>
      </c>
      <c r="W486" s="44"/>
    </row>
    <row r="487" spans="1:23" ht="29.1" customHeight="1">
      <c r="A487" s="50" t="s">
        <v>24</v>
      </c>
      <c r="B487" s="50">
        <v>10624</v>
      </c>
      <c r="C487" s="50" t="s">
        <v>165</v>
      </c>
      <c r="D487" s="50" t="s">
        <v>167</v>
      </c>
      <c r="E487" s="50">
        <v>267</v>
      </c>
      <c r="F487" s="50">
        <v>13</v>
      </c>
      <c r="G487" s="50">
        <v>0</v>
      </c>
      <c r="H487" s="50">
        <v>0</v>
      </c>
      <c r="I487" s="50">
        <v>0</v>
      </c>
      <c r="J487" s="50">
        <v>33</v>
      </c>
      <c r="K487" s="50">
        <v>1</v>
      </c>
      <c r="L487" s="50">
        <v>32</v>
      </c>
      <c r="M487" s="445">
        <v>246.15</v>
      </c>
      <c r="N487" s="44"/>
      <c r="O487" s="50">
        <v>0</v>
      </c>
      <c r="P487" s="50">
        <v>0</v>
      </c>
      <c r="Q487" s="50">
        <v>1</v>
      </c>
      <c r="R487" s="50">
        <v>-1</v>
      </c>
      <c r="S487" s="50">
        <v>1</v>
      </c>
      <c r="T487" s="50">
        <v>2</v>
      </c>
      <c r="U487" s="50">
        <v>-1</v>
      </c>
      <c r="V487" s="348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484</v>
      </c>
      <c r="E488" s="50">
        <v>159</v>
      </c>
      <c r="F488" s="50">
        <v>8</v>
      </c>
      <c r="G488" s="50">
        <v>0</v>
      </c>
      <c r="H488" s="50">
        <v>0</v>
      </c>
      <c r="I488" s="50">
        <v>0</v>
      </c>
      <c r="J488" s="50">
        <v>1</v>
      </c>
      <c r="K488" s="50">
        <v>15</v>
      </c>
      <c r="L488" s="50">
        <v>-14</v>
      </c>
      <c r="M488" s="445">
        <v>0</v>
      </c>
      <c r="N488" s="44"/>
      <c r="O488" s="50">
        <v>0</v>
      </c>
      <c r="P488" s="50">
        <v>1</v>
      </c>
      <c r="Q488" s="50">
        <v>0</v>
      </c>
      <c r="R488" s="50">
        <v>1</v>
      </c>
      <c r="S488" s="50">
        <v>2</v>
      </c>
      <c r="T488" s="50">
        <v>2</v>
      </c>
      <c r="U488" s="50">
        <v>0</v>
      </c>
      <c r="V488" s="348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1072</v>
      </c>
      <c r="D489" s="50" t="s">
        <v>33</v>
      </c>
      <c r="E489" s="50">
        <v>44</v>
      </c>
      <c r="F489" s="50">
        <v>3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445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48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66</v>
      </c>
      <c r="F490" s="50">
        <v>3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445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48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485</v>
      </c>
      <c r="E491" s="50">
        <v>38</v>
      </c>
      <c r="F491" s="50">
        <v>3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445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48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268</v>
      </c>
      <c r="D492" s="50" t="s">
        <v>43</v>
      </c>
      <c r="E492" s="50">
        <v>97</v>
      </c>
      <c r="F492" s="50">
        <v>5</v>
      </c>
      <c r="G492" s="50">
        <v>0</v>
      </c>
      <c r="H492" s="50">
        <v>0</v>
      </c>
      <c r="I492" s="50">
        <v>0</v>
      </c>
      <c r="J492" s="50">
        <v>8</v>
      </c>
      <c r="K492" s="50">
        <v>0</v>
      </c>
      <c r="L492" s="50">
        <v>8</v>
      </c>
      <c r="M492" s="445">
        <v>160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48">
        <v>0</v>
      </c>
      <c r="W492" s="44"/>
    </row>
    <row r="493" spans="1:23" ht="29.1" customHeight="1">
      <c r="A493" s="50" t="s">
        <v>24</v>
      </c>
      <c r="B493" s="50">
        <v>10711</v>
      </c>
      <c r="C493" s="50" t="s">
        <v>773</v>
      </c>
      <c r="D493" s="50" t="s">
        <v>107</v>
      </c>
      <c r="E493" s="50">
        <v>112</v>
      </c>
      <c r="F493" s="50">
        <v>6</v>
      </c>
      <c r="G493" s="50">
        <v>0</v>
      </c>
      <c r="H493" s="50">
        <v>0</v>
      </c>
      <c r="I493" s="50">
        <v>0</v>
      </c>
      <c r="J493" s="50">
        <v>7</v>
      </c>
      <c r="K493" s="50">
        <v>0</v>
      </c>
      <c r="L493" s="50">
        <v>7</v>
      </c>
      <c r="M493" s="445">
        <v>116.67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48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85</v>
      </c>
      <c r="F494" s="50">
        <v>4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445">
        <v>25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1</v>
      </c>
      <c r="T494" s="50">
        <v>0</v>
      </c>
      <c r="U494" s="50">
        <v>1</v>
      </c>
      <c r="V494" s="348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708</v>
      </c>
      <c r="D495" s="50" t="s">
        <v>33</v>
      </c>
      <c r="E495" s="50">
        <v>212</v>
      </c>
      <c r="F495" s="50">
        <v>10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445">
        <v>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2</v>
      </c>
      <c r="U495" s="50">
        <v>-2</v>
      </c>
      <c r="V495" s="348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813</v>
      </c>
      <c r="D496" s="50" t="s">
        <v>154</v>
      </c>
      <c r="E496" s="50">
        <v>14</v>
      </c>
      <c r="F496" s="50">
        <v>11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445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48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356</v>
      </c>
      <c r="D497" s="50" t="s">
        <v>486</v>
      </c>
      <c r="E497" s="50">
        <v>62</v>
      </c>
      <c r="F497" s="50">
        <v>3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445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48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128</v>
      </c>
      <c r="D498" s="50" t="s">
        <v>487</v>
      </c>
      <c r="E498" s="50">
        <v>56</v>
      </c>
      <c r="F498" s="50">
        <v>3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445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48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809</v>
      </c>
      <c r="D499" s="50" t="s">
        <v>40</v>
      </c>
      <c r="E499" s="50">
        <v>82</v>
      </c>
      <c r="F499" s="50">
        <v>4</v>
      </c>
      <c r="G499" s="50">
        <v>0</v>
      </c>
      <c r="H499" s="50">
        <v>0</v>
      </c>
      <c r="I499" s="50">
        <v>0</v>
      </c>
      <c r="J499" s="50">
        <v>1</v>
      </c>
      <c r="K499" s="50">
        <v>1</v>
      </c>
      <c r="L499" s="50">
        <v>0</v>
      </c>
      <c r="M499" s="445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48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88</v>
      </c>
      <c r="F500" s="50">
        <v>4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445">
        <v>0</v>
      </c>
      <c r="N500" s="44"/>
      <c r="O500" s="50">
        <v>0</v>
      </c>
      <c r="P500" s="50">
        <v>0</v>
      </c>
      <c r="Q500" s="50">
        <v>1</v>
      </c>
      <c r="R500" s="50">
        <v>-1</v>
      </c>
      <c r="S500" s="50">
        <v>0</v>
      </c>
      <c r="T500" s="50">
        <v>1</v>
      </c>
      <c r="U500" s="50">
        <v>-1</v>
      </c>
      <c r="V500" s="348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1071</v>
      </c>
      <c r="D501" s="50" t="s">
        <v>23</v>
      </c>
      <c r="E501" s="50">
        <v>50</v>
      </c>
      <c r="F501" s="50">
        <v>3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445">
        <v>0</v>
      </c>
      <c r="N501" s="44"/>
      <c r="O501" s="50">
        <v>0</v>
      </c>
      <c r="P501" s="50">
        <v>0</v>
      </c>
      <c r="Q501" s="50">
        <v>1</v>
      </c>
      <c r="R501" s="50">
        <v>-1</v>
      </c>
      <c r="S501" s="50">
        <v>0</v>
      </c>
      <c r="T501" s="50">
        <v>1</v>
      </c>
      <c r="U501" s="50">
        <v>-1</v>
      </c>
      <c r="V501" s="348">
        <v>0</v>
      </c>
      <c r="W501" s="44"/>
    </row>
    <row r="502" spans="1:23" ht="29.1" customHeight="1">
      <c r="A502" s="50" t="s">
        <v>24</v>
      </c>
      <c r="B502" s="50">
        <v>10790</v>
      </c>
      <c r="C502" s="50" t="s">
        <v>283</v>
      </c>
      <c r="D502" s="50" t="s">
        <v>341</v>
      </c>
      <c r="E502" s="50">
        <v>43</v>
      </c>
      <c r="F502" s="50">
        <v>3</v>
      </c>
      <c r="G502" s="50">
        <v>0</v>
      </c>
      <c r="H502" s="50">
        <v>0</v>
      </c>
      <c r="I502" s="50">
        <v>0</v>
      </c>
      <c r="J502" s="50">
        <v>8</v>
      </c>
      <c r="K502" s="50">
        <v>0</v>
      </c>
      <c r="L502" s="50">
        <v>8</v>
      </c>
      <c r="M502" s="445">
        <v>266.67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1</v>
      </c>
      <c r="T502" s="50">
        <v>0</v>
      </c>
      <c r="U502" s="50">
        <v>1</v>
      </c>
      <c r="V502" s="348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488</v>
      </c>
      <c r="E503" s="50">
        <v>194</v>
      </c>
      <c r="F503" s="50">
        <v>9</v>
      </c>
      <c r="G503" s="50">
        <v>0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445">
        <v>0</v>
      </c>
      <c r="N503" s="44"/>
      <c r="O503" s="50">
        <v>0</v>
      </c>
      <c r="P503" s="50">
        <v>0</v>
      </c>
      <c r="Q503" s="50">
        <v>1</v>
      </c>
      <c r="R503" s="50">
        <v>-1</v>
      </c>
      <c r="S503" s="50">
        <v>2</v>
      </c>
      <c r="T503" s="50">
        <v>1</v>
      </c>
      <c r="U503" s="50">
        <v>1</v>
      </c>
      <c r="V503" s="348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809</v>
      </c>
      <c r="D504" s="50" t="s">
        <v>40</v>
      </c>
      <c r="E504" s="50">
        <v>256</v>
      </c>
      <c r="F504" s="50">
        <v>13</v>
      </c>
      <c r="G504" s="50">
        <v>1</v>
      </c>
      <c r="H504" s="50">
        <v>0</v>
      </c>
      <c r="I504" s="50">
        <v>1</v>
      </c>
      <c r="J504" s="50">
        <v>1</v>
      </c>
      <c r="K504" s="50">
        <v>0</v>
      </c>
      <c r="L504" s="50">
        <v>1</v>
      </c>
      <c r="M504" s="445">
        <v>7.69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1</v>
      </c>
      <c r="T504" s="50">
        <v>0</v>
      </c>
      <c r="U504" s="50">
        <v>1</v>
      </c>
      <c r="V504" s="348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270</v>
      </c>
      <c r="D505" s="50" t="s">
        <v>297</v>
      </c>
      <c r="E505" s="50">
        <v>527</v>
      </c>
      <c r="F505" s="50">
        <v>20</v>
      </c>
      <c r="G505" s="50">
        <v>0</v>
      </c>
      <c r="H505" s="50">
        <v>1</v>
      </c>
      <c r="I505" s="50">
        <v>-1</v>
      </c>
      <c r="J505" s="50">
        <v>4</v>
      </c>
      <c r="K505" s="50">
        <v>2</v>
      </c>
      <c r="L505" s="50">
        <v>2</v>
      </c>
      <c r="M505" s="445">
        <v>10</v>
      </c>
      <c r="N505" s="44"/>
      <c r="O505" s="50">
        <v>0</v>
      </c>
      <c r="P505" s="50">
        <v>1</v>
      </c>
      <c r="Q505" s="50">
        <v>2</v>
      </c>
      <c r="R505" s="50">
        <v>-1</v>
      </c>
      <c r="S505" s="50">
        <v>4</v>
      </c>
      <c r="T505" s="50">
        <v>9</v>
      </c>
      <c r="U505" s="50">
        <v>-5</v>
      </c>
      <c r="V505" s="348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44</v>
      </c>
      <c r="F506" s="50">
        <v>3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445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48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303</v>
      </c>
      <c r="F507" s="50">
        <v>14</v>
      </c>
      <c r="G507" s="50">
        <v>1</v>
      </c>
      <c r="H507" s="50">
        <v>0</v>
      </c>
      <c r="I507" s="50">
        <v>1</v>
      </c>
      <c r="J507" s="50">
        <v>2</v>
      </c>
      <c r="K507" s="50">
        <v>0</v>
      </c>
      <c r="L507" s="50">
        <v>2</v>
      </c>
      <c r="M507" s="445">
        <v>14.29</v>
      </c>
      <c r="N507" s="44"/>
      <c r="O507" s="50">
        <v>0</v>
      </c>
      <c r="P507" s="50">
        <v>0</v>
      </c>
      <c r="Q507" s="50">
        <v>1</v>
      </c>
      <c r="R507" s="50">
        <v>-1</v>
      </c>
      <c r="S507" s="50">
        <v>2</v>
      </c>
      <c r="T507" s="50">
        <v>2</v>
      </c>
      <c r="U507" s="50">
        <v>0</v>
      </c>
      <c r="V507" s="348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489</v>
      </c>
      <c r="E508" s="50">
        <v>56</v>
      </c>
      <c r="F508" s="50">
        <v>3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445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48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407</v>
      </c>
      <c r="D509" s="50" t="s">
        <v>490</v>
      </c>
      <c r="E509" s="50">
        <v>85</v>
      </c>
      <c r="F509" s="50">
        <v>4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445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1</v>
      </c>
      <c r="U509" s="50">
        <v>-1</v>
      </c>
      <c r="V509" s="348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779</v>
      </c>
      <c r="D510" s="50" t="s">
        <v>123</v>
      </c>
      <c r="E510" s="50">
        <v>45</v>
      </c>
      <c r="F510" s="50">
        <v>3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445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48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328</v>
      </c>
      <c r="D511" s="50" t="s">
        <v>491</v>
      </c>
      <c r="E511" s="50">
        <v>209</v>
      </c>
      <c r="F511" s="50">
        <v>10</v>
      </c>
      <c r="G511" s="50">
        <v>0</v>
      </c>
      <c r="H511" s="50">
        <v>0</v>
      </c>
      <c r="I511" s="50">
        <v>0</v>
      </c>
      <c r="J511" s="50">
        <v>2</v>
      </c>
      <c r="K511" s="50">
        <v>0</v>
      </c>
      <c r="L511" s="50">
        <v>2</v>
      </c>
      <c r="M511" s="445">
        <v>20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1</v>
      </c>
      <c r="T511" s="50">
        <v>2</v>
      </c>
      <c r="U511" s="50">
        <v>-1</v>
      </c>
      <c r="V511" s="348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381</v>
      </c>
      <c r="D512" s="50" t="s">
        <v>43</v>
      </c>
      <c r="E512" s="50">
        <v>61</v>
      </c>
      <c r="F512" s="50">
        <v>3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445">
        <v>0</v>
      </c>
      <c r="N512" s="44"/>
      <c r="O512" s="50">
        <v>0</v>
      </c>
      <c r="P512" s="50">
        <v>0</v>
      </c>
      <c r="Q512" s="50">
        <v>1</v>
      </c>
      <c r="R512" s="50">
        <v>-1</v>
      </c>
      <c r="S512" s="50">
        <v>0</v>
      </c>
      <c r="T512" s="50">
        <v>1</v>
      </c>
      <c r="U512" s="50">
        <v>-1</v>
      </c>
      <c r="V512" s="348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798</v>
      </c>
      <c r="D513" s="50" t="s">
        <v>90</v>
      </c>
      <c r="E513" s="50">
        <v>99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445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1</v>
      </c>
      <c r="T513" s="50">
        <v>0</v>
      </c>
      <c r="U513" s="50">
        <v>1</v>
      </c>
      <c r="V513" s="348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492</v>
      </c>
      <c r="E514" s="50">
        <v>386</v>
      </c>
      <c r="F514" s="50">
        <v>19</v>
      </c>
      <c r="G514" s="50">
        <v>0</v>
      </c>
      <c r="H514" s="50">
        <v>3</v>
      </c>
      <c r="I514" s="50">
        <v>-3</v>
      </c>
      <c r="J514" s="50">
        <v>1</v>
      </c>
      <c r="K514" s="50">
        <v>23</v>
      </c>
      <c r="L514" s="50">
        <v>-22</v>
      </c>
      <c r="M514" s="445">
        <v>0</v>
      </c>
      <c r="N514" s="44"/>
      <c r="O514" s="50">
        <v>0</v>
      </c>
      <c r="P514" s="50">
        <v>0</v>
      </c>
      <c r="Q514" s="50">
        <v>0</v>
      </c>
      <c r="R514" s="50">
        <v>0</v>
      </c>
      <c r="S514" s="50">
        <v>5</v>
      </c>
      <c r="T514" s="50">
        <v>2</v>
      </c>
      <c r="U514" s="50">
        <v>3</v>
      </c>
      <c r="V514" s="348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233</v>
      </c>
      <c r="D515" s="50" t="s">
        <v>33</v>
      </c>
      <c r="E515" s="50">
        <v>133</v>
      </c>
      <c r="F515" s="50">
        <v>6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445">
        <v>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1</v>
      </c>
      <c r="U515" s="50">
        <v>-1</v>
      </c>
      <c r="V515" s="348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778</v>
      </c>
      <c r="D516" s="50" t="s">
        <v>493</v>
      </c>
      <c r="E516" s="50">
        <v>79</v>
      </c>
      <c r="F516" s="50">
        <v>4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445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48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148</v>
      </c>
      <c r="F517" s="50">
        <v>7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445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48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93</v>
      </c>
      <c r="D518" s="50" t="s">
        <v>23</v>
      </c>
      <c r="E518" s="50">
        <v>54</v>
      </c>
      <c r="F518" s="50">
        <v>3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445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48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199</v>
      </c>
      <c r="F519" s="50">
        <v>9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445">
        <v>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1</v>
      </c>
      <c r="U519" s="50">
        <v>-1</v>
      </c>
      <c r="V519" s="348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1030</v>
      </c>
      <c r="D520" s="50" t="s">
        <v>494</v>
      </c>
      <c r="E520" s="50">
        <v>44</v>
      </c>
      <c r="F520" s="50">
        <v>3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445">
        <v>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1</v>
      </c>
      <c r="U520" s="50">
        <v>-1</v>
      </c>
      <c r="V520" s="348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516</v>
      </c>
      <c r="D521" s="50" t="s">
        <v>55</v>
      </c>
      <c r="E521" s="50">
        <v>92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445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2</v>
      </c>
      <c r="T521" s="50">
        <v>1</v>
      </c>
      <c r="U521" s="50">
        <v>1</v>
      </c>
      <c r="V521" s="348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248</v>
      </c>
      <c r="D522" s="50" t="s">
        <v>33</v>
      </c>
      <c r="E522" s="50">
        <v>89</v>
      </c>
      <c r="F522" s="50">
        <v>4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445">
        <v>0</v>
      </c>
      <c r="N522" s="44"/>
      <c r="O522" s="50">
        <v>0</v>
      </c>
      <c r="P522" s="50">
        <v>0</v>
      </c>
      <c r="Q522" s="50">
        <v>1</v>
      </c>
      <c r="R522" s="50">
        <v>-1</v>
      </c>
      <c r="S522" s="50">
        <v>0</v>
      </c>
      <c r="T522" s="50">
        <v>1</v>
      </c>
      <c r="U522" s="50">
        <v>-1</v>
      </c>
      <c r="V522" s="348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159</v>
      </c>
      <c r="D523" s="50" t="s">
        <v>496</v>
      </c>
      <c r="E523" s="50">
        <v>76</v>
      </c>
      <c r="F523" s="50">
        <v>4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445">
        <v>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48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787</v>
      </c>
      <c r="D524" s="50" t="s">
        <v>133</v>
      </c>
      <c r="E524" s="50">
        <v>116</v>
      </c>
      <c r="F524" s="50">
        <v>5</v>
      </c>
      <c r="G524" s="50">
        <v>0</v>
      </c>
      <c r="H524" s="50">
        <v>0</v>
      </c>
      <c r="I524" s="50">
        <v>0</v>
      </c>
      <c r="J524" s="50">
        <v>2</v>
      </c>
      <c r="K524" s="50">
        <v>0</v>
      </c>
      <c r="L524" s="50">
        <v>2</v>
      </c>
      <c r="M524" s="445">
        <v>40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2</v>
      </c>
      <c r="T524" s="50">
        <v>0</v>
      </c>
      <c r="U524" s="50">
        <v>2</v>
      </c>
      <c r="V524" s="348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175</v>
      </c>
      <c r="F525" s="50">
        <v>8</v>
      </c>
      <c r="G525" s="50">
        <v>0</v>
      </c>
      <c r="H525" s="50">
        <v>1</v>
      </c>
      <c r="I525" s="50">
        <v>-1</v>
      </c>
      <c r="J525" s="50">
        <v>3</v>
      </c>
      <c r="K525" s="50">
        <v>1</v>
      </c>
      <c r="L525" s="50">
        <v>2</v>
      </c>
      <c r="M525" s="445">
        <v>25</v>
      </c>
      <c r="N525" s="44"/>
      <c r="O525" s="50">
        <v>0</v>
      </c>
      <c r="P525" s="50">
        <v>0</v>
      </c>
      <c r="Q525" s="50">
        <v>1</v>
      </c>
      <c r="R525" s="50">
        <v>-1</v>
      </c>
      <c r="S525" s="50">
        <v>1</v>
      </c>
      <c r="T525" s="50">
        <v>1</v>
      </c>
      <c r="U525" s="50">
        <v>0</v>
      </c>
      <c r="V525" s="348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122</v>
      </c>
      <c r="D526" s="50" t="s">
        <v>43</v>
      </c>
      <c r="E526" s="50">
        <v>133</v>
      </c>
      <c r="F526" s="50">
        <v>7</v>
      </c>
      <c r="G526" s="50">
        <v>0</v>
      </c>
      <c r="H526" s="50">
        <v>0</v>
      </c>
      <c r="I526" s="50">
        <v>0</v>
      </c>
      <c r="J526" s="50">
        <v>3</v>
      </c>
      <c r="K526" s="50">
        <v>0</v>
      </c>
      <c r="L526" s="50">
        <v>3</v>
      </c>
      <c r="M526" s="445">
        <v>42.86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1</v>
      </c>
      <c r="U526" s="50">
        <v>-1</v>
      </c>
      <c r="V526" s="348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497</v>
      </c>
      <c r="E527" s="50">
        <v>51</v>
      </c>
      <c r="F527" s="50">
        <v>3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445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48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795</v>
      </c>
      <c r="D528" s="50" t="s">
        <v>498</v>
      </c>
      <c r="E528" s="50">
        <v>51</v>
      </c>
      <c r="F528" s="50">
        <v>3</v>
      </c>
      <c r="G528" s="50">
        <v>0</v>
      </c>
      <c r="H528" s="50">
        <v>0</v>
      </c>
      <c r="I528" s="50">
        <v>0</v>
      </c>
      <c r="J528" s="50">
        <v>0</v>
      </c>
      <c r="K528" s="50">
        <v>1</v>
      </c>
      <c r="L528" s="50">
        <v>-1</v>
      </c>
      <c r="M528" s="445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1</v>
      </c>
      <c r="U528" s="50">
        <v>-1</v>
      </c>
      <c r="V528" s="348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138</v>
      </c>
      <c r="F529" s="50">
        <v>7</v>
      </c>
      <c r="G529" s="50">
        <v>0</v>
      </c>
      <c r="H529" s="50">
        <v>0</v>
      </c>
      <c r="I529" s="50">
        <v>0</v>
      </c>
      <c r="J529" s="50">
        <v>1</v>
      </c>
      <c r="K529" s="50">
        <v>0</v>
      </c>
      <c r="L529" s="50">
        <v>1</v>
      </c>
      <c r="M529" s="445">
        <v>14.29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48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499</v>
      </c>
      <c r="E530" s="50">
        <v>85</v>
      </c>
      <c r="F530" s="50">
        <v>4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445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48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234</v>
      </c>
      <c r="D531" s="50" t="s">
        <v>43</v>
      </c>
      <c r="E531" s="50">
        <v>125</v>
      </c>
      <c r="F531" s="50">
        <v>5</v>
      </c>
      <c r="G531" s="50">
        <v>0</v>
      </c>
      <c r="H531" s="50">
        <v>0</v>
      </c>
      <c r="I531" s="50">
        <v>0</v>
      </c>
      <c r="J531" s="50">
        <v>1</v>
      </c>
      <c r="K531" s="50">
        <v>0</v>
      </c>
      <c r="L531" s="50">
        <v>1</v>
      </c>
      <c r="M531" s="445">
        <v>20</v>
      </c>
      <c r="N531" s="44"/>
      <c r="O531" s="50">
        <v>0</v>
      </c>
      <c r="P531" s="50">
        <v>0</v>
      </c>
      <c r="Q531" s="50">
        <v>1</v>
      </c>
      <c r="R531" s="50">
        <v>-1</v>
      </c>
      <c r="S531" s="50">
        <v>0</v>
      </c>
      <c r="T531" s="50">
        <v>1</v>
      </c>
      <c r="U531" s="50">
        <v>-1</v>
      </c>
      <c r="V531" s="348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500</v>
      </c>
      <c r="E532" s="50">
        <v>75</v>
      </c>
      <c r="F532" s="50">
        <v>4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445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48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803</v>
      </c>
      <c r="D533" s="50" t="s">
        <v>501</v>
      </c>
      <c r="E533" s="50">
        <v>41</v>
      </c>
      <c r="F533" s="50">
        <v>3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445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48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502</v>
      </c>
      <c r="E534" s="50">
        <v>478</v>
      </c>
      <c r="F534" s="50">
        <v>20</v>
      </c>
      <c r="G534" s="50">
        <v>3</v>
      </c>
      <c r="H534" s="50">
        <v>5</v>
      </c>
      <c r="I534" s="50">
        <v>-2</v>
      </c>
      <c r="J534" s="50">
        <v>6</v>
      </c>
      <c r="K534" s="50">
        <v>5</v>
      </c>
      <c r="L534" s="50">
        <v>1</v>
      </c>
      <c r="M534" s="445">
        <v>5</v>
      </c>
      <c r="N534" s="44"/>
      <c r="O534" s="50">
        <v>0</v>
      </c>
      <c r="P534" s="50">
        <v>0</v>
      </c>
      <c r="Q534" s="50">
        <v>2</v>
      </c>
      <c r="R534" s="50">
        <v>-2</v>
      </c>
      <c r="S534" s="50">
        <v>0</v>
      </c>
      <c r="T534" s="50">
        <v>4</v>
      </c>
      <c r="U534" s="50">
        <v>-4</v>
      </c>
      <c r="V534" s="348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27</v>
      </c>
      <c r="E535" s="50">
        <v>35</v>
      </c>
      <c r="F535" s="50">
        <v>3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445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48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276</v>
      </c>
      <c r="D536" s="50" t="s">
        <v>27</v>
      </c>
      <c r="E536" s="50">
        <v>58</v>
      </c>
      <c r="F536" s="50">
        <v>3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445">
        <v>0</v>
      </c>
      <c r="N536" s="44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348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221</v>
      </c>
      <c r="E537" s="50">
        <v>434</v>
      </c>
      <c r="F537" s="50">
        <v>20</v>
      </c>
      <c r="G537" s="50">
        <v>0</v>
      </c>
      <c r="H537" s="50">
        <v>1</v>
      </c>
      <c r="I537" s="50">
        <v>-1</v>
      </c>
      <c r="J537" s="50">
        <v>6</v>
      </c>
      <c r="K537" s="50">
        <v>17</v>
      </c>
      <c r="L537" s="50">
        <v>-11</v>
      </c>
      <c r="M537" s="445">
        <v>0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6</v>
      </c>
      <c r="T537" s="50">
        <v>1</v>
      </c>
      <c r="U537" s="50">
        <v>5</v>
      </c>
      <c r="V537" s="348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1016</v>
      </c>
      <c r="D538" s="50" t="s">
        <v>503</v>
      </c>
      <c r="E538" s="50">
        <v>62</v>
      </c>
      <c r="F538" s="50">
        <v>3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445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48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504</v>
      </c>
      <c r="E539" s="50">
        <v>62</v>
      </c>
      <c r="F539" s="50">
        <v>3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445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348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800</v>
      </c>
      <c r="D540" s="50" t="s">
        <v>505</v>
      </c>
      <c r="E540" s="50">
        <v>26</v>
      </c>
      <c r="F540" s="50">
        <v>3</v>
      </c>
      <c r="G540" s="50">
        <v>0</v>
      </c>
      <c r="H540" s="50">
        <v>0</v>
      </c>
      <c r="I540" s="50">
        <v>0</v>
      </c>
      <c r="J540" s="50">
        <v>1</v>
      </c>
      <c r="K540" s="50">
        <v>0</v>
      </c>
      <c r="L540" s="50">
        <v>1</v>
      </c>
      <c r="M540" s="445">
        <v>33.33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48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60</v>
      </c>
      <c r="F541" s="50">
        <v>3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445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2</v>
      </c>
      <c r="T541" s="50">
        <v>0</v>
      </c>
      <c r="U541" s="50">
        <v>2</v>
      </c>
      <c r="V541" s="348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506</v>
      </c>
      <c r="E542" s="50">
        <v>68</v>
      </c>
      <c r="F542" s="50">
        <v>3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445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48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140</v>
      </c>
      <c r="F543" s="50">
        <v>7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445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1</v>
      </c>
      <c r="T543" s="50">
        <v>0</v>
      </c>
      <c r="U543" s="50">
        <v>1</v>
      </c>
      <c r="V543" s="348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332</v>
      </c>
      <c r="D544" s="50" t="s">
        <v>33</v>
      </c>
      <c r="E544" s="50">
        <v>88</v>
      </c>
      <c r="F544" s="50">
        <v>4</v>
      </c>
      <c r="G544" s="50">
        <v>0</v>
      </c>
      <c r="H544" s="50">
        <v>0</v>
      </c>
      <c r="I544" s="50">
        <v>0</v>
      </c>
      <c r="J544" s="50">
        <v>1</v>
      </c>
      <c r="K544" s="50">
        <v>0</v>
      </c>
      <c r="L544" s="50">
        <v>1</v>
      </c>
      <c r="M544" s="445">
        <v>25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2</v>
      </c>
      <c r="T544" s="50">
        <v>1</v>
      </c>
      <c r="U544" s="50">
        <v>1</v>
      </c>
      <c r="V544" s="348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508</v>
      </c>
      <c r="E545" s="50">
        <v>46</v>
      </c>
      <c r="F545" s="50">
        <v>3</v>
      </c>
      <c r="G545" s="50">
        <v>0</v>
      </c>
      <c r="H545" s="50">
        <v>0</v>
      </c>
      <c r="I545" s="50">
        <v>0</v>
      </c>
      <c r="J545" s="50">
        <v>0</v>
      </c>
      <c r="K545" s="50">
        <v>1</v>
      </c>
      <c r="L545" s="50">
        <v>-1</v>
      </c>
      <c r="M545" s="445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1</v>
      </c>
      <c r="U545" s="50">
        <v>-1</v>
      </c>
      <c r="V545" s="348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73</v>
      </c>
      <c r="D546" s="50" t="s">
        <v>509</v>
      </c>
      <c r="E546" s="50">
        <v>222</v>
      </c>
      <c r="F546" s="50">
        <v>11</v>
      </c>
      <c r="G546" s="50">
        <v>0</v>
      </c>
      <c r="H546" s="50">
        <v>1</v>
      </c>
      <c r="I546" s="50">
        <v>-1</v>
      </c>
      <c r="J546" s="50">
        <v>0</v>
      </c>
      <c r="K546" s="50">
        <v>1</v>
      </c>
      <c r="L546" s="50">
        <v>-1</v>
      </c>
      <c r="M546" s="445">
        <v>0</v>
      </c>
      <c r="N546" s="44"/>
      <c r="O546" s="50">
        <v>0</v>
      </c>
      <c r="P546" s="50">
        <v>1</v>
      </c>
      <c r="Q546" s="50">
        <v>0</v>
      </c>
      <c r="R546" s="50">
        <v>1</v>
      </c>
      <c r="S546" s="50">
        <v>2</v>
      </c>
      <c r="T546" s="50">
        <v>0</v>
      </c>
      <c r="U546" s="50">
        <v>2</v>
      </c>
      <c r="V546" s="348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147</v>
      </c>
      <c r="D547" s="50" t="s">
        <v>510</v>
      </c>
      <c r="E547" s="50">
        <v>47</v>
      </c>
      <c r="F547" s="50">
        <v>3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445">
        <v>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48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511</v>
      </c>
      <c r="E548" s="50">
        <v>74</v>
      </c>
      <c r="F548" s="50">
        <v>4</v>
      </c>
      <c r="G548" s="50">
        <v>0</v>
      </c>
      <c r="H548" s="50">
        <v>3</v>
      </c>
      <c r="I548" s="50">
        <v>-3</v>
      </c>
      <c r="J548" s="50">
        <v>0</v>
      </c>
      <c r="K548" s="50">
        <v>21</v>
      </c>
      <c r="L548" s="50">
        <v>-21</v>
      </c>
      <c r="M548" s="445">
        <v>0</v>
      </c>
      <c r="N548" s="44"/>
      <c r="O548" s="50">
        <v>0</v>
      </c>
      <c r="P548" s="50">
        <v>0</v>
      </c>
      <c r="Q548" s="50">
        <v>1</v>
      </c>
      <c r="R548" s="50">
        <v>-1</v>
      </c>
      <c r="S548" s="50">
        <v>0</v>
      </c>
      <c r="T548" s="50">
        <v>2</v>
      </c>
      <c r="U548" s="50">
        <v>-2</v>
      </c>
      <c r="V548" s="348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223</v>
      </c>
      <c r="D549" s="50" t="s">
        <v>43</v>
      </c>
      <c r="E549" s="50">
        <v>58</v>
      </c>
      <c r="F549" s="50">
        <v>3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445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48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796</v>
      </c>
      <c r="D550" s="50" t="s">
        <v>512</v>
      </c>
      <c r="E550" s="50">
        <v>78</v>
      </c>
      <c r="F550" s="50">
        <v>4</v>
      </c>
      <c r="G550" s="50">
        <v>0</v>
      </c>
      <c r="H550" s="50">
        <v>1</v>
      </c>
      <c r="I550" s="50">
        <v>-1</v>
      </c>
      <c r="J550" s="50">
        <v>0</v>
      </c>
      <c r="K550" s="50">
        <v>1</v>
      </c>
      <c r="L550" s="50">
        <v>-1</v>
      </c>
      <c r="M550" s="445">
        <v>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1</v>
      </c>
      <c r="U550" s="50">
        <v>-1</v>
      </c>
      <c r="V550" s="348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146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445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348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171</v>
      </c>
      <c r="F552" s="50">
        <v>8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445">
        <v>0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1</v>
      </c>
      <c r="U552" s="50">
        <v>-1</v>
      </c>
      <c r="V552" s="348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352</v>
      </c>
      <c r="D553" s="50" t="s">
        <v>23</v>
      </c>
      <c r="E553" s="50">
        <v>36</v>
      </c>
      <c r="F553" s="50">
        <v>3</v>
      </c>
      <c r="G553" s="50">
        <v>0</v>
      </c>
      <c r="H553" s="50">
        <v>0</v>
      </c>
      <c r="I553" s="50">
        <v>0</v>
      </c>
      <c r="J553" s="50">
        <v>2</v>
      </c>
      <c r="K553" s="50">
        <v>5</v>
      </c>
      <c r="L553" s="50">
        <v>-3</v>
      </c>
      <c r="M553" s="445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48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814</v>
      </c>
      <c r="D554" s="50" t="s">
        <v>90</v>
      </c>
      <c r="E554" s="50">
        <v>132</v>
      </c>
      <c r="F554" s="50">
        <v>7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445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1</v>
      </c>
      <c r="U554" s="50">
        <v>-1</v>
      </c>
      <c r="V554" s="348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514</v>
      </c>
      <c r="E555" s="50">
        <v>30</v>
      </c>
      <c r="F555" s="50">
        <v>3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445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48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1072</v>
      </c>
      <c r="D556" s="50" t="s">
        <v>515</v>
      </c>
      <c r="E556" s="50">
        <v>47</v>
      </c>
      <c r="F556" s="50">
        <v>3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445">
        <v>0</v>
      </c>
      <c r="N556" s="44"/>
      <c r="O556" s="50">
        <v>0</v>
      </c>
      <c r="P556" s="50">
        <v>0</v>
      </c>
      <c r="Q556" s="50">
        <v>1</v>
      </c>
      <c r="R556" s="50">
        <v>-1</v>
      </c>
      <c r="S556" s="50">
        <v>0</v>
      </c>
      <c r="T556" s="50">
        <v>1</v>
      </c>
      <c r="U556" s="50">
        <v>-1</v>
      </c>
      <c r="V556" s="348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223</v>
      </c>
      <c r="D557" s="50" t="s">
        <v>517</v>
      </c>
      <c r="E557" s="50">
        <v>82</v>
      </c>
      <c r="F557" s="50">
        <v>4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445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48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130</v>
      </c>
      <c r="D558" s="50" t="s">
        <v>518</v>
      </c>
      <c r="E558" s="50">
        <v>194</v>
      </c>
      <c r="F558" s="50">
        <v>10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445">
        <v>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>
        <v>0</v>
      </c>
      <c r="V558" s="348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251</v>
      </c>
      <c r="F559" s="50">
        <v>12</v>
      </c>
      <c r="G559" s="50">
        <v>0</v>
      </c>
      <c r="H559" s="50">
        <v>0</v>
      </c>
      <c r="I559" s="50">
        <v>0</v>
      </c>
      <c r="J559" s="50">
        <v>2</v>
      </c>
      <c r="K559" s="50">
        <v>0</v>
      </c>
      <c r="L559" s="50">
        <v>2</v>
      </c>
      <c r="M559" s="445">
        <v>16.670000000000002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3</v>
      </c>
      <c r="T559" s="50">
        <v>0</v>
      </c>
      <c r="U559" s="50">
        <v>3</v>
      </c>
      <c r="V559" s="348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519</v>
      </c>
      <c r="E560" s="50">
        <v>93</v>
      </c>
      <c r="F560" s="50">
        <v>5</v>
      </c>
      <c r="G560" s="50">
        <v>0</v>
      </c>
      <c r="H560" s="50">
        <v>0</v>
      </c>
      <c r="I560" s="50">
        <v>0</v>
      </c>
      <c r="J560" s="50">
        <v>2</v>
      </c>
      <c r="K560" s="50">
        <v>0</v>
      </c>
      <c r="L560" s="50">
        <v>2</v>
      </c>
      <c r="M560" s="445">
        <v>40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1</v>
      </c>
      <c r="T560" s="50">
        <v>0</v>
      </c>
      <c r="U560" s="50">
        <v>1</v>
      </c>
      <c r="V560" s="348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280</v>
      </c>
      <c r="F561" s="50">
        <v>14</v>
      </c>
      <c r="G561" s="50">
        <v>0</v>
      </c>
      <c r="H561" s="50">
        <v>0</v>
      </c>
      <c r="I561" s="50">
        <v>0</v>
      </c>
      <c r="J561" s="50">
        <v>3</v>
      </c>
      <c r="K561" s="50">
        <v>2</v>
      </c>
      <c r="L561" s="50">
        <v>1</v>
      </c>
      <c r="M561" s="445">
        <v>7.14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2</v>
      </c>
      <c r="T561" s="50">
        <v>2</v>
      </c>
      <c r="U561" s="50">
        <v>0</v>
      </c>
      <c r="V561" s="348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1050</v>
      </c>
      <c r="D562" s="50" t="s">
        <v>263</v>
      </c>
      <c r="E562" s="50">
        <v>22</v>
      </c>
      <c r="F562" s="50">
        <v>3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445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48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810</v>
      </c>
      <c r="D563" s="50" t="s">
        <v>150</v>
      </c>
      <c r="E563" s="50">
        <v>149</v>
      </c>
      <c r="F563" s="50">
        <v>7</v>
      </c>
      <c r="G563" s="50">
        <v>0</v>
      </c>
      <c r="H563" s="50">
        <v>0</v>
      </c>
      <c r="I563" s="50">
        <v>0</v>
      </c>
      <c r="J563" s="50">
        <v>0</v>
      </c>
      <c r="K563" s="50">
        <v>1</v>
      </c>
      <c r="L563" s="50">
        <v>-1</v>
      </c>
      <c r="M563" s="445">
        <v>0</v>
      </c>
      <c r="N563" s="44"/>
      <c r="O563" s="50">
        <v>0</v>
      </c>
      <c r="P563" s="50">
        <v>0</v>
      </c>
      <c r="Q563" s="50">
        <v>1</v>
      </c>
      <c r="R563" s="50">
        <v>-1</v>
      </c>
      <c r="S563" s="50">
        <v>0</v>
      </c>
      <c r="T563" s="50">
        <v>1</v>
      </c>
      <c r="U563" s="50">
        <v>-1</v>
      </c>
      <c r="V563" s="348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794</v>
      </c>
      <c r="D564" s="50" t="s">
        <v>521</v>
      </c>
      <c r="E564" s="50">
        <v>54</v>
      </c>
      <c r="F564" s="50">
        <v>3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445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48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269</v>
      </c>
      <c r="F565" s="50">
        <v>13</v>
      </c>
      <c r="G565" s="50">
        <v>0</v>
      </c>
      <c r="H565" s="50">
        <v>0</v>
      </c>
      <c r="I565" s="50">
        <v>0</v>
      </c>
      <c r="J565" s="50">
        <v>2</v>
      </c>
      <c r="K565" s="50">
        <v>6</v>
      </c>
      <c r="L565" s="50">
        <v>-4</v>
      </c>
      <c r="M565" s="445">
        <v>0</v>
      </c>
      <c r="N565" s="44"/>
      <c r="O565" s="50">
        <v>0</v>
      </c>
      <c r="P565" s="50">
        <v>0</v>
      </c>
      <c r="Q565" s="50">
        <v>1</v>
      </c>
      <c r="R565" s="50">
        <v>-1</v>
      </c>
      <c r="S565" s="50">
        <v>3</v>
      </c>
      <c r="T565" s="50">
        <v>3</v>
      </c>
      <c r="U565" s="50">
        <v>0</v>
      </c>
      <c r="V565" s="348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707</v>
      </c>
      <c r="D566" s="50" t="s">
        <v>23</v>
      </c>
      <c r="E566" s="50">
        <v>68</v>
      </c>
      <c r="F566" s="50">
        <v>3</v>
      </c>
      <c r="G566" s="50">
        <v>0</v>
      </c>
      <c r="H566" s="50">
        <v>0</v>
      </c>
      <c r="I566" s="50">
        <v>0</v>
      </c>
      <c r="J566" s="50">
        <v>0</v>
      </c>
      <c r="K566" s="50">
        <v>2</v>
      </c>
      <c r="L566" s="50">
        <v>-2</v>
      </c>
      <c r="M566" s="445">
        <v>0</v>
      </c>
      <c r="N566" s="44"/>
      <c r="O566" s="50">
        <v>0</v>
      </c>
      <c r="P566" s="50">
        <v>0</v>
      </c>
      <c r="Q566" s="50">
        <v>1</v>
      </c>
      <c r="R566" s="50">
        <v>-1</v>
      </c>
      <c r="S566" s="50">
        <v>0</v>
      </c>
      <c r="T566" s="50">
        <v>1</v>
      </c>
      <c r="U566" s="50">
        <v>-1</v>
      </c>
      <c r="V566" s="348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272</v>
      </c>
      <c r="D567" s="50" t="s">
        <v>522</v>
      </c>
      <c r="E567" s="50">
        <v>53</v>
      </c>
      <c r="F567" s="50">
        <v>3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445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1</v>
      </c>
      <c r="T567" s="50">
        <v>0</v>
      </c>
      <c r="U567" s="50">
        <v>1</v>
      </c>
      <c r="V567" s="348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523</v>
      </c>
      <c r="E568" s="50">
        <v>157</v>
      </c>
      <c r="F568" s="50">
        <v>8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445">
        <v>0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1</v>
      </c>
      <c r="T568" s="50">
        <v>0</v>
      </c>
      <c r="U568" s="50">
        <v>1</v>
      </c>
      <c r="V568" s="348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457</v>
      </c>
      <c r="D569" s="50" t="s">
        <v>524</v>
      </c>
      <c r="E569" s="50">
        <v>16</v>
      </c>
      <c r="F569" s="50">
        <v>8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445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48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806</v>
      </c>
      <c r="D570" s="50" t="s">
        <v>525</v>
      </c>
      <c r="E570" s="50">
        <v>47</v>
      </c>
      <c r="F570" s="50">
        <v>3</v>
      </c>
      <c r="G570" s="50">
        <v>1</v>
      </c>
      <c r="H570" s="50">
        <v>0</v>
      </c>
      <c r="I570" s="50">
        <v>1</v>
      </c>
      <c r="J570" s="50">
        <v>2</v>
      </c>
      <c r="K570" s="50">
        <v>0</v>
      </c>
      <c r="L570" s="50">
        <v>2</v>
      </c>
      <c r="M570" s="445">
        <v>66.67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1</v>
      </c>
      <c r="T570" s="50">
        <v>1</v>
      </c>
      <c r="U570" s="50">
        <v>0</v>
      </c>
      <c r="V570" s="348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526</v>
      </c>
      <c r="E571" s="50">
        <v>229</v>
      </c>
      <c r="F571" s="50">
        <v>11</v>
      </c>
      <c r="G571" s="50">
        <v>0</v>
      </c>
      <c r="H571" s="50">
        <v>0</v>
      </c>
      <c r="I571" s="50">
        <v>0</v>
      </c>
      <c r="J571" s="50">
        <v>0</v>
      </c>
      <c r="K571" s="50">
        <v>0</v>
      </c>
      <c r="L571" s="50">
        <v>0</v>
      </c>
      <c r="M571" s="445">
        <v>0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  <c r="U571" s="50">
        <v>0</v>
      </c>
      <c r="V571" s="348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342</v>
      </c>
      <c r="D572" s="50" t="s">
        <v>23</v>
      </c>
      <c r="E572" s="50">
        <v>88</v>
      </c>
      <c r="F572" s="50">
        <v>4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445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48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527</v>
      </c>
      <c r="E573" s="50">
        <v>44</v>
      </c>
      <c r="F573" s="50">
        <v>3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445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48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353</v>
      </c>
      <c r="F574" s="50">
        <v>18</v>
      </c>
      <c r="G574" s="50">
        <v>0</v>
      </c>
      <c r="H574" s="50">
        <v>2</v>
      </c>
      <c r="I574" s="50">
        <v>-2</v>
      </c>
      <c r="J574" s="50">
        <v>1</v>
      </c>
      <c r="K574" s="50">
        <v>2</v>
      </c>
      <c r="L574" s="50">
        <v>-1</v>
      </c>
      <c r="M574" s="445">
        <v>0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48">
        <v>0</v>
      </c>
      <c r="W574" s="44"/>
    </row>
    <row r="575" spans="1:23" ht="29.1" customHeight="1">
      <c r="A575" s="50" t="s">
        <v>24</v>
      </c>
      <c r="B575" s="50">
        <v>11978</v>
      </c>
      <c r="C575" s="50" t="s">
        <v>71</v>
      </c>
      <c r="D575" s="50" t="s">
        <v>528</v>
      </c>
      <c r="E575" s="50">
        <v>54</v>
      </c>
      <c r="F575" s="50">
        <v>3</v>
      </c>
      <c r="G575" s="50">
        <v>0</v>
      </c>
      <c r="H575" s="50">
        <v>0</v>
      </c>
      <c r="I575" s="50">
        <v>0</v>
      </c>
      <c r="J575" s="50">
        <v>5</v>
      </c>
      <c r="K575" s="50">
        <v>0</v>
      </c>
      <c r="L575" s="50">
        <v>5</v>
      </c>
      <c r="M575" s="445">
        <v>166.67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48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807</v>
      </c>
      <c r="D576" s="50" t="s">
        <v>529</v>
      </c>
      <c r="E576" s="50">
        <v>97</v>
      </c>
      <c r="F576" s="50">
        <v>4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445">
        <v>0</v>
      </c>
      <c r="N576" s="44"/>
      <c r="O576" s="50">
        <v>0</v>
      </c>
      <c r="P576" s="50">
        <v>0</v>
      </c>
      <c r="Q576" s="50">
        <v>2</v>
      </c>
      <c r="R576" s="50">
        <v>-2</v>
      </c>
      <c r="S576" s="50">
        <v>1</v>
      </c>
      <c r="T576" s="50">
        <v>4</v>
      </c>
      <c r="U576" s="50">
        <v>-3</v>
      </c>
      <c r="V576" s="348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770</v>
      </c>
      <c r="D577" s="50" t="s">
        <v>85</v>
      </c>
      <c r="E577" s="50">
        <v>124</v>
      </c>
      <c r="F577" s="50">
        <v>6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445">
        <v>16.670000000000002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1</v>
      </c>
      <c r="T577" s="50">
        <v>1</v>
      </c>
      <c r="U577" s="50">
        <v>0</v>
      </c>
      <c r="V577" s="348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412</v>
      </c>
      <c r="E578" s="50">
        <v>131</v>
      </c>
      <c r="F578" s="50">
        <v>6</v>
      </c>
      <c r="G578" s="50">
        <v>0</v>
      </c>
      <c r="H578" s="50">
        <v>0</v>
      </c>
      <c r="I578" s="50">
        <v>0</v>
      </c>
      <c r="J578" s="50">
        <v>1</v>
      </c>
      <c r="K578" s="50">
        <v>0</v>
      </c>
      <c r="L578" s="50">
        <v>1</v>
      </c>
      <c r="M578" s="445">
        <v>16.670000000000002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>
        <v>0</v>
      </c>
      <c r="V578" s="348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808</v>
      </c>
      <c r="D579" s="50" t="s">
        <v>66</v>
      </c>
      <c r="E579" s="50">
        <v>52</v>
      </c>
      <c r="F579" s="50">
        <v>3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445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48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802</v>
      </c>
      <c r="D580" s="50" t="s">
        <v>382</v>
      </c>
      <c r="E580" s="50">
        <v>243</v>
      </c>
      <c r="F580" s="50">
        <v>12</v>
      </c>
      <c r="G580" s="50">
        <v>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445">
        <v>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1</v>
      </c>
      <c r="U580" s="50">
        <v>-1</v>
      </c>
      <c r="V580" s="348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771</v>
      </c>
      <c r="D581" s="50" t="s">
        <v>530</v>
      </c>
      <c r="E581" s="50">
        <v>38</v>
      </c>
      <c r="F581" s="50">
        <v>3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445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48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128</v>
      </c>
      <c r="D582" s="50" t="s">
        <v>43</v>
      </c>
      <c r="E582" s="50">
        <v>40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445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48">
        <v>0</v>
      </c>
      <c r="W582" s="44"/>
    </row>
    <row r="583" spans="1:23" ht="29.1" customHeight="1">
      <c r="A583" s="50" t="s">
        <v>24</v>
      </c>
      <c r="B583" s="50">
        <v>12084</v>
      </c>
      <c r="C583" s="50" t="s">
        <v>112</v>
      </c>
      <c r="D583" s="50" t="s">
        <v>23</v>
      </c>
      <c r="E583" s="50">
        <v>69</v>
      </c>
      <c r="F583" s="50">
        <v>3</v>
      </c>
      <c r="G583" s="50">
        <v>0</v>
      </c>
      <c r="H583" s="50">
        <v>0</v>
      </c>
      <c r="I583" s="50">
        <v>0</v>
      </c>
      <c r="J583" s="50">
        <v>4</v>
      </c>
      <c r="K583" s="50">
        <v>0</v>
      </c>
      <c r="L583" s="50">
        <v>4</v>
      </c>
      <c r="M583" s="445">
        <v>133.33000000000001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48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811</v>
      </c>
      <c r="D584" s="50" t="s">
        <v>531</v>
      </c>
      <c r="E584" s="50">
        <v>56</v>
      </c>
      <c r="F584" s="50">
        <v>3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445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48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283</v>
      </c>
      <c r="D585" s="50" t="s">
        <v>532</v>
      </c>
      <c r="E585" s="50">
        <v>47</v>
      </c>
      <c r="F585" s="50">
        <v>3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445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48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1000</v>
      </c>
      <c r="D586" s="50" t="s">
        <v>533</v>
      </c>
      <c r="E586" s="50">
        <v>73</v>
      </c>
      <c r="F586" s="50">
        <v>4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445">
        <v>0</v>
      </c>
      <c r="N586" s="44"/>
      <c r="O586" s="50">
        <v>0</v>
      </c>
      <c r="P586" s="50">
        <v>0</v>
      </c>
      <c r="Q586" s="50">
        <v>1</v>
      </c>
      <c r="R586" s="50">
        <v>-1</v>
      </c>
      <c r="S586" s="50">
        <v>0</v>
      </c>
      <c r="T586" s="50">
        <v>1</v>
      </c>
      <c r="U586" s="50">
        <v>-1</v>
      </c>
      <c r="V586" s="348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425</v>
      </c>
      <c r="E587" s="50">
        <v>214</v>
      </c>
      <c r="F587" s="50">
        <v>10</v>
      </c>
      <c r="G587" s="50">
        <v>0</v>
      </c>
      <c r="H587" s="50">
        <v>0</v>
      </c>
      <c r="I587" s="50">
        <v>0</v>
      </c>
      <c r="J587" s="50">
        <v>2</v>
      </c>
      <c r="K587" s="50">
        <v>0</v>
      </c>
      <c r="L587" s="50">
        <v>2</v>
      </c>
      <c r="M587" s="445">
        <v>20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1</v>
      </c>
      <c r="T587" s="50">
        <v>0</v>
      </c>
      <c r="U587" s="50">
        <v>1</v>
      </c>
      <c r="V587" s="348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239</v>
      </c>
      <c r="D588" s="50" t="s">
        <v>451</v>
      </c>
      <c r="E588" s="50">
        <v>324</v>
      </c>
      <c r="F588" s="50">
        <v>16</v>
      </c>
      <c r="G588" s="50">
        <v>2</v>
      </c>
      <c r="H588" s="50">
        <v>0</v>
      </c>
      <c r="I588" s="50">
        <v>2</v>
      </c>
      <c r="J588" s="50">
        <v>2</v>
      </c>
      <c r="K588" s="50">
        <v>1</v>
      </c>
      <c r="L588" s="50">
        <v>1</v>
      </c>
      <c r="M588" s="445">
        <v>6.25</v>
      </c>
      <c r="N588" s="44"/>
      <c r="O588" s="50">
        <v>0</v>
      </c>
      <c r="P588" s="50">
        <v>1</v>
      </c>
      <c r="Q588" s="50">
        <v>1</v>
      </c>
      <c r="R588" s="50">
        <v>0</v>
      </c>
      <c r="S588" s="50">
        <v>2</v>
      </c>
      <c r="T588" s="50">
        <v>3</v>
      </c>
      <c r="U588" s="50">
        <v>-1</v>
      </c>
      <c r="V588" s="348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454</v>
      </c>
      <c r="D589" s="50" t="s">
        <v>23</v>
      </c>
      <c r="E589" s="50">
        <v>138</v>
      </c>
      <c r="F589" s="50">
        <v>6</v>
      </c>
      <c r="G589" s="50">
        <v>0</v>
      </c>
      <c r="H589" s="50">
        <v>0</v>
      </c>
      <c r="I589" s="50">
        <v>0</v>
      </c>
      <c r="J589" s="50">
        <v>1</v>
      </c>
      <c r="K589" s="50">
        <v>0</v>
      </c>
      <c r="L589" s="50">
        <v>1</v>
      </c>
      <c r="M589" s="445">
        <v>16.670000000000002</v>
      </c>
      <c r="N589" s="44"/>
      <c r="O589" s="50">
        <v>0</v>
      </c>
      <c r="P589" s="50">
        <v>0</v>
      </c>
      <c r="Q589" s="50">
        <v>1</v>
      </c>
      <c r="R589" s="50">
        <v>-1</v>
      </c>
      <c r="S589" s="50">
        <v>0</v>
      </c>
      <c r="T589" s="50">
        <v>1</v>
      </c>
      <c r="U589" s="50">
        <v>-1</v>
      </c>
      <c r="V589" s="348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176</v>
      </c>
      <c r="D590" s="50" t="s">
        <v>534</v>
      </c>
      <c r="E590" s="50">
        <v>145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445">
        <v>0</v>
      </c>
      <c r="N590" s="44"/>
      <c r="O590" s="50">
        <v>0</v>
      </c>
      <c r="P590" s="50">
        <v>0</v>
      </c>
      <c r="Q590" s="50">
        <v>1</v>
      </c>
      <c r="R590" s="50">
        <v>-1</v>
      </c>
      <c r="S590" s="50">
        <v>0</v>
      </c>
      <c r="T590" s="50">
        <v>1</v>
      </c>
      <c r="U590" s="50">
        <v>-1</v>
      </c>
      <c r="V590" s="348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1000</v>
      </c>
      <c r="D591" s="50" t="s">
        <v>382</v>
      </c>
      <c r="E591" s="50">
        <v>88</v>
      </c>
      <c r="F591" s="50">
        <v>4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445">
        <v>0</v>
      </c>
      <c r="N591" s="44"/>
      <c r="O591" s="50">
        <v>0</v>
      </c>
      <c r="P591" s="50">
        <v>0</v>
      </c>
      <c r="Q591" s="50">
        <v>1</v>
      </c>
      <c r="R591" s="50">
        <v>-1</v>
      </c>
      <c r="S591" s="50">
        <v>0</v>
      </c>
      <c r="T591" s="50">
        <v>1</v>
      </c>
      <c r="U591" s="50">
        <v>-1</v>
      </c>
      <c r="V591" s="348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535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445">
        <v>0</v>
      </c>
      <c r="N592" s="325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48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536</v>
      </c>
      <c r="E593" s="50">
        <v>46</v>
      </c>
      <c r="F593" s="50">
        <v>3</v>
      </c>
      <c r="G593" s="50">
        <v>0</v>
      </c>
      <c r="H593" s="50">
        <v>0</v>
      </c>
      <c r="I593" s="50">
        <v>0</v>
      </c>
      <c r="J593" s="50">
        <v>1</v>
      </c>
      <c r="K593" s="50">
        <v>0</v>
      </c>
      <c r="L593" s="50">
        <v>1</v>
      </c>
      <c r="M593" s="445">
        <v>33.33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1</v>
      </c>
      <c r="T593" s="50">
        <v>0</v>
      </c>
      <c r="U593" s="50">
        <v>1</v>
      </c>
      <c r="V593" s="348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1030</v>
      </c>
      <c r="D594" s="50" t="s">
        <v>537</v>
      </c>
      <c r="E594" s="50">
        <v>63</v>
      </c>
      <c r="F594" s="50">
        <v>3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445">
        <v>0</v>
      </c>
      <c r="N594" s="44"/>
      <c r="O594" s="50">
        <v>0</v>
      </c>
      <c r="P594" s="50">
        <v>1</v>
      </c>
      <c r="Q594" s="50">
        <v>0</v>
      </c>
      <c r="R594" s="50">
        <v>1</v>
      </c>
      <c r="S594" s="50">
        <v>2</v>
      </c>
      <c r="T594" s="50">
        <v>0</v>
      </c>
      <c r="U594" s="50">
        <v>2</v>
      </c>
      <c r="V594" s="348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538</v>
      </c>
      <c r="E595" s="50">
        <v>258</v>
      </c>
      <c r="F595" s="50">
        <v>12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445">
        <v>8.33</v>
      </c>
      <c r="N595" s="44"/>
      <c r="O595" s="50">
        <v>0</v>
      </c>
      <c r="P595" s="50">
        <v>0</v>
      </c>
      <c r="Q595" s="50">
        <v>1</v>
      </c>
      <c r="R595" s="50">
        <v>-1</v>
      </c>
      <c r="S595" s="50">
        <v>1</v>
      </c>
      <c r="T595" s="50">
        <v>1</v>
      </c>
      <c r="U595" s="50">
        <v>0</v>
      </c>
      <c r="V595" s="348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539</v>
      </c>
      <c r="E596" s="50">
        <v>331</v>
      </c>
      <c r="F596" s="50">
        <v>16</v>
      </c>
      <c r="G596" s="50">
        <v>1</v>
      </c>
      <c r="H596" s="50">
        <v>0</v>
      </c>
      <c r="I596" s="50">
        <v>1</v>
      </c>
      <c r="J596" s="50">
        <v>8</v>
      </c>
      <c r="K596" s="50">
        <v>0</v>
      </c>
      <c r="L596" s="50">
        <v>8</v>
      </c>
      <c r="M596" s="445">
        <v>50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  <c r="U596" s="50">
        <v>0</v>
      </c>
      <c r="V596" s="348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540</v>
      </c>
      <c r="E597" s="50">
        <v>331</v>
      </c>
      <c r="F597" s="50">
        <v>15</v>
      </c>
      <c r="G597" s="50">
        <v>0</v>
      </c>
      <c r="H597" s="50">
        <v>0</v>
      </c>
      <c r="I597" s="50">
        <v>0</v>
      </c>
      <c r="J597" s="50">
        <v>3</v>
      </c>
      <c r="K597" s="50">
        <v>0</v>
      </c>
      <c r="L597" s="50">
        <v>3</v>
      </c>
      <c r="M597" s="445">
        <v>20</v>
      </c>
      <c r="N597" s="44"/>
      <c r="O597" s="50">
        <v>0</v>
      </c>
      <c r="P597" s="50">
        <v>0</v>
      </c>
      <c r="Q597" s="50">
        <v>2</v>
      </c>
      <c r="R597" s="50">
        <v>-2</v>
      </c>
      <c r="S597" s="50">
        <v>2</v>
      </c>
      <c r="T597" s="50">
        <v>3</v>
      </c>
      <c r="U597" s="50">
        <v>-1</v>
      </c>
      <c r="V597" s="348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780</v>
      </c>
      <c r="D598" s="50" t="s">
        <v>133</v>
      </c>
      <c r="E598" s="50">
        <v>34</v>
      </c>
      <c r="F598" s="50">
        <v>3</v>
      </c>
      <c r="G598" s="50">
        <v>0</v>
      </c>
      <c r="H598" s="50">
        <v>0</v>
      </c>
      <c r="I598" s="50">
        <v>0</v>
      </c>
      <c r="J598" s="50">
        <v>1</v>
      </c>
      <c r="K598" s="50">
        <v>0</v>
      </c>
      <c r="L598" s="50">
        <v>1</v>
      </c>
      <c r="M598" s="445">
        <v>33.33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1</v>
      </c>
      <c r="T598" s="50">
        <v>0</v>
      </c>
      <c r="U598" s="50">
        <v>1</v>
      </c>
      <c r="V598" s="348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342</v>
      </c>
      <c r="D599" s="50" t="s">
        <v>23</v>
      </c>
      <c r="E599" s="50">
        <v>173</v>
      </c>
      <c r="F599" s="50">
        <v>9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445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48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541</v>
      </c>
      <c r="E600" s="50">
        <v>76</v>
      </c>
      <c r="F600" s="50">
        <v>4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445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48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220</v>
      </c>
      <c r="D601" s="50" t="s">
        <v>33</v>
      </c>
      <c r="E601" s="50">
        <v>175</v>
      </c>
      <c r="F601" s="50">
        <v>9</v>
      </c>
      <c r="G601" s="50">
        <v>0</v>
      </c>
      <c r="H601" s="50">
        <v>0</v>
      </c>
      <c r="I601" s="50">
        <v>0</v>
      </c>
      <c r="J601" s="50">
        <v>2</v>
      </c>
      <c r="K601" s="50">
        <v>0</v>
      </c>
      <c r="L601" s="50">
        <v>2</v>
      </c>
      <c r="M601" s="445">
        <v>22.22</v>
      </c>
      <c r="N601" s="44"/>
      <c r="O601" s="50">
        <v>0</v>
      </c>
      <c r="P601" s="50">
        <v>0</v>
      </c>
      <c r="Q601" s="50">
        <v>1</v>
      </c>
      <c r="R601" s="50">
        <v>-1</v>
      </c>
      <c r="S601" s="50">
        <v>0</v>
      </c>
      <c r="T601" s="50">
        <v>1</v>
      </c>
      <c r="U601" s="50">
        <v>-1</v>
      </c>
      <c r="V601" s="348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809</v>
      </c>
      <c r="D602" s="50" t="s">
        <v>40</v>
      </c>
      <c r="E602" s="50">
        <v>29</v>
      </c>
      <c r="F602" s="50">
        <v>3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445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48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445">
        <v>0</v>
      </c>
      <c r="N603" s="325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48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815</v>
      </c>
      <c r="D604" s="50" t="s">
        <v>33</v>
      </c>
      <c r="E604" s="50">
        <v>39</v>
      </c>
      <c r="F604" s="50">
        <v>3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445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48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358</v>
      </c>
      <c r="D605" s="50" t="s">
        <v>33</v>
      </c>
      <c r="E605" s="50">
        <v>77</v>
      </c>
      <c r="F605" s="50">
        <v>4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445">
        <v>0</v>
      </c>
      <c r="N605" s="44"/>
      <c r="O605" s="50">
        <v>0</v>
      </c>
      <c r="P605" s="50">
        <v>0</v>
      </c>
      <c r="Q605" s="50">
        <v>2</v>
      </c>
      <c r="R605" s="50">
        <v>-2</v>
      </c>
      <c r="S605" s="50">
        <v>0</v>
      </c>
      <c r="T605" s="50">
        <v>2</v>
      </c>
      <c r="U605" s="50">
        <v>-2</v>
      </c>
      <c r="V605" s="348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542</v>
      </c>
      <c r="E606" s="50">
        <v>562</v>
      </c>
      <c r="F606" s="50">
        <v>20</v>
      </c>
      <c r="G606" s="50">
        <v>0</v>
      </c>
      <c r="H606" s="50">
        <v>48</v>
      </c>
      <c r="I606" s="50">
        <v>-48</v>
      </c>
      <c r="J606" s="50">
        <v>3</v>
      </c>
      <c r="K606" s="50">
        <v>49</v>
      </c>
      <c r="L606" s="50">
        <v>-46</v>
      </c>
      <c r="M606" s="445">
        <v>0</v>
      </c>
      <c r="N606" s="44"/>
      <c r="O606" s="50">
        <v>0</v>
      </c>
      <c r="P606" s="50">
        <v>1</v>
      </c>
      <c r="Q606" s="50">
        <v>3</v>
      </c>
      <c r="R606" s="50">
        <v>-2</v>
      </c>
      <c r="S606" s="50">
        <v>4</v>
      </c>
      <c r="T606" s="50">
        <v>6</v>
      </c>
      <c r="U606" s="50">
        <v>-2</v>
      </c>
      <c r="V606" s="348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786</v>
      </c>
      <c r="D607" s="50" t="s">
        <v>543</v>
      </c>
      <c r="E607" s="50">
        <v>91</v>
      </c>
      <c r="F607" s="50">
        <v>4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445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1</v>
      </c>
      <c r="U607" s="50">
        <v>-1</v>
      </c>
      <c r="V607" s="348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520</v>
      </c>
      <c r="D608" s="50" t="s">
        <v>544</v>
      </c>
      <c r="E608" s="50">
        <v>35</v>
      </c>
      <c r="F608" s="50">
        <v>3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445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48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1051</v>
      </c>
      <c r="D609" s="50" t="s">
        <v>29</v>
      </c>
      <c r="E609" s="50">
        <v>51</v>
      </c>
      <c r="F609" s="50">
        <v>3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445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48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3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445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48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1021</v>
      </c>
      <c r="D611" s="50" t="s">
        <v>545</v>
      </c>
      <c r="E611" s="50">
        <v>143</v>
      </c>
      <c r="F611" s="50">
        <v>7</v>
      </c>
      <c r="G611" s="50">
        <v>0</v>
      </c>
      <c r="H611" s="50">
        <v>1</v>
      </c>
      <c r="I611" s="50">
        <v>-1</v>
      </c>
      <c r="J611" s="50">
        <v>1</v>
      </c>
      <c r="K611" s="50">
        <v>1</v>
      </c>
      <c r="L611" s="50">
        <v>0</v>
      </c>
      <c r="M611" s="445">
        <v>0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1</v>
      </c>
      <c r="U611" s="50">
        <v>-1</v>
      </c>
      <c r="V611" s="348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546</v>
      </c>
      <c r="E612" s="50">
        <v>62</v>
      </c>
      <c r="F612" s="50">
        <v>3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445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48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787</v>
      </c>
      <c r="D613" s="50" t="s">
        <v>133</v>
      </c>
      <c r="E613" s="50">
        <v>48</v>
      </c>
      <c r="F613" s="50">
        <v>3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445">
        <v>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48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811</v>
      </c>
      <c r="D614" s="50" t="s">
        <v>547</v>
      </c>
      <c r="E614" s="50">
        <v>61</v>
      </c>
      <c r="F614" s="50">
        <v>3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445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48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379</v>
      </c>
      <c r="F615" s="50">
        <v>19</v>
      </c>
      <c r="G615" s="50">
        <v>1</v>
      </c>
      <c r="H615" s="50">
        <v>2</v>
      </c>
      <c r="I615" s="50">
        <v>-1</v>
      </c>
      <c r="J615" s="50">
        <v>9</v>
      </c>
      <c r="K615" s="50">
        <v>5</v>
      </c>
      <c r="L615" s="50">
        <v>4</v>
      </c>
      <c r="M615" s="445">
        <v>21.05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2</v>
      </c>
      <c r="T615" s="50">
        <v>2</v>
      </c>
      <c r="U615" s="50">
        <v>0</v>
      </c>
      <c r="V615" s="348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548</v>
      </c>
      <c r="E616" s="50">
        <v>181</v>
      </c>
      <c r="F616" s="50">
        <v>9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445">
        <v>0</v>
      </c>
      <c r="N616" s="44"/>
      <c r="O616" s="50">
        <v>0</v>
      </c>
      <c r="P616" s="50">
        <v>0</v>
      </c>
      <c r="Q616" s="50">
        <v>1</v>
      </c>
      <c r="R616" s="50">
        <v>-1</v>
      </c>
      <c r="S616" s="50">
        <v>1</v>
      </c>
      <c r="T616" s="50">
        <v>1</v>
      </c>
      <c r="U616" s="50">
        <v>0</v>
      </c>
      <c r="V616" s="348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1056</v>
      </c>
      <c r="D617" s="50" t="s">
        <v>59</v>
      </c>
      <c r="E617" s="50">
        <v>73</v>
      </c>
      <c r="F617" s="50">
        <v>4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445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48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549</v>
      </c>
      <c r="E618" s="50">
        <v>60</v>
      </c>
      <c r="F618" s="50">
        <v>3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445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1</v>
      </c>
      <c r="T618" s="50">
        <v>0</v>
      </c>
      <c r="U618" s="50">
        <v>1</v>
      </c>
      <c r="V618" s="348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1021</v>
      </c>
      <c r="D619" s="50" t="s">
        <v>550</v>
      </c>
      <c r="E619" s="50">
        <v>28</v>
      </c>
      <c r="F619" s="50">
        <v>3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445">
        <v>0</v>
      </c>
      <c r="N619" s="325"/>
      <c r="O619" s="50">
        <v>0</v>
      </c>
      <c r="P619" s="50">
        <v>0</v>
      </c>
      <c r="Q619" s="50">
        <v>1</v>
      </c>
      <c r="R619" s="50">
        <v>-1</v>
      </c>
      <c r="S619" s="50">
        <v>0</v>
      </c>
      <c r="T619" s="50">
        <v>1</v>
      </c>
      <c r="U619" s="50">
        <v>-1</v>
      </c>
      <c r="V619" s="348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385</v>
      </c>
      <c r="D620" s="50" t="s">
        <v>143</v>
      </c>
      <c r="E620" s="50">
        <v>21</v>
      </c>
      <c r="F620" s="50">
        <v>3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445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48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797</v>
      </c>
      <c r="D621" s="50" t="s">
        <v>94</v>
      </c>
      <c r="E621" s="50">
        <v>67</v>
      </c>
      <c r="F621" s="50">
        <v>3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445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48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816</v>
      </c>
      <c r="D622" s="50" t="s">
        <v>33</v>
      </c>
      <c r="E622" s="50">
        <v>32</v>
      </c>
      <c r="F622" s="50">
        <v>3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445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48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145</v>
      </c>
      <c r="D623" s="50" t="s">
        <v>339</v>
      </c>
      <c r="E623" s="50">
        <v>91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1</v>
      </c>
      <c r="L623" s="50">
        <v>-1</v>
      </c>
      <c r="M623" s="445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48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551</v>
      </c>
      <c r="E624" s="50">
        <v>150</v>
      </c>
      <c r="F624" s="50">
        <v>7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445">
        <v>0</v>
      </c>
      <c r="N624" s="44"/>
      <c r="O624" s="50">
        <v>0</v>
      </c>
      <c r="P624" s="50">
        <v>0</v>
      </c>
      <c r="Q624" s="50">
        <v>1</v>
      </c>
      <c r="R624" s="50">
        <v>-1</v>
      </c>
      <c r="S624" s="50">
        <v>0</v>
      </c>
      <c r="T624" s="50">
        <v>1</v>
      </c>
      <c r="U624" s="50">
        <v>-1</v>
      </c>
      <c r="V624" s="348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783</v>
      </c>
      <c r="D625" s="50" t="s">
        <v>154</v>
      </c>
      <c r="E625" s="50">
        <v>216</v>
      </c>
      <c r="F625" s="50">
        <v>11</v>
      </c>
      <c r="G625" s="50">
        <v>1</v>
      </c>
      <c r="H625" s="50">
        <v>0</v>
      </c>
      <c r="I625" s="50">
        <v>1</v>
      </c>
      <c r="J625" s="50">
        <v>1</v>
      </c>
      <c r="K625" s="50">
        <v>0</v>
      </c>
      <c r="L625" s="50">
        <v>1</v>
      </c>
      <c r="M625" s="445">
        <v>9.09</v>
      </c>
      <c r="N625" s="44"/>
      <c r="O625" s="50">
        <v>0</v>
      </c>
      <c r="P625" s="50">
        <v>0</v>
      </c>
      <c r="Q625" s="50">
        <v>1</v>
      </c>
      <c r="R625" s="50">
        <v>-1</v>
      </c>
      <c r="S625" s="50">
        <v>1</v>
      </c>
      <c r="T625" s="50">
        <v>1</v>
      </c>
      <c r="U625" s="50">
        <v>0</v>
      </c>
      <c r="V625" s="348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779</v>
      </c>
      <c r="D626" s="50" t="s">
        <v>552</v>
      </c>
      <c r="E626" s="50">
        <v>98</v>
      </c>
      <c r="F626" s="50">
        <v>5</v>
      </c>
      <c r="G626" s="50">
        <v>0</v>
      </c>
      <c r="H626" s="50">
        <v>1</v>
      </c>
      <c r="I626" s="50">
        <v>-1</v>
      </c>
      <c r="J626" s="50">
        <v>0</v>
      </c>
      <c r="K626" s="50">
        <v>2</v>
      </c>
      <c r="L626" s="50">
        <v>-2</v>
      </c>
      <c r="M626" s="445">
        <v>0</v>
      </c>
      <c r="N626" s="44"/>
      <c r="O626" s="50">
        <v>0</v>
      </c>
      <c r="P626" s="50">
        <v>0</v>
      </c>
      <c r="Q626" s="50">
        <v>1</v>
      </c>
      <c r="R626" s="50">
        <v>-1</v>
      </c>
      <c r="S626" s="50">
        <v>1</v>
      </c>
      <c r="T626" s="50">
        <v>2</v>
      </c>
      <c r="U626" s="50">
        <v>-1</v>
      </c>
      <c r="V626" s="348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553</v>
      </c>
      <c r="E627" s="50">
        <v>131</v>
      </c>
      <c r="F627" s="50">
        <v>7</v>
      </c>
      <c r="G627" s="50">
        <v>0</v>
      </c>
      <c r="H627" s="50">
        <v>0</v>
      </c>
      <c r="I627" s="50">
        <v>0</v>
      </c>
      <c r="J627" s="50">
        <v>2</v>
      </c>
      <c r="K627" s="50">
        <v>0</v>
      </c>
      <c r="L627" s="50">
        <v>2</v>
      </c>
      <c r="M627" s="445">
        <v>28.57</v>
      </c>
      <c r="N627" s="44"/>
      <c r="O627" s="50">
        <v>0</v>
      </c>
      <c r="P627" s="50">
        <v>0</v>
      </c>
      <c r="Q627" s="50">
        <v>1</v>
      </c>
      <c r="R627" s="50">
        <v>-1</v>
      </c>
      <c r="S627" s="50">
        <v>1</v>
      </c>
      <c r="T627" s="50">
        <v>1</v>
      </c>
      <c r="U627" s="50">
        <v>0</v>
      </c>
      <c r="V627" s="348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230</v>
      </c>
      <c r="D628" s="50" t="s">
        <v>23</v>
      </c>
      <c r="E628" s="50">
        <v>30</v>
      </c>
      <c r="F628" s="50">
        <v>3</v>
      </c>
      <c r="G628" s="50">
        <v>0</v>
      </c>
      <c r="H628" s="50">
        <v>0</v>
      </c>
      <c r="I628" s="50">
        <v>0</v>
      </c>
      <c r="J628" s="50">
        <v>13</v>
      </c>
      <c r="K628" s="50">
        <v>0</v>
      </c>
      <c r="L628" s="50">
        <v>13</v>
      </c>
      <c r="M628" s="445">
        <v>433.33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  <c r="U628" s="50">
        <v>0</v>
      </c>
      <c r="V628" s="348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554</v>
      </c>
      <c r="E629" s="50">
        <v>67</v>
      </c>
      <c r="F629" s="50">
        <v>3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445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1</v>
      </c>
      <c r="U629" s="50">
        <v>-1</v>
      </c>
      <c r="V629" s="348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358</v>
      </c>
      <c r="D630" s="50" t="s">
        <v>33</v>
      </c>
      <c r="E630" s="50">
        <v>148</v>
      </c>
      <c r="F630" s="50">
        <v>7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445">
        <v>0</v>
      </c>
      <c r="N630" s="44"/>
      <c r="O630" s="50">
        <v>0</v>
      </c>
      <c r="P630" s="50">
        <v>0</v>
      </c>
      <c r="Q630" s="50">
        <v>1</v>
      </c>
      <c r="R630" s="50">
        <v>-1</v>
      </c>
      <c r="S630" s="50">
        <v>0</v>
      </c>
      <c r="T630" s="50">
        <v>1</v>
      </c>
      <c r="U630" s="50">
        <v>-1</v>
      </c>
      <c r="V630" s="348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807</v>
      </c>
      <c r="D631" s="50" t="s">
        <v>447</v>
      </c>
      <c r="E631" s="50">
        <v>60</v>
      </c>
      <c r="F631" s="50">
        <v>3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445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1</v>
      </c>
      <c r="T631" s="50">
        <v>1</v>
      </c>
      <c r="U631" s="50">
        <v>0</v>
      </c>
      <c r="V631" s="348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1073</v>
      </c>
      <c r="D632" s="50" t="s">
        <v>555</v>
      </c>
      <c r="E632" s="50">
        <v>129</v>
      </c>
      <c r="F632" s="50">
        <v>6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445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48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770</v>
      </c>
      <c r="D633" s="50" t="s">
        <v>85</v>
      </c>
      <c r="E633" s="50">
        <v>89</v>
      </c>
      <c r="F633" s="50">
        <v>4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445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48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775</v>
      </c>
      <c r="D634" s="50" t="s">
        <v>150</v>
      </c>
      <c r="E634" s="50">
        <v>137</v>
      </c>
      <c r="F634" s="50">
        <v>6</v>
      </c>
      <c r="G634" s="50">
        <v>1</v>
      </c>
      <c r="H634" s="50">
        <v>0</v>
      </c>
      <c r="I634" s="50">
        <v>1</v>
      </c>
      <c r="J634" s="50">
        <v>1</v>
      </c>
      <c r="K634" s="50">
        <v>6</v>
      </c>
      <c r="L634" s="50">
        <v>-5</v>
      </c>
      <c r="M634" s="445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1</v>
      </c>
      <c r="U634" s="50">
        <v>-1</v>
      </c>
      <c r="V634" s="348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108</v>
      </c>
      <c r="F635" s="50">
        <v>5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445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48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332</v>
      </c>
      <c r="D636" s="50" t="s">
        <v>33</v>
      </c>
      <c r="E636" s="50">
        <v>195</v>
      </c>
      <c r="F636" s="50">
        <v>10</v>
      </c>
      <c r="G636" s="50">
        <v>4</v>
      </c>
      <c r="H636" s="50">
        <v>0</v>
      </c>
      <c r="I636" s="50">
        <v>4</v>
      </c>
      <c r="J636" s="50">
        <v>20</v>
      </c>
      <c r="K636" s="50">
        <v>0</v>
      </c>
      <c r="L636" s="50">
        <v>20</v>
      </c>
      <c r="M636" s="445">
        <v>200</v>
      </c>
      <c r="N636" s="44"/>
      <c r="O636" s="50">
        <v>0</v>
      </c>
      <c r="P636" s="50">
        <v>3</v>
      </c>
      <c r="Q636" s="50">
        <v>0</v>
      </c>
      <c r="R636" s="50">
        <v>3</v>
      </c>
      <c r="S636" s="50">
        <v>10</v>
      </c>
      <c r="T636" s="50">
        <v>3</v>
      </c>
      <c r="U636" s="50">
        <v>7</v>
      </c>
      <c r="V636" s="348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791</v>
      </c>
      <c r="D637" s="50" t="s">
        <v>228</v>
      </c>
      <c r="E637" s="50">
        <v>20</v>
      </c>
      <c r="F637" s="50">
        <v>3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445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48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816</v>
      </c>
      <c r="D638" s="50" t="s">
        <v>33</v>
      </c>
      <c r="E638" s="50">
        <v>21</v>
      </c>
      <c r="F638" s="50">
        <v>3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445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1</v>
      </c>
      <c r="U638" s="50">
        <v>-1</v>
      </c>
      <c r="V638" s="348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1022</v>
      </c>
      <c r="D639" s="50" t="s">
        <v>33</v>
      </c>
      <c r="E639" s="50">
        <v>59</v>
      </c>
      <c r="F639" s="50">
        <v>3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445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48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784</v>
      </c>
      <c r="D640" s="50" t="s">
        <v>235</v>
      </c>
      <c r="E640" s="50">
        <v>89</v>
      </c>
      <c r="F640" s="50">
        <v>4</v>
      </c>
      <c r="G640" s="50">
        <v>0</v>
      </c>
      <c r="H640" s="50">
        <v>0</v>
      </c>
      <c r="I640" s="50">
        <v>0</v>
      </c>
      <c r="J640" s="50">
        <v>1</v>
      </c>
      <c r="K640" s="50">
        <v>6</v>
      </c>
      <c r="L640" s="50">
        <v>-5</v>
      </c>
      <c r="M640" s="445">
        <v>0</v>
      </c>
      <c r="N640" s="44"/>
      <c r="O640" s="50">
        <v>0</v>
      </c>
      <c r="P640" s="50">
        <v>0</v>
      </c>
      <c r="Q640" s="50">
        <v>1</v>
      </c>
      <c r="R640" s="50">
        <v>-1</v>
      </c>
      <c r="S640" s="50">
        <v>0</v>
      </c>
      <c r="T640" s="50">
        <v>3</v>
      </c>
      <c r="U640" s="50">
        <v>-3</v>
      </c>
      <c r="V640" s="348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86</v>
      </c>
      <c r="D641" s="50" t="s">
        <v>556</v>
      </c>
      <c r="E641" s="50">
        <v>84</v>
      </c>
      <c r="F641" s="50">
        <v>4</v>
      </c>
      <c r="G641" s="50">
        <v>0</v>
      </c>
      <c r="H641" s="50">
        <v>0</v>
      </c>
      <c r="I641" s="50">
        <v>0</v>
      </c>
      <c r="J641" s="50">
        <v>2</v>
      </c>
      <c r="K641" s="50">
        <v>0</v>
      </c>
      <c r="L641" s="50">
        <v>2</v>
      </c>
      <c r="M641" s="445">
        <v>50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1</v>
      </c>
      <c r="T641" s="50">
        <v>0</v>
      </c>
      <c r="U641" s="50">
        <v>1</v>
      </c>
      <c r="V641" s="348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814</v>
      </c>
      <c r="D642" s="50" t="s">
        <v>90</v>
      </c>
      <c r="E642" s="50">
        <v>23</v>
      </c>
      <c r="F642" s="50">
        <v>3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445">
        <v>0</v>
      </c>
      <c r="N642" s="325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48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1059</v>
      </c>
      <c r="D643" s="50" t="s">
        <v>557</v>
      </c>
      <c r="E643" s="50">
        <v>53</v>
      </c>
      <c r="F643" s="50">
        <v>3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445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48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242</v>
      </c>
      <c r="F644" s="50">
        <v>12</v>
      </c>
      <c r="G644" s="50">
        <v>0</v>
      </c>
      <c r="H644" s="50">
        <v>0</v>
      </c>
      <c r="I644" s="50">
        <v>0</v>
      </c>
      <c r="J644" s="50">
        <v>0</v>
      </c>
      <c r="K644" s="50">
        <v>0</v>
      </c>
      <c r="L644" s="50">
        <v>0</v>
      </c>
      <c r="M644" s="445">
        <v>0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1</v>
      </c>
      <c r="T644" s="50">
        <v>1</v>
      </c>
      <c r="U644" s="50">
        <v>0</v>
      </c>
      <c r="V644" s="348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348</v>
      </c>
      <c r="D645" s="50" t="s">
        <v>558</v>
      </c>
      <c r="E645" s="50">
        <v>47</v>
      </c>
      <c r="F645" s="50">
        <v>3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445">
        <v>0</v>
      </c>
      <c r="N645" s="325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48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147</v>
      </c>
      <c r="D646" s="50" t="s">
        <v>55</v>
      </c>
      <c r="E646" s="50">
        <v>187</v>
      </c>
      <c r="F646" s="50">
        <v>9</v>
      </c>
      <c r="G646" s="50">
        <v>0</v>
      </c>
      <c r="H646" s="50">
        <v>0</v>
      </c>
      <c r="I646" s="50">
        <v>0</v>
      </c>
      <c r="J646" s="50">
        <v>1</v>
      </c>
      <c r="K646" s="50">
        <v>1</v>
      </c>
      <c r="L646" s="50">
        <v>0</v>
      </c>
      <c r="M646" s="445">
        <v>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2</v>
      </c>
      <c r="T646" s="50">
        <v>0</v>
      </c>
      <c r="U646" s="50">
        <v>2</v>
      </c>
      <c r="V646" s="348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513</v>
      </c>
      <c r="D647" s="50" t="s">
        <v>559</v>
      </c>
      <c r="E647" s="50">
        <v>52</v>
      </c>
      <c r="F647" s="50">
        <v>3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445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48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3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445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48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502</v>
      </c>
      <c r="E649" s="50">
        <v>226</v>
      </c>
      <c r="F649" s="50">
        <v>11</v>
      </c>
      <c r="G649" s="50">
        <v>0</v>
      </c>
      <c r="H649" s="50">
        <v>0</v>
      </c>
      <c r="I649" s="50">
        <v>0</v>
      </c>
      <c r="J649" s="50">
        <v>1</v>
      </c>
      <c r="K649" s="50">
        <v>26</v>
      </c>
      <c r="L649" s="50">
        <v>-25</v>
      </c>
      <c r="M649" s="445">
        <v>0</v>
      </c>
      <c r="N649" s="44"/>
      <c r="O649" s="50">
        <v>0</v>
      </c>
      <c r="P649" s="50">
        <v>1</v>
      </c>
      <c r="Q649" s="50">
        <v>0</v>
      </c>
      <c r="R649" s="50">
        <v>1</v>
      </c>
      <c r="S649" s="50">
        <v>2</v>
      </c>
      <c r="T649" s="50">
        <v>6</v>
      </c>
      <c r="U649" s="50">
        <v>-4</v>
      </c>
      <c r="V649" s="348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194</v>
      </c>
      <c r="D650" s="50" t="s">
        <v>31</v>
      </c>
      <c r="E650" s="50">
        <v>36</v>
      </c>
      <c r="F650" s="50">
        <v>3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445">
        <v>0</v>
      </c>
      <c r="N650" s="50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48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457</v>
      </c>
      <c r="D651" s="50" t="s">
        <v>560</v>
      </c>
      <c r="E651" s="50">
        <v>55</v>
      </c>
      <c r="F651" s="50">
        <v>3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445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48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561</v>
      </c>
      <c r="E652" s="50">
        <v>162</v>
      </c>
      <c r="F652" s="50">
        <v>8</v>
      </c>
      <c r="G652" s="50">
        <v>0</v>
      </c>
      <c r="H652" s="50">
        <v>0</v>
      </c>
      <c r="I652" s="50">
        <v>0</v>
      </c>
      <c r="J652" s="50">
        <v>1</v>
      </c>
      <c r="K652" s="50">
        <v>0</v>
      </c>
      <c r="L652" s="50">
        <v>1</v>
      </c>
      <c r="M652" s="445">
        <v>12.5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1</v>
      </c>
      <c r="T652" s="50">
        <v>1</v>
      </c>
      <c r="U652" s="50">
        <v>0</v>
      </c>
      <c r="V652" s="348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1056</v>
      </c>
      <c r="D653" s="50" t="s">
        <v>59</v>
      </c>
      <c r="E653" s="50">
        <v>52</v>
      </c>
      <c r="F653" s="50">
        <v>3</v>
      </c>
      <c r="G653" s="50">
        <v>0</v>
      </c>
      <c r="H653" s="50">
        <v>0</v>
      </c>
      <c r="I653" s="50">
        <v>0</v>
      </c>
      <c r="J653" s="50">
        <v>1</v>
      </c>
      <c r="K653" s="50">
        <v>0</v>
      </c>
      <c r="L653" s="50">
        <v>1</v>
      </c>
      <c r="M653" s="445">
        <v>33.33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48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1000</v>
      </c>
      <c r="D654" s="50" t="s">
        <v>562</v>
      </c>
      <c r="E654" s="50">
        <v>28</v>
      </c>
      <c r="F654" s="50">
        <v>3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445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48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1023</v>
      </c>
      <c r="D655" s="50" t="s">
        <v>563</v>
      </c>
      <c r="E655" s="50">
        <v>36</v>
      </c>
      <c r="F655" s="50">
        <v>3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445">
        <v>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48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145</v>
      </c>
      <c r="D656" s="50" t="s">
        <v>138</v>
      </c>
      <c r="E656" s="50">
        <v>138</v>
      </c>
      <c r="F656" s="50">
        <v>7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445">
        <v>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1</v>
      </c>
      <c r="T656" s="50">
        <v>1</v>
      </c>
      <c r="U656" s="50">
        <v>0</v>
      </c>
      <c r="V656" s="348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564</v>
      </c>
      <c r="E657" s="50">
        <v>120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445">
        <v>0</v>
      </c>
      <c r="N657" s="44"/>
      <c r="O657" s="50">
        <v>0</v>
      </c>
      <c r="P657" s="50">
        <v>0</v>
      </c>
      <c r="Q657" s="50">
        <v>1</v>
      </c>
      <c r="R657" s="50">
        <v>-1</v>
      </c>
      <c r="S657" s="50">
        <v>0</v>
      </c>
      <c r="T657" s="50">
        <v>1</v>
      </c>
      <c r="U657" s="50">
        <v>-1</v>
      </c>
      <c r="V657" s="348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495</v>
      </c>
      <c r="D658" s="50" t="s">
        <v>33</v>
      </c>
      <c r="E658" s="50">
        <v>68</v>
      </c>
      <c r="F658" s="50">
        <v>3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445">
        <v>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2</v>
      </c>
      <c r="T658" s="50">
        <v>1</v>
      </c>
      <c r="U658" s="50">
        <v>1</v>
      </c>
      <c r="V658" s="348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565</v>
      </c>
      <c r="E659" s="50">
        <v>79</v>
      </c>
      <c r="F659" s="50">
        <v>4</v>
      </c>
      <c r="G659" s="50">
        <v>0</v>
      </c>
      <c r="H659" s="50">
        <v>0</v>
      </c>
      <c r="I659" s="50">
        <v>0</v>
      </c>
      <c r="J659" s="50">
        <v>3</v>
      </c>
      <c r="K659" s="50">
        <v>0</v>
      </c>
      <c r="L659" s="50">
        <v>3</v>
      </c>
      <c r="M659" s="445">
        <v>75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348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1000</v>
      </c>
      <c r="D660" s="50" t="s">
        <v>235</v>
      </c>
      <c r="E660" s="50">
        <v>25</v>
      </c>
      <c r="F660" s="50">
        <v>3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445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48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69</v>
      </c>
      <c r="D661" s="50" t="s">
        <v>566</v>
      </c>
      <c r="E661" s="50">
        <v>38</v>
      </c>
      <c r="F661" s="50">
        <v>3</v>
      </c>
      <c r="G661" s="50">
        <v>0</v>
      </c>
      <c r="H661" s="50">
        <v>0</v>
      </c>
      <c r="I661" s="50">
        <v>0</v>
      </c>
      <c r="J661" s="50">
        <v>1</v>
      </c>
      <c r="K661" s="50">
        <v>0</v>
      </c>
      <c r="L661" s="50">
        <v>1</v>
      </c>
      <c r="M661" s="445">
        <v>33.33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48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784</v>
      </c>
      <c r="D662" s="50" t="s">
        <v>158</v>
      </c>
      <c r="E662" s="50">
        <v>126</v>
      </c>
      <c r="F662" s="50">
        <v>6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445">
        <v>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1</v>
      </c>
      <c r="T662" s="50">
        <v>0</v>
      </c>
      <c r="U662" s="50">
        <v>1</v>
      </c>
      <c r="V662" s="348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774</v>
      </c>
      <c r="D663" s="50" t="s">
        <v>567</v>
      </c>
      <c r="E663" s="50">
        <v>26</v>
      </c>
      <c r="F663" s="50">
        <v>3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445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48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82</v>
      </c>
      <c r="F664" s="50">
        <v>4</v>
      </c>
      <c r="G664" s="50">
        <v>0</v>
      </c>
      <c r="H664" s="50">
        <v>0</v>
      </c>
      <c r="I664" s="50">
        <v>0</v>
      </c>
      <c r="J664" s="50">
        <v>2</v>
      </c>
      <c r="K664" s="50">
        <v>0</v>
      </c>
      <c r="L664" s="50">
        <v>2</v>
      </c>
      <c r="M664" s="445">
        <v>50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1</v>
      </c>
      <c r="U664" s="50">
        <v>-1</v>
      </c>
      <c r="V664" s="348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568</v>
      </c>
      <c r="E665" s="50">
        <v>71</v>
      </c>
      <c r="F665" s="50">
        <v>3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445">
        <v>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1</v>
      </c>
      <c r="U665" s="50">
        <v>-1</v>
      </c>
      <c r="V665" s="348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153</v>
      </c>
      <c r="D666" s="50" t="s">
        <v>569</v>
      </c>
      <c r="E666" s="50">
        <v>66</v>
      </c>
      <c r="F666" s="50">
        <v>3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445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48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1073</v>
      </c>
      <c r="D667" s="50" t="s">
        <v>555</v>
      </c>
      <c r="E667" s="50">
        <v>27</v>
      </c>
      <c r="F667" s="50">
        <v>3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445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48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385</v>
      </c>
      <c r="D668" s="50" t="s">
        <v>491</v>
      </c>
      <c r="E668" s="50">
        <v>21</v>
      </c>
      <c r="F668" s="50">
        <v>3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445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48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102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445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2</v>
      </c>
      <c r="T669" s="50">
        <v>0</v>
      </c>
      <c r="U669" s="50">
        <v>2</v>
      </c>
      <c r="V669" s="348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707</v>
      </c>
      <c r="D670" s="50" t="s">
        <v>23</v>
      </c>
      <c r="E670" s="50">
        <v>60</v>
      </c>
      <c r="F670" s="50">
        <v>3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445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48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277</v>
      </c>
      <c r="D671" s="50" t="s">
        <v>33</v>
      </c>
      <c r="E671" s="50">
        <v>117</v>
      </c>
      <c r="F671" s="50">
        <v>6</v>
      </c>
      <c r="G671" s="50">
        <v>1</v>
      </c>
      <c r="H671" s="50">
        <v>0</v>
      </c>
      <c r="I671" s="50">
        <v>1</v>
      </c>
      <c r="J671" s="50">
        <v>7</v>
      </c>
      <c r="K671" s="50">
        <v>0</v>
      </c>
      <c r="L671" s="50">
        <v>7</v>
      </c>
      <c r="M671" s="445">
        <v>116.67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1</v>
      </c>
      <c r="T671" s="50">
        <v>0</v>
      </c>
      <c r="U671" s="50">
        <v>1</v>
      </c>
      <c r="V671" s="348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320</v>
      </c>
      <c r="D672" s="50" t="s">
        <v>282</v>
      </c>
      <c r="E672" s="50">
        <v>80</v>
      </c>
      <c r="F672" s="50">
        <v>4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445">
        <v>0</v>
      </c>
      <c r="N672" s="44"/>
      <c r="O672" s="50">
        <v>0</v>
      </c>
      <c r="P672" s="50">
        <v>0</v>
      </c>
      <c r="Q672" s="50">
        <v>1</v>
      </c>
      <c r="R672" s="50">
        <v>-1</v>
      </c>
      <c r="S672" s="50">
        <v>1</v>
      </c>
      <c r="T672" s="50">
        <v>1</v>
      </c>
      <c r="U672" s="50">
        <v>0</v>
      </c>
      <c r="V672" s="348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289</v>
      </c>
      <c r="D673" s="50" t="s">
        <v>570</v>
      </c>
      <c r="E673" s="50">
        <v>135</v>
      </c>
      <c r="F673" s="50">
        <v>6</v>
      </c>
      <c r="G673" s="50">
        <v>0</v>
      </c>
      <c r="H673" s="50">
        <v>0</v>
      </c>
      <c r="I673" s="50">
        <v>0</v>
      </c>
      <c r="J673" s="50">
        <v>3</v>
      </c>
      <c r="K673" s="50">
        <v>0</v>
      </c>
      <c r="L673" s="50">
        <v>3</v>
      </c>
      <c r="M673" s="445">
        <v>50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0</v>
      </c>
      <c r="T673" s="50">
        <v>0</v>
      </c>
      <c r="U673" s="50">
        <v>0</v>
      </c>
      <c r="V673" s="348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571</v>
      </c>
      <c r="E674" s="50">
        <v>56</v>
      </c>
      <c r="F674" s="50">
        <v>3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445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48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772</v>
      </c>
      <c r="D675" s="50" t="s">
        <v>90</v>
      </c>
      <c r="E675" s="50">
        <v>53</v>
      </c>
      <c r="F675" s="50">
        <v>3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445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48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810</v>
      </c>
      <c r="D676" s="50" t="s">
        <v>150</v>
      </c>
      <c r="E676" s="50">
        <v>156</v>
      </c>
      <c r="F676" s="50">
        <v>7</v>
      </c>
      <c r="G676" s="50">
        <v>0</v>
      </c>
      <c r="H676" s="50">
        <v>0</v>
      </c>
      <c r="I676" s="50">
        <v>0</v>
      </c>
      <c r="J676" s="50">
        <v>2</v>
      </c>
      <c r="K676" s="50">
        <v>0</v>
      </c>
      <c r="L676" s="50">
        <v>2</v>
      </c>
      <c r="M676" s="445">
        <v>28.57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1</v>
      </c>
      <c r="T676" s="50">
        <v>1</v>
      </c>
      <c r="U676" s="50">
        <v>0</v>
      </c>
      <c r="V676" s="348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572</v>
      </c>
      <c r="E677" s="50">
        <v>42</v>
      </c>
      <c r="F677" s="50">
        <v>3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445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1</v>
      </c>
      <c r="U677" s="50">
        <v>-1</v>
      </c>
      <c r="V677" s="348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210</v>
      </c>
      <c r="F678" s="50">
        <v>10</v>
      </c>
      <c r="G678" s="50">
        <v>0</v>
      </c>
      <c r="H678" s="50">
        <v>0</v>
      </c>
      <c r="I678" s="50">
        <v>0</v>
      </c>
      <c r="J678" s="50">
        <v>0</v>
      </c>
      <c r="K678" s="50">
        <v>25</v>
      </c>
      <c r="L678" s="50">
        <v>-25</v>
      </c>
      <c r="M678" s="445">
        <v>0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1</v>
      </c>
      <c r="T678" s="50">
        <v>6</v>
      </c>
      <c r="U678" s="50">
        <v>-5</v>
      </c>
      <c r="V678" s="348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456</v>
      </c>
      <c r="D679" s="50" t="s">
        <v>573</v>
      </c>
      <c r="E679" s="50">
        <v>99</v>
      </c>
      <c r="F679" s="50">
        <v>5</v>
      </c>
      <c r="G679" s="50">
        <v>0</v>
      </c>
      <c r="H679" s="50">
        <v>0</v>
      </c>
      <c r="I679" s="50">
        <v>0</v>
      </c>
      <c r="J679" s="50">
        <v>1</v>
      </c>
      <c r="K679" s="50">
        <v>0</v>
      </c>
      <c r="L679" s="50">
        <v>1</v>
      </c>
      <c r="M679" s="445">
        <v>20</v>
      </c>
      <c r="N679" s="44"/>
      <c r="O679" s="50">
        <v>0</v>
      </c>
      <c r="P679" s="50">
        <v>0</v>
      </c>
      <c r="Q679" s="50">
        <v>1</v>
      </c>
      <c r="R679" s="50">
        <v>-1</v>
      </c>
      <c r="S679" s="50">
        <v>0</v>
      </c>
      <c r="T679" s="50">
        <v>2</v>
      </c>
      <c r="U679" s="50">
        <v>-2</v>
      </c>
      <c r="V679" s="348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770</v>
      </c>
      <c r="D680" s="50" t="s">
        <v>85</v>
      </c>
      <c r="E680" s="50">
        <v>121</v>
      </c>
      <c r="F680" s="50">
        <v>6</v>
      </c>
      <c r="G680" s="50">
        <v>0</v>
      </c>
      <c r="H680" s="50">
        <v>0</v>
      </c>
      <c r="I680" s="50">
        <v>0</v>
      </c>
      <c r="J680" s="50">
        <v>1</v>
      </c>
      <c r="K680" s="50">
        <v>0</v>
      </c>
      <c r="L680" s="50">
        <v>1</v>
      </c>
      <c r="M680" s="445">
        <v>16.670000000000002</v>
      </c>
      <c r="N680" s="44"/>
      <c r="O680" s="50">
        <v>0</v>
      </c>
      <c r="P680" s="50">
        <v>1</v>
      </c>
      <c r="Q680" s="50">
        <v>0</v>
      </c>
      <c r="R680" s="50">
        <v>1</v>
      </c>
      <c r="S680" s="50">
        <v>1</v>
      </c>
      <c r="T680" s="50">
        <v>0</v>
      </c>
      <c r="U680" s="50">
        <v>1</v>
      </c>
      <c r="V680" s="348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793</v>
      </c>
      <c r="D681" s="50" t="s">
        <v>31</v>
      </c>
      <c r="E681" s="50">
        <v>338</v>
      </c>
      <c r="F681" s="50">
        <v>17</v>
      </c>
      <c r="G681" s="50">
        <v>0</v>
      </c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445">
        <v>0</v>
      </c>
      <c r="N681" s="44"/>
      <c r="O681" s="50">
        <v>0</v>
      </c>
      <c r="P681" s="50">
        <v>0</v>
      </c>
      <c r="Q681" s="50">
        <v>1</v>
      </c>
      <c r="R681" s="50">
        <v>-1</v>
      </c>
      <c r="S681" s="50">
        <v>2</v>
      </c>
      <c r="T681" s="50">
        <v>1</v>
      </c>
      <c r="U681" s="50">
        <v>1</v>
      </c>
      <c r="V681" s="348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834</v>
      </c>
      <c r="D682" s="50" t="s">
        <v>27</v>
      </c>
      <c r="E682" s="50">
        <v>96</v>
      </c>
      <c r="F682" s="50">
        <v>5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445">
        <v>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48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574</v>
      </c>
      <c r="E683" s="50">
        <v>80</v>
      </c>
      <c r="F683" s="50">
        <v>4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445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1</v>
      </c>
      <c r="T683" s="50">
        <v>3</v>
      </c>
      <c r="U683" s="50">
        <v>-2</v>
      </c>
      <c r="V683" s="348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307</v>
      </c>
      <c r="D684" s="50" t="s">
        <v>575</v>
      </c>
      <c r="E684" s="50">
        <v>55</v>
      </c>
      <c r="F684" s="50">
        <v>3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445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1</v>
      </c>
      <c r="U684" s="50">
        <v>-1</v>
      </c>
      <c r="V684" s="348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516</v>
      </c>
      <c r="D685" s="50" t="s">
        <v>55</v>
      </c>
      <c r="E685" s="50">
        <v>80</v>
      </c>
      <c r="F685" s="50">
        <v>4</v>
      </c>
      <c r="G685" s="50">
        <v>0</v>
      </c>
      <c r="H685" s="50">
        <v>0</v>
      </c>
      <c r="I685" s="50">
        <v>0</v>
      </c>
      <c r="J685" s="50">
        <v>7</v>
      </c>
      <c r="K685" s="50">
        <v>4</v>
      </c>
      <c r="L685" s="50">
        <v>3</v>
      </c>
      <c r="M685" s="445">
        <v>75</v>
      </c>
      <c r="N685" s="44" t="s">
        <v>24</v>
      </c>
      <c r="O685" s="50">
        <v>0</v>
      </c>
      <c r="P685" s="50">
        <v>0</v>
      </c>
      <c r="Q685" s="50">
        <v>0</v>
      </c>
      <c r="R685" s="50">
        <v>0</v>
      </c>
      <c r="S685" s="50">
        <v>5</v>
      </c>
      <c r="T685" s="50">
        <v>0</v>
      </c>
      <c r="U685" s="50">
        <v>5</v>
      </c>
      <c r="V685" s="348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79</v>
      </c>
      <c r="F686" s="50">
        <v>4</v>
      </c>
      <c r="G686" s="50">
        <v>0</v>
      </c>
      <c r="H686" s="50">
        <v>0</v>
      </c>
      <c r="I686" s="50">
        <v>0</v>
      </c>
      <c r="J686" s="50">
        <v>2</v>
      </c>
      <c r="K686" s="50">
        <v>0</v>
      </c>
      <c r="L686" s="50">
        <v>2</v>
      </c>
      <c r="M686" s="445">
        <v>50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1</v>
      </c>
      <c r="U686" s="50">
        <v>-1</v>
      </c>
      <c r="V686" s="348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47</v>
      </c>
      <c r="F687" s="50">
        <v>3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445">
        <v>0</v>
      </c>
      <c r="N687" s="44"/>
      <c r="O687" s="50">
        <v>0</v>
      </c>
      <c r="P687" s="50">
        <v>0</v>
      </c>
      <c r="Q687" s="50">
        <v>2</v>
      </c>
      <c r="R687" s="50">
        <v>-2</v>
      </c>
      <c r="S687" s="50">
        <v>0</v>
      </c>
      <c r="T687" s="50">
        <v>2</v>
      </c>
      <c r="U687" s="50">
        <v>-2</v>
      </c>
      <c r="V687" s="348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773</v>
      </c>
      <c r="D688" s="50" t="s">
        <v>576</v>
      </c>
      <c r="E688" s="50">
        <v>34</v>
      </c>
      <c r="F688" s="50">
        <v>3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445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48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84</v>
      </c>
      <c r="D689" s="50" t="s">
        <v>577</v>
      </c>
      <c r="E689" s="50">
        <v>38</v>
      </c>
      <c r="F689" s="50">
        <v>3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445">
        <v>0</v>
      </c>
      <c r="N689" s="44"/>
      <c r="O689" s="50">
        <v>0</v>
      </c>
      <c r="P689" s="50">
        <v>0</v>
      </c>
      <c r="Q689" s="50">
        <v>1</v>
      </c>
      <c r="R689" s="50">
        <v>-1</v>
      </c>
      <c r="S689" s="50">
        <v>0</v>
      </c>
      <c r="T689" s="50">
        <v>1</v>
      </c>
      <c r="U689" s="50">
        <v>-1</v>
      </c>
      <c r="V689" s="348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834</v>
      </c>
      <c r="D690" s="50" t="s">
        <v>27</v>
      </c>
      <c r="E690" s="50">
        <v>168</v>
      </c>
      <c r="F690" s="50">
        <v>8</v>
      </c>
      <c r="G690" s="50">
        <v>0</v>
      </c>
      <c r="H690" s="50">
        <v>18</v>
      </c>
      <c r="I690" s="50">
        <v>-18</v>
      </c>
      <c r="J690" s="50">
        <v>2</v>
      </c>
      <c r="K690" s="50">
        <v>18</v>
      </c>
      <c r="L690" s="50">
        <v>-16</v>
      </c>
      <c r="M690" s="445">
        <v>0</v>
      </c>
      <c r="N690" s="44"/>
      <c r="O690" s="50">
        <v>0</v>
      </c>
      <c r="P690" s="50">
        <v>0</v>
      </c>
      <c r="Q690" s="50">
        <v>1</v>
      </c>
      <c r="R690" s="50">
        <v>-1</v>
      </c>
      <c r="S690" s="50">
        <v>2</v>
      </c>
      <c r="T690" s="50">
        <v>2</v>
      </c>
      <c r="U690" s="50">
        <v>0</v>
      </c>
      <c r="V690" s="348">
        <v>0</v>
      </c>
      <c r="W690" s="44"/>
    </row>
    <row r="691" spans="1:23" ht="29.1" customHeight="1">
      <c r="A691" s="50" t="s">
        <v>24</v>
      </c>
      <c r="B691" s="50">
        <v>13798</v>
      </c>
      <c r="C691" s="50" t="s">
        <v>795</v>
      </c>
      <c r="D691" s="50" t="s">
        <v>578</v>
      </c>
      <c r="E691" s="50">
        <v>57</v>
      </c>
      <c r="F691" s="50">
        <v>3</v>
      </c>
      <c r="G691" s="50">
        <v>0</v>
      </c>
      <c r="H691" s="50">
        <v>0</v>
      </c>
      <c r="I691" s="50">
        <v>0</v>
      </c>
      <c r="J691" s="50">
        <v>3</v>
      </c>
      <c r="K691" s="50">
        <v>0</v>
      </c>
      <c r="L691" s="50">
        <v>3</v>
      </c>
      <c r="M691" s="445">
        <v>100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48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788</v>
      </c>
      <c r="D692" s="50" t="s">
        <v>579</v>
      </c>
      <c r="E692" s="50">
        <v>72</v>
      </c>
      <c r="F692" s="50">
        <v>4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445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1</v>
      </c>
      <c r="U692" s="50">
        <v>-1</v>
      </c>
      <c r="V692" s="348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457</v>
      </c>
      <c r="D693" s="50" t="s">
        <v>74</v>
      </c>
      <c r="E693" s="50">
        <v>102</v>
      </c>
      <c r="F693" s="50">
        <v>5</v>
      </c>
      <c r="G693" s="50">
        <v>0</v>
      </c>
      <c r="H693" s="50">
        <v>0</v>
      </c>
      <c r="I693" s="50">
        <v>0</v>
      </c>
      <c r="J693" s="50">
        <v>0</v>
      </c>
      <c r="K693" s="50">
        <v>1</v>
      </c>
      <c r="L693" s="50">
        <v>-1</v>
      </c>
      <c r="M693" s="445">
        <v>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3</v>
      </c>
      <c r="U693" s="50">
        <v>-3</v>
      </c>
      <c r="V693" s="348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805</v>
      </c>
      <c r="D694" s="50" t="s">
        <v>90</v>
      </c>
      <c r="E694" s="50">
        <v>77</v>
      </c>
      <c r="F694" s="50">
        <v>4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445">
        <v>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48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1073</v>
      </c>
      <c r="D695" s="50" t="s">
        <v>123</v>
      </c>
      <c r="E695" s="50">
        <v>36</v>
      </c>
      <c r="F695" s="50">
        <v>3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445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48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1059</v>
      </c>
      <c r="D696" s="50" t="s">
        <v>580</v>
      </c>
      <c r="E696" s="50">
        <v>127</v>
      </c>
      <c r="F696" s="50">
        <v>6</v>
      </c>
      <c r="G696" s="50">
        <v>0</v>
      </c>
      <c r="H696" s="50">
        <v>0</v>
      </c>
      <c r="I696" s="50">
        <v>0</v>
      </c>
      <c r="J696" s="50">
        <v>3</v>
      </c>
      <c r="K696" s="50">
        <v>0</v>
      </c>
      <c r="L696" s="50">
        <v>3</v>
      </c>
      <c r="M696" s="445">
        <v>50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48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95</v>
      </c>
      <c r="D697" s="50" t="s">
        <v>40</v>
      </c>
      <c r="E697" s="50">
        <v>119</v>
      </c>
      <c r="F697" s="50">
        <v>6</v>
      </c>
      <c r="G697" s="50">
        <v>0</v>
      </c>
      <c r="H697" s="50">
        <v>0</v>
      </c>
      <c r="I697" s="50">
        <v>0</v>
      </c>
      <c r="J697" s="50">
        <v>4</v>
      </c>
      <c r="K697" s="50">
        <v>0</v>
      </c>
      <c r="L697" s="50">
        <v>4</v>
      </c>
      <c r="M697" s="445">
        <v>66.67</v>
      </c>
      <c r="N697" s="325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0</v>
      </c>
      <c r="U697" s="50">
        <v>1</v>
      </c>
      <c r="V697" s="348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46</v>
      </c>
      <c r="D698" s="50" t="s">
        <v>33</v>
      </c>
      <c r="E698" s="50">
        <v>172</v>
      </c>
      <c r="F698" s="50">
        <v>9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445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  <c r="U698" s="50">
        <v>0</v>
      </c>
      <c r="V698" s="348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801</v>
      </c>
      <c r="D699" s="50" t="s">
        <v>581</v>
      </c>
      <c r="E699" s="50">
        <v>51</v>
      </c>
      <c r="F699" s="50">
        <v>3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445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48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28</v>
      </c>
      <c r="D700" s="50" t="s">
        <v>582</v>
      </c>
      <c r="E700" s="50">
        <v>35</v>
      </c>
      <c r="F700" s="50">
        <v>3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445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48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28</v>
      </c>
      <c r="F701" s="50">
        <v>3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445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48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769</v>
      </c>
      <c r="D702" s="50" t="s">
        <v>66</v>
      </c>
      <c r="E702" s="50">
        <v>78</v>
      </c>
      <c r="F702" s="50">
        <v>4</v>
      </c>
      <c r="G702" s="50">
        <v>2</v>
      </c>
      <c r="H702" s="50">
        <v>0</v>
      </c>
      <c r="I702" s="50">
        <v>2</v>
      </c>
      <c r="J702" s="50">
        <v>3</v>
      </c>
      <c r="K702" s="50">
        <v>0</v>
      </c>
      <c r="L702" s="50">
        <v>3</v>
      </c>
      <c r="M702" s="445">
        <v>75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48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139</v>
      </c>
      <c r="D703" s="50" t="s">
        <v>583</v>
      </c>
      <c r="E703" s="50">
        <v>119</v>
      </c>
      <c r="F703" s="50">
        <v>6</v>
      </c>
      <c r="G703" s="50">
        <v>4</v>
      </c>
      <c r="H703" s="50">
        <v>0</v>
      </c>
      <c r="I703" s="50">
        <v>4</v>
      </c>
      <c r="J703" s="50">
        <v>9</v>
      </c>
      <c r="K703" s="50">
        <v>2</v>
      </c>
      <c r="L703" s="50">
        <v>7</v>
      </c>
      <c r="M703" s="445">
        <v>116.67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2</v>
      </c>
      <c r="T703" s="50">
        <v>1</v>
      </c>
      <c r="U703" s="50">
        <v>1</v>
      </c>
      <c r="V703" s="348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771</v>
      </c>
      <c r="D704" s="50" t="s">
        <v>88</v>
      </c>
      <c r="E704" s="50">
        <v>65</v>
      </c>
      <c r="F704" s="50">
        <v>3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445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48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809</v>
      </c>
      <c r="D705" s="50" t="s">
        <v>40</v>
      </c>
      <c r="E705" s="50">
        <v>157</v>
      </c>
      <c r="F705" s="50">
        <v>8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445">
        <v>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0</v>
      </c>
      <c r="T705" s="50">
        <v>2</v>
      </c>
      <c r="U705" s="50">
        <v>-2</v>
      </c>
      <c r="V705" s="348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816</v>
      </c>
      <c r="D706" s="50" t="s">
        <v>33</v>
      </c>
      <c r="E706" s="50">
        <v>106</v>
      </c>
      <c r="F706" s="50">
        <v>5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445">
        <v>0</v>
      </c>
      <c r="N706" s="44"/>
      <c r="O706" s="50">
        <v>0</v>
      </c>
      <c r="P706" s="50">
        <v>0</v>
      </c>
      <c r="Q706" s="50">
        <v>1</v>
      </c>
      <c r="R706" s="50">
        <v>-1</v>
      </c>
      <c r="S706" s="50">
        <v>0</v>
      </c>
      <c r="T706" s="50">
        <v>1</v>
      </c>
      <c r="U706" s="50">
        <v>-1</v>
      </c>
      <c r="V706" s="348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1020</v>
      </c>
      <c r="D707" s="50" t="s">
        <v>72</v>
      </c>
      <c r="E707" s="50">
        <v>34</v>
      </c>
      <c r="F707" s="50">
        <v>3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445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48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812</v>
      </c>
      <c r="D708" s="50" t="s">
        <v>90</v>
      </c>
      <c r="E708" s="50">
        <v>54</v>
      </c>
      <c r="F708" s="50">
        <v>3</v>
      </c>
      <c r="G708" s="50">
        <v>0</v>
      </c>
      <c r="H708" s="50">
        <v>0</v>
      </c>
      <c r="I708" s="50">
        <v>0</v>
      </c>
      <c r="J708" s="50">
        <v>1</v>
      </c>
      <c r="K708" s="50">
        <v>0</v>
      </c>
      <c r="L708" s="50">
        <v>1</v>
      </c>
      <c r="M708" s="445">
        <v>33.33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1</v>
      </c>
      <c r="U708" s="50">
        <v>-1</v>
      </c>
      <c r="V708" s="348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125</v>
      </c>
      <c r="D709" s="50" t="s">
        <v>40</v>
      </c>
      <c r="E709" s="50">
        <v>82</v>
      </c>
      <c r="F709" s="50">
        <v>4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445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48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3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445">
        <v>0</v>
      </c>
      <c r="N710" s="44"/>
      <c r="O710" s="50">
        <v>0</v>
      </c>
      <c r="P710" s="50">
        <v>1</v>
      </c>
      <c r="Q710" s="50">
        <v>0</v>
      </c>
      <c r="R710" s="50">
        <v>1</v>
      </c>
      <c r="S710" s="50">
        <v>1</v>
      </c>
      <c r="T710" s="50">
        <v>0</v>
      </c>
      <c r="U710" s="50">
        <v>1</v>
      </c>
      <c r="V710" s="348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779</v>
      </c>
      <c r="D711" s="50" t="s">
        <v>123</v>
      </c>
      <c r="E711" s="50">
        <v>66</v>
      </c>
      <c r="F711" s="50">
        <v>3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445">
        <v>0</v>
      </c>
      <c r="N711" s="44"/>
      <c r="O711" s="50">
        <v>0</v>
      </c>
      <c r="P711" s="50">
        <v>0</v>
      </c>
      <c r="Q711" s="50">
        <v>1</v>
      </c>
      <c r="R711" s="50">
        <v>-1</v>
      </c>
      <c r="S711" s="50">
        <v>0</v>
      </c>
      <c r="T711" s="50">
        <v>1</v>
      </c>
      <c r="U711" s="50">
        <v>-1</v>
      </c>
      <c r="V711" s="348">
        <v>0</v>
      </c>
      <c r="W711" s="44"/>
    </row>
    <row r="712" spans="1:23" ht="29.1" customHeight="1">
      <c r="A712" s="50" t="s">
        <v>24</v>
      </c>
      <c r="B712" s="50">
        <v>14316</v>
      </c>
      <c r="C712" s="50" t="s">
        <v>798</v>
      </c>
      <c r="D712" s="50" t="s">
        <v>90</v>
      </c>
      <c r="E712" s="50">
        <v>36</v>
      </c>
      <c r="F712" s="50">
        <v>3</v>
      </c>
      <c r="G712" s="50">
        <v>0</v>
      </c>
      <c r="H712" s="50">
        <v>0</v>
      </c>
      <c r="I712" s="50">
        <v>0</v>
      </c>
      <c r="J712" s="50">
        <v>8</v>
      </c>
      <c r="K712" s="50">
        <v>0</v>
      </c>
      <c r="L712" s="50">
        <v>8</v>
      </c>
      <c r="M712" s="445">
        <v>266.67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48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1515</v>
      </c>
      <c r="E713" s="50">
        <v>67</v>
      </c>
      <c r="F713" s="50">
        <v>3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445">
        <v>33.33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1</v>
      </c>
      <c r="T713" s="50">
        <v>0</v>
      </c>
      <c r="U713" s="50">
        <v>1</v>
      </c>
      <c r="V713" s="348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52</v>
      </c>
      <c r="F714" s="50">
        <v>3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445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48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1020</v>
      </c>
      <c r="D715" s="50" t="s">
        <v>584</v>
      </c>
      <c r="E715" s="50">
        <v>34</v>
      </c>
      <c r="F715" s="50">
        <v>3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445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48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783</v>
      </c>
      <c r="D716" s="50" t="s">
        <v>585</v>
      </c>
      <c r="E716" s="50">
        <v>81</v>
      </c>
      <c r="F716" s="50">
        <v>4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445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1</v>
      </c>
      <c r="U716" s="50">
        <v>-1</v>
      </c>
      <c r="V716" s="348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454</v>
      </c>
      <c r="D717" s="50" t="s">
        <v>23</v>
      </c>
      <c r="E717" s="50">
        <v>77</v>
      </c>
      <c r="F717" s="50">
        <v>4</v>
      </c>
      <c r="G717" s="50">
        <v>1</v>
      </c>
      <c r="H717" s="50">
        <v>0</v>
      </c>
      <c r="I717" s="50">
        <v>1</v>
      </c>
      <c r="J717" s="50">
        <v>2</v>
      </c>
      <c r="K717" s="50">
        <v>0</v>
      </c>
      <c r="L717" s="50">
        <v>2</v>
      </c>
      <c r="M717" s="445">
        <v>50</v>
      </c>
      <c r="N717" s="44"/>
      <c r="O717" s="50">
        <v>0</v>
      </c>
      <c r="P717" s="50">
        <v>1</v>
      </c>
      <c r="Q717" s="50">
        <v>0</v>
      </c>
      <c r="R717" s="50">
        <v>1</v>
      </c>
      <c r="S717" s="50">
        <v>3</v>
      </c>
      <c r="T717" s="50">
        <v>0</v>
      </c>
      <c r="U717" s="50">
        <v>3</v>
      </c>
      <c r="V717" s="348">
        <v>0</v>
      </c>
      <c r="W717" s="44"/>
    </row>
    <row r="718" spans="1:23" ht="29.1" customHeight="1">
      <c r="A718" s="50" t="s">
        <v>24</v>
      </c>
      <c r="B718" s="50">
        <v>14426</v>
      </c>
      <c r="C718" s="50" t="s">
        <v>775</v>
      </c>
      <c r="D718" s="50" t="s">
        <v>150</v>
      </c>
      <c r="E718" s="50">
        <v>142</v>
      </c>
      <c r="F718" s="50">
        <v>7</v>
      </c>
      <c r="G718" s="50">
        <v>0</v>
      </c>
      <c r="H718" s="50">
        <v>0</v>
      </c>
      <c r="I718" s="50">
        <v>0</v>
      </c>
      <c r="J718" s="50">
        <v>13</v>
      </c>
      <c r="K718" s="50">
        <v>0</v>
      </c>
      <c r="L718" s="50">
        <v>13</v>
      </c>
      <c r="M718" s="445">
        <v>185.71</v>
      </c>
      <c r="N718" s="44"/>
      <c r="O718" s="50">
        <v>0</v>
      </c>
      <c r="P718" s="50">
        <v>1</v>
      </c>
      <c r="Q718" s="50">
        <v>0</v>
      </c>
      <c r="R718" s="50">
        <v>1</v>
      </c>
      <c r="S718" s="50">
        <v>2</v>
      </c>
      <c r="T718" s="50">
        <v>0</v>
      </c>
      <c r="U718" s="50">
        <v>2</v>
      </c>
      <c r="V718" s="348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586</v>
      </c>
      <c r="E719" s="50">
        <v>59</v>
      </c>
      <c r="F719" s="50">
        <v>3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445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48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73</v>
      </c>
      <c r="D720" s="50" t="s">
        <v>297</v>
      </c>
      <c r="E720" s="50">
        <v>228</v>
      </c>
      <c r="F720" s="50">
        <v>11</v>
      </c>
      <c r="G720" s="50">
        <v>1</v>
      </c>
      <c r="H720" s="50">
        <v>1</v>
      </c>
      <c r="I720" s="50">
        <v>0</v>
      </c>
      <c r="J720" s="50">
        <v>8</v>
      </c>
      <c r="K720" s="50">
        <v>1</v>
      </c>
      <c r="L720" s="50">
        <v>7</v>
      </c>
      <c r="M720" s="445">
        <v>63.64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1</v>
      </c>
      <c r="U720" s="50">
        <v>-1</v>
      </c>
      <c r="V720" s="348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121</v>
      </c>
      <c r="F721" s="50">
        <v>6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445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48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54</v>
      </c>
      <c r="D722" s="50" t="s">
        <v>31</v>
      </c>
      <c r="E722" s="50">
        <v>123</v>
      </c>
      <c r="F722" s="50">
        <v>6</v>
      </c>
      <c r="G722" s="50">
        <v>1</v>
      </c>
      <c r="H722" s="50">
        <v>0</v>
      </c>
      <c r="I722" s="50">
        <v>1</v>
      </c>
      <c r="J722" s="50">
        <v>4</v>
      </c>
      <c r="K722" s="50">
        <v>0</v>
      </c>
      <c r="L722" s="50">
        <v>4</v>
      </c>
      <c r="M722" s="445">
        <v>66.67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1</v>
      </c>
      <c r="T722" s="50">
        <v>0</v>
      </c>
      <c r="U722" s="50">
        <v>1</v>
      </c>
      <c r="V722" s="348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205</v>
      </c>
      <c r="D723" s="50" t="s">
        <v>587</v>
      </c>
      <c r="E723" s="50">
        <v>79</v>
      </c>
      <c r="F723" s="50">
        <v>4</v>
      </c>
      <c r="G723" s="50">
        <v>0</v>
      </c>
      <c r="H723" s="50">
        <v>0</v>
      </c>
      <c r="I723" s="50">
        <v>0</v>
      </c>
      <c r="J723" s="50">
        <v>4</v>
      </c>
      <c r="K723" s="50">
        <v>1</v>
      </c>
      <c r="L723" s="50">
        <v>3</v>
      </c>
      <c r="M723" s="445">
        <v>75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1</v>
      </c>
      <c r="U723" s="50">
        <v>-1</v>
      </c>
      <c r="V723" s="348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354</v>
      </c>
      <c r="E724" s="50">
        <v>193</v>
      </c>
      <c r="F724" s="50">
        <v>10</v>
      </c>
      <c r="G724" s="50">
        <v>0</v>
      </c>
      <c r="H724" s="50">
        <v>0</v>
      </c>
      <c r="I724" s="50">
        <v>0</v>
      </c>
      <c r="J724" s="50">
        <v>2</v>
      </c>
      <c r="K724" s="50">
        <v>0</v>
      </c>
      <c r="L724" s="50">
        <v>2</v>
      </c>
      <c r="M724" s="445">
        <v>20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348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272</v>
      </c>
      <c r="D725" s="50" t="s">
        <v>588</v>
      </c>
      <c r="E725" s="50">
        <v>119</v>
      </c>
      <c r="F725" s="50">
        <v>6</v>
      </c>
      <c r="G725" s="50">
        <v>0</v>
      </c>
      <c r="H725" s="50">
        <v>0</v>
      </c>
      <c r="I725" s="50">
        <v>0</v>
      </c>
      <c r="J725" s="50">
        <v>2</v>
      </c>
      <c r="K725" s="50">
        <v>2</v>
      </c>
      <c r="L725" s="50">
        <v>0</v>
      </c>
      <c r="M725" s="445">
        <v>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1</v>
      </c>
      <c r="T725" s="50">
        <v>0</v>
      </c>
      <c r="U725" s="50">
        <v>1</v>
      </c>
      <c r="V725" s="348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589</v>
      </c>
      <c r="E726" s="50">
        <v>58</v>
      </c>
      <c r="F726" s="50">
        <v>3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445">
        <v>0</v>
      </c>
      <c r="N726" s="44"/>
      <c r="O726" s="50">
        <v>0</v>
      </c>
      <c r="P726" s="50">
        <v>0</v>
      </c>
      <c r="Q726" s="50">
        <v>1</v>
      </c>
      <c r="R726" s="50">
        <v>-1</v>
      </c>
      <c r="S726" s="50">
        <v>0</v>
      </c>
      <c r="T726" s="50">
        <v>1</v>
      </c>
      <c r="U726" s="50">
        <v>-1</v>
      </c>
      <c r="V726" s="348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1015</v>
      </c>
      <c r="D727" s="50" t="s">
        <v>143</v>
      </c>
      <c r="E727" s="50">
        <v>207</v>
      </c>
      <c r="F727" s="50">
        <v>10</v>
      </c>
      <c r="G727" s="50">
        <v>0</v>
      </c>
      <c r="H727" s="50">
        <v>0</v>
      </c>
      <c r="I727" s="50">
        <v>0</v>
      </c>
      <c r="J727" s="50">
        <v>2</v>
      </c>
      <c r="K727" s="50">
        <v>0</v>
      </c>
      <c r="L727" s="50">
        <v>2</v>
      </c>
      <c r="M727" s="445">
        <v>20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1</v>
      </c>
      <c r="T727" s="50">
        <v>0</v>
      </c>
      <c r="U727" s="50">
        <v>1</v>
      </c>
      <c r="V727" s="348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590</v>
      </c>
      <c r="E728" s="50">
        <v>151</v>
      </c>
      <c r="F728" s="50">
        <v>7</v>
      </c>
      <c r="G728" s="50">
        <v>0</v>
      </c>
      <c r="H728" s="50">
        <v>0</v>
      </c>
      <c r="I728" s="50">
        <v>0</v>
      </c>
      <c r="J728" s="50">
        <v>2</v>
      </c>
      <c r="K728" s="50">
        <v>0</v>
      </c>
      <c r="L728" s="50">
        <v>2</v>
      </c>
      <c r="M728" s="445">
        <v>28.57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1</v>
      </c>
      <c r="T728" s="50">
        <v>1</v>
      </c>
      <c r="U728" s="50">
        <v>0</v>
      </c>
      <c r="V728" s="348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197</v>
      </c>
      <c r="F729" s="50">
        <v>10</v>
      </c>
      <c r="G729" s="50">
        <v>0</v>
      </c>
      <c r="H729" s="50">
        <v>3</v>
      </c>
      <c r="I729" s="50">
        <v>-3</v>
      </c>
      <c r="J729" s="50">
        <v>0</v>
      </c>
      <c r="K729" s="50">
        <v>4</v>
      </c>
      <c r="L729" s="50">
        <v>-4</v>
      </c>
      <c r="M729" s="445">
        <v>0</v>
      </c>
      <c r="N729" s="44"/>
      <c r="O729" s="50">
        <v>0</v>
      </c>
      <c r="P729" s="50">
        <v>1</v>
      </c>
      <c r="Q729" s="50">
        <v>0</v>
      </c>
      <c r="R729" s="50">
        <v>1</v>
      </c>
      <c r="S729" s="50">
        <v>1</v>
      </c>
      <c r="T729" s="50">
        <v>3</v>
      </c>
      <c r="U729" s="50">
        <v>-2</v>
      </c>
      <c r="V729" s="348">
        <v>0</v>
      </c>
      <c r="W729" s="44"/>
    </row>
    <row r="730" spans="1:23" ht="29.1" customHeight="1">
      <c r="A730" s="50" t="s">
        <v>24</v>
      </c>
      <c r="B730" s="50">
        <v>14739</v>
      </c>
      <c r="C730" s="50" t="s">
        <v>113</v>
      </c>
      <c r="D730" s="50" t="s">
        <v>591</v>
      </c>
      <c r="E730" s="50">
        <v>36</v>
      </c>
      <c r="F730" s="50">
        <v>3</v>
      </c>
      <c r="G730" s="50">
        <v>0</v>
      </c>
      <c r="H730" s="50">
        <v>0</v>
      </c>
      <c r="I730" s="50">
        <v>0</v>
      </c>
      <c r="J730" s="50">
        <v>3</v>
      </c>
      <c r="K730" s="50">
        <v>0</v>
      </c>
      <c r="L730" s="50">
        <v>3</v>
      </c>
      <c r="M730" s="445">
        <v>100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48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592</v>
      </c>
      <c r="E731" s="50">
        <v>35</v>
      </c>
      <c r="F731" s="50">
        <v>3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445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48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1020</v>
      </c>
      <c r="D732" s="50" t="s">
        <v>72</v>
      </c>
      <c r="E732" s="50">
        <v>50</v>
      </c>
      <c r="F732" s="50">
        <v>3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445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48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796</v>
      </c>
      <c r="D733" s="50" t="s">
        <v>487</v>
      </c>
      <c r="E733" s="50">
        <v>59</v>
      </c>
      <c r="F733" s="50">
        <v>3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445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1</v>
      </c>
      <c r="U733" s="50">
        <v>-1</v>
      </c>
      <c r="V733" s="348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445">
        <v>0</v>
      </c>
      <c r="N734" s="325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48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781</v>
      </c>
      <c r="D735" s="50" t="s">
        <v>593</v>
      </c>
      <c r="E735" s="50">
        <v>32</v>
      </c>
      <c r="F735" s="50">
        <v>3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445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48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54</v>
      </c>
      <c r="D736" s="50" t="s">
        <v>31</v>
      </c>
      <c r="E736" s="50">
        <v>53</v>
      </c>
      <c r="F736" s="50">
        <v>3</v>
      </c>
      <c r="G736" s="50">
        <v>0</v>
      </c>
      <c r="H736" s="50">
        <v>0</v>
      </c>
      <c r="I736" s="50">
        <v>0</v>
      </c>
      <c r="J736" s="50">
        <v>2</v>
      </c>
      <c r="K736" s="50">
        <v>0</v>
      </c>
      <c r="L736" s="50">
        <v>2</v>
      </c>
      <c r="M736" s="445">
        <v>66.67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48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594</v>
      </c>
      <c r="E737" s="50">
        <v>70</v>
      </c>
      <c r="F737" s="50">
        <v>4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445">
        <v>0</v>
      </c>
      <c r="N737" s="44"/>
      <c r="O737" s="50">
        <v>0</v>
      </c>
      <c r="P737" s="50">
        <v>0</v>
      </c>
      <c r="Q737" s="50">
        <v>1</v>
      </c>
      <c r="R737" s="50">
        <v>-1</v>
      </c>
      <c r="S737" s="50">
        <v>0</v>
      </c>
      <c r="T737" s="50">
        <v>1</v>
      </c>
      <c r="U737" s="50">
        <v>-1</v>
      </c>
      <c r="V737" s="348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1050</v>
      </c>
      <c r="D738" s="50" t="s">
        <v>263</v>
      </c>
      <c r="E738" s="50">
        <v>39</v>
      </c>
      <c r="F738" s="50">
        <v>3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445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48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595</v>
      </c>
      <c r="E739" s="50">
        <v>123</v>
      </c>
      <c r="F739" s="50">
        <v>6</v>
      </c>
      <c r="G739" s="50">
        <v>0</v>
      </c>
      <c r="H739" s="50">
        <v>0</v>
      </c>
      <c r="I739" s="50">
        <v>0</v>
      </c>
      <c r="J739" s="50">
        <v>1</v>
      </c>
      <c r="K739" s="50">
        <v>0</v>
      </c>
      <c r="L739" s="50">
        <v>1</v>
      </c>
      <c r="M739" s="445">
        <v>16.670000000000002</v>
      </c>
      <c r="N739" s="44"/>
      <c r="O739" s="50">
        <v>0</v>
      </c>
      <c r="P739" s="50">
        <v>0</v>
      </c>
      <c r="Q739" s="50">
        <v>1</v>
      </c>
      <c r="R739" s="50">
        <v>-1</v>
      </c>
      <c r="S739" s="50">
        <v>1</v>
      </c>
      <c r="T739" s="50">
        <v>2</v>
      </c>
      <c r="U739" s="50">
        <v>-1</v>
      </c>
      <c r="V739" s="348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352</v>
      </c>
      <c r="D740" s="50" t="s">
        <v>23</v>
      </c>
      <c r="E740" s="50">
        <v>137</v>
      </c>
      <c r="F740" s="50">
        <v>7</v>
      </c>
      <c r="G740" s="50">
        <v>0</v>
      </c>
      <c r="H740" s="50">
        <v>0</v>
      </c>
      <c r="I740" s="50">
        <v>0</v>
      </c>
      <c r="J740" s="50">
        <v>2</v>
      </c>
      <c r="K740" s="50">
        <v>3</v>
      </c>
      <c r="L740" s="50">
        <v>-1</v>
      </c>
      <c r="M740" s="445">
        <v>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48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793</v>
      </c>
      <c r="D741" s="50" t="s">
        <v>263</v>
      </c>
      <c r="E741" s="50">
        <v>125</v>
      </c>
      <c r="F741" s="50">
        <v>6</v>
      </c>
      <c r="G741" s="50">
        <v>1</v>
      </c>
      <c r="H741" s="50">
        <v>0</v>
      </c>
      <c r="I741" s="50">
        <v>1</v>
      </c>
      <c r="J741" s="50">
        <v>3</v>
      </c>
      <c r="K741" s="50">
        <v>0</v>
      </c>
      <c r="L741" s="50">
        <v>3</v>
      </c>
      <c r="M741" s="445">
        <v>50</v>
      </c>
      <c r="N741" s="44"/>
      <c r="O741" s="50">
        <v>0</v>
      </c>
      <c r="P741" s="50">
        <v>1</v>
      </c>
      <c r="Q741" s="50">
        <v>0</v>
      </c>
      <c r="R741" s="50">
        <v>1</v>
      </c>
      <c r="S741" s="50">
        <v>4</v>
      </c>
      <c r="T741" s="50">
        <v>1</v>
      </c>
      <c r="U741" s="50">
        <v>3</v>
      </c>
      <c r="V741" s="348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38</v>
      </c>
      <c r="F742" s="50">
        <v>3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445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48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416</v>
      </c>
      <c r="E743" s="50">
        <v>85</v>
      </c>
      <c r="F743" s="50">
        <v>4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445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48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128</v>
      </c>
      <c r="D744" s="50" t="s">
        <v>43</v>
      </c>
      <c r="E744" s="50">
        <v>33</v>
      </c>
      <c r="F744" s="50">
        <v>3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445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48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30</v>
      </c>
      <c r="D745" s="50" t="s">
        <v>33</v>
      </c>
      <c r="E745" s="50">
        <v>59</v>
      </c>
      <c r="F745" s="50">
        <v>3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445">
        <v>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348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217</v>
      </c>
      <c r="D746" s="50" t="s">
        <v>596</v>
      </c>
      <c r="E746" s="50">
        <v>56</v>
      </c>
      <c r="F746" s="50">
        <v>3</v>
      </c>
      <c r="G746" s="50">
        <v>0</v>
      </c>
      <c r="H746" s="50">
        <v>0</v>
      </c>
      <c r="I746" s="50">
        <v>0</v>
      </c>
      <c r="J746" s="50">
        <v>1</v>
      </c>
      <c r="K746" s="50">
        <v>0</v>
      </c>
      <c r="L746" s="50">
        <v>1</v>
      </c>
      <c r="M746" s="445">
        <v>33.33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1</v>
      </c>
      <c r="U746" s="50">
        <v>-1</v>
      </c>
      <c r="V746" s="348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808</v>
      </c>
      <c r="D747" s="50" t="s">
        <v>66</v>
      </c>
      <c r="E747" s="50">
        <v>43</v>
      </c>
      <c r="F747" s="50">
        <v>3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445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1</v>
      </c>
      <c r="U747" s="50">
        <v>-1</v>
      </c>
      <c r="V747" s="348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216</v>
      </c>
      <c r="F748" s="50">
        <v>11</v>
      </c>
      <c r="G748" s="50">
        <v>0</v>
      </c>
      <c r="H748" s="50">
        <v>0</v>
      </c>
      <c r="I748" s="50">
        <v>0</v>
      </c>
      <c r="J748" s="50">
        <v>3</v>
      </c>
      <c r="K748" s="50">
        <v>34</v>
      </c>
      <c r="L748" s="50">
        <v>-31</v>
      </c>
      <c r="M748" s="445">
        <v>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1</v>
      </c>
      <c r="T748" s="50">
        <v>4</v>
      </c>
      <c r="U748" s="50">
        <v>-3</v>
      </c>
      <c r="V748" s="348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772</v>
      </c>
      <c r="D749" s="50" t="s">
        <v>90</v>
      </c>
      <c r="E749" s="50">
        <v>39</v>
      </c>
      <c r="F749" s="50">
        <v>3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445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48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794</v>
      </c>
      <c r="D750" s="50" t="s">
        <v>269</v>
      </c>
      <c r="E750" s="50">
        <v>184</v>
      </c>
      <c r="F750" s="50">
        <v>9</v>
      </c>
      <c r="G750" s="50">
        <v>0</v>
      </c>
      <c r="H750" s="50">
        <v>0</v>
      </c>
      <c r="I750" s="50">
        <v>0</v>
      </c>
      <c r="J750" s="50">
        <v>4</v>
      </c>
      <c r="K750" s="50">
        <v>5</v>
      </c>
      <c r="L750" s="50">
        <v>-1</v>
      </c>
      <c r="M750" s="445">
        <v>0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1</v>
      </c>
      <c r="U750" s="50">
        <v>-1</v>
      </c>
      <c r="V750" s="348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787</v>
      </c>
      <c r="D751" s="50" t="s">
        <v>133</v>
      </c>
      <c r="E751" s="50">
        <v>65</v>
      </c>
      <c r="F751" s="50">
        <v>3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445">
        <v>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1</v>
      </c>
      <c r="U751" s="50">
        <v>-1</v>
      </c>
      <c r="V751" s="348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597</v>
      </c>
      <c r="E752" s="50">
        <v>49</v>
      </c>
      <c r="F752" s="50">
        <v>3</v>
      </c>
      <c r="G752" s="50">
        <v>0</v>
      </c>
      <c r="H752" s="50">
        <v>0</v>
      </c>
      <c r="I752" s="50">
        <v>0</v>
      </c>
      <c r="J752" s="50">
        <v>1</v>
      </c>
      <c r="K752" s="50">
        <v>0</v>
      </c>
      <c r="L752" s="50">
        <v>1</v>
      </c>
      <c r="M752" s="445">
        <v>33.33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1</v>
      </c>
      <c r="T752" s="50">
        <v>0</v>
      </c>
      <c r="U752" s="50">
        <v>1</v>
      </c>
      <c r="V752" s="348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495</v>
      </c>
      <c r="D753" s="50" t="s">
        <v>33</v>
      </c>
      <c r="E753" s="50">
        <v>81</v>
      </c>
      <c r="F753" s="50">
        <v>4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445">
        <v>0</v>
      </c>
      <c r="N753" s="44"/>
      <c r="O753" s="50">
        <v>0</v>
      </c>
      <c r="P753" s="50">
        <v>0</v>
      </c>
      <c r="Q753" s="50">
        <v>1</v>
      </c>
      <c r="R753" s="50">
        <v>-1</v>
      </c>
      <c r="S753" s="50">
        <v>1</v>
      </c>
      <c r="T753" s="50">
        <v>1</v>
      </c>
      <c r="U753" s="50">
        <v>0</v>
      </c>
      <c r="V753" s="348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495</v>
      </c>
      <c r="D754" s="50" t="s">
        <v>598</v>
      </c>
      <c r="E754" s="50">
        <v>51</v>
      </c>
      <c r="F754" s="50">
        <v>3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445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1</v>
      </c>
      <c r="U754" s="50">
        <v>-1</v>
      </c>
      <c r="V754" s="348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796</v>
      </c>
      <c r="D755" s="50" t="s">
        <v>335</v>
      </c>
      <c r="E755" s="50">
        <v>36</v>
      </c>
      <c r="F755" s="50">
        <v>3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445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48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74</v>
      </c>
      <c r="F756" s="50">
        <v>4</v>
      </c>
      <c r="G756" s="50">
        <v>0</v>
      </c>
      <c r="H756" s="50">
        <v>0</v>
      </c>
      <c r="I756" s="50">
        <v>0</v>
      </c>
      <c r="J756" s="50">
        <v>3</v>
      </c>
      <c r="K756" s="50">
        <v>0</v>
      </c>
      <c r="L756" s="50">
        <v>3</v>
      </c>
      <c r="M756" s="445">
        <v>75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3</v>
      </c>
      <c r="T756" s="50">
        <v>0</v>
      </c>
      <c r="U756" s="50">
        <v>3</v>
      </c>
      <c r="V756" s="348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802</v>
      </c>
      <c r="D757" s="50" t="s">
        <v>382</v>
      </c>
      <c r="E757" s="50">
        <v>140</v>
      </c>
      <c r="F757" s="50">
        <v>7</v>
      </c>
      <c r="G757" s="50">
        <v>0</v>
      </c>
      <c r="H757" s="50">
        <v>0</v>
      </c>
      <c r="I757" s="50">
        <v>0</v>
      </c>
      <c r="J757" s="50">
        <v>4</v>
      </c>
      <c r="K757" s="50">
        <v>0</v>
      </c>
      <c r="L757" s="50">
        <v>4</v>
      </c>
      <c r="M757" s="445">
        <v>57.14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1</v>
      </c>
      <c r="T757" s="50">
        <v>0</v>
      </c>
      <c r="U757" s="50">
        <v>1</v>
      </c>
      <c r="V757" s="348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599</v>
      </c>
      <c r="E758" s="50">
        <v>64</v>
      </c>
      <c r="F758" s="50">
        <v>3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445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48">
        <v>0</v>
      </c>
      <c r="W758" s="44"/>
    </row>
    <row r="759" spans="1:23" ht="29.1" customHeight="1">
      <c r="A759" s="50" t="s">
        <v>24</v>
      </c>
      <c r="B759" s="50">
        <v>15448</v>
      </c>
      <c r="C759" s="50" t="s">
        <v>769</v>
      </c>
      <c r="D759" s="50" t="s">
        <v>66</v>
      </c>
      <c r="E759" s="50">
        <v>174</v>
      </c>
      <c r="F759" s="50">
        <v>9</v>
      </c>
      <c r="G759" s="50">
        <v>0</v>
      </c>
      <c r="H759" s="50">
        <v>0</v>
      </c>
      <c r="I759" s="50">
        <v>0</v>
      </c>
      <c r="J759" s="50">
        <v>10</v>
      </c>
      <c r="K759" s="50">
        <v>0</v>
      </c>
      <c r="L759" s="50">
        <v>10</v>
      </c>
      <c r="M759" s="445">
        <v>111.11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2</v>
      </c>
      <c r="T759" s="50">
        <v>1</v>
      </c>
      <c r="U759" s="50">
        <v>1</v>
      </c>
      <c r="V759" s="348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796</v>
      </c>
      <c r="D760" s="50" t="s">
        <v>335</v>
      </c>
      <c r="E760" s="50">
        <v>52</v>
      </c>
      <c r="F760" s="50">
        <v>3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445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348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794</v>
      </c>
      <c r="D761" s="50" t="s">
        <v>269</v>
      </c>
      <c r="E761" s="50">
        <v>79</v>
      </c>
      <c r="F761" s="50">
        <v>4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445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48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</v>
      </c>
      <c r="D762" s="50" t="s">
        <v>23</v>
      </c>
      <c r="E762" s="50">
        <v>36</v>
      </c>
      <c r="F762" s="50">
        <v>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445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48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40</v>
      </c>
      <c r="F763" s="50">
        <v>3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445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1</v>
      </c>
      <c r="U763" s="50">
        <v>-1</v>
      </c>
      <c r="V763" s="348">
        <v>0</v>
      </c>
    </row>
    <row r="764" spans="1:23" ht="29.1" customHeight="1">
      <c r="A764" s="50" t="s">
        <v>21</v>
      </c>
      <c r="B764" s="50">
        <v>15776</v>
      </c>
      <c r="C764" s="50" t="s">
        <v>806</v>
      </c>
      <c r="D764" s="50" t="s">
        <v>703</v>
      </c>
      <c r="E764" s="50">
        <v>30</v>
      </c>
      <c r="F764" s="50">
        <v>3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445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48">
        <v>0</v>
      </c>
    </row>
    <row r="765" spans="1:23" ht="29.1" customHeight="1">
      <c r="A765" s="50" t="s">
        <v>21</v>
      </c>
      <c r="B765" s="50">
        <v>15782</v>
      </c>
      <c r="C765" s="50" t="s">
        <v>520</v>
      </c>
      <c r="D765" s="50" t="s">
        <v>704</v>
      </c>
      <c r="E765" s="50">
        <v>38</v>
      </c>
      <c r="F765" s="50">
        <v>3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445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48">
        <v>0</v>
      </c>
    </row>
    <row r="766" spans="1:23" ht="29.1" customHeight="1">
      <c r="A766" s="50" t="s">
        <v>21</v>
      </c>
      <c r="B766" s="50">
        <v>15783</v>
      </c>
      <c r="C766" s="50" t="s">
        <v>798</v>
      </c>
      <c r="D766" s="50" t="s">
        <v>90</v>
      </c>
      <c r="E766" s="50">
        <v>58</v>
      </c>
      <c r="F766" s="50">
        <v>3</v>
      </c>
      <c r="G766" s="50">
        <v>0</v>
      </c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445">
        <v>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48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281</v>
      </c>
      <c r="D767" s="50" t="s">
        <v>705</v>
      </c>
      <c r="E767" s="50">
        <v>159</v>
      </c>
      <c r="F767" s="50">
        <v>7</v>
      </c>
      <c r="G767" s="50">
        <v>0</v>
      </c>
      <c r="H767" s="50">
        <v>1</v>
      </c>
      <c r="I767" s="50">
        <v>-1</v>
      </c>
      <c r="J767" s="50">
        <v>6</v>
      </c>
      <c r="K767" s="50">
        <v>4</v>
      </c>
      <c r="L767" s="50">
        <v>2</v>
      </c>
      <c r="M767" s="445">
        <v>28.57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4</v>
      </c>
      <c r="T767" s="50">
        <v>3</v>
      </c>
      <c r="U767" s="50">
        <v>1</v>
      </c>
      <c r="V767" s="348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34</v>
      </c>
      <c r="D768" s="50" t="s">
        <v>33</v>
      </c>
      <c r="E768" s="50">
        <v>60</v>
      </c>
      <c r="F768" s="50">
        <v>3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445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1</v>
      </c>
      <c r="T768" s="50">
        <v>0</v>
      </c>
      <c r="U768" s="50">
        <v>1</v>
      </c>
      <c r="V768" s="348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350</v>
      </c>
      <c r="D769" s="50" t="s">
        <v>706</v>
      </c>
      <c r="E769" s="50">
        <v>27</v>
      </c>
      <c r="F769" s="50">
        <v>3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445">
        <v>0</v>
      </c>
      <c r="N769" s="44"/>
      <c r="O769" s="50">
        <v>0</v>
      </c>
      <c r="P769" s="50">
        <v>0</v>
      </c>
      <c r="Q769" s="50">
        <v>1</v>
      </c>
      <c r="R769" s="50">
        <v>-1</v>
      </c>
      <c r="S769" s="50">
        <v>0</v>
      </c>
      <c r="T769" s="50">
        <v>1</v>
      </c>
      <c r="U769" s="50">
        <v>-1</v>
      </c>
      <c r="V769" s="348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29</v>
      </c>
      <c r="F770" s="50">
        <v>3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445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48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188</v>
      </c>
      <c r="D771" s="50" t="s">
        <v>31</v>
      </c>
      <c r="E771" s="50">
        <v>54</v>
      </c>
      <c r="F771" s="50">
        <v>3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445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48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799</v>
      </c>
      <c r="D772" s="50" t="s">
        <v>150</v>
      </c>
      <c r="E772" s="50">
        <v>52</v>
      </c>
      <c r="F772" s="50">
        <v>3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445">
        <v>0</v>
      </c>
      <c r="N772" s="44"/>
      <c r="O772" s="50">
        <v>0</v>
      </c>
      <c r="P772" s="50">
        <v>0</v>
      </c>
      <c r="Q772" s="50">
        <v>0</v>
      </c>
      <c r="R772" s="50">
        <v>0</v>
      </c>
      <c r="S772" s="50">
        <v>0</v>
      </c>
      <c r="T772" s="50">
        <v>1</v>
      </c>
      <c r="U772" s="50">
        <v>-1</v>
      </c>
      <c r="V772" s="348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76</v>
      </c>
      <c r="D773" s="50" t="s">
        <v>143</v>
      </c>
      <c r="E773" s="50">
        <v>100</v>
      </c>
      <c r="F773" s="50">
        <v>5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445">
        <v>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48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45</v>
      </c>
      <c r="F774" s="50">
        <v>3</v>
      </c>
      <c r="G774" s="50">
        <v>0</v>
      </c>
      <c r="H774" s="50">
        <v>0</v>
      </c>
      <c r="I774" s="50">
        <v>0</v>
      </c>
      <c r="J774" s="50">
        <v>2</v>
      </c>
      <c r="K774" s="50">
        <v>0</v>
      </c>
      <c r="L774" s="50">
        <v>2</v>
      </c>
      <c r="M774" s="445">
        <v>66.67</v>
      </c>
      <c r="N774" s="325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48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22</v>
      </c>
      <c r="D775" s="50" t="s">
        <v>23</v>
      </c>
      <c r="E775" s="50">
        <v>48</v>
      </c>
      <c r="F775" s="50">
        <v>3</v>
      </c>
      <c r="G775" s="50">
        <v>0</v>
      </c>
      <c r="H775" s="50">
        <v>1</v>
      </c>
      <c r="I775" s="50">
        <v>-1</v>
      </c>
      <c r="J775" s="50">
        <v>3</v>
      </c>
      <c r="K775" s="50">
        <v>2</v>
      </c>
      <c r="L775" s="50">
        <v>1</v>
      </c>
      <c r="M775" s="445">
        <v>33.33</v>
      </c>
      <c r="N775" s="44"/>
      <c r="O775" s="50">
        <v>0</v>
      </c>
      <c r="P775" s="50">
        <v>1</v>
      </c>
      <c r="Q775" s="50">
        <v>1</v>
      </c>
      <c r="R775" s="50">
        <v>0</v>
      </c>
      <c r="S775" s="50">
        <v>1</v>
      </c>
      <c r="T775" s="50">
        <v>1</v>
      </c>
      <c r="U775" s="50">
        <v>0</v>
      </c>
      <c r="V775" s="348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507</v>
      </c>
      <c r="D776" s="50" t="s">
        <v>388</v>
      </c>
      <c r="E776" s="50">
        <v>62</v>
      </c>
      <c r="F776" s="50">
        <v>3</v>
      </c>
      <c r="G776" s="50">
        <v>1</v>
      </c>
      <c r="H776" s="50">
        <v>0</v>
      </c>
      <c r="I776" s="50">
        <v>1</v>
      </c>
      <c r="J776" s="50">
        <v>1</v>
      </c>
      <c r="K776" s="50">
        <v>0</v>
      </c>
      <c r="L776" s="50">
        <v>1</v>
      </c>
      <c r="M776" s="445">
        <v>33.33</v>
      </c>
      <c r="N776" s="50"/>
      <c r="O776" s="50">
        <v>0</v>
      </c>
      <c r="P776" s="50">
        <v>0</v>
      </c>
      <c r="Q776" s="50">
        <v>0</v>
      </c>
      <c r="R776" s="50">
        <v>0</v>
      </c>
      <c r="S776" s="50">
        <v>2</v>
      </c>
      <c r="T776" s="50">
        <v>0</v>
      </c>
      <c r="U776" s="50">
        <v>2</v>
      </c>
      <c r="V776" s="348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407</v>
      </c>
      <c r="D777" s="50" t="s">
        <v>712</v>
      </c>
      <c r="E777" s="50">
        <v>67</v>
      </c>
      <c r="F777" s="50">
        <v>3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445">
        <v>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2</v>
      </c>
      <c r="T777" s="50">
        <v>2</v>
      </c>
      <c r="U777" s="50">
        <v>0</v>
      </c>
      <c r="V777" s="348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1499</v>
      </c>
      <c r="D778" s="50" t="s">
        <v>27</v>
      </c>
      <c r="E778" s="50">
        <v>25</v>
      </c>
      <c r="F778" s="50">
        <v>3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445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1</v>
      </c>
      <c r="T778" s="50">
        <v>0</v>
      </c>
      <c r="U778" s="50">
        <v>1</v>
      </c>
      <c r="V778" s="348">
        <v>0</v>
      </c>
    </row>
    <row r="779" spans="1:23" ht="29.1" customHeight="1">
      <c r="A779" s="50" t="s">
        <v>21</v>
      </c>
      <c r="B779" s="50">
        <v>16074</v>
      </c>
      <c r="C779" s="50" t="s">
        <v>812</v>
      </c>
      <c r="D779" s="50" t="s">
        <v>90</v>
      </c>
      <c r="E779" s="50">
        <v>23</v>
      </c>
      <c r="F779" s="50">
        <v>3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445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48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217</v>
      </c>
      <c r="D780" s="50" t="s">
        <v>713</v>
      </c>
      <c r="E780" s="50">
        <v>59</v>
      </c>
      <c r="F780" s="50">
        <v>3</v>
      </c>
      <c r="G780" s="50">
        <v>1</v>
      </c>
      <c r="H780" s="50">
        <v>0</v>
      </c>
      <c r="I780" s="50">
        <v>1</v>
      </c>
      <c r="J780" s="50">
        <v>3</v>
      </c>
      <c r="K780" s="50">
        <v>2</v>
      </c>
      <c r="L780" s="50">
        <v>1</v>
      </c>
      <c r="M780" s="445">
        <v>33.33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1</v>
      </c>
      <c r="T780" s="50">
        <v>1</v>
      </c>
      <c r="U780" s="50">
        <v>0</v>
      </c>
      <c r="V780" s="348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262</v>
      </c>
      <c r="D781" s="50" t="s">
        <v>714</v>
      </c>
      <c r="E781" s="50">
        <v>262</v>
      </c>
      <c r="F781" s="50">
        <v>13</v>
      </c>
      <c r="G781" s="50">
        <v>0</v>
      </c>
      <c r="H781" s="50">
        <v>0</v>
      </c>
      <c r="I781" s="50">
        <v>0</v>
      </c>
      <c r="J781" s="50">
        <v>0</v>
      </c>
      <c r="K781" s="50">
        <v>0</v>
      </c>
      <c r="L781" s="50">
        <v>0</v>
      </c>
      <c r="M781" s="445">
        <v>0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4</v>
      </c>
      <c r="T781" s="50">
        <v>1</v>
      </c>
      <c r="U781" s="50">
        <v>3</v>
      </c>
      <c r="V781" s="348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369</v>
      </c>
      <c r="D782" s="50" t="s">
        <v>29</v>
      </c>
      <c r="E782" s="50">
        <v>31</v>
      </c>
      <c r="F782" s="50">
        <v>3</v>
      </c>
      <c r="G782" s="50">
        <v>0</v>
      </c>
      <c r="H782" s="50">
        <v>0</v>
      </c>
      <c r="I782" s="50">
        <v>0</v>
      </c>
      <c r="J782" s="50">
        <v>2</v>
      </c>
      <c r="K782" s="50">
        <v>0</v>
      </c>
      <c r="L782" s="50">
        <v>2</v>
      </c>
      <c r="M782" s="445">
        <v>66.67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1</v>
      </c>
      <c r="T782" s="50">
        <v>0</v>
      </c>
      <c r="U782" s="50">
        <v>1</v>
      </c>
      <c r="V782" s="348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1051</v>
      </c>
      <c r="D783" s="50" t="s">
        <v>33</v>
      </c>
      <c r="E783" s="50">
        <v>38</v>
      </c>
      <c r="F783" s="50">
        <v>3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445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48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715</v>
      </c>
      <c r="E784" s="50">
        <v>33</v>
      </c>
      <c r="F784" s="50">
        <v>3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445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48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816</v>
      </c>
      <c r="D785" s="50" t="s">
        <v>33</v>
      </c>
      <c r="E785" s="50">
        <v>21</v>
      </c>
      <c r="F785" s="50">
        <v>3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445">
        <v>0</v>
      </c>
      <c r="N785" s="325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48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716</v>
      </c>
      <c r="E786" s="50">
        <v>36</v>
      </c>
      <c r="F786" s="50">
        <v>3</v>
      </c>
      <c r="G786" s="50">
        <v>0</v>
      </c>
      <c r="H786" s="50">
        <v>0</v>
      </c>
      <c r="I786" s="50">
        <v>0</v>
      </c>
      <c r="J786" s="50">
        <v>2</v>
      </c>
      <c r="K786" s="50">
        <v>1</v>
      </c>
      <c r="L786" s="50">
        <v>1</v>
      </c>
      <c r="M786" s="445">
        <v>33.33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1</v>
      </c>
      <c r="T786" s="50">
        <v>1</v>
      </c>
      <c r="U786" s="50">
        <v>0</v>
      </c>
      <c r="V786" s="348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1056</v>
      </c>
      <c r="D787" s="50" t="s">
        <v>59</v>
      </c>
      <c r="E787" s="50">
        <v>47</v>
      </c>
      <c r="F787" s="50">
        <v>3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445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1</v>
      </c>
      <c r="U787" s="50">
        <v>-1</v>
      </c>
      <c r="V787" s="348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799</v>
      </c>
      <c r="D788" s="50" t="s">
        <v>717</v>
      </c>
      <c r="E788" s="50">
        <v>51</v>
      </c>
      <c r="F788" s="50">
        <v>3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445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2</v>
      </c>
      <c r="T788" s="50">
        <v>0</v>
      </c>
      <c r="U788" s="50">
        <v>2</v>
      </c>
      <c r="V788" s="348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34</v>
      </c>
      <c r="F789" s="50">
        <v>3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445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48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782</v>
      </c>
      <c r="D790" s="50" t="s">
        <v>143</v>
      </c>
      <c r="E790" s="50">
        <v>50</v>
      </c>
      <c r="F790" s="50">
        <v>3</v>
      </c>
      <c r="G790" s="50">
        <v>0</v>
      </c>
      <c r="H790" s="50">
        <v>0</v>
      </c>
      <c r="I790" s="50">
        <v>0</v>
      </c>
      <c r="J790" s="50">
        <v>1</v>
      </c>
      <c r="K790" s="50">
        <v>0</v>
      </c>
      <c r="L790" s="50">
        <v>1</v>
      </c>
      <c r="M790" s="445">
        <v>33.33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1</v>
      </c>
      <c r="T790" s="50">
        <v>2</v>
      </c>
      <c r="U790" s="50">
        <v>-1</v>
      </c>
      <c r="V790" s="348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157</v>
      </c>
      <c r="D791" s="50" t="s">
        <v>718</v>
      </c>
      <c r="E791" s="50">
        <v>65</v>
      </c>
      <c r="F791" s="50">
        <v>3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445">
        <v>0</v>
      </c>
      <c r="N791" s="44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48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350</v>
      </c>
      <c r="D792" s="50" t="s">
        <v>720</v>
      </c>
      <c r="E792" s="50">
        <v>42</v>
      </c>
      <c r="F792" s="50">
        <v>3</v>
      </c>
      <c r="G792" s="50">
        <v>0</v>
      </c>
      <c r="H792" s="50">
        <v>0</v>
      </c>
      <c r="I792" s="50">
        <v>0</v>
      </c>
      <c r="J792" s="50">
        <v>1</v>
      </c>
      <c r="K792" s="50">
        <v>0</v>
      </c>
      <c r="L792" s="50">
        <v>1</v>
      </c>
      <c r="M792" s="445">
        <v>33.33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48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799</v>
      </c>
      <c r="D793" s="50" t="s">
        <v>721</v>
      </c>
      <c r="E793" s="50">
        <v>30</v>
      </c>
      <c r="F793" s="50">
        <v>3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445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48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54</v>
      </c>
      <c r="D794" s="50" t="s">
        <v>31</v>
      </c>
      <c r="E794" s="50">
        <v>48</v>
      </c>
      <c r="F794" s="50">
        <v>3</v>
      </c>
      <c r="G794" s="50">
        <v>0</v>
      </c>
      <c r="H794" s="50">
        <v>0</v>
      </c>
      <c r="I794" s="50">
        <v>0</v>
      </c>
      <c r="J794" s="50">
        <v>1</v>
      </c>
      <c r="K794" s="50">
        <v>0</v>
      </c>
      <c r="L794" s="50">
        <v>1</v>
      </c>
      <c r="M794" s="445">
        <v>33.33</v>
      </c>
      <c r="N794" s="325"/>
      <c r="O794" s="50">
        <v>0</v>
      </c>
      <c r="P794" s="50">
        <v>0</v>
      </c>
      <c r="Q794" s="50">
        <v>0</v>
      </c>
      <c r="R794" s="50">
        <v>0</v>
      </c>
      <c r="S794" s="50">
        <v>1</v>
      </c>
      <c r="T794" s="50">
        <v>0</v>
      </c>
      <c r="U794" s="50">
        <v>1</v>
      </c>
      <c r="V794" s="348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785</v>
      </c>
      <c r="D795" s="50" t="s">
        <v>722</v>
      </c>
      <c r="E795" s="50">
        <v>31</v>
      </c>
      <c r="F795" s="50">
        <v>3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445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1</v>
      </c>
      <c r="U795" s="50">
        <v>-1</v>
      </c>
      <c r="V795" s="348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804</v>
      </c>
      <c r="D796" s="50" t="s">
        <v>154</v>
      </c>
      <c r="E796" s="50">
        <v>80</v>
      </c>
      <c r="F796" s="50">
        <v>4</v>
      </c>
      <c r="G796" s="50">
        <v>0</v>
      </c>
      <c r="H796" s="50">
        <v>0</v>
      </c>
      <c r="I796" s="50">
        <v>0</v>
      </c>
      <c r="J796" s="50">
        <v>1</v>
      </c>
      <c r="K796" s="50">
        <v>0</v>
      </c>
      <c r="L796" s="50">
        <v>1</v>
      </c>
      <c r="M796" s="445">
        <v>25</v>
      </c>
      <c r="N796" s="50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1</v>
      </c>
      <c r="U796" s="50">
        <v>-1</v>
      </c>
      <c r="V796" s="348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243</v>
      </c>
      <c r="D797" s="50" t="s">
        <v>241</v>
      </c>
      <c r="E797" s="50">
        <v>50</v>
      </c>
      <c r="F797" s="50">
        <v>3</v>
      </c>
      <c r="G797" s="50">
        <v>1</v>
      </c>
      <c r="H797" s="50">
        <v>2</v>
      </c>
      <c r="I797" s="50">
        <v>-1</v>
      </c>
      <c r="J797" s="50">
        <v>4</v>
      </c>
      <c r="K797" s="50">
        <v>2</v>
      </c>
      <c r="L797" s="50">
        <v>2</v>
      </c>
      <c r="M797" s="445">
        <v>66.67</v>
      </c>
      <c r="N797" s="44"/>
      <c r="O797" s="50">
        <v>0</v>
      </c>
      <c r="P797" s="50">
        <v>1</v>
      </c>
      <c r="Q797" s="50">
        <v>1</v>
      </c>
      <c r="R797" s="50">
        <v>0</v>
      </c>
      <c r="S797" s="50">
        <v>1</v>
      </c>
      <c r="T797" s="50">
        <v>1</v>
      </c>
      <c r="U797" s="50">
        <v>0</v>
      </c>
      <c r="V797" s="348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800</v>
      </c>
      <c r="D798" s="50" t="s">
        <v>723</v>
      </c>
      <c r="E798" s="50">
        <v>44</v>
      </c>
      <c r="F798" s="50">
        <v>3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445">
        <v>0</v>
      </c>
      <c r="N798" s="50"/>
      <c r="O798" s="50">
        <v>0</v>
      </c>
      <c r="P798" s="50">
        <v>0</v>
      </c>
      <c r="Q798" s="50">
        <v>0</v>
      </c>
      <c r="R798" s="50">
        <v>0</v>
      </c>
      <c r="S798" s="50">
        <v>1</v>
      </c>
      <c r="T798" s="50">
        <v>0</v>
      </c>
      <c r="U798" s="50">
        <v>1</v>
      </c>
      <c r="V798" s="348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23</v>
      </c>
      <c r="F799" s="50">
        <v>3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445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348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810</v>
      </c>
      <c r="D800" s="50" t="s">
        <v>150</v>
      </c>
      <c r="E800" s="50">
        <v>58</v>
      </c>
      <c r="F800" s="50">
        <v>3</v>
      </c>
      <c r="G800" s="50">
        <v>0</v>
      </c>
      <c r="H800" s="50">
        <v>0</v>
      </c>
      <c r="I800" s="50">
        <v>0</v>
      </c>
      <c r="J800" s="50">
        <v>1</v>
      </c>
      <c r="K800" s="50">
        <v>0</v>
      </c>
      <c r="L800" s="50">
        <v>1</v>
      </c>
      <c r="M800" s="445">
        <v>33.33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1</v>
      </c>
      <c r="T800" s="50">
        <v>1</v>
      </c>
      <c r="U800" s="50">
        <v>0</v>
      </c>
      <c r="V800" s="348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424</v>
      </c>
      <c r="D801" s="50" t="s">
        <v>37</v>
      </c>
      <c r="E801" s="50">
        <v>98</v>
      </c>
      <c r="F801" s="50">
        <v>5</v>
      </c>
      <c r="G801" s="50">
        <v>0</v>
      </c>
      <c r="H801" s="50">
        <v>0</v>
      </c>
      <c r="I801" s="50">
        <v>0</v>
      </c>
      <c r="J801" s="50">
        <v>4</v>
      </c>
      <c r="K801" s="50">
        <v>0</v>
      </c>
      <c r="L801" s="50">
        <v>4</v>
      </c>
      <c r="M801" s="445">
        <v>80</v>
      </c>
      <c r="N801" s="44"/>
      <c r="O801" s="50">
        <v>0</v>
      </c>
      <c r="P801" s="50">
        <v>1</v>
      </c>
      <c r="Q801" s="50">
        <v>1</v>
      </c>
      <c r="R801" s="50">
        <v>0</v>
      </c>
      <c r="S801" s="50">
        <v>1</v>
      </c>
      <c r="T801" s="50">
        <v>1</v>
      </c>
      <c r="U801" s="50">
        <v>0</v>
      </c>
      <c r="V801" s="348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773</v>
      </c>
      <c r="D802" s="50" t="s">
        <v>817</v>
      </c>
      <c r="E802" s="50">
        <v>21</v>
      </c>
      <c r="F802" s="50">
        <v>3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445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48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32</v>
      </c>
      <c r="F803" s="50">
        <v>3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445">
        <v>0</v>
      </c>
      <c r="N803" s="44"/>
      <c r="O803" s="50">
        <v>0</v>
      </c>
      <c r="P803" s="50">
        <v>1</v>
      </c>
      <c r="Q803" s="50">
        <v>0</v>
      </c>
      <c r="R803" s="50">
        <v>1</v>
      </c>
      <c r="S803" s="50">
        <v>1</v>
      </c>
      <c r="T803" s="50">
        <v>0</v>
      </c>
      <c r="U803" s="50">
        <v>1</v>
      </c>
      <c r="V803" s="348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287</v>
      </c>
      <c r="E804" s="50">
        <v>36</v>
      </c>
      <c r="F804" s="50">
        <v>3</v>
      </c>
      <c r="G804" s="50">
        <v>1</v>
      </c>
      <c r="H804" s="50">
        <v>0</v>
      </c>
      <c r="I804" s="50">
        <v>1</v>
      </c>
      <c r="J804" s="50">
        <v>3</v>
      </c>
      <c r="K804" s="50">
        <v>0</v>
      </c>
      <c r="L804" s="50">
        <v>3</v>
      </c>
      <c r="M804" s="445">
        <v>100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48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782</v>
      </c>
      <c r="D805" s="50" t="s">
        <v>143</v>
      </c>
      <c r="E805" s="50">
        <v>54</v>
      </c>
      <c r="F805" s="50">
        <v>3</v>
      </c>
      <c r="G805" s="50">
        <v>0</v>
      </c>
      <c r="H805" s="50">
        <v>0</v>
      </c>
      <c r="I805" s="50">
        <v>0</v>
      </c>
      <c r="J805" s="50">
        <v>2</v>
      </c>
      <c r="K805" s="50">
        <v>0</v>
      </c>
      <c r="L805" s="50">
        <v>2</v>
      </c>
      <c r="M805" s="445">
        <v>66.67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1</v>
      </c>
      <c r="T805" s="50">
        <v>0</v>
      </c>
      <c r="U805" s="50">
        <v>1</v>
      </c>
      <c r="V805" s="348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194</v>
      </c>
      <c r="D806" s="50" t="s">
        <v>31</v>
      </c>
      <c r="E806" s="50">
        <v>78</v>
      </c>
      <c r="F806" s="50">
        <v>4</v>
      </c>
      <c r="G806" s="50">
        <v>0</v>
      </c>
      <c r="H806" s="50">
        <v>0</v>
      </c>
      <c r="I806" s="50">
        <v>0</v>
      </c>
      <c r="J806" s="50">
        <v>0</v>
      </c>
      <c r="K806" s="50">
        <v>0</v>
      </c>
      <c r="L806" s="50">
        <v>0</v>
      </c>
      <c r="M806" s="445">
        <v>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1</v>
      </c>
      <c r="T806" s="50">
        <v>1</v>
      </c>
      <c r="U806" s="50">
        <v>0</v>
      </c>
      <c r="V806" s="348">
        <v>0</v>
      </c>
    </row>
    <row r="807" spans="1:22" s="51" customFormat="1" ht="29.1" customHeight="1">
      <c r="A807" s="50" t="s">
        <v>24</v>
      </c>
      <c r="B807" s="50">
        <v>16666</v>
      </c>
      <c r="C807" s="50" t="s">
        <v>361</v>
      </c>
      <c r="D807" s="50" t="s">
        <v>59</v>
      </c>
      <c r="E807" s="50">
        <v>36</v>
      </c>
      <c r="F807" s="50">
        <v>3</v>
      </c>
      <c r="G807" s="50">
        <v>0</v>
      </c>
      <c r="H807" s="50">
        <v>0</v>
      </c>
      <c r="I807" s="50">
        <v>0</v>
      </c>
      <c r="J807" s="50">
        <v>8</v>
      </c>
      <c r="K807" s="50">
        <v>0</v>
      </c>
      <c r="L807" s="50">
        <v>8</v>
      </c>
      <c r="M807" s="445">
        <v>266.67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1</v>
      </c>
      <c r="T807" s="50">
        <v>0</v>
      </c>
      <c r="U807" s="50">
        <v>1</v>
      </c>
      <c r="V807" s="348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188</v>
      </c>
      <c r="D808" s="50" t="s">
        <v>412</v>
      </c>
      <c r="E808" s="50">
        <v>26</v>
      </c>
      <c r="F808" s="50">
        <v>3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445">
        <v>0</v>
      </c>
      <c r="N808" s="325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48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183</v>
      </c>
      <c r="D809" s="50" t="s">
        <v>27</v>
      </c>
      <c r="E809" s="50">
        <v>155</v>
      </c>
      <c r="F809" s="50">
        <v>7</v>
      </c>
      <c r="G809" s="50">
        <v>1</v>
      </c>
      <c r="H809" s="50">
        <v>0</v>
      </c>
      <c r="I809" s="50">
        <v>1</v>
      </c>
      <c r="J809" s="50">
        <v>6</v>
      </c>
      <c r="K809" s="50">
        <v>1</v>
      </c>
      <c r="L809" s="50">
        <v>5</v>
      </c>
      <c r="M809" s="445">
        <v>71.430000000000007</v>
      </c>
      <c r="N809" s="50"/>
      <c r="O809" s="50">
        <v>0</v>
      </c>
      <c r="P809" s="50">
        <v>0</v>
      </c>
      <c r="Q809" s="50">
        <v>0</v>
      </c>
      <c r="R809" s="50">
        <v>0</v>
      </c>
      <c r="S809" s="50">
        <v>6</v>
      </c>
      <c r="T809" s="50">
        <v>2</v>
      </c>
      <c r="U809" s="50">
        <v>4</v>
      </c>
      <c r="V809" s="348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364</v>
      </c>
      <c r="D810" s="50" t="s">
        <v>192</v>
      </c>
      <c r="E810" s="50">
        <v>78</v>
      </c>
      <c r="F810" s="50">
        <v>4</v>
      </c>
      <c r="G810" s="50">
        <v>0</v>
      </c>
      <c r="H810" s="50">
        <v>0</v>
      </c>
      <c r="I810" s="50">
        <v>0</v>
      </c>
      <c r="J810" s="50">
        <v>1</v>
      </c>
      <c r="K810" s="50">
        <v>0</v>
      </c>
      <c r="L810" s="50">
        <v>1</v>
      </c>
      <c r="M810" s="445">
        <v>25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3</v>
      </c>
      <c r="T810" s="50">
        <v>0</v>
      </c>
      <c r="U810" s="50">
        <v>3</v>
      </c>
      <c r="V810" s="348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391</v>
      </c>
      <c r="D811" s="50" t="s">
        <v>27</v>
      </c>
      <c r="E811" s="50">
        <v>24</v>
      </c>
      <c r="F811" s="50">
        <v>3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445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48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810</v>
      </c>
      <c r="D812" s="50" t="s">
        <v>1017</v>
      </c>
      <c r="E812" s="50">
        <v>26</v>
      </c>
      <c r="F812" s="50">
        <v>3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445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1</v>
      </c>
      <c r="U812" s="50">
        <v>-1</v>
      </c>
      <c r="V812" s="348">
        <v>0</v>
      </c>
    </row>
    <row r="813" spans="1:22" s="51" customFormat="1" ht="29.1" customHeight="1">
      <c r="A813" s="50" t="s">
        <v>24</v>
      </c>
      <c r="B813" s="50">
        <v>16778</v>
      </c>
      <c r="C813" s="50" t="s">
        <v>230</v>
      </c>
      <c r="D813" s="50" t="s">
        <v>23</v>
      </c>
      <c r="E813" s="50">
        <v>67</v>
      </c>
      <c r="F813" s="50">
        <v>3</v>
      </c>
      <c r="G813" s="50">
        <v>2</v>
      </c>
      <c r="H813" s="50">
        <v>0</v>
      </c>
      <c r="I813" s="50">
        <v>2</v>
      </c>
      <c r="J813" s="50">
        <v>11</v>
      </c>
      <c r="K813" s="50">
        <v>0</v>
      </c>
      <c r="L813" s="50">
        <v>11</v>
      </c>
      <c r="M813" s="445">
        <v>366.67</v>
      </c>
      <c r="N813" s="44"/>
      <c r="O813" s="50">
        <v>0</v>
      </c>
      <c r="P813" s="50">
        <v>0</v>
      </c>
      <c r="Q813" s="50">
        <v>1</v>
      </c>
      <c r="R813" s="50">
        <v>-1</v>
      </c>
      <c r="S813" s="50">
        <v>0</v>
      </c>
      <c r="T813" s="50">
        <v>1</v>
      </c>
      <c r="U813" s="50">
        <v>-1</v>
      </c>
      <c r="V813" s="348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807</v>
      </c>
      <c r="D814" s="50" t="s">
        <v>1024</v>
      </c>
      <c r="E814" s="50">
        <v>61</v>
      </c>
      <c r="F814" s="50">
        <v>3</v>
      </c>
      <c r="G814" s="50">
        <v>0</v>
      </c>
      <c r="H814" s="50">
        <v>0</v>
      </c>
      <c r="I814" s="50">
        <v>0</v>
      </c>
      <c r="J814" s="50">
        <v>2</v>
      </c>
      <c r="K814" s="50">
        <v>0</v>
      </c>
      <c r="L814" s="50">
        <v>2</v>
      </c>
      <c r="M814" s="445">
        <v>66.67</v>
      </c>
      <c r="N814" s="325"/>
      <c r="O814" s="50">
        <v>0</v>
      </c>
      <c r="P814" s="50">
        <v>0</v>
      </c>
      <c r="Q814" s="50">
        <v>0</v>
      </c>
      <c r="R814" s="50">
        <v>0</v>
      </c>
      <c r="S814" s="50">
        <v>1</v>
      </c>
      <c r="T814" s="50">
        <v>0</v>
      </c>
      <c r="U814" s="50">
        <v>1</v>
      </c>
      <c r="V814" s="348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54</v>
      </c>
      <c r="D815" s="50" t="s">
        <v>31</v>
      </c>
      <c r="E815" s="50">
        <v>42</v>
      </c>
      <c r="F815" s="50">
        <v>3</v>
      </c>
      <c r="G815" s="50">
        <v>0</v>
      </c>
      <c r="H815" s="50">
        <v>0</v>
      </c>
      <c r="I815" s="50">
        <v>0</v>
      </c>
      <c r="J815" s="50">
        <v>1</v>
      </c>
      <c r="K815" s="50">
        <v>0</v>
      </c>
      <c r="L815" s="50">
        <v>1</v>
      </c>
      <c r="M815" s="445">
        <v>33.33</v>
      </c>
      <c r="N815" s="50"/>
      <c r="O815" s="50">
        <v>0</v>
      </c>
      <c r="P815" s="50">
        <v>0</v>
      </c>
      <c r="Q815" s="50">
        <v>0</v>
      </c>
      <c r="R815" s="50">
        <v>0</v>
      </c>
      <c r="S815" s="50">
        <v>2</v>
      </c>
      <c r="T815" s="50">
        <v>0</v>
      </c>
      <c r="U815" s="50">
        <v>2</v>
      </c>
      <c r="V815" s="348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44</v>
      </c>
      <c r="F816" s="50">
        <v>3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445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48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784</v>
      </c>
      <c r="D817" s="50" t="s">
        <v>158</v>
      </c>
      <c r="E817" s="50">
        <v>34</v>
      </c>
      <c r="F817" s="50">
        <v>3</v>
      </c>
      <c r="G817" s="50">
        <v>0</v>
      </c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445">
        <v>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48">
        <v>0</v>
      </c>
    </row>
    <row r="818" spans="1:22" s="51" customFormat="1" ht="29.1" customHeight="1">
      <c r="A818" s="50" t="s">
        <v>21</v>
      </c>
      <c r="B818" s="50">
        <v>17024</v>
      </c>
      <c r="C818" s="372" t="s">
        <v>1290</v>
      </c>
      <c r="D818" s="50" t="s">
        <v>1038</v>
      </c>
      <c r="E818" s="50">
        <v>28</v>
      </c>
      <c r="F818" s="50">
        <v>3</v>
      </c>
      <c r="G818" s="50">
        <v>0</v>
      </c>
      <c r="H818" s="50">
        <v>0</v>
      </c>
      <c r="I818" s="50">
        <v>0</v>
      </c>
      <c r="J818" s="50">
        <v>1</v>
      </c>
      <c r="K818" s="50">
        <v>0</v>
      </c>
      <c r="L818" s="50">
        <v>1</v>
      </c>
      <c r="M818" s="445">
        <v>33.33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48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178</v>
      </c>
      <c r="D819" s="50" t="s">
        <v>31</v>
      </c>
      <c r="E819" s="50">
        <v>31</v>
      </c>
      <c r="F819" s="50">
        <v>3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445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48">
        <v>0</v>
      </c>
    </row>
    <row r="820" spans="1:22" s="51" customFormat="1" ht="29.1" customHeight="1">
      <c r="A820" s="50" t="s">
        <v>24</v>
      </c>
      <c r="B820" s="50">
        <v>17039</v>
      </c>
      <c r="C820" s="50" t="s">
        <v>1015</v>
      </c>
      <c r="D820" s="50" t="s">
        <v>143</v>
      </c>
      <c r="E820" s="50">
        <v>38</v>
      </c>
      <c r="F820" s="50">
        <v>3</v>
      </c>
      <c r="G820" s="50">
        <v>0</v>
      </c>
      <c r="H820" s="50">
        <v>0</v>
      </c>
      <c r="I820" s="50">
        <v>0</v>
      </c>
      <c r="J820" s="50">
        <v>3</v>
      </c>
      <c r="K820" s="50">
        <v>0</v>
      </c>
      <c r="L820" s="50">
        <v>3</v>
      </c>
      <c r="M820" s="445">
        <v>100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48">
        <v>0</v>
      </c>
    </row>
    <row r="821" spans="1:22" ht="29.1" customHeight="1">
      <c r="A821" s="50" t="s">
        <v>21</v>
      </c>
      <c r="B821" s="50">
        <v>17060</v>
      </c>
      <c r="C821" s="50" t="s">
        <v>248</v>
      </c>
      <c r="D821" s="50" t="s">
        <v>33</v>
      </c>
      <c r="E821" s="50">
        <v>36</v>
      </c>
      <c r="F821" s="50">
        <v>3</v>
      </c>
      <c r="G821" s="50">
        <v>1</v>
      </c>
      <c r="H821" s="50">
        <v>0</v>
      </c>
      <c r="I821" s="50">
        <v>1</v>
      </c>
      <c r="J821" s="50">
        <v>1</v>
      </c>
      <c r="K821" s="50">
        <v>0</v>
      </c>
      <c r="L821" s="50">
        <v>1</v>
      </c>
      <c r="M821" s="445">
        <v>33.33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1</v>
      </c>
      <c r="U821" s="50">
        <v>-1</v>
      </c>
      <c r="V821" s="348">
        <v>0</v>
      </c>
    </row>
    <row r="822" spans="1:22" ht="29.1" customHeight="1">
      <c r="A822" s="50" t="s">
        <v>21</v>
      </c>
      <c r="B822" s="50">
        <v>17111</v>
      </c>
      <c r="C822" s="50" t="s">
        <v>786</v>
      </c>
      <c r="D822" s="50" t="s">
        <v>31</v>
      </c>
      <c r="E822" s="50">
        <v>42</v>
      </c>
      <c r="F822" s="50">
        <v>3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445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48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28</v>
      </c>
      <c r="F823" s="50">
        <v>3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445">
        <v>0</v>
      </c>
      <c r="N823" s="44"/>
      <c r="O823" s="50">
        <v>0</v>
      </c>
      <c r="P823" s="50">
        <v>0</v>
      </c>
      <c r="Q823" s="50">
        <v>1</v>
      </c>
      <c r="R823" s="50">
        <v>-1</v>
      </c>
      <c r="S823" s="50">
        <v>0</v>
      </c>
      <c r="T823" s="50">
        <v>1</v>
      </c>
      <c r="U823" s="50">
        <v>-1</v>
      </c>
      <c r="V823" s="348">
        <v>0</v>
      </c>
    </row>
    <row r="824" spans="1:22" ht="29.1" customHeight="1">
      <c r="A824" s="50" t="s">
        <v>21</v>
      </c>
      <c r="B824" s="50">
        <v>17154</v>
      </c>
      <c r="C824" s="50" t="s">
        <v>1023</v>
      </c>
      <c r="D824" s="50" t="s">
        <v>1041</v>
      </c>
      <c r="E824" s="50">
        <v>24</v>
      </c>
      <c r="F824" s="50">
        <v>3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445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48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1046</v>
      </c>
      <c r="E825" s="50">
        <v>29</v>
      </c>
      <c r="F825" s="50">
        <v>3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445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1</v>
      </c>
      <c r="T825" s="50">
        <v>0</v>
      </c>
      <c r="U825" s="50">
        <v>1</v>
      </c>
      <c r="V825" s="348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1047</v>
      </c>
      <c r="E826" s="50">
        <v>49</v>
      </c>
      <c r="F826" s="50">
        <v>3</v>
      </c>
      <c r="G826" s="50">
        <v>0</v>
      </c>
      <c r="H826" s="50">
        <v>1</v>
      </c>
      <c r="I826" s="50">
        <v>-1</v>
      </c>
      <c r="J826" s="50">
        <v>0</v>
      </c>
      <c r="K826" s="50">
        <v>1</v>
      </c>
      <c r="L826" s="50">
        <v>-1</v>
      </c>
      <c r="M826" s="445">
        <v>0</v>
      </c>
      <c r="N826" s="44"/>
      <c r="O826" s="50">
        <v>0</v>
      </c>
      <c r="P826" s="50">
        <v>1</v>
      </c>
      <c r="Q826" s="50">
        <v>0</v>
      </c>
      <c r="R826" s="50">
        <v>1</v>
      </c>
      <c r="S826" s="50">
        <v>2</v>
      </c>
      <c r="T826" s="50">
        <v>0</v>
      </c>
      <c r="U826" s="50">
        <v>2</v>
      </c>
      <c r="V826" s="348">
        <v>0</v>
      </c>
    </row>
    <row r="827" spans="1:22" ht="29.1" customHeight="1">
      <c r="A827" s="50" t="s">
        <v>21</v>
      </c>
      <c r="B827" s="50">
        <v>17204</v>
      </c>
      <c r="C827" s="50" t="s">
        <v>770</v>
      </c>
      <c r="D827" s="50" t="s">
        <v>85</v>
      </c>
      <c r="E827" s="50">
        <v>31</v>
      </c>
      <c r="F827" s="50">
        <v>3</v>
      </c>
      <c r="G827" s="50">
        <v>0</v>
      </c>
      <c r="H827" s="50">
        <v>0</v>
      </c>
      <c r="I827" s="50">
        <v>0</v>
      </c>
      <c r="J827" s="50">
        <v>2</v>
      </c>
      <c r="K827" s="50">
        <v>0</v>
      </c>
      <c r="L827" s="50">
        <v>2</v>
      </c>
      <c r="M827" s="445">
        <v>66.67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48">
        <v>0</v>
      </c>
    </row>
    <row r="828" spans="1:22" ht="29.1" customHeight="1">
      <c r="A828" s="50" t="s">
        <v>21</v>
      </c>
      <c r="B828" s="50">
        <v>17224</v>
      </c>
      <c r="C828" s="50" t="s">
        <v>516</v>
      </c>
      <c r="D828" s="50" t="s">
        <v>1048</v>
      </c>
      <c r="E828" s="50">
        <v>39</v>
      </c>
      <c r="F828" s="50">
        <v>3</v>
      </c>
      <c r="G828" s="50">
        <v>0</v>
      </c>
      <c r="H828" s="50">
        <v>0</v>
      </c>
      <c r="I828" s="50">
        <v>0</v>
      </c>
      <c r="J828" s="50">
        <v>1</v>
      </c>
      <c r="K828" s="50">
        <v>0</v>
      </c>
      <c r="L828" s="50">
        <v>1</v>
      </c>
      <c r="M828" s="445">
        <v>33.33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1</v>
      </c>
      <c r="T828" s="50">
        <v>0</v>
      </c>
      <c r="U828" s="50">
        <v>1</v>
      </c>
      <c r="V828" s="348">
        <v>0</v>
      </c>
    </row>
    <row r="829" spans="1:22" ht="29.1" customHeight="1">
      <c r="A829" s="50" t="s">
        <v>24</v>
      </c>
      <c r="B829" s="50">
        <v>17225</v>
      </c>
      <c r="C829" s="50" t="s">
        <v>1051</v>
      </c>
      <c r="D829" s="50" t="s">
        <v>33</v>
      </c>
      <c r="E829" s="50">
        <v>73</v>
      </c>
      <c r="F829" s="50">
        <v>4</v>
      </c>
      <c r="G829" s="50">
        <v>1</v>
      </c>
      <c r="H829" s="50">
        <v>0</v>
      </c>
      <c r="I829" s="50">
        <v>1</v>
      </c>
      <c r="J829" s="50">
        <v>9</v>
      </c>
      <c r="K829" s="50">
        <v>0</v>
      </c>
      <c r="L829" s="50">
        <v>9</v>
      </c>
      <c r="M829" s="445">
        <v>225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3</v>
      </c>
      <c r="T829" s="50">
        <v>2</v>
      </c>
      <c r="U829" s="50">
        <v>1</v>
      </c>
      <c r="V829" s="348">
        <v>0</v>
      </c>
    </row>
    <row r="830" spans="1:22" ht="29.1" customHeight="1">
      <c r="A830" s="50" t="s">
        <v>24</v>
      </c>
      <c r="B830" s="50">
        <v>17304</v>
      </c>
      <c r="C830" s="50" t="s">
        <v>289</v>
      </c>
      <c r="D830" s="50" t="s">
        <v>1049</v>
      </c>
      <c r="E830" s="50">
        <v>68</v>
      </c>
      <c r="F830" s="50">
        <v>3</v>
      </c>
      <c r="G830" s="50">
        <v>0</v>
      </c>
      <c r="H830" s="50">
        <v>0</v>
      </c>
      <c r="I830" s="50">
        <v>0</v>
      </c>
      <c r="J830" s="50">
        <v>7</v>
      </c>
      <c r="K830" s="50">
        <v>0</v>
      </c>
      <c r="L830" s="50">
        <v>7</v>
      </c>
      <c r="M830" s="445">
        <v>233.33</v>
      </c>
      <c r="N830" s="44"/>
      <c r="O830" s="50">
        <v>0</v>
      </c>
      <c r="P830" s="50">
        <v>1</v>
      </c>
      <c r="Q830" s="50">
        <v>0</v>
      </c>
      <c r="R830" s="50">
        <v>1</v>
      </c>
      <c r="S830" s="50">
        <v>2</v>
      </c>
      <c r="T830" s="50">
        <v>0</v>
      </c>
      <c r="U830" s="50">
        <v>2</v>
      </c>
      <c r="V830" s="348">
        <v>0</v>
      </c>
    </row>
    <row r="831" spans="1:22" ht="29.1" customHeight="1">
      <c r="A831" s="50" t="s">
        <v>24</v>
      </c>
      <c r="B831" s="50">
        <v>17314</v>
      </c>
      <c r="C831" s="50" t="s">
        <v>155</v>
      </c>
      <c r="D831" s="50" t="s">
        <v>27</v>
      </c>
      <c r="E831" s="50">
        <v>31</v>
      </c>
      <c r="F831" s="50">
        <v>3</v>
      </c>
      <c r="G831" s="50">
        <v>0</v>
      </c>
      <c r="H831" s="50">
        <v>0</v>
      </c>
      <c r="I831" s="50">
        <v>0</v>
      </c>
      <c r="J831" s="50">
        <v>3</v>
      </c>
      <c r="K831" s="50">
        <v>0</v>
      </c>
      <c r="L831" s="50">
        <v>3</v>
      </c>
      <c r="M831" s="445">
        <v>100</v>
      </c>
      <c r="N831" s="325"/>
      <c r="O831" s="50">
        <v>0</v>
      </c>
      <c r="P831" s="50">
        <v>0</v>
      </c>
      <c r="Q831" s="50">
        <v>0</v>
      </c>
      <c r="R831" s="50">
        <v>0</v>
      </c>
      <c r="S831" s="50">
        <v>1</v>
      </c>
      <c r="T831" s="50">
        <v>0</v>
      </c>
      <c r="U831" s="50">
        <v>1</v>
      </c>
      <c r="V831" s="348">
        <v>0</v>
      </c>
    </row>
    <row r="832" spans="1:22" ht="29.1" customHeight="1">
      <c r="A832" s="347" t="s">
        <v>21</v>
      </c>
      <c r="B832" s="347">
        <v>17404</v>
      </c>
      <c r="C832" s="50" t="s">
        <v>216</v>
      </c>
      <c r="D832" s="347" t="s">
        <v>1060</v>
      </c>
      <c r="E832" s="347">
        <v>38</v>
      </c>
      <c r="F832" s="347">
        <v>3</v>
      </c>
      <c r="G832" s="347">
        <v>0</v>
      </c>
      <c r="H832" s="347">
        <v>0</v>
      </c>
      <c r="I832" s="347">
        <v>0</v>
      </c>
      <c r="J832" s="347">
        <v>1</v>
      </c>
      <c r="K832" s="347">
        <v>0</v>
      </c>
      <c r="L832" s="347">
        <v>1</v>
      </c>
      <c r="M832" s="446">
        <v>33.33</v>
      </c>
      <c r="N832" s="347"/>
      <c r="O832" s="347">
        <v>0</v>
      </c>
      <c r="P832" s="347">
        <v>0</v>
      </c>
      <c r="Q832" s="347">
        <v>0</v>
      </c>
      <c r="R832" s="347">
        <v>0</v>
      </c>
      <c r="S832" s="347">
        <v>2</v>
      </c>
      <c r="T832" s="347">
        <v>1</v>
      </c>
      <c r="U832" s="347">
        <v>1</v>
      </c>
      <c r="V832" s="349">
        <v>0</v>
      </c>
    </row>
    <row r="833" spans="1:22" ht="29.1" customHeight="1">
      <c r="A833" s="347" t="s">
        <v>24</v>
      </c>
      <c r="B833" s="347">
        <v>17410</v>
      </c>
      <c r="C833" s="50" t="s">
        <v>782</v>
      </c>
      <c r="D833" s="347" t="s">
        <v>143</v>
      </c>
      <c r="E833" s="347">
        <v>21</v>
      </c>
      <c r="F833" s="347">
        <v>3</v>
      </c>
      <c r="G833" s="347">
        <v>1</v>
      </c>
      <c r="H833" s="347">
        <v>0</v>
      </c>
      <c r="I833" s="347">
        <v>1</v>
      </c>
      <c r="J833" s="347">
        <v>5</v>
      </c>
      <c r="K833" s="347">
        <v>0</v>
      </c>
      <c r="L833" s="347">
        <v>5</v>
      </c>
      <c r="M833" s="446">
        <v>166.67</v>
      </c>
      <c r="N833" s="347"/>
      <c r="O833" s="347">
        <v>0</v>
      </c>
      <c r="P833" s="347">
        <v>0</v>
      </c>
      <c r="Q833" s="347">
        <v>0</v>
      </c>
      <c r="R833" s="347">
        <v>0</v>
      </c>
      <c r="S833" s="347">
        <v>2</v>
      </c>
      <c r="T833" s="347">
        <v>0</v>
      </c>
      <c r="U833" s="347">
        <v>2</v>
      </c>
      <c r="V833" s="349">
        <v>0</v>
      </c>
    </row>
    <row r="834" spans="1:22" ht="29.1" customHeight="1">
      <c r="A834" s="347" t="s">
        <v>21</v>
      </c>
      <c r="B834" s="347">
        <v>17420</v>
      </c>
      <c r="C834" s="50" t="s">
        <v>454</v>
      </c>
      <c r="D834" s="347" t="s">
        <v>23</v>
      </c>
      <c r="E834" s="347">
        <v>28</v>
      </c>
      <c r="F834" s="347">
        <v>3</v>
      </c>
      <c r="G834" s="347">
        <v>0</v>
      </c>
      <c r="H834" s="347">
        <v>0</v>
      </c>
      <c r="I834" s="347">
        <v>0</v>
      </c>
      <c r="J834" s="347">
        <v>0</v>
      </c>
      <c r="K834" s="347">
        <v>0</v>
      </c>
      <c r="L834" s="347">
        <v>0</v>
      </c>
      <c r="M834" s="446">
        <v>0</v>
      </c>
      <c r="N834" s="347"/>
      <c r="O834" s="347">
        <v>0</v>
      </c>
      <c r="P834" s="347">
        <v>0</v>
      </c>
      <c r="Q834" s="347">
        <v>0</v>
      </c>
      <c r="R834" s="347">
        <v>0</v>
      </c>
      <c r="S834" s="347">
        <v>1</v>
      </c>
      <c r="T834" s="347">
        <v>0</v>
      </c>
      <c r="U834" s="347">
        <v>1</v>
      </c>
      <c r="V834" s="349">
        <v>0</v>
      </c>
    </row>
    <row r="835" spans="1:22" ht="29.1" customHeight="1">
      <c r="A835" s="347" t="s">
        <v>21</v>
      </c>
      <c r="B835" s="347">
        <v>17449</v>
      </c>
      <c r="C835" s="50" t="s">
        <v>112</v>
      </c>
      <c r="D835" s="347" t="s">
        <v>23</v>
      </c>
      <c r="E835" s="347">
        <v>24</v>
      </c>
      <c r="F835" s="347">
        <v>3</v>
      </c>
      <c r="G835" s="347">
        <v>3</v>
      </c>
      <c r="H835" s="347">
        <v>0</v>
      </c>
      <c r="I835" s="347">
        <v>3</v>
      </c>
      <c r="J835" s="347">
        <v>4</v>
      </c>
      <c r="K835" s="347">
        <v>0</v>
      </c>
      <c r="L835" s="347">
        <v>4</v>
      </c>
      <c r="M835" s="446">
        <v>133.33000000000001</v>
      </c>
      <c r="N835" s="347"/>
      <c r="O835" s="347">
        <v>0</v>
      </c>
      <c r="P835" s="347">
        <v>0</v>
      </c>
      <c r="Q835" s="347">
        <v>0</v>
      </c>
      <c r="R835" s="347">
        <v>0</v>
      </c>
      <c r="S835" s="347">
        <v>0</v>
      </c>
      <c r="T835" s="347">
        <v>0</v>
      </c>
      <c r="U835" s="347">
        <v>0</v>
      </c>
      <c r="V835" s="349">
        <v>0</v>
      </c>
    </row>
    <row r="836" spans="1:22" ht="29.1" customHeight="1">
      <c r="A836" s="347" t="s">
        <v>21</v>
      </c>
      <c r="B836" s="347">
        <v>17470</v>
      </c>
      <c r="C836" s="77" t="s">
        <v>102</v>
      </c>
      <c r="D836" s="347" t="s">
        <v>1062</v>
      </c>
      <c r="E836" s="347">
        <v>24</v>
      </c>
      <c r="F836" s="347">
        <v>3</v>
      </c>
      <c r="G836" s="347">
        <v>0</v>
      </c>
      <c r="H836" s="347">
        <v>0</v>
      </c>
      <c r="I836" s="347">
        <v>0</v>
      </c>
      <c r="J836" s="347">
        <v>0</v>
      </c>
      <c r="K836" s="347">
        <v>0</v>
      </c>
      <c r="L836" s="347">
        <v>0</v>
      </c>
      <c r="M836" s="446">
        <v>0</v>
      </c>
      <c r="N836" s="347"/>
      <c r="O836" s="347">
        <v>0</v>
      </c>
      <c r="P836" s="347">
        <v>0</v>
      </c>
      <c r="Q836" s="347">
        <v>0</v>
      </c>
      <c r="R836" s="347">
        <v>0</v>
      </c>
      <c r="S836" s="347">
        <v>0</v>
      </c>
      <c r="T836" s="347">
        <v>0</v>
      </c>
      <c r="U836" s="347">
        <v>0</v>
      </c>
      <c r="V836" s="349">
        <v>0</v>
      </c>
    </row>
    <row r="837" spans="1:22" ht="29.1" customHeight="1">
      <c r="A837" s="347" t="s">
        <v>21</v>
      </c>
      <c r="B837" s="347">
        <v>17492</v>
      </c>
      <c r="C837" s="77" t="s">
        <v>834</v>
      </c>
      <c r="D837" s="347" t="s">
        <v>27</v>
      </c>
      <c r="E837" s="347">
        <v>32</v>
      </c>
      <c r="F837" s="347">
        <v>3</v>
      </c>
      <c r="G837" s="347">
        <v>0</v>
      </c>
      <c r="H837" s="347">
        <v>0</v>
      </c>
      <c r="I837" s="347">
        <v>0</v>
      </c>
      <c r="J837" s="347">
        <v>0</v>
      </c>
      <c r="K837" s="347">
        <v>0</v>
      </c>
      <c r="L837" s="347">
        <v>0</v>
      </c>
      <c r="M837" s="446">
        <v>0</v>
      </c>
      <c r="N837" s="347"/>
      <c r="O837" s="347">
        <v>0</v>
      </c>
      <c r="P837" s="347">
        <v>0</v>
      </c>
      <c r="Q837" s="347">
        <v>0</v>
      </c>
      <c r="R837" s="347">
        <v>0</v>
      </c>
      <c r="S837" s="347">
        <v>0</v>
      </c>
      <c r="T837" s="347">
        <v>0</v>
      </c>
      <c r="U837" s="347">
        <v>0</v>
      </c>
      <c r="V837" s="349">
        <v>0</v>
      </c>
    </row>
    <row r="838" spans="1:22" ht="29.1" customHeight="1">
      <c r="A838" s="347" t="s">
        <v>21</v>
      </c>
      <c r="B838" s="347">
        <v>17583</v>
      </c>
      <c r="C838" s="50" t="s">
        <v>799</v>
      </c>
      <c r="D838" s="347" t="s">
        <v>1497</v>
      </c>
      <c r="E838" s="347"/>
      <c r="F838" s="347">
        <v>0</v>
      </c>
      <c r="G838" s="347">
        <v>0</v>
      </c>
      <c r="H838" s="347">
        <v>0</v>
      </c>
      <c r="I838" s="347">
        <v>0</v>
      </c>
      <c r="J838" s="347">
        <v>15</v>
      </c>
      <c r="K838" s="347">
        <v>0</v>
      </c>
      <c r="L838" s="347">
        <v>15</v>
      </c>
      <c r="M838" s="446">
        <v>0</v>
      </c>
      <c r="N838" s="347"/>
      <c r="O838" s="347">
        <v>0</v>
      </c>
      <c r="P838" s="347">
        <v>0</v>
      </c>
      <c r="Q838" s="347">
        <v>0</v>
      </c>
      <c r="R838" s="347">
        <v>0</v>
      </c>
      <c r="S838" s="347">
        <v>0</v>
      </c>
      <c r="T838" s="347">
        <v>0</v>
      </c>
      <c r="U838" s="347">
        <v>0</v>
      </c>
      <c r="V838" s="349">
        <v>0</v>
      </c>
    </row>
    <row r="839" spans="1:22" ht="29.1" customHeight="1">
      <c r="A839" s="347" t="s">
        <v>21</v>
      </c>
      <c r="B839" s="347">
        <v>17629</v>
      </c>
      <c r="C839" s="77" t="s">
        <v>46</v>
      </c>
      <c r="D839" s="347" t="s">
        <v>553</v>
      </c>
      <c r="E839" s="347"/>
      <c r="F839" s="347">
        <v>0</v>
      </c>
      <c r="G839" s="347">
        <v>0</v>
      </c>
      <c r="H839" s="347">
        <v>0</v>
      </c>
      <c r="I839" s="347">
        <v>0</v>
      </c>
      <c r="J839" s="347">
        <v>23</v>
      </c>
      <c r="K839" s="347">
        <v>0</v>
      </c>
      <c r="L839" s="347">
        <v>23</v>
      </c>
      <c r="M839" s="446">
        <v>0</v>
      </c>
      <c r="N839" s="347"/>
      <c r="O839" s="347">
        <v>0</v>
      </c>
      <c r="P839" s="347">
        <v>0</v>
      </c>
      <c r="Q839" s="347">
        <v>0</v>
      </c>
      <c r="R839" s="347">
        <v>0</v>
      </c>
      <c r="S839" s="347">
        <v>0</v>
      </c>
      <c r="T839" s="347">
        <v>0</v>
      </c>
      <c r="U839" s="347">
        <v>0</v>
      </c>
      <c r="V839" s="349">
        <v>0</v>
      </c>
    </row>
    <row r="840" spans="1:22" ht="29.1" customHeight="1">
      <c r="A840" s="347"/>
      <c r="B840" s="347">
        <v>17653</v>
      </c>
      <c r="C840" s="77" t="s">
        <v>46</v>
      </c>
      <c r="D840" s="347" t="s">
        <v>540</v>
      </c>
      <c r="E840" s="347"/>
      <c r="F840" s="347">
        <v>0</v>
      </c>
      <c r="G840" s="347">
        <v>9</v>
      </c>
      <c r="H840" s="347">
        <v>0</v>
      </c>
      <c r="I840" s="347">
        <v>9</v>
      </c>
      <c r="J840" s="347">
        <v>9</v>
      </c>
      <c r="K840" s="347">
        <v>0</v>
      </c>
      <c r="L840" s="347">
        <v>9</v>
      </c>
      <c r="M840" s="446">
        <v>0</v>
      </c>
      <c r="N840" s="347"/>
      <c r="O840" s="347">
        <v>0</v>
      </c>
      <c r="P840" s="347">
        <v>1</v>
      </c>
      <c r="Q840" s="347">
        <v>0</v>
      </c>
      <c r="R840" s="347">
        <v>1</v>
      </c>
      <c r="S840" s="347">
        <v>1</v>
      </c>
      <c r="T840" s="347">
        <v>0</v>
      </c>
      <c r="U840" s="347">
        <v>1</v>
      </c>
      <c r="V840" s="349">
        <v>0</v>
      </c>
    </row>
    <row r="841" spans="1:22" ht="29.1" customHeight="1">
      <c r="A841" s="332"/>
      <c r="B841" s="332"/>
      <c r="C841" s="325"/>
      <c r="D841" s="332"/>
      <c r="E841" s="332"/>
      <c r="F841" s="332"/>
      <c r="G841" s="332"/>
      <c r="H841" s="332"/>
      <c r="I841" s="332"/>
      <c r="J841" s="332"/>
      <c r="K841" s="332"/>
      <c r="L841" s="332"/>
      <c r="M841" s="350"/>
      <c r="N841" s="332"/>
      <c r="O841" s="332"/>
      <c r="P841" s="332"/>
      <c r="Q841" s="332"/>
      <c r="R841" s="332"/>
      <c r="S841" s="332"/>
      <c r="T841" s="332"/>
      <c r="U841" s="332"/>
      <c r="V841" s="350"/>
    </row>
    <row r="842" spans="1:22">
      <c r="E842">
        <f>SUM(E6:E840)</f>
        <v>107831</v>
      </c>
      <c r="F842">
        <f t="shared" ref="F842:L842" si="0">SUM(F6:F840)</f>
        <v>5305</v>
      </c>
      <c r="G842">
        <f t="shared" si="0"/>
        <v>116</v>
      </c>
      <c r="H842">
        <f t="shared" si="0"/>
        <v>179</v>
      </c>
      <c r="I842">
        <f t="shared" si="0"/>
        <v>-63</v>
      </c>
      <c r="J842">
        <f t="shared" si="0"/>
        <v>1143</v>
      </c>
      <c r="K842">
        <f t="shared" si="0"/>
        <v>840</v>
      </c>
      <c r="L842">
        <f t="shared" si="0"/>
        <v>303</v>
      </c>
      <c r="M842" t="s">
        <v>21</v>
      </c>
      <c r="O842">
        <f>SUM(O6:O840)</f>
        <v>0</v>
      </c>
      <c r="P842">
        <f t="shared" ref="P842:U842" si="1">SUM(P6:P840)</f>
        <v>56</v>
      </c>
      <c r="Q842">
        <f t="shared" si="1"/>
        <v>211</v>
      </c>
      <c r="R842">
        <f t="shared" si="1"/>
        <v>-155</v>
      </c>
      <c r="S842">
        <f t="shared" si="1"/>
        <v>489</v>
      </c>
      <c r="T842">
        <f t="shared" si="1"/>
        <v>649</v>
      </c>
      <c r="U842">
        <f t="shared" si="1"/>
        <v>-160</v>
      </c>
    </row>
  </sheetData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42:N842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17" t="s">
        <v>901</v>
      </c>
      <c r="I2" s="418"/>
      <c r="J2" s="418"/>
      <c r="K2" s="418"/>
      <c r="L2" s="418"/>
      <c r="M2" s="418"/>
      <c r="N2" s="418"/>
      <c r="O2" s="418"/>
      <c r="P2" s="418"/>
      <c r="W2" s="413" t="str">
        <f>"Results as of "</f>
        <v xml:space="preserve">Results as of </v>
      </c>
      <c r="X2" s="414"/>
      <c r="Y2" s="415">
        <f>RptDate</f>
        <v>44227</v>
      </c>
      <c r="Z2" s="416"/>
    </row>
    <row r="3" spans="1:27" ht="13.5" customHeight="1" thickBot="1">
      <c r="A3" s="194">
        <f>RptDate</f>
        <v>44227</v>
      </c>
      <c r="C3" s="149"/>
      <c r="D3" s="149"/>
      <c r="E3" s="150"/>
      <c r="F3" s="151"/>
      <c r="H3" s="419" t="s">
        <v>889</v>
      </c>
      <c r="I3" s="421" t="s">
        <v>902</v>
      </c>
      <c r="J3" s="421"/>
      <c r="K3" s="422"/>
      <c r="L3" s="423"/>
      <c r="M3" s="425" t="s">
        <v>903</v>
      </c>
      <c r="N3" s="425"/>
      <c r="O3" s="426"/>
      <c r="P3" s="427" t="s">
        <v>904</v>
      </c>
    </row>
    <row r="4" spans="1:27" ht="16.5" thickBot="1">
      <c r="C4" s="142"/>
      <c r="D4" s="142"/>
      <c r="E4" s="152"/>
      <c r="F4" s="153"/>
      <c r="H4" s="420"/>
      <c r="I4" s="154" t="s">
        <v>905</v>
      </c>
      <c r="J4" s="154" t="s">
        <v>906</v>
      </c>
      <c r="K4" s="155" t="s">
        <v>907</v>
      </c>
      <c r="L4" s="424"/>
      <c r="M4" s="156" t="s">
        <v>905</v>
      </c>
      <c r="N4" s="157" t="s">
        <v>906</v>
      </c>
      <c r="O4" s="158" t="s">
        <v>907</v>
      </c>
      <c r="P4" s="428"/>
      <c r="W4" s="159"/>
    </row>
    <row r="5" spans="1:27" ht="13.5" thickBot="1">
      <c r="C5" s="142"/>
      <c r="D5" s="142"/>
      <c r="E5" s="152"/>
      <c r="F5" s="153"/>
      <c r="H5" s="160">
        <v>5000</v>
      </c>
      <c r="I5" s="161">
        <f>Council_Data!G839</f>
        <v>107</v>
      </c>
      <c r="J5" s="161">
        <f>Council_Data!H839</f>
        <v>179</v>
      </c>
      <c r="K5" s="161">
        <f>Council_Data!I839</f>
        <v>-72</v>
      </c>
      <c r="L5" s="162"/>
      <c r="M5" s="199">
        <f>Council_Data!J839</f>
        <v>1134</v>
      </c>
      <c r="N5" s="199">
        <f>Council_Data!K839</f>
        <v>840</v>
      </c>
      <c r="O5" s="199">
        <f>Council_Data!L839</f>
        <v>294</v>
      </c>
      <c r="P5" s="163">
        <f>M5/H5</f>
        <v>0.2268</v>
      </c>
    </row>
    <row r="6" spans="1:27">
      <c r="C6" s="410"/>
      <c r="D6" s="411"/>
      <c r="E6" s="411"/>
      <c r="F6" s="412"/>
      <c r="H6" s="410"/>
      <c r="I6" s="411"/>
      <c r="J6" s="411"/>
      <c r="K6" s="412"/>
      <c r="M6" s="410"/>
      <c r="N6" s="411"/>
      <c r="O6" s="411"/>
      <c r="P6" s="412"/>
      <c r="R6" s="410"/>
      <c r="S6" s="411"/>
      <c r="T6" s="411"/>
      <c r="U6" s="412"/>
      <c r="W6" s="410"/>
      <c r="X6" s="411"/>
      <c r="Y6" s="411"/>
      <c r="Z6" s="412"/>
    </row>
    <row r="7" spans="1:27">
      <c r="A7" s="164" t="s">
        <v>602</v>
      </c>
      <c r="B7" s="165"/>
      <c r="C7" s="410" t="s">
        <v>40</v>
      </c>
      <c r="D7" s="411"/>
      <c r="E7" s="411"/>
      <c r="F7" s="412"/>
      <c r="G7" s="166"/>
      <c r="H7" s="410" t="s">
        <v>31</v>
      </c>
      <c r="I7" s="411"/>
      <c r="J7" s="411"/>
      <c r="K7" s="412"/>
      <c r="L7" s="166"/>
      <c r="M7" s="410" t="s">
        <v>143</v>
      </c>
      <c r="N7" s="411"/>
      <c r="O7" s="411"/>
      <c r="P7" s="412"/>
      <c r="Q7" s="166"/>
      <c r="R7" s="410" t="s">
        <v>623</v>
      </c>
      <c r="S7" s="411"/>
      <c r="T7" s="411"/>
      <c r="U7" s="412"/>
      <c r="V7" s="166"/>
      <c r="W7" s="410" t="s">
        <v>27</v>
      </c>
      <c r="X7" s="411"/>
      <c r="Y7" s="411"/>
      <c r="Z7" s="412"/>
      <c r="AA7" s="166"/>
    </row>
    <row r="8" spans="1:27">
      <c r="A8" s="164" t="s">
        <v>908</v>
      </c>
      <c r="B8" s="165"/>
      <c r="C8" s="404" t="str">
        <f>IF(ISNA(VLOOKUP(C7,'Dio Dep info'!$A$1:$C$16,3,0)),0,VLOOKUP(C7,'Dio Dep info'!$A$1:$C$16,3,0))</f>
        <v>Ed Tydings</v>
      </c>
      <c r="D8" s="405"/>
      <c r="E8" s="405"/>
      <c r="F8" s="406"/>
      <c r="G8" s="166"/>
      <c r="H8" s="407" t="str">
        <f>IF(ISNA(VLOOKUP(H7,'Dio Dep info'!$A$1:$C$16,3,0)),0,VLOOKUP(H7,'Dio Dep info'!$A$1:$C$16,3,0))</f>
        <v>Mike Courtney</v>
      </c>
      <c r="I8" s="408"/>
      <c r="J8" s="408"/>
      <c r="K8" s="409"/>
      <c r="L8" s="166"/>
      <c r="M8" s="407" t="str">
        <f>IF(ISNA(VLOOKUP(M7,'Dio Dep info'!$A$1:$C$16,3,0)),0,VLOOKUP(M7,'Dio Dep info'!$A$1:$C$16,3,0))</f>
        <v>Bill Tillotson</v>
      </c>
      <c r="N8" s="408"/>
      <c r="O8" s="408"/>
      <c r="P8" s="409"/>
      <c r="Q8" s="166"/>
      <c r="R8" s="404" t="str">
        <f>IF(ISNA(VLOOKUP(R7,'Dio Dep info'!$A$1:$C$16,3,0)),0,VLOOKUP(R7,'Dio Dep info'!$A$1:$C$16,3,0))</f>
        <v>John Hinojosa</v>
      </c>
      <c r="S8" s="405"/>
      <c r="T8" s="405"/>
      <c r="U8" s="406"/>
      <c r="V8" s="166"/>
      <c r="W8" s="407" t="str">
        <f>IF(ISNA(VLOOKUP(W7,'Dio Dep info'!$A$1:$C$16,3,0)),0,VLOOKUP(W7,'Dio Dep info'!$A$1:$C$16,3,0))</f>
        <v>David Colton</v>
      </c>
      <c r="X8" s="408"/>
      <c r="Y8" s="408"/>
      <c r="Z8" s="409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27</v>
      </c>
      <c r="D10" s="168">
        <f>IF(INDEX(Actuals!$B$5:$M$21,MATCH(C$7,Actuals!$A$5:$A$21),MATCH($A10,Actuals!$B$4:$M$4,0))="","",INDEX(Actuals!$B$5:$M$21,MATCH(C$7,Actuals!$A$5:$A$21),MATCH($A10,Actuals!$B$4:$M$4,0)))</f>
        <v>17</v>
      </c>
      <c r="E10" s="150">
        <f>IF(Actuals!B$63="","",D10-C10)</f>
        <v>-10</v>
      </c>
      <c r="F10" s="169">
        <f>IFERROR(D10/C10,"")</f>
        <v>0.62962962962962965</v>
      </c>
      <c r="G10" s="170"/>
      <c r="H10" s="168">
        <f>INDEX('Goals-1'!$B$4:$P$18,MATCH(H$7,'Goals-1'!$A$4:$A$18),MATCH($A10,'Goals-1'!$B$3:$P$3,0))</f>
        <v>26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IF(Actuals!B$64="","",I10-H10)</f>
        <v>-19</v>
      </c>
      <c r="K10" s="169">
        <f>IFERROR(I10/H10,"")</f>
        <v>0.26923076923076922</v>
      </c>
      <c r="L10" s="170"/>
      <c r="M10" s="168">
        <f>INDEX('Goals-1'!$B$4:$P$18,MATCH(M$7,'Goals-1'!$A$4:$A$18),MATCH($A10,'Goals-1'!$B$3:$P$3,0))</f>
        <v>21</v>
      </c>
      <c r="N10" s="167">
        <f>IF(INDEX(Actuals!$B$5:$M$21,MATCH(M$7,Actuals!$A$5:$A$21,0),MATCH($A10,Actuals!$B$4:$M$4,0))="","",INDEX(Actuals!$B$5:$M$21,MATCH(M$7,Actuals!$A$5:$A$21,0),MATCH($A10,Actuals!$B$4:$M$4,0)))</f>
        <v>12</v>
      </c>
      <c r="O10" s="150">
        <f>IF(Actuals!B$65="","",N10-M10)</f>
        <v>-9</v>
      </c>
      <c r="P10" s="169">
        <f>IFERROR(N10/M10,"")</f>
        <v>0.5714285714285714</v>
      </c>
      <c r="Q10" s="170"/>
      <c r="R10" s="168">
        <f>INDEX('Goals-1'!$B$4:$P$18,MATCH(R$7,'Goals-1'!$A$4:$A$18),MATCH($A10,'Goals-1'!$B$3:$P$3,0))</f>
        <v>50</v>
      </c>
      <c r="S10" s="167">
        <f>IF(INDEX(Actuals!$B$5:$M$21,MATCH(R$7,Actuals!$A$5:$A$21,0),MATCH($A10,Actuals!$B$4:$M$4,0))="","",INDEX(Actuals!$B$5:$M$21,MATCH(R$7,Actuals!$A$5:$A$21,0),MATCH($A10,Actuals!$B$4:$M$4,0)))</f>
        <v>24</v>
      </c>
      <c r="T10" s="150">
        <f>IF(Actuals!B$66="","",S10-R10)</f>
        <v>-26</v>
      </c>
      <c r="U10" s="169">
        <f>IFERROR(S10/R10,"")</f>
        <v>0.48</v>
      </c>
      <c r="V10" s="170"/>
      <c r="W10" s="168">
        <f>INDEX('Goals-1'!$B$4:$P$18,MATCH(W$7,'Goals-1'!$A$4:$A$18),MATCH($A10,'Goals-1'!$B$3:$P$3,0))</f>
        <v>31</v>
      </c>
      <c r="X10" s="167">
        <f>IF(INDEX(Actuals!$B$5:$M$21,MATCH(W$7,Actuals!$A$5:$A$21,0),MATCH($A10,Actuals!$B$4:$M$4,0))="","",INDEX(Actuals!$B$5:$M$21,MATCH(W$7,Actuals!$A$5:$A$21,0),MATCH($A10,Actuals!$B$4:$M$4,0)))</f>
        <v>18</v>
      </c>
      <c r="Y10" s="150">
        <f>IF(Actuals!B$67="","",X10-W10)</f>
        <v>-13</v>
      </c>
      <c r="Z10" s="169">
        <f>IFERROR(X10/W10,"")</f>
        <v>0.58064516129032262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20</v>
      </c>
      <c r="E11" s="150">
        <f>IF(Actuals!C$63="","",D11-C11)</f>
        <v>-21</v>
      </c>
      <c r="F11" s="169">
        <f t="shared" ref="F11:F21" si="0">IFERROR(D11/C11,"")</f>
        <v>0.48780487804878048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20</v>
      </c>
      <c r="J11" s="200">
        <f>IF(Actuals!C$64="","",I11-H11)</f>
        <v>-19</v>
      </c>
      <c r="K11" s="169">
        <f t="shared" ref="K11:K21" si="1">IFERROR(I11/H11,"")</f>
        <v>0.51282051282051277</v>
      </c>
      <c r="L11" s="171"/>
      <c r="M11" s="168">
        <f>INDEX('Goals-1'!$B$4:$P$18,MATCH(M$7,'Goals-1'!$A$4:$A$18),MATCH($A11,'Goals-1'!$B$3:$P$3,0))</f>
        <v>31</v>
      </c>
      <c r="N11" s="167">
        <f>IF(INDEX(Actuals!$B$5:$M$21,MATCH(M$7,Actuals!$A$5:$A$21,0),MATCH($A11,Actuals!$B$4:$M$4,0))="","",INDEX(Actuals!$B$5:$M$21,MATCH(M$7,Actuals!$A$5:$A$21,0),MATCH($A11,Actuals!$B$4:$M$4,0)))</f>
        <v>15</v>
      </c>
      <c r="O11" s="150">
        <f>IF(Actuals!C$65="","",N11-M11)</f>
        <v>-16</v>
      </c>
      <c r="P11" s="169">
        <f t="shared" ref="P11:P21" si="2">IFERROR(N11/M11,"")</f>
        <v>0.4838709677419355</v>
      </c>
      <c r="Q11" s="171"/>
      <c r="R11" s="168">
        <f>INDEX('Goals-1'!$B$4:$P$18,MATCH(R$7,'Goals-1'!$A$4:$A$18),MATCH($A11,'Goals-1'!$B$3:$P$3,0))</f>
        <v>74</v>
      </c>
      <c r="S11" s="167">
        <f>IF(INDEX(Actuals!$B$5:$M$21,MATCH(R$7,Actuals!$A$5:$A$21,0),MATCH($A11,Actuals!$B$4:$M$4,0))="","",INDEX(Actuals!$B$5:$M$21,MATCH(R$7,Actuals!$A$5:$A$21,0),MATCH($A11,Actuals!$B$4:$M$4,0)))</f>
        <v>23</v>
      </c>
      <c r="T11" s="150">
        <f>IF(Actuals!C$66="","",S11-R11)</f>
        <v>-51</v>
      </c>
      <c r="U11" s="169">
        <f t="shared" ref="U11:U21" si="3">IFERROR(S11/R11,"")</f>
        <v>0.3108108108108108</v>
      </c>
      <c r="V11" s="171"/>
      <c r="W11" s="168">
        <f>INDEX('Goals-1'!$B$4:$P$18,MATCH(W$7,'Goals-1'!$A$4:$A$18),MATCH($A11,'Goals-1'!$B$3:$P$3,0))</f>
        <v>45</v>
      </c>
      <c r="X11" s="167">
        <f>IF(INDEX(Actuals!$B$5:$M$21,MATCH(W$7,Actuals!$A$5:$A$21,0),MATCH($A11,Actuals!$B$4:$M$4,0))="","",INDEX(Actuals!$B$5:$M$21,MATCH(W$7,Actuals!$A$5:$A$21,0),MATCH($A11,Actuals!$B$4:$M$4,0)))</f>
        <v>20</v>
      </c>
      <c r="Y11" s="150">
        <f>IF(Actuals!C$67="","",X11-W11)</f>
        <v>-25</v>
      </c>
      <c r="Z11" s="169">
        <f t="shared" ref="Z11:Z21" si="4">IFERROR(X11/W11,"")</f>
        <v>0.44444444444444442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52</v>
      </c>
      <c r="D12" s="168">
        <f>IF(INDEX(Actuals!$B$5:$M$21,MATCH(C$7,Actuals!$A$5:$A$21),MATCH($A12,Actuals!$B$4:$M$4,0))="","",INDEX(Actuals!$B$5:$M$21,MATCH(C$7,Actuals!$A$5:$A$21),MATCH($A12,Actuals!$B$4:$M$4,0)))</f>
        <v>46</v>
      </c>
      <c r="E12" s="150">
        <f>IF(Actuals!D$63="","",D12-C12)</f>
        <v>-6</v>
      </c>
      <c r="F12" s="169">
        <f t="shared" si="0"/>
        <v>0.88461538461538458</v>
      </c>
      <c r="G12" s="171"/>
      <c r="H12" s="168">
        <f>INDEX('Goals-1'!$B$4:$P$18,MATCH(H$7,'Goals-1'!$A$4:$A$18),MATCH($A12,'Goals-1'!$B$3:$P$3,0))</f>
        <v>50</v>
      </c>
      <c r="I12" s="168">
        <f>IF(INDEX(Actuals!$B$5:$M$21,MATCH(H$7,Actuals!$A$5:$A$21,0),MATCH($A12,Actuals!$B$4:$M$4,0))="","",INDEX(Actuals!$B$5:$M$21,MATCH(H$7,Actuals!$A$5:$A$21,0),MATCH($A12,Actuals!$B$4:$M$4,0)))</f>
        <v>24</v>
      </c>
      <c r="J12" s="200">
        <f>IF(Actuals!D$64="","",I12-H12)</f>
        <v>-26</v>
      </c>
      <c r="K12" s="169">
        <f t="shared" si="1"/>
        <v>0.48</v>
      </c>
      <c r="L12" s="171"/>
      <c r="M12" s="168">
        <f>INDEX('Goals-1'!$B$4:$P$18,MATCH(M$7,'Goals-1'!$A$4:$A$18),MATCH($A12,'Goals-1'!$B$3:$P$3,0))</f>
        <v>40</v>
      </c>
      <c r="N12" s="167">
        <f>IF(INDEX(Actuals!$B$5:$M$21,MATCH(M$7,Actuals!$A$5:$A$21,0),MATCH($A12,Actuals!$B$4:$M$4,0))="","",INDEX(Actuals!$B$5:$M$21,MATCH(M$7,Actuals!$A$5:$A$21,0),MATCH($A12,Actuals!$B$4:$M$4,0)))</f>
        <v>27</v>
      </c>
      <c r="O12" s="150">
        <f>IF(Actuals!D$65="","",N12-M12)</f>
        <v>-13</v>
      </c>
      <c r="P12" s="169">
        <f t="shared" si="2"/>
        <v>0.67500000000000004</v>
      </c>
      <c r="Q12" s="171"/>
      <c r="R12" s="168">
        <f>INDEX('Goals-1'!$B$4:$P$18,MATCH(R$7,'Goals-1'!$A$4:$A$18),MATCH($A12,'Goals-1'!$B$3:$P$3,0))</f>
        <v>94</v>
      </c>
      <c r="S12" s="167">
        <f>IF(INDEX(Actuals!$B$5:$M$21,MATCH(R$7,Actuals!$A$5:$A$21,0),MATCH($A12,Actuals!$B$4:$M$4,0))="","",INDEX(Actuals!$B$5:$M$21,MATCH(R$7,Actuals!$A$5:$A$21,0),MATCH($A12,Actuals!$B$4:$M$4,0)))</f>
        <v>8</v>
      </c>
      <c r="T12" s="150">
        <f>IF(Actuals!D$66="","",S12-R12)</f>
        <v>-86</v>
      </c>
      <c r="U12" s="169">
        <f t="shared" si="3"/>
        <v>8.5106382978723402E-2</v>
      </c>
      <c r="V12" s="171"/>
      <c r="W12" s="168">
        <f>INDEX('Goals-1'!$B$4:$P$18,MATCH(W$7,'Goals-1'!$A$4:$A$18),MATCH($A12,'Goals-1'!$B$3:$P$3,0))</f>
        <v>58</v>
      </c>
      <c r="X12" s="167">
        <f>IF(INDEX(Actuals!$B$5:$M$21,MATCH(W$7,Actuals!$A$5:$A$21,0),MATCH($A12,Actuals!$B$4:$M$4,0))="","",INDEX(Actuals!$B$5:$M$21,MATCH(W$7,Actuals!$A$5:$A$21,0),MATCH($A12,Actuals!$B$4:$M$4,0)))</f>
        <v>18</v>
      </c>
      <c r="Y12" s="150">
        <f>IF(Actuals!D$67="","",X12-W12)</f>
        <v>-40</v>
      </c>
      <c r="Z12" s="169">
        <f t="shared" si="4"/>
        <v>0.31034482758620691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22</v>
      </c>
      <c r="E13" s="150">
        <f>IF(Actuals!E$63="","",D13-C13)</f>
        <v>-35</v>
      </c>
      <c r="F13" s="169">
        <f t="shared" si="0"/>
        <v>0.38596491228070173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6</v>
      </c>
      <c r="J13" s="200">
        <f>IF(Actuals!E$64="","",I13-H13)</f>
        <v>-48</v>
      </c>
      <c r="K13" s="169">
        <f t="shared" si="1"/>
        <v>0.1111111111111111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17</v>
      </c>
      <c r="O13" s="150">
        <f>IF(Actuals!E$65="","",N13-M13)</f>
        <v>-27</v>
      </c>
      <c r="P13" s="169">
        <f t="shared" si="2"/>
        <v>0.38636363636363635</v>
      </c>
      <c r="Q13" s="171"/>
      <c r="R13" s="168">
        <f>INDEX('Goals-1'!$B$4:$P$18,MATCH(R$7,'Goals-1'!$A$4:$A$18),MATCH($A13,'Goals-1'!$B$3:$P$3,0))</f>
        <v>100</v>
      </c>
      <c r="S13" s="167">
        <f>IF(INDEX(Actuals!$B$5:$M$21,MATCH(R$7,Actuals!$A$5:$A$21,0),MATCH($A13,Actuals!$B$4:$M$4,0))="","",INDEX(Actuals!$B$5:$M$21,MATCH(R$7,Actuals!$A$5:$A$21,0),MATCH($A13,Actuals!$B$4:$M$4,0)))</f>
        <v>33</v>
      </c>
      <c r="T13" s="150">
        <f>IF(Actuals!E$66="","",S13-R13)</f>
        <v>-67</v>
      </c>
      <c r="U13" s="169">
        <f t="shared" si="3"/>
        <v>0.33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18</v>
      </c>
      <c r="Y13" s="150">
        <f>IF(Actuals!E$67="","",X13-W13)</f>
        <v>-45</v>
      </c>
      <c r="Z13" s="169">
        <f t="shared" si="4"/>
        <v>0.2857142857142857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55</v>
      </c>
      <c r="D14" s="168">
        <f>IF(INDEX(Actuals!$B$5:$M$21,MATCH(C$7,Actuals!$A$5:$A$21),MATCH($A14,Actuals!$B$4:$M$4,0))="","",INDEX(Actuals!$B$5:$M$21,MATCH(C$7,Actuals!$A$5:$A$21),MATCH($A14,Actuals!$B$4:$M$4,0)))</f>
        <v>25</v>
      </c>
      <c r="E14" s="150">
        <f>IF(Actuals!F$63="","",D14-C14)</f>
        <v>-30</v>
      </c>
      <c r="F14" s="169">
        <f t="shared" si="0"/>
        <v>0.45454545454545453</v>
      </c>
      <c r="G14" s="172"/>
      <c r="H14" s="168">
        <f>INDEX('Goals-1'!$B$4:$P$18,MATCH(H$7,'Goals-1'!$A$4:$A$18),MATCH($A14,'Goals-1'!$B$3:$P$3,0))</f>
        <v>52</v>
      </c>
      <c r="I14" s="168">
        <f>IF(INDEX(Actuals!$B$5:$M$21,MATCH(H$7,Actuals!$A$5:$A$21,0),MATCH($A14,Actuals!$B$4:$M$4,0))="","",INDEX(Actuals!$B$5:$M$21,MATCH(H$7,Actuals!$A$5:$A$21,0),MATCH($A14,Actuals!$B$4:$M$4,0)))</f>
        <v>28</v>
      </c>
      <c r="J14" s="200">
        <f>IF(Actuals!F$64="","",I14-H14)</f>
        <v>-24</v>
      </c>
      <c r="K14" s="169">
        <f t="shared" si="1"/>
        <v>0.53846153846153844</v>
      </c>
      <c r="L14" s="172"/>
      <c r="M14" s="168">
        <f>INDEX('Goals-1'!$B$4:$P$18,MATCH(M$7,'Goals-1'!$A$4:$A$18),MATCH($A14,'Goals-1'!$B$3:$P$3,0))</f>
        <v>42</v>
      </c>
      <c r="N14" s="167">
        <f>IF(INDEX(Actuals!$B$5:$M$21,MATCH(M$7,Actuals!$A$5:$A$21,0),MATCH($A14,Actuals!$B$4:$M$4,0))="","",INDEX(Actuals!$B$5:$M$21,MATCH(M$7,Actuals!$A$5:$A$21,0),MATCH($A14,Actuals!$B$4:$M$4,0)))</f>
        <v>18</v>
      </c>
      <c r="O14" s="150">
        <f>IF(Actuals!F$65="","",N14-M14)</f>
        <v>-24</v>
      </c>
      <c r="P14" s="169">
        <f t="shared" si="2"/>
        <v>0.42857142857142855</v>
      </c>
      <c r="Q14" s="172"/>
      <c r="R14" s="168">
        <f>INDEX('Goals-1'!$B$4:$P$18,MATCH(R$7,'Goals-1'!$A$4:$A$18),MATCH($A14,'Goals-1'!$B$3:$P$3,0))</f>
        <v>92</v>
      </c>
      <c r="S14" s="167">
        <f>IF(INDEX(Actuals!$B$5:$M$21,MATCH(R$7,Actuals!$A$5:$A$21,0),MATCH($A14,Actuals!$B$4:$M$4,0))="","",INDEX(Actuals!$B$5:$M$21,MATCH(R$7,Actuals!$A$5:$A$21,0),MATCH($A14,Actuals!$B$4:$M$4,0)))</f>
        <v>57</v>
      </c>
      <c r="T14" s="150">
        <f>IF(Actuals!F$66="","",S14-R14)</f>
        <v>-35</v>
      </c>
      <c r="U14" s="169">
        <f t="shared" si="3"/>
        <v>0.61956521739130432</v>
      </c>
      <c r="V14" s="172"/>
      <c r="W14" s="168">
        <f>INDEX('Goals-1'!$B$4:$P$18,MATCH(W$7,'Goals-1'!$A$4:$A$18),MATCH($A14,'Goals-1'!$B$3:$P$3,0))</f>
        <v>61</v>
      </c>
      <c r="X14" s="167">
        <f>IF(INDEX(Actuals!$B$5:$M$21,MATCH(W$7,Actuals!$A$5:$A$21,0),MATCH($A14,Actuals!$B$4:$M$4,0))="","",INDEX(Actuals!$B$5:$M$21,MATCH(W$7,Actuals!$A$5:$A$21,0),MATCH($A14,Actuals!$B$4:$M$4,0)))</f>
        <v>29</v>
      </c>
      <c r="Y14" s="150">
        <f>IF(Actuals!F$67="","",X14-W14)</f>
        <v>-32</v>
      </c>
      <c r="Z14" s="169">
        <f t="shared" si="4"/>
        <v>0.47540983606557374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51</v>
      </c>
      <c r="D15" s="168">
        <f>IF(INDEX(Actuals!$B$5:$M$21,MATCH(C$7,Actuals!$A$5:$A$21),MATCH($A15,Actuals!$B$4:$M$4,0))="","",INDEX(Actuals!$B$5:$M$21,MATCH(C$7,Actuals!$A$5:$A$21),MATCH($A15,Actuals!$B$4:$M$4,0)))</f>
        <v>15</v>
      </c>
      <c r="E15" s="150">
        <f>IF(Actuals!G$63="","",D15-C15)</f>
        <v>-36</v>
      </c>
      <c r="F15" s="169">
        <f t="shared" si="0"/>
        <v>0.29411764705882354</v>
      </c>
      <c r="G15" s="172"/>
      <c r="H15" s="168">
        <f>INDEX('Goals-1'!$B$4:$P$18,MATCH(H$7,'Goals-1'!$A$4:$A$18),MATCH($A15,'Goals-1'!$B$3:$P$3,0))</f>
        <v>48</v>
      </c>
      <c r="I15" s="168">
        <f>IF(INDEX(Actuals!$B$5:$M$21,MATCH(H$7,Actuals!$A$5:$A$21,0),MATCH($A15,Actuals!$B$4:$M$4,0))="","",INDEX(Actuals!$B$5:$M$21,MATCH(H$7,Actuals!$A$5:$A$21,0),MATCH($A15,Actuals!$B$4:$M$4,0)))</f>
        <v>13</v>
      </c>
      <c r="J15" s="200">
        <f>IF(Actuals!G$64="","",I15-H15)</f>
        <v>-35</v>
      </c>
      <c r="K15" s="169">
        <f t="shared" si="1"/>
        <v>0.27083333333333331</v>
      </c>
      <c r="L15" s="172"/>
      <c r="M15" s="168">
        <f>INDEX('Goals-1'!$B$4:$P$18,MATCH(M$7,'Goals-1'!$A$4:$A$18),MATCH($A15,'Goals-1'!$B$3:$P$3,0))</f>
        <v>39</v>
      </c>
      <c r="N15" s="167">
        <f>IF(INDEX(Actuals!$B$5:$M$21,MATCH(M$7,Actuals!$A$5:$A$21,0),MATCH($A15,Actuals!$B$4:$M$4,0))="","",INDEX(Actuals!$B$5:$M$21,MATCH(M$7,Actuals!$A$5:$A$21,0),MATCH($A15,Actuals!$B$4:$M$4,0)))</f>
        <v>24</v>
      </c>
      <c r="O15" s="150">
        <f>IF(Actuals!G$65="","",N15-M15)</f>
        <v>-15</v>
      </c>
      <c r="P15" s="169">
        <f t="shared" si="2"/>
        <v>0.61538461538461542</v>
      </c>
      <c r="Q15" s="172"/>
      <c r="R15" s="168">
        <f>INDEX('Goals-1'!$B$4:$P$18,MATCH(R$7,'Goals-1'!$A$4:$A$18),MATCH($A15,'Goals-1'!$B$3:$P$3,0))</f>
        <v>58</v>
      </c>
      <c r="S15" s="167">
        <f>IF(INDEX(Actuals!$B$5:$M$21,MATCH(R$7,Actuals!$A$5:$A$21,0),MATCH($A15,Actuals!$B$4:$M$4,0))="","",INDEX(Actuals!$B$5:$M$21,MATCH(R$7,Actuals!$A$5:$A$21,0),MATCH($A15,Actuals!$B$4:$M$4,0)))</f>
        <v>50</v>
      </c>
      <c r="T15" s="150">
        <f>IF(Actuals!G$66="","",S15-R15)</f>
        <v>-8</v>
      </c>
      <c r="U15" s="169">
        <f t="shared" si="3"/>
        <v>0.86206896551724133</v>
      </c>
      <c r="V15" s="172"/>
      <c r="W15" s="168">
        <f>INDEX('Goals-1'!$B$4:$P$18,MATCH(W$7,'Goals-1'!$A$4:$A$18),MATCH($A15,'Goals-1'!$B$3:$P$3,0))</f>
        <v>57</v>
      </c>
      <c r="X15" s="167">
        <f>IF(INDEX(Actuals!$B$5:$M$21,MATCH(W$7,Actuals!$A$5:$A$21,0),MATCH($A15,Actuals!$B$4:$M$4,0))="","",INDEX(Actuals!$B$5:$M$21,MATCH(W$7,Actuals!$A$5:$A$21,0),MATCH($A15,Actuals!$B$4:$M$4,0)))</f>
        <v>9</v>
      </c>
      <c r="Y15" s="150">
        <f>IF(Actuals!G$67="","",X15-W15)</f>
        <v>-48</v>
      </c>
      <c r="Z15" s="169">
        <f t="shared" si="4"/>
        <v>0.15789473684210525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32</v>
      </c>
      <c r="D16" s="168">
        <f>IF(INDEX(Actuals!$B$5:$M$21,MATCH(C$7,Actuals!$A$5:$A$21),MATCH($A16,Actuals!$B$4:$M$4,0))="","",INDEX(Actuals!$B$5:$M$21,MATCH(C$7,Actuals!$A$5:$A$21),MATCH($A16,Actuals!$B$4:$M$4,0)))</f>
        <v>15</v>
      </c>
      <c r="E16" s="150">
        <f>IF(Actuals!H$63="","",D16-C16)</f>
        <v>-17</v>
      </c>
      <c r="F16" s="169">
        <f t="shared" si="0"/>
        <v>0.46875</v>
      </c>
      <c r="G16" s="171"/>
      <c r="H16" s="168">
        <f>INDEX('Goals-1'!$B$4:$P$18,MATCH(H$7,'Goals-1'!$A$4:$A$18),MATCH($A16,'Goals-1'!$B$3:$P$3,0))</f>
        <v>31</v>
      </c>
      <c r="I16" s="168">
        <f>IF(INDEX(Actuals!$B$5:$M$21,MATCH(H$7,Actuals!$A$5:$A$21,0),MATCH($A16,Actuals!$B$4:$M$4,0))="","",INDEX(Actuals!$B$5:$M$21,MATCH(H$7,Actuals!$A$5:$A$21,0),MATCH($A16,Actuals!$B$4:$M$4,0)))</f>
        <v>11</v>
      </c>
      <c r="J16" s="200">
        <f>IF(Actuals!H$64="","",I16-H16)</f>
        <v>-20</v>
      </c>
      <c r="K16" s="169">
        <f t="shared" si="1"/>
        <v>0.35483870967741937</v>
      </c>
      <c r="L16" s="171"/>
      <c r="M16" s="168">
        <f>INDEX('Goals-1'!$B$4:$P$18,MATCH(M$7,'Goals-1'!$A$4:$A$18),MATCH($A16,'Goals-1'!$B$3:$P$3,0))</f>
        <v>25</v>
      </c>
      <c r="N16" s="167">
        <f>IF(INDEX(Actuals!$B$5:$M$21,MATCH(M$7,Actuals!$A$5:$A$21,0),MATCH($A16,Actuals!$B$4:$M$4,0))="","",INDEX(Actuals!$B$5:$M$21,MATCH(M$7,Actuals!$A$5:$A$21,0),MATCH($A16,Actuals!$B$4:$M$4,0)))</f>
        <v>16</v>
      </c>
      <c r="O16" s="150">
        <f>IF(Actuals!H$65="","",N16-M16)</f>
        <v>-9</v>
      </c>
      <c r="P16" s="169">
        <f t="shared" si="2"/>
        <v>0.64</v>
      </c>
      <c r="Q16" s="171"/>
      <c r="R16" s="168">
        <f>INDEX('Goals-1'!$B$4:$P$18,MATCH(R$7,'Goals-1'!$A$4:$A$18),MATCH($A16,'Goals-1'!$B$3:$P$3,0))</f>
        <v>102</v>
      </c>
      <c r="S16" s="167">
        <f>IF(INDEX(Actuals!$B$5:$M$21,MATCH(R$7,Actuals!$A$5:$A$21,0),MATCH($A16,Actuals!$B$4:$M$4,0))="","",INDEX(Actuals!$B$5:$M$21,MATCH(R$7,Actuals!$A$5:$A$21,0),MATCH($A16,Actuals!$B$4:$M$4,0)))</f>
        <v>31</v>
      </c>
      <c r="T16" s="150">
        <f>IF(Actuals!H$66="","",S16-R16)</f>
        <v>-71</v>
      </c>
      <c r="U16" s="169">
        <f t="shared" si="3"/>
        <v>0.30392156862745096</v>
      </c>
      <c r="V16" s="171"/>
      <c r="W16" s="168">
        <f>INDEX('Goals-1'!$B$4:$P$18,MATCH(W$7,'Goals-1'!$A$4:$A$18),MATCH($A16,'Goals-1'!$B$3:$P$3,0))</f>
        <v>36</v>
      </c>
      <c r="X16" s="167">
        <f>IF(INDEX(Actuals!$B$5:$M$21,MATCH(W$7,Actuals!$A$5:$A$21,0),MATCH($A16,Actuals!$B$4:$M$4,0))="","",INDEX(Actuals!$B$5:$M$21,MATCH(W$7,Actuals!$A$5:$A$21,0),MATCH($A16,Actuals!$B$4:$M$4,0)))</f>
        <v>9</v>
      </c>
      <c r="Y16" s="150">
        <f>IF(Actuals!H$67="","",X16-W16)</f>
        <v>-27</v>
      </c>
      <c r="Z16" s="169">
        <f t="shared" si="4"/>
        <v>0.25</v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60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58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44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103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65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57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54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44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103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63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54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44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103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63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54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52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42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99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56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53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43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102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64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599</v>
      </c>
      <c r="D22" s="167">
        <f>SUM(D10:D21)</f>
        <v>160</v>
      </c>
      <c r="E22" s="150">
        <f>IF(D22="","",D22-C22)</f>
        <v>-439</v>
      </c>
      <c r="F22" s="169">
        <f>IF(D22="0","",D22/C22)</f>
        <v>0.26711185308848079</v>
      </c>
      <c r="G22" s="170"/>
      <c r="H22" s="175">
        <f>SUM(H10:H21)</f>
        <v>571</v>
      </c>
      <c r="I22" s="167">
        <f>SUM(I10:I21)</f>
        <v>109</v>
      </c>
      <c r="J22" s="150">
        <f>IF(I22="","",I22-H22)</f>
        <v>-462</v>
      </c>
      <c r="K22" s="169">
        <f>IF(I22="0","",I22/H22)</f>
        <v>0.19089316987740806</v>
      </c>
      <c r="L22" s="170"/>
      <c r="M22" s="175">
        <f>SUM(M10:M21)</f>
        <v>459</v>
      </c>
      <c r="N22" s="167">
        <f>SUM(N10:N21)</f>
        <v>129</v>
      </c>
      <c r="O22" s="150">
        <f>IF(N22="","",N22-M22)</f>
        <v>-330</v>
      </c>
      <c r="P22" s="169">
        <f>IF(N22="0","",N22/M22)</f>
        <v>0.28104575163398693</v>
      </c>
      <c r="Q22" s="170"/>
      <c r="R22" s="175">
        <f>SUM(R10:R21)</f>
        <v>1080</v>
      </c>
      <c r="S22" s="167">
        <f>SUM(S10:S21)</f>
        <v>226</v>
      </c>
      <c r="T22" s="150">
        <f>IF(S22="","",S22-R22)</f>
        <v>-854</v>
      </c>
      <c r="U22" s="169">
        <f>IF(S22="0","",S22/R22)</f>
        <v>0.20925925925925926</v>
      </c>
      <c r="V22" s="170"/>
      <c r="W22" s="175">
        <f>SUM(W10:W21)</f>
        <v>667</v>
      </c>
      <c r="X22" s="167">
        <f>SUM(X10:X21)</f>
        <v>121</v>
      </c>
      <c r="Y22" s="150">
        <f>IF(X22="","",X22-W22)</f>
        <v>-546</v>
      </c>
      <c r="Z22" s="169">
        <f>IF(X22="0","",X22/W22)</f>
        <v>0.18140929535232383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120</v>
      </c>
      <c r="D25" s="177">
        <f>IFERROR(D10+D11+D12,"")</f>
        <v>83</v>
      </c>
      <c r="E25" s="269">
        <f>IFERROR(E10+E11+E12,"")</f>
        <v>-37</v>
      </c>
      <c r="F25" s="169">
        <f>IF(OR(D25="",D25=0),"",D25/C25)</f>
        <v>0.69166666666666665</v>
      </c>
      <c r="G25" s="176"/>
      <c r="H25" s="168">
        <f>H10+H11+H12</f>
        <v>115</v>
      </c>
      <c r="I25" s="177">
        <f>IFERROR(I10+I11+I12,"")</f>
        <v>51</v>
      </c>
      <c r="J25" s="269">
        <f>IFERROR(J10+J11+J12,"")</f>
        <v>-64</v>
      </c>
      <c r="K25" s="169">
        <f>IF(OR(I25="",I25=0),"",I25/H25)</f>
        <v>0.44347826086956521</v>
      </c>
      <c r="L25" s="176"/>
      <c r="M25" s="168">
        <f>M10+M11+M12</f>
        <v>92</v>
      </c>
      <c r="N25" s="168">
        <f>IFERROR(N10+N11+N12,"")</f>
        <v>54</v>
      </c>
      <c r="O25" s="269">
        <f>IFERROR(O10+O11+O12,"")</f>
        <v>-38</v>
      </c>
      <c r="P25" s="169">
        <f>IF(OR(N25="",N25=0),"",N25/M25)</f>
        <v>0.58695652173913049</v>
      </c>
      <c r="Q25" s="176"/>
      <c r="R25" s="168">
        <f>R10+R11+R12</f>
        <v>218</v>
      </c>
      <c r="S25" s="168">
        <f>IFERROR(S10+S11+S12,"")</f>
        <v>55</v>
      </c>
      <c r="T25" s="269">
        <f>IFERROR(T10+T11+T12,"")</f>
        <v>-163</v>
      </c>
      <c r="U25" s="169">
        <f>IF(OR(S25="",S25=0),"",S25/R25)</f>
        <v>0.25229357798165136</v>
      </c>
      <c r="V25" s="176"/>
      <c r="W25" s="168">
        <f>W10+W11+W12</f>
        <v>134</v>
      </c>
      <c r="X25" s="168">
        <f>IFERROR(X10+X11+X12,"")</f>
        <v>56</v>
      </c>
      <c r="Y25" s="269">
        <f>IFERROR(Y10+Y11+Y12,"")</f>
        <v>-78</v>
      </c>
      <c r="Z25" s="169">
        <f>IF(OR(X25="",X25=0),"",X25/W25)</f>
        <v>0.41791044776119401</v>
      </c>
      <c r="AA25" s="176"/>
    </row>
    <row r="26" spans="1:27">
      <c r="A26" s="131" t="s">
        <v>663</v>
      </c>
      <c r="C26" s="168">
        <f>IFERROR((C13+C14+C15),"")</f>
        <v>163</v>
      </c>
      <c r="D26" s="177">
        <f>IFERROR(D13+D14+D15,"")</f>
        <v>62</v>
      </c>
      <c r="E26" s="269">
        <f>IFERROR(E13+E14+E15,"")</f>
        <v>-101</v>
      </c>
      <c r="F26" s="169">
        <f>IF(OR(D26="",D26=0),"",D26/C26)</f>
        <v>0.38036809815950923</v>
      </c>
      <c r="G26" s="176"/>
      <c r="H26" s="168">
        <f>H13+H14+H15</f>
        <v>154</v>
      </c>
      <c r="I26" s="177">
        <f>IFERROR(I13+I14+I15,"")</f>
        <v>47</v>
      </c>
      <c r="J26" s="269">
        <f>IFERROR(J13+J14+J15,"")</f>
        <v>-107</v>
      </c>
      <c r="K26" s="169">
        <f>IF(OR(I26="",I26=0),"",I26/H26)</f>
        <v>0.30519480519480519</v>
      </c>
      <c r="L26" s="176"/>
      <c r="M26" s="168">
        <f>M13+M14+M15</f>
        <v>125</v>
      </c>
      <c r="N26" s="168">
        <f>IFERROR(N13+N14+N15,"")</f>
        <v>59</v>
      </c>
      <c r="O26" s="269">
        <f>IFERROR(O13+O14+O15,"")</f>
        <v>-66</v>
      </c>
      <c r="P26" s="169">
        <f>IF(OR(N26="",N26=0),"",N26/M26)</f>
        <v>0.47199999999999998</v>
      </c>
      <c r="Q26" s="176"/>
      <c r="R26" s="168">
        <f>R13+R14+R15</f>
        <v>250</v>
      </c>
      <c r="S26" s="168">
        <f>IFERROR(S13+S14+S15,"")</f>
        <v>140</v>
      </c>
      <c r="T26" s="269">
        <f>IFERROR(T13+T14+T15,"")</f>
        <v>-110</v>
      </c>
      <c r="U26" s="169">
        <f>IF(OR(S26="",S26=0),"",S26/R26)</f>
        <v>0.56000000000000005</v>
      </c>
      <c r="V26" s="176"/>
      <c r="W26" s="168">
        <f>W13+W14+W15</f>
        <v>181</v>
      </c>
      <c r="X26" s="168">
        <f>IFERROR(X13+X14+X15,"")</f>
        <v>56</v>
      </c>
      <c r="Y26" s="269">
        <f>IFERROR(Y13+Y14+Y15,"")</f>
        <v>-125</v>
      </c>
      <c r="Z26" s="169">
        <f>IF(OR(X26="",X26=0),"",X26/W26)</f>
        <v>0.30939226519337015</v>
      </c>
      <c r="AA26" s="176"/>
    </row>
    <row r="27" spans="1:27">
      <c r="A27" s="131" t="s">
        <v>663</v>
      </c>
      <c r="C27" s="168">
        <f>IFERROR((C16+C17+C18),"")</f>
        <v>149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H16+H17+H18</f>
        <v>143</v>
      </c>
      <c r="I27" s="177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M16+M17+M18</f>
        <v>113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R16+R17+R18</f>
        <v>308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W16+W17+W18</f>
        <v>164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167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H19+H20+H21</f>
        <v>159</v>
      </c>
      <c r="I28" s="177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M19+M20+M21</f>
        <v>129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R19+R20+R21</f>
        <v>304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W19+W20+W21</f>
        <v>188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599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571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459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1080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667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COUNTIFS(DD_Info!$B$2:$B$221,"&lt;&gt;TO BE APPOINTED",DD_Info!$C$2:$C$221,C7)</f>
        <v>21</v>
      </c>
      <c r="G32" s="176"/>
      <c r="H32" s="129">
        <f>COUNTIFS(DD_Info!$B$2:$B$221,"&lt;&gt;TO BE APPOINTED",DD_Info!$C$2:$C$221,H7)</f>
        <v>16</v>
      </c>
      <c r="L32" s="176"/>
      <c r="M32" s="129">
        <f>COUNTIFS(DD_Info!$B$2:$B$221,"&lt;&gt;TO BE APPOINTED",DD_Info!$C$2:$C$221,M7)</f>
        <v>17</v>
      </c>
      <c r="Q32" s="176"/>
      <c r="R32" s="129">
        <f>COUNTIFS(DD_Info!$B$2:$B$221,"&lt;&gt;TO BE APPOINTED",DD_Info!$C$2:$C$221,R7)</f>
        <v>36</v>
      </c>
      <c r="V32" s="176"/>
      <c r="W32" s="129">
        <f>COUNTIFS(DD_Info!$B$2:$B$221,"&lt;&gt;TO BE APPOINTED",DD_Info!$C$2:$C$221,W7)</f>
        <v>30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COUNTIFS(Districts!$E$3:$E$217,"&gt;0",Districts!$B$3:$B$217,C7)</f>
        <v>7</v>
      </c>
      <c r="G34" s="176"/>
      <c r="H34" s="129">
        <f>COUNTIFS(Districts!$E$3:$E$217,"&gt;0",Districts!$B$3:$B$217,H7)</f>
        <v>7</v>
      </c>
      <c r="L34" s="176"/>
      <c r="M34" s="129">
        <f>COUNTIFS(Districts!$E$3:$E$217,"&gt;0",Districts!$B$3:$B$217,M7)</f>
        <v>7</v>
      </c>
      <c r="Q34" s="176"/>
      <c r="R34" s="129">
        <f>COUNTIFS(Districts!$E$3:$E$217,"&gt;0",Districts!$B$3:$B$217,R7)</f>
        <v>14</v>
      </c>
      <c r="V34" s="176"/>
      <c r="W34" s="129">
        <f>COUNTIFS(Districts!$E$3:$E$217,"&gt;0",Districts!$B$3:$B$217,W7)</f>
        <v>5</v>
      </c>
      <c r="AA34" s="176"/>
    </row>
    <row r="35" spans="1:27">
      <c r="A35" s="131" t="s">
        <v>898</v>
      </c>
      <c r="C35" s="129">
        <f>COUNTIFS(Districts!$H$3:$H$217,"&gt;0",Districts!$B$3:$B$217,C7)</f>
        <v>18</v>
      </c>
      <c r="G35" s="176"/>
      <c r="H35" s="129">
        <f>COUNTIFS(Districts!$H$3:$H$217,"&gt;0",Districts!$B$3:$B$217,H7)</f>
        <v>14</v>
      </c>
      <c r="L35" s="176"/>
      <c r="M35" s="129">
        <f>COUNTIFS(Districts!$H$3:$H$217,"&gt;0",Districts!$B$3:$B$217,M7)</f>
        <v>16</v>
      </c>
      <c r="Q35" s="176"/>
      <c r="R35" s="129">
        <f>COUNTIFS(Districts!$H$3:$H$217,"&gt;0",Districts!$B$3:$B$217,R7)</f>
        <v>29</v>
      </c>
      <c r="V35" s="176"/>
      <c r="W35" s="129">
        <f>COUNTIFS(Districts!$H$3:$H$217,"&gt;0",Districts!$B$3:$B$217,W7)</f>
        <v>23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0.33333333333333331</v>
      </c>
      <c r="G38" s="176"/>
      <c r="H38" s="114">
        <f>H34/H$32</f>
        <v>0.4375</v>
      </c>
      <c r="L38" s="176"/>
      <c r="M38" s="114">
        <f>M34/M$32</f>
        <v>0.41176470588235292</v>
      </c>
      <c r="Q38" s="176"/>
      <c r="R38" s="114">
        <f>R34/R$32</f>
        <v>0.3888888888888889</v>
      </c>
      <c r="V38" s="176"/>
      <c r="W38" s="114">
        <f>W34/W$32</f>
        <v>0.16666666666666666</v>
      </c>
      <c r="AA38" s="176"/>
    </row>
    <row r="39" spans="1:27">
      <c r="A39" s="131" t="s">
        <v>898</v>
      </c>
      <c r="C39" s="114">
        <f>C35/C$32</f>
        <v>0.8571428571428571</v>
      </c>
      <c r="G39" s="176"/>
      <c r="H39" s="114">
        <f>H35/H$32</f>
        <v>0.875</v>
      </c>
      <c r="L39" s="176"/>
      <c r="M39" s="114">
        <f>M35/M$32</f>
        <v>0.94117647058823528</v>
      </c>
      <c r="Q39" s="176"/>
      <c r="R39" s="114">
        <f>R35/R$32</f>
        <v>0.80555555555555558</v>
      </c>
      <c r="V39" s="176"/>
      <c r="W39" s="114">
        <f>W35/W$32</f>
        <v>0.76666666666666672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COUNTIFS(Council_Data!$A$4:$A$818,"&lt;&gt;0",Council_Data!$D$3:$D$838,C7)</f>
        <v>#VALUE!</v>
      </c>
      <c r="G41" s="176"/>
      <c r="H41" s="129" t="e">
        <f>COUNTIFS(Council_Data!$A$4:$A$818,"&lt;&gt;0",Council_Data!$D$3:$D$838,H7)</f>
        <v>#VALUE!</v>
      </c>
      <c r="L41" s="176"/>
      <c r="M41" s="129" t="e">
        <f>COUNTIFS(Council_Data!$A$4:$A$818,"&lt;&gt;0",Council_Data!$D$3:$D$838,M7)</f>
        <v>#VALUE!</v>
      </c>
      <c r="Q41" s="176"/>
      <c r="R41" s="129" t="e">
        <f>COUNTIFS(Council_Data!$A$4:$A$818,"&lt;&gt;0",Council_Data!$D$3:$D$838,R7)</f>
        <v>#VALUE!</v>
      </c>
      <c r="V41" s="176"/>
      <c r="W41" s="129" t="e">
        <f>COUNTIFS(Council_Data!$A$4:$A$818,"&lt;&gt;0",Council_Data!$D$3:$D$838,W7)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COUNTIFS(Council_Data!$G$4:$G$818,"&gt;0",Council_Data!$D$3:$D$838,C7)</f>
        <v>#VALUE!</v>
      </c>
      <c r="G43" s="176"/>
      <c r="H43" s="129" t="e">
        <f>COUNTIFS(Council_Data!$G$4:$G$818,"&gt;0",Council_Data!$D$3:$D$838,H7)</f>
        <v>#VALUE!</v>
      </c>
      <c r="L43" s="176"/>
      <c r="M43" s="129" t="e">
        <f>COUNTIFS(Council_Data!$G$4:$G$818,"&gt;0",Council_Data!$D$3:$D$838,M7)</f>
        <v>#VALUE!</v>
      </c>
      <c r="Q43" s="176"/>
      <c r="R43" s="129" t="e">
        <f>COUNTIFS(Council_Data!$G$4:$G$818,"&gt;0",Council_Data!$D$3:$D$838,R7)</f>
        <v>#VALUE!</v>
      </c>
      <c r="V43" s="176"/>
      <c r="W43" s="129" t="e">
        <f>COUNTIFS(Council_Data!$G$4:$G$818,"&gt;0",Council_Data!$D$3:$D$838,W7)</f>
        <v>#VALUE!</v>
      </c>
      <c r="AA43" s="176"/>
    </row>
    <row r="44" spans="1:27">
      <c r="A44" s="131" t="s">
        <v>898</v>
      </c>
      <c r="C44" s="129">
        <f>COUNTIFS(Council_Data!$J$3:$J$838,"&gt;0",Council_Data!$D$3:$D$838,C7)</f>
        <v>44</v>
      </c>
      <c r="G44" s="176"/>
      <c r="H44" s="129">
        <f>COUNTIFS(Council_Data!$J$3:$J$838,"&gt;0",Council_Data!$D$3:$D$838,H7)</f>
        <v>34</v>
      </c>
      <c r="L44" s="176"/>
      <c r="M44" s="129">
        <f>COUNTIFS(Council_Data!$J$3:$J$838,"&gt;0",Council_Data!$D$3:$D$838,M7)</f>
        <v>36</v>
      </c>
      <c r="Q44" s="176"/>
      <c r="R44" s="129">
        <f>COUNTIFS(Council_Data!$J$3:$J$838,"&gt;0",Council_Data!$D$3:$D$838,R7)</f>
        <v>62</v>
      </c>
      <c r="V44" s="176"/>
      <c r="W44" s="129">
        <f>COUNTIFS(Council_Data!$J$3:$J$838,"&gt;0",Council_Data!$D$3:$D$838,W7)</f>
        <v>44</v>
      </c>
      <c r="AA44" s="176"/>
    </row>
    <row r="45" spans="1:27">
      <c r="A45" s="131" t="s">
        <v>916</v>
      </c>
      <c r="C45" s="129" t="e">
        <f>COUNTIFS(Council_Data!$Y$4:$Y$818,"Dormant",Council_Data!$D$3:$D$838,C7)</f>
        <v>#VALUE!</v>
      </c>
      <c r="G45" s="176"/>
      <c r="H45" s="129" t="e">
        <f>COUNTIFS(Council_Data!$Y$4:$Y$818,"Dormant",Council_Data!$D$3:$D$838,H7)</f>
        <v>#VALUE!</v>
      </c>
      <c r="L45" s="176"/>
      <c r="M45" s="129" t="e">
        <f>COUNTIFS(Council_Data!$Y$4:$Y$818,"Dormant",Council_Data!$D$3:$D$838,M7)</f>
        <v>#VALUE!</v>
      </c>
      <c r="Q45" s="176"/>
      <c r="R45" s="129" t="e">
        <f>COUNTIFS(Council_Data!$Y$4:$Y$818,"Dormant",Council_Data!$D$3:$D$838,R7)</f>
        <v>#VALUE!</v>
      </c>
      <c r="V45" s="176"/>
      <c r="W45" s="129" t="e">
        <f>COUNTIFS(Council_Data!$Y$4:$Y$818,"Dormant",Council_Data!$D$3:$D$838,W7)</f>
        <v>#VALUE!</v>
      </c>
      <c r="AA45" s="176"/>
    </row>
    <row r="46" spans="1:27">
      <c r="A46" s="131" t="s">
        <v>917</v>
      </c>
      <c r="C46" s="129" t="e">
        <f>COUNTIFS(Council_Data!$Z$4:$Z$818,"Suspended",Council_Data!$D$3:$D$838,C7)</f>
        <v>#VALUE!</v>
      </c>
      <c r="G46" s="176"/>
      <c r="H46" s="129" t="e">
        <f>COUNTIFS(Council_Data!$Z$4:$Z$818,"Suspended",Council_Data!$D$3:$D$838,H7)</f>
        <v>#VALUE!</v>
      </c>
      <c r="L46" s="176"/>
      <c r="M46" s="129" t="e">
        <f>COUNTIFS(Council_Data!$Z$4:$Z$818,"Suspended",Council_Data!$D$3:$D$838,M7)</f>
        <v>#VALUE!</v>
      </c>
      <c r="Q46" s="176"/>
      <c r="R46" s="129" t="e">
        <f>COUNTIFS(Council_Data!$Z$4:$Z$818,"Suspended",Council_Data!$D$3:$D$838,R7)</f>
        <v>#VALUE!</v>
      </c>
      <c r="V46" s="176"/>
      <c r="W46" s="129" t="e">
        <f>COUNTIFS(Council_Data!$Z$4:$Z$818,"Suspended",Council_Data!$D$3:$D$838,W7)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922</v>
      </c>
      <c r="C55" s="181" t="str">
        <f>RptMonth</f>
        <v>JAN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>
      <c r="A57" s="131" t="s">
        <v>924</v>
      </c>
      <c r="D57" s="182">
        <f>SUMIF(Council_Data!$D$3:$D$838,C7,Council_Data!$J$3:$J$838)</f>
        <v>160</v>
      </c>
      <c r="G57" s="176"/>
      <c r="I57" s="182">
        <f>SUMIF(Council_Data!$D$3:$D$838,H7,Council_Data!$J$3:$J$838)</f>
        <v>109</v>
      </c>
      <c r="L57" s="176"/>
      <c r="N57" s="182">
        <f>SUMIF(Council_Data!$D$3:$D$838,M7,Council_Data!$J$3:$J$838)</f>
        <v>129</v>
      </c>
      <c r="Q57" s="176"/>
      <c r="S57" s="182">
        <f>SUMIF(Council_Data!$D$3:$D$838,R7,Council_Data!$J$3:$J$838)</f>
        <v>226</v>
      </c>
      <c r="V57" s="176"/>
      <c r="X57" s="182">
        <f>SUMIF(Council_Data!$D$3:$D$838,W7,Council_Data!$J$3:$J$838)</f>
        <v>121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395"/>
      <c r="D60" s="396"/>
      <c r="E60" s="396"/>
      <c r="F60" s="397"/>
      <c r="G60" s="176"/>
      <c r="H60" s="395"/>
      <c r="I60" s="396"/>
      <c r="J60" s="396"/>
      <c r="K60" s="397"/>
      <c r="L60" s="176"/>
      <c r="M60" s="395"/>
      <c r="N60" s="396"/>
      <c r="O60" s="396"/>
      <c r="P60" s="397"/>
      <c r="Q60" s="176"/>
      <c r="R60" s="395"/>
      <c r="S60" s="396"/>
      <c r="T60" s="396"/>
      <c r="U60" s="397"/>
      <c r="V60" s="176"/>
      <c r="W60" s="395"/>
      <c r="X60" s="396"/>
      <c r="Y60" s="396"/>
      <c r="Z60" s="397"/>
      <c r="AA60" s="176"/>
    </row>
    <row r="61" spans="1:27">
      <c r="C61" s="398"/>
      <c r="D61" s="399"/>
      <c r="E61" s="399"/>
      <c r="F61" s="400"/>
      <c r="G61" s="176"/>
      <c r="H61" s="398"/>
      <c r="I61" s="399"/>
      <c r="J61" s="399"/>
      <c r="K61" s="400"/>
      <c r="L61" s="176"/>
      <c r="M61" s="398"/>
      <c r="N61" s="399"/>
      <c r="O61" s="399"/>
      <c r="P61" s="400"/>
      <c r="Q61" s="176"/>
      <c r="R61" s="398"/>
      <c r="S61" s="399"/>
      <c r="T61" s="399"/>
      <c r="U61" s="400"/>
      <c r="V61" s="176"/>
      <c r="W61" s="398"/>
      <c r="X61" s="399"/>
      <c r="Y61" s="399"/>
      <c r="Z61" s="400"/>
      <c r="AA61" s="176"/>
    </row>
    <row r="62" spans="1:27">
      <c r="C62" s="398"/>
      <c r="D62" s="399"/>
      <c r="E62" s="399"/>
      <c r="F62" s="400"/>
      <c r="G62" s="176"/>
      <c r="H62" s="398"/>
      <c r="I62" s="399"/>
      <c r="J62" s="399"/>
      <c r="K62" s="400"/>
      <c r="L62" s="176"/>
      <c r="M62" s="398"/>
      <c r="N62" s="399"/>
      <c r="O62" s="399"/>
      <c r="P62" s="400"/>
      <c r="Q62" s="176"/>
      <c r="R62" s="398"/>
      <c r="S62" s="399"/>
      <c r="T62" s="399"/>
      <c r="U62" s="400"/>
      <c r="V62" s="176"/>
      <c r="W62" s="398"/>
      <c r="X62" s="399"/>
      <c r="Y62" s="399"/>
      <c r="Z62" s="400"/>
      <c r="AA62" s="176"/>
    </row>
    <row r="63" spans="1:27">
      <c r="C63" s="401"/>
      <c r="D63" s="402"/>
      <c r="E63" s="402"/>
      <c r="F63" s="403"/>
      <c r="G63" s="176"/>
      <c r="H63" s="401"/>
      <c r="I63" s="402"/>
      <c r="J63" s="402"/>
      <c r="K63" s="403"/>
      <c r="L63" s="176"/>
      <c r="M63" s="401"/>
      <c r="N63" s="402"/>
      <c r="O63" s="402"/>
      <c r="P63" s="403"/>
      <c r="Q63" s="176"/>
      <c r="R63" s="401"/>
      <c r="S63" s="402"/>
      <c r="T63" s="402"/>
      <c r="U63" s="403"/>
      <c r="V63" s="176"/>
      <c r="W63" s="401"/>
      <c r="X63" s="402"/>
      <c r="Y63" s="402"/>
      <c r="Z63" s="403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17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314" priority="7" stopIfTrue="1" operator="lessThan">
      <formula>1</formula>
    </cfRule>
    <cfRule type="containsBlanks" dxfId="313" priority="8" stopIfTrue="1">
      <formula>LEN(TRIM(E10))=0</formula>
    </cfRule>
    <cfRule type="cellIs" dxfId="312" priority="9" stopIfTrue="1" operator="greaterThan">
      <formula>0</formula>
    </cfRule>
  </conditionalFormatting>
  <conditionalFormatting sqref="E25:F28 F29 J25:K28 K29 O25:P28 P29 T25:U28 U29 Y25:Z28 Z29">
    <cfRule type="containsBlanks" dxfId="311" priority="12" stopIfTrue="1">
      <formula>LEN(TRIM(E25))=0</formula>
    </cfRule>
    <cfRule type="cellIs" dxfId="310" priority="13" stopIfTrue="1" operator="greaterThan">
      <formula>1</formula>
    </cfRule>
    <cfRule type="cellIs" dxfId="30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3412</v>
      </c>
      <c r="B3" t="str">
        <f>IF(ISNA(VLOOKUP($A3,Councils!$B$6:$AE$841,3,0)),0,VLOOKUP($A3,Councils!$B$6:$AE$841,3,0))</f>
        <v>Seguin</v>
      </c>
      <c r="C3">
        <f>IF(ISNA(VLOOKUP($A3,Councils!$B$6:$AE$841,4,0)),0,VLOOKUP($A3,Councils!$B$6:$AE$841,4,0))</f>
        <v>220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IF(ISNA(VLOOKUP($A3,Councils!$B$6:$AE$81223,0)),0,VLOOKUP($A3,Councils!$B$6:$AE$841,8,0))</f>
        <v>0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0.54545454545454541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4183</v>
      </c>
      <c r="B4" t="str">
        <f>IF(ISNA(VLOOKUP($A4,Councils!$B$6:$AE$841,3,0)),0,VLOOKUP($A4,Councils!$B$6:$AE$841,3,0))</f>
        <v>New Braunfels</v>
      </c>
      <c r="C4">
        <f>IF(ISNA(VLOOKUP($A4,Councils!$B$6:$AE$841,4,0)),0,VLOOKUP($A4,Councils!$B$6:$AE$841,4,0))</f>
        <v>489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IF(ISNA(VLOOKUP($A4,Councils!$B$6:$AE$81223,0)),0,VLOOKUP($A4,Councils!$B$6:$AE$841,8,0))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7</v>
      </c>
      <c r="J4">
        <f>IF(ISNA(VLOOKUP($A4,Councils!$B$6:$AE$841,11,0)),0,VLOOKUP($A4,Councils!$B$6:$AE$841,11,0))</f>
        <v>-3</v>
      </c>
      <c r="K4" s="63">
        <f>IFERROR(J4/D4,0)</f>
        <v>-0.15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7347</v>
      </c>
      <c r="B5" t="str">
        <f>IF(ISNA(VLOOKUP($A5,Councils!$B$6:$AE$841,3,0)),0,VLOOKUP($A5,Councils!$B$6:$AE$841,3,0))</f>
        <v>Canyon Lake</v>
      </c>
      <c r="C5">
        <f>IF(ISNA(VLOOKUP($A5,Councils!$B$6:$AE$841,4,0)),0,VLOOKUP($A5,Councils!$B$6:$AE$841,4,0))</f>
        <v>122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IF(ISNA(VLOOKUP($A5,Councils!$B$6:$AE$81223,0)),0,VLOOKUP($A5,Councils!$B$6:$AE$841,8,0))</f>
        <v>1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16748</v>
      </c>
      <c r="B6" t="str">
        <f>IF(ISNA(VLOOKUP($A6,Councils!$B$6:$AE$841,3,0)),0,VLOOKUP($A6,Councils!$B$6:$AE$841,3,0))</f>
        <v>Seguin</v>
      </c>
      <c r="C6">
        <f>IF(ISNA(VLOOKUP($A6,Councils!$B$6:$AE$841,4,0)),0,VLOOKUP($A6,Councils!$B$6:$AE$841,4,0))</f>
        <v>78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IF(ISNA(VLOOKUP($A6,Councils!$B$6:$AE$81223,0)),0,VLOOKUP($A6,Councils!$B$6:$AE$841,8,0))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0.25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5090</v>
      </c>
      <c r="B3" t="str">
        <f>IF(ISNA(VLOOKUP($A3,Councils!$B$6:$AE$841,3,0)),0,VLOOKUP($A3,Councils!$B$6:$AE$841,3,0))</f>
        <v>Gonzales</v>
      </c>
      <c r="C3">
        <f>IF(ISNA(VLOOKUP($A3,Councils!$B$6:$AE$841,4,0)),0,VLOOKUP($A3,Councils!$B$6:$AE$841,4,0))</f>
        <v>129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6856</v>
      </c>
      <c r="B4" t="str">
        <f>IF(ISNA(VLOOKUP($A4,Councils!$B$6:$AE$841,3,0)),0,VLOOKUP($A4,Councils!$B$6:$AE$841,3,0))</f>
        <v>Selma</v>
      </c>
      <c r="C4">
        <f>IF(ISNA(VLOOKUP($A4,Councils!$B$6:$AE$841,4,0)),0,VLOOKUP($A4,Councils!$B$6:$AE$841,4,0))</f>
        <v>228</v>
      </c>
      <c r="D4">
        <f>IF(ISNA(VLOOKUP($A4,Councils!$B$6:$AE$841,5,0)),0,VLOOKUP($A4,Councils!$B$6:$AE$841,5,0))</f>
        <v>11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0.18181818181818182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9681</v>
      </c>
      <c r="B5" t="str">
        <f>IF(ISNA(VLOOKUP($A5,Councils!$B$6:$AE$841,3,0)),0,VLOOKUP($A5,Councils!$B$6:$AE$841,3,0))</f>
        <v>Converse</v>
      </c>
      <c r="C5">
        <f>IF(ISNA(VLOOKUP($A5,Councils!$B$6:$AE$841,4,0)),0,VLOOKUP($A5,Councils!$B$6:$AE$841,4,0))</f>
        <v>203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12208</v>
      </c>
      <c r="B6" t="str">
        <f>IF(ISNA(VLOOKUP($A6,Councils!$B$6:$AE$841,3,0)),0,VLOOKUP($A6,Councils!$B$6:$AE$841,3,0))</f>
        <v>La Vernia</v>
      </c>
      <c r="C6">
        <f>IF(ISNA(VLOOKUP($A6,Councils!$B$6:$AE$841,4,0)),0,VLOOKUP($A6,Councils!$B$6:$AE$841,4,0))</f>
        <v>145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786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305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7386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148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0.42857142857142855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9702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36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0.66666666666666663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16760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24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IF(ISNA(VLOOKUP($A6,Councils!$B$6:$AE$81223,0)),0,VLOOKUP($A6,Councils!$B$6:$AE$841,8,0))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3345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89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6358</v>
      </c>
      <c r="B4" t="str">
        <f>IF(ISNA(VLOOKUP($A4,Councils!$B$6:$AE$841,3,0)),0,VLOOKUP($A4,Councils!$B$6:$AE$841,3,0))</f>
        <v>Schertz</v>
      </c>
      <c r="C4">
        <f>IF(ISNA(VLOOKUP($A4,Councils!$B$6:$AE$841,4,0)),0,VLOOKUP($A4,Councils!$B$6:$AE$841,4,0))</f>
        <v>342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4</v>
      </c>
      <c r="K4" s="63">
        <f>IFERROR(J4/D4,0)</f>
        <v>0.25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2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2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8738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125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10181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103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4</v>
      </c>
      <c r="J6">
        <f>IF(ISNA(VLOOKUP($A6,Councils!$B$6:$AE$841,11,0)),0,VLOOKUP($A6,Councils!$B$6:$AE$841,11,0))</f>
        <v>-3</v>
      </c>
      <c r="K6" s="63">
        <f>IFERROR(J6/D6,0)</f>
        <v>-0.6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4298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190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8067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37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9291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176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0.22222222222222221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10191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91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9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6833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99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7016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211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11298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35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11342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58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7265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175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8065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405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0.25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9463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99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2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2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0.8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10090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291</v>
      </c>
      <c r="D6">
        <f>IF(ISNA(VLOOKUP($A6,Councils!$B$6:$AE$841,5,0)),0,VLOOKUP($A6,Councils!$B$6:$AE$841,5,0))</f>
        <v>14</v>
      </c>
      <c r="E6">
        <f>IF(ISNA(VLOOKUP($A6,Councils!$B$6:$AE$841,6,0)),0,VLOOKUP($A6,Councils!$B$6:$AE$841,6,0))</f>
        <v>2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2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8</v>
      </c>
      <c r="K6" s="63">
        <f>IFERROR(J6/D6,0)</f>
        <v>0.5714285714285714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4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7770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76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9342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42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10002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72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10593</v>
      </c>
      <c r="B6" t="str">
        <f>IF(ISNA(VLOOKUP($A6,Councils!$B$6:$AE$841,3,0)),0,VLOOKUP($A6,Councils!$B$6:$AE$841,3,0))</f>
        <v>Lacoste</v>
      </c>
      <c r="C6">
        <f>IF(ISNA(VLOOKUP($A6,Councils!$B$6:$AE$841,4,0)),0,VLOOKUP($A6,Councils!$B$6:$AE$841,4,0))</f>
        <v>112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7697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38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8436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116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8769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48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298">
        <v>15343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74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0.75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4315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170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8789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195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16854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44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17314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31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7" t="s">
        <v>901</v>
      </c>
      <c r="I2" s="418"/>
      <c r="J2" s="418"/>
      <c r="K2" s="418"/>
      <c r="L2" s="418"/>
      <c r="M2" s="418"/>
      <c r="N2" s="418"/>
      <c r="O2" s="418"/>
      <c r="P2" s="418"/>
      <c r="W2" s="413" t="str">
        <f>"Results as of "</f>
        <v xml:space="preserve">Results as of </v>
      </c>
      <c r="X2" s="414"/>
      <c r="Y2" s="415">
        <f>RptDate</f>
        <v>44227</v>
      </c>
      <c r="Z2" s="416"/>
    </row>
    <row r="3" spans="1:27" ht="13.5" customHeight="1" thickBot="1">
      <c r="A3" s="194">
        <f>RptDate</f>
        <v>44227</v>
      </c>
      <c r="C3" s="149"/>
      <c r="D3" s="149"/>
      <c r="E3" s="150"/>
      <c r="F3" s="151"/>
      <c r="H3" s="419" t="s">
        <v>889</v>
      </c>
      <c r="I3" s="421" t="s">
        <v>902</v>
      </c>
      <c r="J3" s="421"/>
      <c r="K3" s="422"/>
      <c r="L3" s="423"/>
      <c r="M3" s="425" t="s">
        <v>903</v>
      </c>
      <c r="N3" s="425"/>
      <c r="O3" s="426"/>
      <c r="P3" s="427" t="s">
        <v>904</v>
      </c>
    </row>
    <row r="4" spans="1:27" ht="13.5" thickBot="1">
      <c r="C4" s="142"/>
      <c r="D4" s="142"/>
      <c r="E4" s="152"/>
      <c r="F4" s="153"/>
      <c r="H4" s="420"/>
      <c r="I4" s="154" t="s">
        <v>905</v>
      </c>
      <c r="J4" s="154" t="s">
        <v>906</v>
      </c>
      <c r="K4" s="155" t="s">
        <v>907</v>
      </c>
      <c r="L4" s="424"/>
      <c r="M4" s="156" t="s">
        <v>905</v>
      </c>
      <c r="N4" s="157" t="s">
        <v>906</v>
      </c>
      <c r="O4" s="158" t="s">
        <v>907</v>
      </c>
      <c r="P4" s="428"/>
    </row>
    <row r="5" spans="1:27" ht="13.5" thickBot="1">
      <c r="C5" s="142"/>
      <c r="D5" s="142"/>
      <c r="E5" s="152"/>
      <c r="F5" s="153"/>
      <c r="H5" s="160">
        <f>'Division 1'!H5</f>
        <v>5000</v>
      </c>
      <c r="I5" s="160">
        <f>'Division 1'!I5</f>
        <v>107</v>
      </c>
      <c r="J5" s="160">
        <f>'Division 1'!J5</f>
        <v>179</v>
      </c>
      <c r="K5" s="160">
        <f>'Division 1'!K5</f>
        <v>-72</v>
      </c>
      <c r="L5" s="183"/>
      <c r="M5" s="160">
        <f>'Division 1'!M5</f>
        <v>1134</v>
      </c>
      <c r="N5" s="160">
        <f>'Division 1'!N5</f>
        <v>840</v>
      </c>
      <c r="O5" s="160">
        <f>'Division 1'!O5</f>
        <v>294</v>
      </c>
      <c r="P5" s="184">
        <f>M5/H5</f>
        <v>0.2268</v>
      </c>
    </row>
    <row r="6" spans="1:27">
      <c r="C6" s="142"/>
      <c r="D6" s="142"/>
      <c r="E6" s="152"/>
      <c r="F6" s="153"/>
    </row>
    <row r="7" spans="1:27">
      <c r="A7" s="164" t="s">
        <v>602</v>
      </c>
      <c r="B7" s="165"/>
      <c r="C7" s="410" t="s">
        <v>37</v>
      </c>
      <c r="D7" s="411"/>
      <c r="E7" s="411"/>
      <c r="F7" s="412"/>
      <c r="G7" s="166"/>
      <c r="H7" s="410" t="s">
        <v>66</v>
      </c>
      <c r="I7" s="411"/>
      <c r="J7" s="411"/>
      <c r="K7" s="412"/>
      <c r="L7" s="166"/>
      <c r="M7" s="410" t="s">
        <v>43</v>
      </c>
      <c r="N7" s="411"/>
      <c r="O7" s="411"/>
      <c r="P7" s="412"/>
      <c r="Q7" s="166"/>
      <c r="R7" s="410" t="s">
        <v>85</v>
      </c>
      <c r="S7" s="411"/>
      <c r="T7" s="411"/>
      <c r="U7" s="412"/>
      <c r="V7" s="166"/>
      <c r="W7" s="410" t="s">
        <v>51</v>
      </c>
      <c r="X7" s="411"/>
      <c r="Y7" s="411"/>
      <c r="Z7" s="412"/>
      <c r="AA7" s="166"/>
    </row>
    <row r="8" spans="1:27">
      <c r="A8" s="164" t="s">
        <v>908</v>
      </c>
      <c r="B8" s="165"/>
      <c r="C8" s="429" t="str">
        <f>IF(ISNA(VLOOKUP(C7,'Dio Dep info'!$A$1:$C$16,3,0)),0,VLOOKUP(C7,'Dio Dep info'!$A$1:$C$16,3,0))</f>
        <v>Charles Trahan</v>
      </c>
      <c r="D8" s="430"/>
      <c r="E8" s="430"/>
      <c r="F8" s="431"/>
      <c r="G8" s="166"/>
      <c r="H8" s="429" t="str">
        <f>IF(ISNA(VLOOKUP(H7,'Dio Dep info'!$A$1:$C$16,3,0)),0,VLOOKUP(H7,'Dio Dep info'!$A$1:$C$16,3,0))</f>
        <v>Jose Garza</v>
      </c>
      <c r="I8" s="430"/>
      <c r="J8" s="430"/>
      <c r="K8" s="431"/>
      <c r="L8" s="166"/>
      <c r="M8" s="429" t="str">
        <f>IF(ISNA(VLOOKUP(M7,'Dio Dep info'!$A$1:$C$16,3,0)),0,VLOOKUP(M7,'Dio Dep info'!$A$1:$C$16,3,0))</f>
        <v>Rudy Ortiz</v>
      </c>
      <c r="N8" s="430"/>
      <c r="O8" s="430"/>
      <c r="P8" s="431"/>
      <c r="Q8" s="166"/>
      <c r="R8" s="429" t="str">
        <f>IF(ISNA(VLOOKUP(R7,'Dio Dep info'!$A$1:$C$16,3,0)),0,VLOOKUP(R7,'Dio Dep info'!$A$1:$C$16,3,0))</f>
        <v>Joe Jacobo</v>
      </c>
      <c r="S8" s="430"/>
      <c r="T8" s="430"/>
      <c r="U8" s="431"/>
      <c r="V8" s="166"/>
      <c r="W8" s="429" t="str">
        <f>IF(ISNA(VLOOKUP(W7,'Dio Dep info'!$A$1:$C$16,3,0)),0,VLOOKUP(W7,'Dio Dep info'!$A$1:$C$16,3,0))</f>
        <v>Kenny Trochta</v>
      </c>
      <c r="X8" s="430"/>
      <c r="Y8" s="430"/>
      <c r="Z8" s="431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2</v>
      </c>
      <c r="E10" s="150">
        <f>IF(Actuals!B$69="","",D10-C10)</f>
        <v>-5</v>
      </c>
      <c r="F10" s="169">
        <f>IFERROR(D10/C10,"")</f>
        <v>0.2857142857142857</v>
      </c>
      <c r="G10" s="170"/>
      <c r="H10" s="168">
        <f>INDEX('Goals-1'!$B$4:$P$18,MATCH(H$7,'Goals-1'!$A$4:$A$18),MATCH($A10,'Goals-1'!$B$3:$P$3,0))</f>
        <v>12</v>
      </c>
      <c r="I10" s="168">
        <f>IF(INDEX(Actuals!$B$5:$M$21,MATCH(H$7,Actuals!$A$5:$A$21,0),MATCH($A10,Actuals!$B$4:$M$4,0))="","",INDEX(Actuals!$B$5:$M$21,MATCH(H$7,Actuals!$A$5:$A$21,0),MATCH($A10,Actuals!$B$4:$M$4,0)))</f>
        <v>8</v>
      </c>
      <c r="J10" s="150">
        <f>IF(Actuals!B$70="","",I10-H10)</f>
        <v>-4</v>
      </c>
      <c r="K10" s="169">
        <f>IFERROR(I10/H10,"")</f>
        <v>0.66666666666666663</v>
      </c>
      <c r="L10" s="170"/>
      <c r="M10" s="168">
        <f>INDEX('Goals-1'!$B$4:$P$18,MATCH(M$7,'Goals-1'!$A$4:$A$18),MATCH($A10,'Goals-1'!$B$3:$P$3,0))</f>
        <v>11</v>
      </c>
      <c r="N10" s="168">
        <f>IF(INDEX(Actuals!$B$5:$M$21,MATCH(M$7,Actuals!$A$5:$A$21,0),MATCH($A10,Actuals!$B$4:$M$4,0))="","",INDEX(Actuals!$B$5:$M$21,MATCH(M$7,Actuals!$A$5:$A$21,0),MATCH($A10,Actuals!$B$4:$M$4,0)))</f>
        <v>11</v>
      </c>
      <c r="O10" s="150">
        <f>IF(Actuals!B$71="","",N10-M10)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8</v>
      </c>
      <c r="S10" s="168">
        <f>IF(INDEX(Actuals!$B$5:$M$21,MATCH(R$7,Actuals!$A$5:$A$21,0),MATCH($A10,Actuals!$B$4:$M$4,0))="","",INDEX(Actuals!$B$5:$M$21,MATCH(R$7,Actuals!$A$5:$A$21,0),MATCH($A10,Actuals!$B$4:$M$4,0)))</f>
        <v>2</v>
      </c>
      <c r="T10" s="150">
        <f>IF(Actuals!B$72="","",S10-R10)</f>
        <v>-6</v>
      </c>
      <c r="U10" s="169">
        <f>IFERROR(S10/R10,"")</f>
        <v>0.25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4</v>
      </c>
      <c r="Y10" s="150">
        <f>IF(Actuals!B$73="","",X10-W10)</f>
        <v>-6</v>
      </c>
      <c r="Z10" s="169">
        <f>IFERROR(X10/W10,"")</f>
        <v>0.4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11</v>
      </c>
      <c r="D11" s="167">
        <f>IF(INDEX(Actuals!$B$5:$M$21,MATCH(C$7,Actuals!$A$5:$A$21,0),MATCH($A11,Actuals!$B$4:$M$4,0))="","",INDEX(Actuals!$B$5:$M$21,MATCH(C$7,Actuals!$A$5:$A$21,0),MATCH($A11,Actuals!$B$4:$M$4,0)))</f>
        <v>1</v>
      </c>
      <c r="E11" s="150">
        <f>IF(Actuals!C$69="","",D11-C11)</f>
        <v>-10</v>
      </c>
      <c r="F11" s="169">
        <f t="shared" ref="F11:F21" si="0">IFERROR(D11/C11,"")</f>
        <v>9.0909090909090912E-2</v>
      </c>
      <c r="G11" s="171"/>
      <c r="H11" s="168">
        <f>INDEX('Goals-1'!$B$4:$P$18,MATCH(H$7,'Goals-1'!$A$4:$A$18),MATCH($A11,'Goals-1'!$B$3:$P$3,0))</f>
        <v>17</v>
      </c>
      <c r="I11" s="168">
        <f>IF(INDEX(Actuals!$B$5:$M$21,MATCH(H$7,Actuals!$A$5:$A$21,0),MATCH($A11,Actuals!$B$4:$M$4,0))="","",INDEX(Actuals!$B$5:$M$21,MATCH(H$7,Actuals!$A$5:$A$21,0),MATCH($A11,Actuals!$B$4:$M$4,0)))</f>
        <v>6</v>
      </c>
      <c r="J11" s="150">
        <f>IF(Actuals!C$70="","",I11-H11)</f>
        <v>-11</v>
      </c>
      <c r="K11" s="169">
        <f t="shared" ref="K11:K22" si="1">IFERROR(I11/H11,"")</f>
        <v>0.35294117647058826</v>
      </c>
      <c r="L11" s="171"/>
      <c r="M11" s="168">
        <f>INDEX('Goals-1'!$B$4:$P$18,MATCH(M$7,'Goals-1'!$A$4:$A$18),MATCH($A11,'Goals-1'!$B$3:$P$3,0))</f>
        <v>16</v>
      </c>
      <c r="N11" s="168">
        <f>IF(INDEX(Actuals!$B$5:$M$21,MATCH(M$7,Actuals!$A$5:$A$21,0),MATCH($A11,Actuals!$B$4:$M$4,0))="","",INDEX(Actuals!$B$5:$M$21,MATCH(M$7,Actuals!$A$5:$A$21,0),MATCH($A11,Actuals!$B$4:$M$4,0)))</f>
        <v>5</v>
      </c>
      <c r="O11" s="150">
        <f>IF(Actuals!C$71="","",N11-M11)</f>
        <v>-11</v>
      </c>
      <c r="P11" s="169">
        <f t="shared" ref="P11:P21" si="2">IFERROR(N11/M11,"")</f>
        <v>0.3125</v>
      </c>
      <c r="Q11" s="171"/>
      <c r="R11" s="168">
        <f>INDEX('Goals-1'!$B$4:$P$18,MATCH(R$7,'Goals-1'!$A$4:$A$18),MATCH($A11,'Goals-1'!$B$3:$P$3,0))</f>
        <v>11</v>
      </c>
      <c r="S11" s="168">
        <f>IF(INDEX(Actuals!$B$5:$M$21,MATCH(R$7,Actuals!$A$5:$A$21,0),MATCH($A11,Actuals!$B$4:$M$4,0))="","",INDEX(Actuals!$B$5:$M$21,MATCH(R$7,Actuals!$A$5:$A$21,0),MATCH($A11,Actuals!$B$4:$M$4,0)))</f>
        <v>17</v>
      </c>
      <c r="T11" s="150">
        <f>IF(Actuals!C$72="","",S11-R11)</f>
        <v>6</v>
      </c>
      <c r="U11" s="169">
        <f t="shared" ref="U11:U21" si="3">IFERROR(S11/R11,"")</f>
        <v>1.5454545454545454</v>
      </c>
      <c r="V11" s="171"/>
      <c r="W11" s="168">
        <f>INDEX('Goals-1'!$B$4:$P$18,MATCH(W$7,'Goals-1'!$A$4:$A$18),MATCH($A11,'Goals-1'!$B$3:$P$3,0))</f>
        <v>15</v>
      </c>
      <c r="X11" s="167">
        <f>IF(INDEX(Actuals!$B$5:$M$21,MATCH(W$7,Actuals!$A$5:$A$21,0),MATCH($A11,Actuals!$B$4:$M$4,0))="","",INDEX(Actuals!$B$5:$M$21,MATCH(W$7,Actuals!$A$5:$A$21,0),MATCH($A11,Actuals!$B$4:$M$4,0)))</f>
        <v>16</v>
      </c>
      <c r="Y11" s="150">
        <f>IF(Actuals!C$73="","",X11-W11)</f>
        <v>1</v>
      </c>
      <c r="Z11" s="169">
        <f t="shared" ref="Z11:Z21" si="4">IFERROR(X11/W11,"")</f>
        <v>1.0666666666666667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3</v>
      </c>
      <c r="E12" s="150">
        <f>IF(Actuals!D$69="","",D12-C12)</f>
        <v>-11</v>
      </c>
      <c r="F12" s="169">
        <f t="shared" si="0"/>
        <v>0.21428571428571427</v>
      </c>
      <c r="G12" s="171"/>
      <c r="H12" s="168">
        <f>INDEX('Goals-1'!$B$4:$P$18,MATCH(H$7,'Goals-1'!$A$4:$A$18),MATCH($A12,'Goals-1'!$B$3:$P$3,0))</f>
        <v>22</v>
      </c>
      <c r="I12" s="168">
        <f>IF(INDEX(Actuals!$B$5:$M$21,MATCH(H$7,Actuals!$A$5:$A$21,0),MATCH($A12,Actuals!$B$4:$M$4,0))="","",INDEX(Actuals!$B$5:$M$21,MATCH(H$7,Actuals!$A$5:$A$21,0),MATCH($A12,Actuals!$B$4:$M$4,0)))</f>
        <v>9</v>
      </c>
      <c r="J12" s="150">
        <f>IF(Actuals!D$70="","",I12-H12)</f>
        <v>-13</v>
      </c>
      <c r="K12" s="169">
        <f t="shared" si="1"/>
        <v>0.40909090909090912</v>
      </c>
      <c r="L12" s="171"/>
      <c r="M12" s="168">
        <f>INDEX('Goals-1'!$B$4:$P$18,MATCH(M$7,'Goals-1'!$A$4:$A$18),MATCH($A12,'Goals-1'!$B$3:$P$3,0))</f>
        <v>21</v>
      </c>
      <c r="N12" s="168">
        <f>IF(INDEX(Actuals!$B$5:$M$21,MATCH(M$7,Actuals!$A$5:$A$21,0),MATCH($A12,Actuals!$B$4:$M$4,0))="","",INDEX(Actuals!$B$5:$M$21,MATCH(M$7,Actuals!$A$5:$A$21,0),MATCH($A12,Actuals!$B$4:$M$4,0)))</f>
        <v>4</v>
      </c>
      <c r="O12" s="150">
        <f>IF(Actuals!D$71="","",N12-M12)</f>
        <v>-17</v>
      </c>
      <c r="P12" s="169">
        <f t="shared" si="2"/>
        <v>0.19047619047619047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</v>
      </c>
      <c r="T12" s="150">
        <f>IF(Actuals!D$72="","",S12-R12)</f>
        <v>-14</v>
      </c>
      <c r="U12" s="169">
        <f t="shared" si="3"/>
        <v>6.6666666666666666E-2</v>
      </c>
      <c r="V12" s="171"/>
      <c r="W12" s="168">
        <f>INDEX('Goals-1'!$B$4:$P$18,MATCH(W$7,'Goals-1'!$A$4:$A$18),MATCH($A12,'Goals-1'!$B$3:$P$3,0))</f>
        <v>20</v>
      </c>
      <c r="X12" s="167">
        <f>IF(INDEX(Actuals!$B$5:$M$21,MATCH(W$7,Actuals!$A$5:$A$21,0),MATCH($A12,Actuals!$B$4:$M$4,0))="","",INDEX(Actuals!$B$5:$M$21,MATCH(W$7,Actuals!$A$5:$A$21,0),MATCH($A12,Actuals!$B$4:$M$4,0)))</f>
        <v>5</v>
      </c>
      <c r="Y12" s="150">
        <f>IF(Actuals!D$73="","",X12-W12)</f>
        <v>-15</v>
      </c>
      <c r="Z12" s="169">
        <f t="shared" si="4"/>
        <v>0.25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15</v>
      </c>
      <c r="D13" s="167">
        <f>IF(INDEX(Actuals!$B$5:$M$21,MATCH(C$7,Actuals!$A$5:$A$21,0),MATCH($A13,Actuals!$B$4:$M$4,0))="","",INDEX(Actuals!$B$5:$M$21,MATCH(C$7,Actuals!$A$5:$A$21,0),MATCH($A13,Actuals!$B$4:$M$4,0)))</f>
        <v>4</v>
      </c>
      <c r="E13" s="150">
        <f>IF(Actuals!E$69="","",D13-C13)</f>
        <v>-11</v>
      </c>
      <c r="F13" s="169">
        <f t="shared" si="0"/>
        <v>0.26666666666666666</v>
      </c>
      <c r="G13" s="171"/>
      <c r="H13" s="168">
        <f>INDEX('Goals-1'!$B$4:$P$18,MATCH(H$7,'Goals-1'!$A$4:$A$18),MATCH($A13,'Goals-1'!$B$3:$P$3,0))</f>
        <v>24</v>
      </c>
      <c r="I13" s="168">
        <f>IF(INDEX(Actuals!$B$5:$M$21,MATCH(H$7,Actuals!$A$5:$A$21,0),MATCH($A13,Actuals!$B$4:$M$4,0))="","",INDEX(Actuals!$B$5:$M$21,MATCH(H$7,Actuals!$A$5:$A$21,0),MATCH($A13,Actuals!$B$4:$M$4,0)))</f>
        <v>8</v>
      </c>
      <c r="J13" s="150">
        <f>IF(Actuals!E$70="","",I13-H13)</f>
        <v>-16</v>
      </c>
      <c r="K13" s="169">
        <f t="shared" si="1"/>
        <v>0.33333333333333331</v>
      </c>
      <c r="L13" s="171"/>
      <c r="M13" s="168">
        <f>INDEX('Goals-1'!$B$4:$P$18,MATCH(M$7,'Goals-1'!$A$4:$A$18),MATCH($A13,'Goals-1'!$B$3:$P$3,0))</f>
        <v>23</v>
      </c>
      <c r="N13" s="168">
        <f>IF(INDEX(Actuals!$B$5:$M$21,MATCH(M$7,Actuals!$A$5:$A$21,0),MATCH($A13,Actuals!$B$4:$M$4,0))="","",INDEX(Actuals!$B$5:$M$21,MATCH(M$7,Actuals!$A$5:$A$21,0),MATCH($A13,Actuals!$B$4:$M$4,0)))</f>
        <v>24</v>
      </c>
      <c r="O13" s="150">
        <f>IF(Actuals!E$71="","",N13-M13)</f>
        <v>1</v>
      </c>
      <c r="P13" s="169">
        <f t="shared" si="2"/>
        <v>1.0434782608695652</v>
      </c>
      <c r="Q13" s="171"/>
      <c r="R13" s="168">
        <f>INDEX('Goals-1'!$B$4:$P$18,MATCH(R$7,'Goals-1'!$A$4:$A$18),MATCH($A13,'Goals-1'!$B$3:$P$3,0))</f>
        <v>16</v>
      </c>
      <c r="S13" s="168">
        <f>IF(INDEX(Actuals!$B$5:$M$21,MATCH(R$7,Actuals!$A$5:$A$21,0),MATCH($A13,Actuals!$B$4:$M$4,0))="","",INDEX(Actuals!$B$5:$M$21,MATCH(R$7,Actuals!$A$5:$A$21,0),MATCH($A13,Actuals!$B$4:$M$4,0)))</f>
        <v>0</v>
      </c>
      <c r="T13" s="150">
        <f>IF(Actuals!E$72="","",S13-R13)</f>
        <v>-16</v>
      </c>
      <c r="U13" s="169">
        <f t="shared" si="3"/>
        <v>0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5</v>
      </c>
      <c r="Y13" s="150">
        <f>IF(Actuals!E$73="","",X13-W13)</f>
        <v>-16</v>
      </c>
      <c r="Z13" s="169">
        <f t="shared" si="4"/>
        <v>0.23809523809523808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15</v>
      </c>
      <c r="D14" s="167">
        <f>IF(INDEX(Actuals!$B$5:$M$21,MATCH(C$7,Actuals!$A$5:$A$21,0),MATCH($A14,Actuals!$B$4:$M$4,0))="","",INDEX(Actuals!$B$5:$M$21,MATCH(C$7,Actuals!$A$5:$A$21,0),MATCH($A14,Actuals!$B$4:$M$4,0)))</f>
        <v>9</v>
      </c>
      <c r="E14" s="150">
        <f>IF(Actuals!F$69="","",D14-C14)</f>
        <v>-6</v>
      </c>
      <c r="F14" s="169">
        <f t="shared" si="0"/>
        <v>0.6</v>
      </c>
      <c r="G14" s="172"/>
      <c r="H14" s="168">
        <f>INDEX('Goals-1'!$B$4:$P$18,MATCH(H$7,'Goals-1'!$A$4:$A$18),MATCH($A14,'Goals-1'!$B$3:$P$3,0))</f>
        <v>23</v>
      </c>
      <c r="I14" s="168">
        <f>IF(INDEX(Actuals!$B$5:$M$21,MATCH(H$7,Actuals!$A$5:$A$21,0),MATCH($A14,Actuals!$B$4:$M$4,0))="","",INDEX(Actuals!$B$5:$M$21,MATCH(H$7,Actuals!$A$5:$A$21,0),MATCH($A14,Actuals!$B$4:$M$4,0)))</f>
        <v>7</v>
      </c>
      <c r="J14" s="150">
        <f>IF(Actuals!F$70="","",I14-H14)</f>
        <v>-16</v>
      </c>
      <c r="K14" s="169">
        <f t="shared" si="1"/>
        <v>0.30434782608695654</v>
      </c>
      <c r="L14" s="172"/>
      <c r="M14" s="168">
        <f>INDEX('Goals-1'!$B$4:$P$18,MATCH(M$7,'Goals-1'!$A$4:$A$18),MATCH($A14,'Goals-1'!$B$3:$P$3,0))</f>
        <v>22</v>
      </c>
      <c r="N14" s="168">
        <f>IF(INDEX(Actuals!$B$5:$M$21,MATCH(M$7,Actuals!$A$5:$A$21,0),MATCH($A14,Actuals!$B$4:$M$4,0))="","",INDEX(Actuals!$B$5:$M$21,MATCH(M$7,Actuals!$A$5:$A$21,0),MATCH($A14,Actuals!$B$4:$M$4,0)))</f>
        <v>11</v>
      </c>
      <c r="O14" s="150">
        <f>IF(Actuals!F$71="","",N14-M14)</f>
        <v>-11</v>
      </c>
      <c r="P14" s="169">
        <f t="shared" si="2"/>
        <v>0.5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IF(Actuals!F$72="","",S14-R14)</f>
        <v>-14</v>
      </c>
      <c r="U14" s="169">
        <f t="shared" si="3"/>
        <v>6.6666666666666666E-2</v>
      </c>
      <c r="V14" s="172"/>
      <c r="W14" s="168">
        <f>INDEX('Goals-1'!$B$4:$P$18,MATCH(W$7,'Goals-1'!$A$4:$A$18),MATCH($A14,'Goals-1'!$B$3:$P$3,0))</f>
        <v>21</v>
      </c>
      <c r="X14" s="167">
        <f>IF(INDEX(Actuals!$B$5:$M$21,MATCH(W$7,Actuals!$A$5:$A$21,0),MATCH($A14,Actuals!$B$4:$M$4,0))="","",INDEX(Actuals!$B$5:$M$21,MATCH(W$7,Actuals!$A$5:$A$21,0),MATCH($A14,Actuals!$B$4:$M$4,0)))</f>
        <v>0</v>
      </c>
      <c r="Y14" s="150">
        <f>IF(Actuals!F$73="","",X14-W14)</f>
        <v>-21</v>
      </c>
      <c r="Z14" s="169">
        <f t="shared" si="4"/>
        <v>0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8</v>
      </c>
      <c r="E15" s="150">
        <f>IF(Actuals!G$69="","",D15-C15)</f>
        <v>-5</v>
      </c>
      <c r="F15" s="169">
        <f t="shared" si="0"/>
        <v>0.61538461538461542</v>
      </c>
      <c r="G15" s="172"/>
      <c r="H15" s="168">
        <f>INDEX('Goals-1'!$B$4:$P$18,MATCH(H$7,'Goals-1'!$A$4:$A$18),MATCH($A15,'Goals-1'!$B$3:$P$3,0))</f>
        <v>21</v>
      </c>
      <c r="I15" s="168">
        <f>IF(INDEX(Actuals!$B$5:$M$21,MATCH(H$7,Actuals!$A$5:$A$21,0),MATCH($A15,Actuals!$B$4:$M$4,0))="","",INDEX(Actuals!$B$5:$M$21,MATCH(H$7,Actuals!$A$5:$A$21,0),MATCH($A15,Actuals!$B$4:$M$4,0)))</f>
        <v>5</v>
      </c>
      <c r="J15" s="150">
        <f>IF(Actuals!G$70="","",I15-H15)</f>
        <v>-16</v>
      </c>
      <c r="K15" s="169">
        <f t="shared" si="1"/>
        <v>0.23809523809523808</v>
      </c>
      <c r="L15" s="172"/>
      <c r="M15" s="168">
        <f>INDEX('Goals-1'!$B$4:$P$18,MATCH(M$7,'Goals-1'!$A$4:$A$18),MATCH($A15,'Goals-1'!$B$3:$P$3,0))</f>
        <v>20</v>
      </c>
      <c r="N15" s="168">
        <f>IF(INDEX(Actuals!$B$5:$M$21,MATCH(M$7,Actuals!$A$5:$A$21,0),MATCH($A15,Actuals!$B$4:$M$4,0))="","",INDEX(Actuals!$B$5:$M$21,MATCH(M$7,Actuals!$A$5:$A$21,0),MATCH($A15,Actuals!$B$4:$M$4,0)))</f>
        <v>12</v>
      </c>
      <c r="O15" s="150">
        <f>IF(Actuals!G$71="","",N15-M15)</f>
        <v>-8</v>
      </c>
      <c r="P15" s="169">
        <f t="shared" si="2"/>
        <v>0.6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0</v>
      </c>
      <c r="T15" s="150">
        <f>IF(Actuals!G$72="","",S15-R15)</f>
        <v>-14</v>
      </c>
      <c r="U15" s="169">
        <f t="shared" si="3"/>
        <v>0</v>
      </c>
      <c r="V15" s="172"/>
      <c r="W15" s="168">
        <f>INDEX('Goals-1'!$B$4:$P$18,MATCH(W$7,'Goals-1'!$A$4:$A$18),MATCH($A15,'Goals-1'!$B$3:$P$3,0))</f>
        <v>19</v>
      </c>
      <c r="X15" s="167">
        <f>IF(INDEX(Actuals!$B$5:$M$21,MATCH(W$7,Actuals!$A$5:$A$21,0),MATCH($A15,Actuals!$B$4:$M$4,0))="","",INDEX(Actuals!$B$5:$M$21,MATCH(W$7,Actuals!$A$5:$A$21,0),MATCH($A15,Actuals!$B$4:$M$4,0)))</f>
        <v>6</v>
      </c>
      <c r="Y15" s="150">
        <f>IF(Actuals!G$73="","",X15-W15)</f>
        <v>-13</v>
      </c>
      <c r="Z15" s="169">
        <f t="shared" si="4"/>
        <v>0.31578947368421051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9</v>
      </c>
      <c r="D16" s="270">
        <f>IF(INDEX(Actuals!$B$5:$M$21,MATCH(C$7,Actuals!$A$5:$A$21,0),MATCH($A16,Actuals!$B$4:$M$4,0))="","",INDEX(Actuals!$B$5:$M$21,MATCH(C$7,Actuals!$A$5:$A$21,0),MATCH($A16,Actuals!$B$4:$M$4,0)))</f>
        <v>1</v>
      </c>
      <c r="E16" s="150">
        <f>IF(Actuals!H$69="","",D16-C16)</f>
        <v>-8</v>
      </c>
      <c r="F16" s="169">
        <f t="shared" si="0"/>
        <v>0.1111111111111111</v>
      </c>
      <c r="G16" s="171"/>
      <c r="H16" s="168">
        <f>INDEX('Goals-1'!$B$4:$P$18,MATCH(H$7,'Goals-1'!$A$4:$A$18),MATCH($A16,'Goals-1'!$B$3:$P$3,0))</f>
        <v>14</v>
      </c>
      <c r="I16" s="168">
        <f>IF(INDEX(Actuals!$B$5:$M$21,MATCH(H$7,Actuals!$A$5:$A$21,0),MATCH($A16,Actuals!$B$4:$M$4,0))="","",INDEX(Actuals!$B$5:$M$21,MATCH(H$7,Actuals!$A$5:$A$21,0),MATCH($A16,Actuals!$B$4:$M$4,0)))</f>
        <v>5</v>
      </c>
      <c r="J16" s="150">
        <f>IF(Actuals!H$70="","",I16-H16)</f>
        <v>-9</v>
      </c>
      <c r="K16" s="169">
        <f t="shared" si="1"/>
        <v>0.35714285714285715</v>
      </c>
      <c r="L16" s="171"/>
      <c r="M16" s="168">
        <f>INDEX('Goals-1'!$B$4:$P$18,MATCH(M$7,'Goals-1'!$A$4:$A$18),MATCH($A16,'Goals-1'!$B$3:$P$3,0))</f>
        <v>13</v>
      </c>
      <c r="N16" s="168">
        <f>IF(INDEX(Actuals!$B$5:$M$21,MATCH(M$7,Actuals!$A$5:$A$21,0),MATCH($A16,Actuals!$B$4:$M$4,0))="","",INDEX(Actuals!$B$5:$M$21,MATCH(M$7,Actuals!$A$5:$A$21,0),MATCH($A16,Actuals!$B$4:$M$4,0)))</f>
        <v>1</v>
      </c>
      <c r="O16" s="150">
        <f>IF(Actuals!H$71="","",N16-M16)</f>
        <v>-12</v>
      </c>
      <c r="P16" s="169">
        <f t="shared" si="2"/>
        <v>7.6923076923076927E-2</v>
      </c>
      <c r="Q16" s="171"/>
      <c r="R16" s="168">
        <f>INDEX('Goals-1'!$B$4:$P$18,MATCH(R$7,'Goals-1'!$A$4:$A$18),MATCH($A16,'Goals-1'!$B$3:$P$3,0))</f>
        <v>9</v>
      </c>
      <c r="S16" s="168">
        <f>IF(INDEX(Actuals!$B$5:$M$21,MATCH(R$7,Actuals!$A$5:$A$21,0),MATCH($A16,Actuals!$B$4:$M$4,0))="","",INDEX(Actuals!$B$5:$M$21,MATCH(R$7,Actuals!$A$5:$A$21,0),MATCH($A16,Actuals!$B$4:$M$4,0)))</f>
        <v>2</v>
      </c>
      <c r="T16" s="150">
        <f>IF(Actuals!H$72="","",S16-R16)</f>
        <v>-7</v>
      </c>
      <c r="U16" s="169">
        <f t="shared" si="3"/>
        <v>0.22222222222222221</v>
      </c>
      <c r="V16" s="171"/>
      <c r="W16" s="168">
        <f>INDEX('Goals-1'!$B$4:$P$18,MATCH(W$7,'Goals-1'!$A$4:$A$18),MATCH($A16,'Goals-1'!$B$3:$P$3,0))</f>
        <v>12</v>
      </c>
      <c r="X16" s="167">
        <f>IF(INDEX(Actuals!$B$5:$M$21,MATCH(W$7,Actuals!$A$5:$A$21,0),MATCH($A16,Actuals!$B$4:$M$4,0))="","",INDEX(Actuals!$B$5:$M$21,MATCH(W$7,Actuals!$A$5:$A$21,0),MATCH($A16,Actuals!$B$4:$M$4,0)))</f>
        <v>3</v>
      </c>
      <c r="Y16" s="150">
        <f>IF(Actuals!H$73="","",X16-W16)</f>
        <v>-9</v>
      </c>
      <c r="Z16" s="169">
        <f t="shared" si="4"/>
        <v>0.25</v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15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23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27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17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24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15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24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23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16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15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24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23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16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21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14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15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20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16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26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20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14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21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159</v>
      </c>
      <c r="D22" s="167">
        <f>SUM(D10:D21)</f>
        <v>28</v>
      </c>
      <c r="E22" s="150">
        <f>IF(D22="","",D22-C22)</f>
        <v>-131</v>
      </c>
      <c r="F22" s="169">
        <f>IF(D22="0","",D22/C22)</f>
        <v>0.1761006289308176</v>
      </c>
      <c r="G22" s="170"/>
      <c r="H22" s="175">
        <f>SUM(H10:H21)</f>
        <v>253</v>
      </c>
      <c r="I22" s="167">
        <f>SUM(I10:I21)</f>
        <v>48</v>
      </c>
      <c r="J22" s="150">
        <f>IF(I22="","",I22-H22)</f>
        <v>-205</v>
      </c>
      <c r="K22" s="169">
        <f t="shared" si="1"/>
        <v>0.18972332015810275</v>
      </c>
      <c r="L22" s="170"/>
      <c r="M22" s="175">
        <f>SUM(M10:M21)</f>
        <v>241</v>
      </c>
      <c r="N22" s="167">
        <f>SUM(N10:N21)</f>
        <v>68</v>
      </c>
      <c r="O22" s="150">
        <f>IF(N22="","",N22-M22)</f>
        <v>-173</v>
      </c>
      <c r="P22" s="169">
        <f>IF(N22="0","",N22/M22)</f>
        <v>0.28215767634854771</v>
      </c>
      <c r="Q22" s="170"/>
      <c r="R22" s="175">
        <f>SUM(R10:R21)</f>
        <v>166</v>
      </c>
      <c r="S22" s="167">
        <f>SUM(S10:S21)</f>
        <v>23</v>
      </c>
      <c r="T22" s="150">
        <f>IF(S22="","",S22-R22)</f>
        <v>-143</v>
      </c>
      <c r="U22" s="169">
        <f>IF(S22="0","",S22/R22)</f>
        <v>0.13855421686746988</v>
      </c>
      <c r="V22" s="170"/>
      <c r="W22" s="175">
        <f>SUM(W10:W21)</f>
        <v>225</v>
      </c>
      <c r="X22" s="167">
        <f>SUM(X10:X21)</f>
        <v>39</v>
      </c>
      <c r="Y22" s="150">
        <f>IF(X22="","",X22-W22)</f>
        <v>-186</v>
      </c>
      <c r="Z22" s="169">
        <f>IF(X22="0","",X22/W22)</f>
        <v>0.17333333333333334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32</v>
      </c>
      <c r="D25" s="177">
        <f>IFERROR(D10+D11+D12,"")</f>
        <v>6</v>
      </c>
      <c r="E25" s="269">
        <f>IFERROR(E10+E11+E12,"")</f>
        <v>-26</v>
      </c>
      <c r="F25" s="169">
        <f>IF(OR(D25="",D25=0),"",D25/C25)</f>
        <v>0.1875</v>
      </c>
      <c r="G25" s="176"/>
      <c r="H25" s="168">
        <f>IFERROR((H10+H11+H12),"")</f>
        <v>51</v>
      </c>
      <c r="I25" s="168">
        <f>IFERROR(I10+I11+I12,"")</f>
        <v>23</v>
      </c>
      <c r="J25" s="269">
        <f>IFERROR(J10+J11+J12,"")</f>
        <v>-28</v>
      </c>
      <c r="K25" s="169">
        <f>IF(OR(I25="",I25=0),"",I25/H25)</f>
        <v>0.45098039215686275</v>
      </c>
      <c r="L25" s="176"/>
      <c r="M25" s="168">
        <f>IFERROR((M10+M11+M12),"")</f>
        <v>48</v>
      </c>
      <c r="N25" s="168">
        <f>IFERROR(N10+N11+N12,"")</f>
        <v>20</v>
      </c>
      <c r="O25" s="269">
        <f>IFERROR(O10+O11+O12,"")</f>
        <v>-28</v>
      </c>
      <c r="P25" s="169">
        <f>IF(OR(N25="",N25=0),"",N25/M25)</f>
        <v>0.41666666666666669</v>
      </c>
      <c r="Q25" s="176"/>
      <c r="R25" s="168">
        <f>IFERROR((R10+R11+R12),"")</f>
        <v>34</v>
      </c>
      <c r="S25" s="168">
        <f>IFERROR(S10+S11+S12,"")</f>
        <v>20</v>
      </c>
      <c r="T25" s="269">
        <f>IFERROR(T10+T11+T12,"")</f>
        <v>-14</v>
      </c>
      <c r="U25" s="169">
        <f>IF(OR(S25="",S25=0),"",S25/R25)</f>
        <v>0.58823529411764708</v>
      </c>
      <c r="V25" s="176"/>
      <c r="W25" s="168">
        <f>IFERROR((W10+W11+W12),"")</f>
        <v>45</v>
      </c>
      <c r="X25" s="168">
        <f>IFERROR(X10+X11+X12,"")</f>
        <v>25</v>
      </c>
      <c r="Y25" s="269">
        <f>IFERROR(Y10+Y11+Y12,"")</f>
        <v>-20</v>
      </c>
      <c r="Z25" s="169">
        <f>IF(OR(X25="",X25=0),"",X25/W25)</f>
        <v>0.55555555555555558</v>
      </c>
      <c r="AA25" s="176"/>
    </row>
    <row r="26" spans="1:27">
      <c r="A26" s="131" t="s">
        <v>663</v>
      </c>
      <c r="C26" s="168">
        <f>IFERROR((C13+C14+C15),"")</f>
        <v>43</v>
      </c>
      <c r="D26" s="177">
        <f>IFERROR(D13+D14+D15,"")</f>
        <v>21</v>
      </c>
      <c r="E26" s="269">
        <f>IFERROR(E13+E14+E15,"")</f>
        <v>-22</v>
      </c>
      <c r="F26" s="169">
        <f>IF(OR(D26="",D26=0),"",D26/C26)</f>
        <v>0.48837209302325579</v>
      </c>
      <c r="G26" s="176"/>
      <c r="H26" s="168">
        <f>IFERROR((H13+H14+H15),"")</f>
        <v>68</v>
      </c>
      <c r="I26" s="168">
        <f>IFERROR(I13+I14+I15,"")</f>
        <v>20</v>
      </c>
      <c r="J26" s="269">
        <f>IFERROR(J13+J14+J15,"")</f>
        <v>-48</v>
      </c>
      <c r="K26" s="169">
        <f>IF(OR(I26="",I26=0),"",I26/H26)</f>
        <v>0.29411764705882354</v>
      </c>
      <c r="L26" s="176"/>
      <c r="M26" s="168">
        <f>IFERROR((M13+M14+M15),"")</f>
        <v>65</v>
      </c>
      <c r="N26" s="168">
        <f>IFERROR(N13+N14+N15,"")</f>
        <v>47</v>
      </c>
      <c r="O26" s="269">
        <f>IFERROR(O13+O14+O15,"")</f>
        <v>-18</v>
      </c>
      <c r="P26" s="169">
        <f>IF(OR(N26="",N26=0),"",N26/M26)</f>
        <v>0.72307692307692306</v>
      </c>
      <c r="Q26" s="176"/>
      <c r="R26" s="168">
        <f>IFERROR((R13+R14+R15),"")</f>
        <v>45</v>
      </c>
      <c r="S26" s="168">
        <f>IFERROR(S13+S14+S15,"")</f>
        <v>1</v>
      </c>
      <c r="T26" s="269">
        <f>IFERROR(T13+T14+T15,"")</f>
        <v>-44</v>
      </c>
      <c r="U26" s="169">
        <f>IF(OR(S26="",S26=0),"",S26/R26)</f>
        <v>2.2222222222222223E-2</v>
      </c>
      <c r="V26" s="176"/>
      <c r="W26" s="168">
        <f>IFERROR((W13+W14+W15),"")</f>
        <v>61</v>
      </c>
      <c r="X26" s="168">
        <f>IFERROR(X13+X14+X15,"")</f>
        <v>11</v>
      </c>
      <c r="Y26" s="269">
        <f>IFERROR(Y13+Y14+Y15,"")</f>
        <v>-50</v>
      </c>
      <c r="Z26" s="169">
        <f>IF(OR(X26="",X26=0),"",X26/W26)</f>
        <v>0.18032786885245902</v>
      </c>
      <c r="AA26" s="176"/>
    </row>
    <row r="27" spans="1:27">
      <c r="A27" s="131" t="s">
        <v>663</v>
      </c>
      <c r="C27" s="168">
        <f>IFERROR((C16+C17+C18),"")</f>
        <v>39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61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63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42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57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45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73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65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45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62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159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253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241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166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225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COUNTIFS(DD_Info!$B$2:$B$221,"&lt;&gt;TO BE APPOINTED",DD_Info!$C$2:$C$221,C7)</f>
        <v>7</v>
      </c>
      <c r="G32" s="176"/>
      <c r="H32" s="129">
        <f>COUNTIFS(DD_Info!$B$2:$B$221,"&lt;&gt;TO BE APPOINTED",DD_Info!$C$2:$C$221,H7)</f>
        <v>14</v>
      </c>
      <c r="L32" s="176"/>
      <c r="M32" s="129">
        <f>COUNTIFS(DD_Info!$B$2:$B$221,"&lt;&gt;TO BE APPOINTED",DD_Info!$C$2:$C$221,M7)</f>
        <v>14</v>
      </c>
      <c r="Q32" s="176"/>
      <c r="R32" s="129">
        <f>COUNTIFS(DD_Info!$B$2:$B$221,"&lt;&gt;TO BE APPOINTED",DD_Info!$C$2:$C$221,R7)</f>
        <v>10</v>
      </c>
      <c r="V32" s="176"/>
      <c r="W32" s="129">
        <f>COUNTIFS(DD_Info!$B$2:$B$221,"&lt;&gt;TO BE APPOINTED",DD_Info!$C$2:$C$221,W7)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COUNTIFS(Districts!$E$3:$E$217,"&gt;0",Districts!$B$3:$B$217,C7)</f>
        <v>1</v>
      </c>
      <c r="G34" s="176"/>
      <c r="H34" s="129">
        <f>COUNTIFS(Districts!$E$3:$E$217,"&gt;0",Districts!$B$3:$B$217,H7)</f>
        <v>4</v>
      </c>
      <c r="L34" s="176"/>
      <c r="M34" s="129">
        <f>COUNTIFS(Districts!$E$3:$E$217,"&gt;0",Districts!$B$3:$B$217,M7)</f>
        <v>1</v>
      </c>
      <c r="Q34" s="176"/>
      <c r="R34" s="129">
        <f>COUNTIFS(Districts!$E$3:$E$217,"&gt;0",Districts!$B$3:$B$217,R7)</f>
        <v>2</v>
      </c>
      <c r="V34" s="176"/>
      <c r="W34" s="129">
        <f>COUNTIFS(Districts!$E$3:$E$217,"&gt;0",Districts!$B$3:$B$217,W7)</f>
        <v>3</v>
      </c>
      <c r="AA34" s="176"/>
    </row>
    <row r="35" spans="1:27">
      <c r="A35" s="131" t="s">
        <v>898</v>
      </c>
      <c r="C35" s="129">
        <f>COUNTIFS(Districts!$H$3:$H$217,"&gt;0",Districts!$B$3:$B$217,C7)</f>
        <v>5</v>
      </c>
      <c r="G35" s="176"/>
      <c r="H35" s="129">
        <f>COUNTIFS(Districts!$H$3:$H$217,"&gt;0",Districts!$B$3:$B$217,H7)</f>
        <v>10</v>
      </c>
      <c r="L35" s="176"/>
      <c r="M35" s="129">
        <f>COUNTIFS(Districts!$H$3:$H$217,"&gt;0",Districts!$B$3:$B$217,M7)</f>
        <v>9</v>
      </c>
      <c r="Q35" s="176"/>
      <c r="R35" s="129">
        <f>COUNTIFS(Districts!$H$3:$H$217,"&gt;0",Districts!$B$3:$B$217,R7)</f>
        <v>5</v>
      </c>
      <c r="V35" s="176"/>
      <c r="W35" s="129">
        <f>COUNTIFS(Districts!$H$3:$H$217,"&gt;0",Districts!$B$3:$B$217,W7)</f>
        <v>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0.14285714285714285</v>
      </c>
      <c r="G38" s="176"/>
      <c r="H38" s="114">
        <f>H34/H$32</f>
        <v>0.2857142857142857</v>
      </c>
      <c r="L38" s="176"/>
      <c r="M38" s="114">
        <f>M34/M$32</f>
        <v>7.1428571428571425E-2</v>
      </c>
      <c r="Q38" s="176"/>
      <c r="R38" s="114">
        <f>R34/R$32</f>
        <v>0.2</v>
      </c>
      <c r="V38" s="176"/>
      <c r="W38" s="114">
        <f>W34/W$32</f>
        <v>0.375</v>
      </c>
      <c r="AA38" s="176"/>
    </row>
    <row r="39" spans="1:27">
      <c r="A39" s="131" t="s">
        <v>898</v>
      </c>
      <c r="C39" s="114">
        <f>C35/C$32</f>
        <v>0.7142857142857143</v>
      </c>
      <c r="G39" s="176"/>
      <c r="H39" s="114">
        <f>H35/H$32</f>
        <v>0.7142857142857143</v>
      </c>
      <c r="L39" s="176"/>
      <c r="M39" s="114">
        <f>M35/M$32</f>
        <v>0.6428571428571429</v>
      </c>
      <c r="Q39" s="176"/>
      <c r="R39" s="114">
        <f>R35/R$32</f>
        <v>0.5</v>
      </c>
      <c r="V39" s="176"/>
      <c r="W39" s="114">
        <f>W35/W$32</f>
        <v>0.75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COUNTIFS(Council_Data!$A$4:$A$818,"&lt;&gt;0",Council_Data!$D$3:$D$838,C7)</f>
        <v>#VALUE!</v>
      </c>
      <c r="G41" s="176"/>
      <c r="H41" s="129" t="e">
        <f>COUNTIFS(Council_Data!$A$4:$A$818,"&lt;&gt;0",Council_Data!$D$3:$D$838,H7)</f>
        <v>#VALUE!</v>
      </c>
      <c r="L41" s="176"/>
      <c r="M41" s="129" t="e">
        <f>COUNTIFS(Council_Data!$A$4:$A$818,"&lt;&gt;0",Council_Data!$D$3:$D$838,M7)</f>
        <v>#VALUE!</v>
      </c>
      <c r="Q41" s="176"/>
      <c r="R41" s="129" t="e">
        <f>COUNTIFS(Council_Data!$A$4:$A$818,"&lt;&gt;0",Council_Data!$D$3:$D$838,R7)</f>
        <v>#VALUE!</v>
      </c>
      <c r="V41" s="176"/>
      <c r="W41" s="129" t="e">
        <f>COUNTIFS(Council_Data!$A$4:$A$818,"&lt;&gt;0",Council_Data!$D$3:$D$838,W7)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COUNTIFS(Council_Data!$G$4:$G$818,"&gt;0",Council_Data!$D$3:$D$838,C7)</f>
        <v>#VALUE!</v>
      </c>
      <c r="G43" s="176"/>
      <c r="H43" s="129" t="e">
        <f>COUNTIFS(Council_Data!$G$4:$G$818,"&gt;0",Council_Data!$D$3:$D$838,H7)</f>
        <v>#VALUE!</v>
      </c>
      <c r="L43" s="176"/>
      <c r="M43" s="129" t="e">
        <f>COUNTIFS(Council_Data!$G$4:$G$818,"&gt;0",Council_Data!$D$3:$D$838,M7)</f>
        <v>#VALUE!</v>
      </c>
      <c r="Q43" s="176"/>
      <c r="R43" s="129" t="e">
        <f>COUNTIFS(Council_Data!$G$4:$G$818,"&gt;0",Council_Data!$D$3:$D$838,R7)</f>
        <v>#VALUE!</v>
      </c>
      <c r="V43" s="176"/>
      <c r="W43" s="129" t="e">
        <f>COUNTIFS(Council_Data!$G$4:$G$818,"&gt;0",Council_Data!$D$3:$D$838,W7)</f>
        <v>#VALUE!</v>
      </c>
      <c r="AA43" s="176"/>
    </row>
    <row r="44" spans="1:27">
      <c r="A44" s="131" t="s">
        <v>898</v>
      </c>
      <c r="C44" s="129">
        <f>COUNTIFS(Council_Data!$J$3:$J$838,"&gt;0",Council_Data!$D$3:$D$838,C7)</f>
        <v>12</v>
      </c>
      <c r="G44" s="176"/>
      <c r="H44" s="129">
        <f>COUNTIFS(Council_Data!$J$3:$J$838,"&gt;0",Council_Data!$D$3:$D$838,H7)</f>
        <v>15</v>
      </c>
      <c r="L44" s="176"/>
      <c r="M44" s="129">
        <f>COUNTIFS(Council_Data!$J$3:$J$838,"&gt;0",Council_Data!$D$3:$D$838,M7)</f>
        <v>17</v>
      </c>
      <c r="Q44" s="176"/>
      <c r="R44" s="129">
        <f>COUNTIFS(Council_Data!$J$3:$J$838,"&gt;0",Council_Data!$D$3:$D$838,R7)</f>
        <v>11</v>
      </c>
      <c r="V44" s="176"/>
      <c r="W44" s="129">
        <f>COUNTIFS(Council_Data!$J$3:$J$838,"&gt;0",Council_Data!$D$3:$D$838,W7)</f>
        <v>15</v>
      </c>
      <c r="AA44" s="176"/>
    </row>
    <row r="45" spans="1:27">
      <c r="A45" s="131" t="s">
        <v>916</v>
      </c>
      <c r="C45" s="129" t="e">
        <f>COUNTIFS(Council_Data!$Y$4:$Y$818,"Dormant",Council_Data!$D$3:$D$838,C7)</f>
        <v>#VALUE!</v>
      </c>
      <c r="G45" s="176"/>
      <c r="H45" s="129" t="e">
        <f>COUNTIFS(Council_Data!$Y$4:$Y$818,"Dormant",Council_Data!$D$3:$D$838,H7)</f>
        <v>#VALUE!</v>
      </c>
      <c r="L45" s="176"/>
      <c r="M45" s="129" t="e">
        <f>COUNTIFS(Council_Data!$Y$4:$Y$818,"Dormant",Council_Data!$D$3:$D$838,M7)</f>
        <v>#VALUE!</v>
      </c>
      <c r="Q45" s="176"/>
      <c r="R45" s="129" t="e">
        <f>COUNTIFS(Council_Data!$Y$4:$Y$818,"Dormant",Council_Data!$D$3:$D$838,R7)</f>
        <v>#VALUE!</v>
      </c>
      <c r="V45" s="176"/>
      <c r="W45" s="129" t="e">
        <f>COUNTIFS(Council_Data!$Y$4:$Y$818,"Dormant",Council_Data!$D$3:$D$838,W7)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COUNTIFS(Council_Data!$Y$5:$YU$818,"Suspended",Council_Data!$D$3:$D$838,C7)</f>
        <v>#VALUE!</v>
      </c>
      <c r="G46" s="176"/>
      <c r="H46" s="129" t="e">
        <f>COUNTIFS(Council_Data!$Y$5:$YU$818,"Suspended",Council_Data!$D$3:$D$838,H7)</f>
        <v>#VALUE!</v>
      </c>
      <c r="L46" s="176"/>
      <c r="M46" s="129" t="e">
        <f>COUNTIFS(Council_Data!$Y$5:$YU$818,"Suspended",Council_Data!$D$3:$D$838,M7)</f>
        <v>#VALUE!</v>
      </c>
      <c r="Q46" s="176"/>
      <c r="R46" s="129" t="e">
        <f>COUNTIFS(Council_Data!$Y$5:$YU$818,"Suspended",Council_Data!$D$3:$D$838,R7)</f>
        <v>#VALUE!</v>
      </c>
      <c r="V46" s="176"/>
      <c r="W46" s="129" t="e">
        <f>COUNTIFS(Council_Data!$Y$5:$YU$818,"Suspended",Council_Data!$D$3:$D$838,W7)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JAN</v>
      </c>
      <c r="G55" s="176"/>
      <c r="H55" s="129" t="str">
        <f>RptMonth</f>
        <v>JAN</v>
      </c>
      <c r="L55" s="176"/>
      <c r="M55" s="129" t="str">
        <f>RptMonth</f>
        <v>JAN</v>
      </c>
      <c r="Q55" s="176"/>
      <c r="R55" s="129" t="str">
        <f>RptMonth</f>
        <v>JAN</v>
      </c>
      <c r="V55" s="176"/>
      <c r="W55" s="129" t="str">
        <f>RptMonth</f>
        <v>JAN</v>
      </c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SUMIF(Council_Data!$D$3:$D$838,C7,Council_Data!$J$3:$J$838)</f>
        <v>28</v>
      </c>
      <c r="G57" s="176"/>
      <c r="I57" s="182">
        <f>SUMIF(Council_Data!$D$3:$D$838,H7,Council_Data!$J$3:$J$838)</f>
        <v>48</v>
      </c>
      <c r="L57" s="176"/>
      <c r="N57" s="182">
        <f>SUMIF(Council_Data!$D$3:$D$838,M7,Council_Data!$J$3:$J$838)</f>
        <v>68</v>
      </c>
      <c r="Q57" s="176"/>
      <c r="S57" s="182">
        <f>SUMIF(Council_Data!$D$3:$D$838,R7,Council_Data!$J$3:$J$838)</f>
        <v>23</v>
      </c>
      <c r="V57" s="176"/>
      <c r="X57" s="182">
        <f>SUMIF(Council_Data!$D$3:$D$838,W7,Council_Data!$J$3:$J$838)</f>
        <v>39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395"/>
      <c r="D60" s="396"/>
      <c r="E60" s="396"/>
      <c r="F60" s="397"/>
      <c r="G60" s="176"/>
      <c r="H60" s="395"/>
      <c r="I60" s="396"/>
      <c r="J60" s="396"/>
      <c r="K60" s="397"/>
      <c r="L60" s="176"/>
      <c r="M60" s="395"/>
      <c r="N60" s="396"/>
      <c r="O60" s="396"/>
      <c r="P60" s="397"/>
      <c r="Q60" s="176"/>
      <c r="R60" s="395"/>
      <c r="S60" s="396"/>
      <c r="T60" s="396"/>
      <c r="U60" s="397"/>
      <c r="V60" s="176"/>
      <c r="W60" s="395"/>
      <c r="X60" s="396"/>
      <c r="Y60" s="396"/>
      <c r="Z60" s="397"/>
      <c r="AA60" s="176"/>
    </row>
    <row r="61" spans="1:27">
      <c r="C61" s="398"/>
      <c r="D61" s="399"/>
      <c r="E61" s="399"/>
      <c r="F61" s="400"/>
      <c r="G61" s="176"/>
      <c r="H61" s="398"/>
      <c r="I61" s="399"/>
      <c r="J61" s="399"/>
      <c r="K61" s="400"/>
      <c r="L61" s="176"/>
      <c r="M61" s="398"/>
      <c r="N61" s="399"/>
      <c r="O61" s="399"/>
      <c r="P61" s="400"/>
      <c r="Q61" s="176"/>
      <c r="R61" s="398"/>
      <c r="S61" s="399"/>
      <c r="T61" s="399"/>
      <c r="U61" s="400"/>
      <c r="V61" s="176"/>
      <c r="W61" s="398"/>
      <c r="X61" s="399"/>
      <c r="Y61" s="399"/>
      <c r="Z61" s="400"/>
      <c r="AA61" s="176"/>
    </row>
    <row r="62" spans="1:27">
      <c r="C62" s="398"/>
      <c r="D62" s="399"/>
      <c r="E62" s="399"/>
      <c r="F62" s="400"/>
      <c r="G62" s="176"/>
      <c r="H62" s="398"/>
      <c r="I62" s="399"/>
      <c r="J62" s="399"/>
      <c r="K62" s="400"/>
      <c r="L62" s="176"/>
      <c r="M62" s="398"/>
      <c r="N62" s="399"/>
      <c r="O62" s="399"/>
      <c r="P62" s="400"/>
      <c r="Q62" s="176"/>
      <c r="R62" s="398"/>
      <c r="S62" s="399"/>
      <c r="T62" s="399"/>
      <c r="U62" s="400"/>
      <c r="V62" s="176"/>
      <c r="W62" s="398"/>
      <c r="X62" s="399"/>
      <c r="Y62" s="399"/>
      <c r="Z62" s="400"/>
      <c r="AA62" s="176"/>
    </row>
    <row r="63" spans="1:27">
      <c r="C63" s="401"/>
      <c r="D63" s="402"/>
      <c r="E63" s="402"/>
      <c r="F63" s="403"/>
      <c r="G63" s="176"/>
      <c r="H63" s="401"/>
      <c r="I63" s="402"/>
      <c r="J63" s="402"/>
      <c r="K63" s="403"/>
      <c r="L63" s="176"/>
      <c r="M63" s="401"/>
      <c r="N63" s="402"/>
      <c r="O63" s="402"/>
      <c r="P63" s="403"/>
      <c r="Q63" s="176"/>
      <c r="R63" s="401"/>
      <c r="S63" s="402"/>
      <c r="T63" s="402"/>
      <c r="U63" s="403"/>
      <c r="V63" s="176"/>
      <c r="W63" s="401"/>
      <c r="X63" s="402"/>
      <c r="Y63" s="402"/>
      <c r="Z63" s="403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25:F28 F29 J25:K28 K29 O25:P28 P29 T25:U28 U29 Y25:Z28 Z29">
    <cfRule type="containsBlanks" dxfId="308" priority="1" stopIfTrue="1">
      <formula>LEN(TRIM(E25))=0</formula>
    </cfRule>
    <cfRule type="cellIs" dxfId="307" priority="2" stopIfTrue="1" operator="greaterThanOrEqual">
      <formula>1</formula>
    </cfRule>
    <cfRule type="cellIs" dxfId="306" priority="3" stopIfTrue="1" operator="lessThan">
      <formula>1</formula>
    </cfRule>
  </conditionalFormatting>
  <conditionalFormatting sqref="E10:F22 J10:K22 O10:P22 T10:U22 Y10:Z22">
    <cfRule type="containsBlanks" dxfId="305" priority="54" stopIfTrue="1">
      <formula>LEN(TRIM(E10))=0</formula>
    </cfRule>
    <cfRule type="cellIs" dxfId="304" priority="55" stopIfTrue="1" operator="greaterThan">
      <formula>1</formula>
    </cfRule>
    <cfRule type="cellIs" dxfId="303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6641</v>
      </c>
      <c r="B3" t="str">
        <f>IF(ISNA(VLOOKUP($A3,Councils!$B$6:$AE$841,3,0)),0,VLOOKUP($A3,Councils!$B$6:$AE$841,3,0))</f>
        <v>Floresville</v>
      </c>
      <c r="C3">
        <f>IF(ISNA(VLOOKUP($A3,Councils!$B$6:$AE$841,4,0)),0,VLOOKUP($A3,Councils!$B$6:$AE$841,4,0))</f>
        <v>197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8036</v>
      </c>
      <c r="B4" t="str">
        <f>IF(ISNA(VLOOKUP($A4,Councils!$B$6:$AE$841,3,0)),0,VLOOKUP($A4,Councils!$B$6:$AE$841,3,0))</f>
        <v>Saspamco Elmendorf</v>
      </c>
      <c r="C4">
        <f>IF(ISNA(VLOOKUP($A4,Councils!$B$6:$AE$841,4,0)),0,VLOOKUP($A4,Councils!$B$6:$AE$841,4,0))</f>
        <v>78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-4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10270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62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10434</v>
      </c>
      <c r="B6" t="str">
        <f>IF(ISNA(VLOOKUP($A6,Councils!$B$6:$AE$841,3,0)),0,VLOOKUP($A6,Councils!$B$6:$AE$841,3,0))</f>
        <v>Losoya</v>
      </c>
      <c r="C6">
        <f>IF(ISNA(VLOOKUP($A6,Councils!$B$6:$AE$841,4,0)),0,VLOOKUP($A6,Councils!$B$6:$AE$841,4,0))</f>
        <v>86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2512</v>
      </c>
      <c r="B3" t="str">
        <f>IF(ISNA(VLOOKUP($A3,Councils!$B$6:$AE$841,3,0)),0,VLOOKUP($A3,Councils!$B$6:$AE$841,3,0))</f>
        <v>Falls City</v>
      </c>
      <c r="C3">
        <f>IF(ISNA(VLOOKUP($A3,Councils!$B$6:$AE$841,4,0)),0,VLOOKUP($A3,Councils!$B$6:$AE$841,4,0))</f>
        <v>77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2618</v>
      </c>
      <c r="B4" t="str">
        <f>IF(ISNA(VLOOKUP($A4,Councils!$B$6:$AE$841,3,0)),0,VLOOKUP($A4,Councils!$B$6:$AE$841,3,0))</f>
        <v>Poth</v>
      </c>
      <c r="C4">
        <f>IF(ISNA(VLOOKUP($A4,Councils!$B$6:$AE$841,4,0)),0,VLOOKUP($A4,Councils!$B$6:$AE$841,4,0))</f>
        <v>147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6782</v>
      </c>
      <c r="B5" t="str">
        <f>IF(ISNA(VLOOKUP($A5,Councils!$B$6:$AE$841,3,0)),0,VLOOKUP($A5,Councils!$B$6:$AE$841,3,0))</f>
        <v>Karnes City</v>
      </c>
      <c r="C5">
        <f>IF(ISNA(VLOOKUP($A5,Councils!$B$6:$AE$841,4,0)),0,VLOOKUP($A5,Councils!$B$6:$AE$841,4,0))</f>
        <v>82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4</v>
      </c>
      <c r="J5">
        <f>IF(ISNA(VLOOKUP($A5,Councils!$B$6:$AE$841,11,0)),0,VLOOKUP($A5,Councils!$B$6:$AE$841,11,0))</f>
        <v>-4</v>
      </c>
      <c r="K5" s="63">
        <f>IFERROR(J5/D5,0)</f>
        <v>-1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8267</v>
      </c>
      <c r="B6" t="str">
        <f>IF(ISNA(VLOOKUP($A6,Councils!$B$6:$AE$841,3,0)),0,VLOOKUP($A6,Councils!$B$6:$AE$841,3,0))</f>
        <v>Kenedy</v>
      </c>
      <c r="C6">
        <f>IF(ISNA(VLOOKUP($A6,Councils!$B$6:$AE$841,4,0)),0,VLOOKUP($A6,Councils!$B$6:$AE$841,4,0))</f>
        <v>27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3266</v>
      </c>
      <c r="B3" t="str">
        <f>IF(ISNA(VLOOKUP($A3,Councils!$B$6:$AE$841,3,0)),0,VLOOKUP($A3,Councils!$B$6:$AE$841,3,0))</f>
        <v>Jourdanton</v>
      </c>
      <c r="C3">
        <f>IF(ISNA(VLOOKUP($A3,Councils!$B$6:$AE$841,4,0)),0,VLOOKUP($A3,Councils!$B$6:$AE$841,4,0))</f>
        <v>80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8001</v>
      </c>
      <c r="B4" t="str">
        <f>IF(ISNA(VLOOKUP($A4,Councils!$B$6:$AE$841,3,0)),0,VLOOKUP($A4,Councils!$B$6:$AE$841,3,0))</f>
        <v>Pleasanton</v>
      </c>
      <c r="C4">
        <f>IF(ISNA(VLOOKUP($A4,Councils!$B$6:$AE$841,4,0)),0,VLOOKUP($A4,Councils!$B$6:$AE$841,4,0))</f>
        <v>133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5</v>
      </c>
      <c r="G4">
        <f>IF(ISNA(VLOOKUP($A4,Councils!$B$6:$AE$81023,0)),0,VLOOKUP($A4,Councils!$B$6:$AE$841,8,0))</f>
        <v>-5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5</v>
      </c>
      <c r="J4">
        <f>IF(ISNA(VLOOKUP($A4,Councils!$B$6:$AE$841,11,0)),0,VLOOKUP($A4,Councils!$B$6:$AE$841,11,0))</f>
        <v>-5</v>
      </c>
      <c r="K4" s="63">
        <f>IFERROR(J4/D4,0)</f>
        <v>-0.7142857142857143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10431</v>
      </c>
      <c r="B5" t="str">
        <f>IF(ISNA(VLOOKUP($A5,Councils!$B$6:$AE$841,3,0)),0,VLOOKUP($A5,Councils!$B$6:$AE$841,3,0))</f>
        <v>Poteet</v>
      </c>
      <c r="C5">
        <f>IF(ISNA(VLOOKUP($A5,Councils!$B$6:$AE$841,4,0)),0,VLOOKUP($A5,Councils!$B$6:$AE$841,4,0))</f>
        <v>80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13957</v>
      </c>
      <c r="B6" t="str">
        <f>IF(ISNA(VLOOKUP($A6,Councils!$B$6:$AE$841,3,0)),0,VLOOKUP($A6,Councils!$B$6:$AE$841,3,0))</f>
        <v>Leming</v>
      </c>
      <c r="C6">
        <f>IF(ISNA(VLOOKUP($A6,Councils!$B$6:$AE$841,4,0)),0,VLOOKUP($A6,Councils!$B$6:$AE$841,4,0))</f>
        <v>35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6757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67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7256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115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10712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85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14190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67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7323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194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7808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65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9902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170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11596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146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7409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56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7865</v>
      </c>
      <c r="B4" t="str">
        <f>IF(ISNA(VLOOKUP($A4,Councils!$B$6:$AE$841,3,0)),0,VLOOKUP($A4,Councils!$B$6:$AE$841,3,0))</f>
        <v>South San Antonio</v>
      </c>
      <c r="C4">
        <f>IF(ISNA(VLOOKUP($A4,Councils!$B$6:$AE$841,4,0)),0,VLOOKUP($A4,Councils!$B$6:$AE$841,4,0))</f>
        <v>56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8302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108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298">
        <v>8807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65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8416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21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IF(ISNA(VLOOKUP($A3,Councils!$B$6:$AE$81223,0)),0,VLOOKUP($A3,Councils!$B$6:$AE$841,8,0))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9017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36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IF(ISNA(VLOOKUP($A4,Councils!$B$6:$AE$81223,0)),0,VLOOKUP($A4,Councils!$B$6:$AE$841,8,0))</f>
        <v>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298">
        <v>13572</v>
      </c>
      <c r="B5" t="str">
        <f>IF(ISNA(VLOOKUP($A5,Councils!$B$6:$AE$841,3,0)),0,VLOOKUP($A5,Councils!$B$6:$AE$841,3,0))</f>
        <v>Alamo Hts, San Antonio</v>
      </c>
      <c r="C5">
        <f>IF(ISNA(VLOOKUP($A5,Councils!$B$6:$AE$841,4,0)),0,VLOOKUP($A5,Councils!$B$6:$AE$841,4,0))</f>
        <v>55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IF(ISNA(VLOOKUP($A5,Councils!$B$6:$AE$81223,0)),0,VLOOKUP($A5,Councils!$B$6:$AE$841,8,0))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9624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26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13041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43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8223</v>
      </c>
      <c r="B3" t="str">
        <f>IF(ISNA(VLOOKUP($A3,Councils!$B$6:$AE$841,3,0)),0,VLOOKUP($A3,Councils!$B$6:$AE$841,3,0))</f>
        <v>Brackettville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10295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55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4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9321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64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12866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59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7" t="s">
        <v>901</v>
      </c>
      <c r="I2" s="418"/>
      <c r="J2" s="418"/>
      <c r="K2" s="418"/>
      <c r="L2" s="418"/>
      <c r="M2" s="418"/>
      <c r="N2" s="418"/>
      <c r="O2" s="418"/>
      <c r="P2" s="418"/>
      <c r="W2" s="413" t="str">
        <f>"Results as of "</f>
        <v xml:space="preserve">Results as of </v>
      </c>
      <c r="X2" s="414"/>
      <c r="Y2" s="415">
        <f>RptDate</f>
        <v>44227</v>
      </c>
      <c r="Z2" s="416"/>
    </row>
    <row r="3" spans="1:27" ht="13.5" customHeight="1" thickBot="1">
      <c r="A3" s="194">
        <f>RptDate</f>
        <v>44227</v>
      </c>
      <c r="C3" s="149"/>
      <c r="D3" s="149"/>
      <c r="E3" s="150"/>
      <c r="F3" s="151"/>
      <c r="H3" s="419" t="s">
        <v>889</v>
      </c>
      <c r="I3" s="421" t="s">
        <v>902</v>
      </c>
      <c r="J3" s="421"/>
      <c r="K3" s="422"/>
      <c r="L3" s="423"/>
      <c r="M3" s="425" t="s">
        <v>903</v>
      </c>
      <c r="N3" s="425"/>
      <c r="O3" s="426"/>
      <c r="P3" s="432" t="s">
        <v>926</v>
      </c>
    </row>
    <row r="4" spans="1:27" ht="13.5" thickBot="1">
      <c r="C4" s="142"/>
      <c r="D4" s="142"/>
      <c r="E4" s="152"/>
      <c r="F4" s="153"/>
      <c r="H4" s="420"/>
      <c r="I4" s="154" t="s">
        <v>905</v>
      </c>
      <c r="J4" s="154" t="s">
        <v>906</v>
      </c>
      <c r="K4" s="155" t="s">
        <v>907</v>
      </c>
      <c r="L4" s="424"/>
      <c r="M4" s="156" t="s">
        <v>905</v>
      </c>
      <c r="N4" s="157" t="s">
        <v>906</v>
      </c>
      <c r="O4" s="158" t="s">
        <v>907</v>
      </c>
      <c r="P4" s="433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107</v>
      </c>
      <c r="J5" s="160">
        <f>'Division 1'!J5</f>
        <v>179</v>
      </c>
      <c r="K5" s="160">
        <f>'Division 1'!K5</f>
        <v>-72</v>
      </c>
      <c r="L5" s="183"/>
      <c r="M5" s="160">
        <f>'Division 1'!M5</f>
        <v>1134</v>
      </c>
      <c r="N5" s="160">
        <f>'Division 1'!N5</f>
        <v>840</v>
      </c>
      <c r="O5" s="160">
        <f>'Division 1'!O5</f>
        <v>294</v>
      </c>
      <c r="P5" s="184">
        <f>M5/H5</f>
        <v>0.24652173913043479</v>
      </c>
    </row>
    <row r="7" spans="1:27">
      <c r="A7" s="164" t="s">
        <v>602</v>
      </c>
      <c r="B7" s="165"/>
      <c r="C7" s="410" t="s">
        <v>59</v>
      </c>
      <c r="D7" s="411"/>
      <c r="E7" s="411"/>
      <c r="F7" s="412"/>
      <c r="G7" s="166"/>
      <c r="H7" s="410" t="s">
        <v>23</v>
      </c>
      <c r="I7" s="411"/>
      <c r="J7" s="411"/>
      <c r="K7" s="412"/>
      <c r="L7" s="166"/>
      <c r="M7" s="410" t="s">
        <v>90</v>
      </c>
      <c r="N7" s="411"/>
      <c r="O7" s="411"/>
      <c r="P7" s="412"/>
      <c r="Q7" s="166"/>
      <c r="R7" s="410" t="s">
        <v>150</v>
      </c>
      <c r="S7" s="411"/>
      <c r="T7" s="411"/>
      <c r="U7" s="412"/>
      <c r="V7" s="166"/>
      <c r="W7" s="410" t="s">
        <v>64</v>
      </c>
      <c r="X7" s="411"/>
      <c r="Y7" s="411"/>
      <c r="Z7" s="412"/>
      <c r="AA7" s="166"/>
    </row>
    <row r="8" spans="1:27">
      <c r="A8" s="164" t="s">
        <v>908</v>
      </c>
      <c r="B8" s="165"/>
      <c r="C8" s="404" t="str">
        <f>IF(ISNA(VLOOKUP(C7,'Dio Dep info'!$A$1:$C$16,3,0)),0,VLOOKUP(C7,'Dio Dep info'!$A$1:$C$16,3,0))</f>
        <v>Ray Sistos</v>
      </c>
      <c r="D8" s="405"/>
      <c r="E8" s="405"/>
      <c r="F8" s="406"/>
      <c r="G8" s="166"/>
      <c r="H8" s="404" t="str">
        <f>IF(ISNA(VLOOKUP(H7,'Dio Dep info'!$A$1:$C$16,3,0)),0,VLOOKUP(H7,'Dio Dep info'!$A$1:$C$16,3,0))</f>
        <v>Art Aguirre</v>
      </c>
      <c r="I8" s="405"/>
      <c r="J8" s="405"/>
      <c r="K8" s="406"/>
      <c r="L8" s="166"/>
      <c r="M8" s="404" t="str">
        <f>IF(ISNA(VLOOKUP(M7,'Dio Dep info'!$A$1:$C$16,3,0)),0,VLOOKUP(M7,'Dio Dep info'!$A$1:$C$16,3,0))</f>
        <v>Angel Luna</v>
      </c>
      <c r="N8" s="405"/>
      <c r="O8" s="405"/>
      <c r="P8" s="406"/>
      <c r="Q8" s="166"/>
      <c r="R8" s="404" t="str">
        <f>IF(ISNA(VLOOKUP(R7,'Dio Dep info'!$A$1:$C$16,3,0)),0,VLOOKUP(R7,'Dio Dep info'!$A$1:$C$16,3,0))</f>
        <v>Arlie Markusen</v>
      </c>
      <c r="S8" s="405"/>
      <c r="T8" s="405"/>
      <c r="U8" s="406"/>
      <c r="V8" s="166"/>
      <c r="W8" s="404" t="str">
        <f>IF(ISNA(VLOOKUP(W7,'Dio Dep info'!$A$1:$C$16,3,0)),0,VLOOKUP(W7,'Dio Dep info'!$A$1:$C$16,3,0))</f>
        <v>Dr. Bryan Poole</v>
      </c>
      <c r="X8" s="405"/>
      <c r="Y8" s="405"/>
      <c r="Z8" s="406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5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-5</v>
      </c>
      <c r="F10" s="169">
        <f>IFERROR(D10/C10,"")</f>
        <v>0</v>
      </c>
      <c r="G10" s="170"/>
      <c r="H10" s="168">
        <f>INDEX('Goals-1'!$B$4:$P$18,MATCH(H$7,'Goals-1'!$A$4:$A$18),MATCH($A10,'Goals-1'!$B$3:$P$3,0))</f>
        <v>7</v>
      </c>
      <c r="I10" s="167">
        <f>IF(INDEX(Actuals!$B$5:$M$21,MATCH(H$7,Actuals!$A$5:$A$21,0),MATCH($A10,Actuals!$B$4:$M$4,0))="","",INDEX(Actuals!$B$5:$M$21,MATCH(H$7,Actuals!$A$5:$A$21,0),MATCH($A10,Actuals!$B$4:$M$4,0)))</f>
        <v>6</v>
      </c>
      <c r="J10" s="150">
        <f>IF(Actuals!B$76="","",I10-H10)</f>
        <v>-1</v>
      </c>
      <c r="K10" s="169">
        <f>IFERROR(I10/H10,"")</f>
        <v>0.8571428571428571</v>
      </c>
      <c r="L10" s="170"/>
      <c r="M10" s="168">
        <f>INDEX('Goals-1'!$B$4:$P$18,MATCH(M$7,'Goals-1'!$A$4:$A$18),MATCH($A10,'Goals-1'!$B$3:$P$3,0))</f>
        <v>4</v>
      </c>
      <c r="N10" s="167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IF(Actuals!B$77="","",N10-M10)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5</v>
      </c>
      <c r="S10" s="167">
        <f>IF(INDEX(Actuals!$B$5:$M$21,MATCH(R$7,Actuals!$A$5:$A$21,0),MATCH($A10,Actuals!$B$4:$M$4,0))="","",INDEX(Actuals!$B$5:$M$21,MATCH(R$7,Actuals!$A$5:$A$21,0),MATCH($A10,Actuals!$B$4:$M$4,0)))</f>
        <v>0</v>
      </c>
      <c r="T10" s="150">
        <f>IF(Actuals!B$78="","",S10-R10)</f>
        <v>-5</v>
      </c>
      <c r="U10" s="169">
        <f>IFERROR(S10/R10,"")</f>
        <v>0</v>
      </c>
      <c r="V10" s="170"/>
      <c r="W10" s="168">
        <f>INDEX('Goals-1'!$B$4:$P$18,MATCH(W$7,'Goals-1'!$A$4:$A$18),MATCH($A10,'Goals-1'!$B$3:$P$3,0))</f>
        <v>6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-3</v>
      </c>
      <c r="Z10" s="169">
        <f>IFERROR(X10/W10,"")</f>
        <v>0.5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10</v>
      </c>
      <c r="I11" s="167">
        <f>IF(INDEX(Actuals!$B$5:$M$21,MATCH(H$7,Actuals!$A$5:$A$21,0),MATCH($A11,Actuals!$B$4:$M$4,0))="","",INDEX(Actuals!$B$5:$M$21,MATCH(H$7,Actuals!$A$5:$A$21,0),MATCH($A11,Actuals!$B$4:$M$4,0)))</f>
        <v>10</v>
      </c>
      <c r="J11" s="150">
        <f>IF(Actuals!C$76="","",I11-H11)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6</v>
      </c>
      <c r="N11" s="167">
        <f>IF(INDEX(Actuals!$B$5:$M$21,MATCH(M$7,Actuals!$A$5:$A$21,0),MATCH($A11,Actuals!$B$4:$M$4,0))="","",INDEX(Actuals!$B$5:$M$21,MATCH(M$7,Actuals!$A$5:$A$21,0),MATCH($A11,Actuals!$B$4:$M$4,0)))</f>
        <v>0</v>
      </c>
      <c r="O11" s="150">
        <f>IF(Actuals!C$77="","",N11-M11)</f>
        <v>-6</v>
      </c>
      <c r="P11" s="169">
        <f t="shared" ref="P11:P21" si="2">IFERROR(N11/M11,"")</f>
        <v>0</v>
      </c>
      <c r="Q11" s="171"/>
      <c r="R11" s="168">
        <f>INDEX('Goals-1'!$B$4:$P$18,MATCH(R$7,'Goals-1'!$A$4:$A$18),MATCH($A11,'Goals-1'!$B$3:$P$3,0))</f>
        <v>7</v>
      </c>
      <c r="S11" s="167">
        <f>IF(INDEX(Actuals!$B$5:$M$21,MATCH(R$7,Actuals!$A$5:$A$21,0),MATCH($A11,Actuals!$B$4:$M$4,0))="","",INDEX(Actuals!$B$5:$M$21,MATCH(R$7,Actuals!$A$5:$A$21,0),MATCH($A11,Actuals!$B$4:$M$4,0)))</f>
        <v>4</v>
      </c>
      <c r="T11" s="150">
        <f>IF(Actuals!C$78="","",S11-R11)</f>
        <v>-3</v>
      </c>
      <c r="U11" s="169">
        <f t="shared" ref="U11:U21" si="3">IFERROR(S11/R11,"")</f>
        <v>0.5714285714285714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5</v>
      </c>
      <c r="Y11" s="150">
        <f>IF(Actuals!C$79="","",X11-W11)</f>
        <v>-4</v>
      </c>
      <c r="Z11" s="169">
        <f t="shared" ref="Z11:Z21" si="4">IFERROR(X11/W11,"")</f>
        <v>0.55555555555555558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10</v>
      </c>
      <c r="D12" s="167">
        <f>IF(INDEX(Actuals!$B$5:$M$21,MATCH(C$7,Actuals!$A$5:$A$21,0),MATCH($A12,Actuals!$B$4:$M$4,0))="","",INDEX(Actuals!$B$5:$M$21,MATCH(C$7,Actuals!$A$5:$A$21,0),MATCH($A12,Actuals!$B$4:$M$4,0)))</f>
        <v>0</v>
      </c>
      <c r="E12" s="150">
        <f>IF(Actuals!D$75="","",D12-C12)</f>
        <v>-10</v>
      </c>
      <c r="F12" s="169">
        <f t="shared" si="0"/>
        <v>0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12</v>
      </c>
      <c r="J12" s="150">
        <f>IF(Actuals!D$76="","",I12-H12)</f>
        <v>-1</v>
      </c>
      <c r="K12" s="169">
        <f t="shared" si="1"/>
        <v>0.92307692307692313</v>
      </c>
      <c r="L12" s="171"/>
      <c r="M12" s="168">
        <f>INDEX('Goals-1'!$B$4:$P$18,MATCH(M$7,'Goals-1'!$A$4:$A$18),MATCH($A12,'Goals-1'!$B$3:$P$3,0))</f>
        <v>8</v>
      </c>
      <c r="N12" s="167">
        <f>IF(INDEX(Actuals!$B$5:$M$21,MATCH(M$7,Actuals!$A$5:$A$21,0),MATCH($A12,Actuals!$B$4:$M$4,0))="","",INDEX(Actuals!$B$5:$M$21,MATCH(M$7,Actuals!$A$5:$A$21,0),MATCH($A12,Actuals!$B$4:$M$4,0)))</f>
        <v>6</v>
      </c>
      <c r="O12" s="150">
        <f>IF(Actuals!D$77="","",N12-M12)</f>
        <v>-2</v>
      </c>
      <c r="P12" s="169">
        <f t="shared" si="2"/>
        <v>0.75</v>
      </c>
      <c r="Q12" s="171"/>
      <c r="R12" s="168">
        <f>INDEX('Goals-1'!$B$4:$P$18,MATCH(R$7,'Goals-1'!$A$4:$A$18),MATCH($A12,'Goals-1'!$B$3:$P$3,0))</f>
        <v>9</v>
      </c>
      <c r="S12" s="167">
        <f>IF(INDEX(Actuals!$B$5:$M$21,MATCH(R$7,Actuals!$A$5:$A$21,0),MATCH($A12,Actuals!$B$4:$M$4,0))="","",INDEX(Actuals!$B$5:$M$21,MATCH(R$7,Actuals!$A$5:$A$21,0),MATCH($A12,Actuals!$B$4:$M$4,0)))</f>
        <v>15</v>
      </c>
      <c r="T12" s="150">
        <f>IF(Actuals!D$78="","",S12-R12)</f>
        <v>6</v>
      </c>
      <c r="U12" s="169">
        <f t="shared" si="3"/>
        <v>1.6666666666666667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10</v>
      </c>
      <c r="Y12" s="150">
        <f>IF(Actuals!D$79="","",X12-W12)</f>
        <v>-1</v>
      </c>
      <c r="Z12" s="169">
        <f t="shared" si="4"/>
        <v>0.90909090909090906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11</v>
      </c>
      <c r="D13" s="167">
        <f>IF(INDEX(Actuals!$B$5:$M$21,MATCH(C$7,Actuals!$A$5:$A$21,0),MATCH($A13,Actuals!$B$4:$M$4,0))="","",INDEX(Actuals!$B$5:$M$21,MATCH(C$7,Actuals!$A$5:$A$21,0),MATCH($A13,Actuals!$B$4:$M$4,0)))</f>
        <v>0</v>
      </c>
      <c r="E13" s="150">
        <f>IF(Actuals!E$75="","",D13-C13)</f>
        <v>-11</v>
      </c>
      <c r="F13" s="169">
        <f t="shared" si="0"/>
        <v>0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11</v>
      </c>
      <c r="J13" s="150">
        <f>IF(Actuals!E$76="","",I13-H13)</f>
        <v>-3</v>
      </c>
      <c r="K13" s="169">
        <f t="shared" si="1"/>
        <v>0.7857142857142857</v>
      </c>
      <c r="L13" s="171"/>
      <c r="M13" s="168">
        <f>INDEX('Goals-1'!$B$4:$P$18,MATCH(M$7,'Goals-1'!$A$4:$A$18),MATCH($A13,'Goals-1'!$B$3:$P$3,0))</f>
        <v>9</v>
      </c>
      <c r="N13" s="167">
        <f>IF(INDEX(Actuals!$B$5:$M$21,MATCH(M$7,Actuals!$A$5:$A$21,0),MATCH($A13,Actuals!$B$4:$M$4,0))="","",INDEX(Actuals!$B$5:$M$21,MATCH(M$7,Actuals!$A$5:$A$21,0),MATCH($A13,Actuals!$B$4:$M$4,0)))</f>
        <v>8</v>
      </c>
      <c r="O13" s="150">
        <f>IF(Actuals!E$77="","",N13-M13)</f>
        <v>-1</v>
      </c>
      <c r="P13" s="169">
        <f t="shared" si="2"/>
        <v>0.88888888888888884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19</v>
      </c>
      <c r="T13" s="150">
        <f>IF(Actuals!E$78="","",S13-R13)</f>
        <v>9</v>
      </c>
      <c r="U13" s="169">
        <f t="shared" si="3"/>
        <v>1.9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4</v>
      </c>
      <c r="Y13" s="150">
        <f>IF(Actuals!E$79="","",X13-W13)</f>
        <v>-8</v>
      </c>
      <c r="Z13" s="169">
        <f t="shared" si="4"/>
        <v>0.33333333333333331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10</v>
      </c>
      <c r="D14" s="167">
        <f>IF(INDEX(Actuals!$B$5:$M$21,MATCH(C$7,Actuals!$A$5:$A$21,0),MATCH($A14,Actuals!$B$4:$M$4,0))="","",INDEX(Actuals!$B$5:$M$21,MATCH(C$7,Actuals!$A$5:$A$21,0),MATCH($A14,Actuals!$B$4:$M$4,0)))</f>
        <v>8</v>
      </c>
      <c r="E14" s="150">
        <f>IF(Actuals!F$75="","",D14-C14)</f>
        <v>-2</v>
      </c>
      <c r="F14" s="169">
        <f t="shared" si="0"/>
        <v>0.8</v>
      </c>
      <c r="G14" s="172"/>
      <c r="H14" s="168">
        <f>INDEX('Goals-1'!$B$4:$P$18,MATCH(H$7,'Goals-1'!$A$4:$A$18),MATCH($A14,'Goals-1'!$B$3:$P$3,0))</f>
        <v>14</v>
      </c>
      <c r="I14" s="167">
        <f>IF(INDEX(Actuals!$B$5:$M$21,MATCH(H$7,Actuals!$A$5:$A$21,0),MATCH($A14,Actuals!$B$4:$M$4,0))="","",INDEX(Actuals!$B$5:$M$21,MATCH(H$7,Actuals!$A$5:$A$21,0),MATCH($A14,Actuals!$B$4:$M$4,0)))</f>
        <v>9</v>
      </c>
      <c r="J14" s="150">
        <f>IF(Actuals!F$76="","",I14-H14)</f>
        <v>-5</v>
      </c>
      <c r="K14" s="169">
        <f t="shared" si="1"/>
        <v>0.6428571428571429</v>
      </c>
      <c r="L14" s="172"/>
      <c r="M14" s="168">
        <f>INDEX('Goals-1'!$B$4:$P$18,MATCH(M$7,'Goals-1'!$A$4:$A$18),MATCH($A14,'Goals-1'!$B$3:$P$3,0))</f>
        <v>8</v>
      </c>
      <c r="N14" s="167">
        <f>IF(INDEX(Actuals!$B$5:$M$21,MATCH(M$7,Actuals!$A$5:$A$21,0),MATCH($A14,Actuals!$B$4:$M$4,0))="","",INDEX(Actuals!$B$5:$M$21,MATCH(M$7,Actuals!$A$5:$A$21,0),MATCH($A14,Actuals!$B$4:$M$4,0)))</f>
        <v>1</v>
      </c>
      <c r="O14" s="150">
        <f>IF(Actuals!F$77="","",N14-M14)</f>
        <v>-7</v>
      </c>
      <c r="P14" s="169">
        <f t="shared" si="2"/>
        <v>0.125</v>
      </c>
      <c r="Q14" s="172"/>
      <c r="R14" s="168">
        <f>INDEX('Goals-1'!$B$4:$P$18,MATCH(R$7,'Goals-1'!$A$4:$A$18),MATCH($A14,'Goals-1'!$B$3:$P$3,0))</f>
        <v>10</v>
      </c>
      <c r="S14" s="167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IF(Actuals!F$78="","",S14-R14)</f>
        <v>-9</v>
      </c>
      <c r="U14" s="169">
        <f t="shared" si="3"/>
        <v>0.1</v>
      </c>
      <c r="V14" s="172"/>
      <c r="W14" s="168">
        <f>INDEX('Goals-1'!$B$4:$P$18,MATCH(W$7,'Goals-1'!$A$4:$A$18),MATCH($A14,'Goals-1'!$B$3:$P$3,0))</f>
        <v>12</v>
      </c>
      <c r="X14" s="167">
        <f>IF(INDEX(Actuals!$B$5:$M$21,MATCH(W$7,Actuals!$A$5:$A$21,0),MATCH($A14,Actuals!$B$4:$M$4,0))="","",INDEX(Actuals!$B$5:$M$21,MATCH(W$7,Actuals!$A$5:$A$21,0),MATCH($A14,Actuals!$B$4:$M$4,0)))</f>
        <v>7</v>
      </c>
      <c r="Y14" s="150">
        <f>IF(Actuals!F$79="","",X14-W14)</f>
        <v>-5</v>
      </c>
      <c r="Z14" s="169">
        <f t="shared" si="4"/>
        <v>0.58333333333333337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9</v>
      </c>
      <c r="D15" s="167">
        <f>IF(INDEX(Actuals!$B$5:$M$21,MATCH(C$7,Actuals!$A$5:$A$21,0),MATCH($A15,Actuals!$B$4:$M$4,0))="","",INDEX(Actuals!$B$5:$M$21,MATCH(C$7,Actuals!$A$5:$A$21,0),MATCH($A15,Actuals!$B$4:$M$4,0)))</f>
        <v>1</v>
      </c>
      <c r="E15" s="150">
        <f>IF(Actuals!G$75="","",D15-C15)</f>
        <v>-8</v>
      </c>
      <c r="F15" s="169">
        <f t="shared" si="0"/>
        <v>0.1111111111111111</v>
      </c>
      <c r="G15" s="172"/>
      <c r="H15" s="168">
        <f>INDEX('Goals-1'!$B$4:$P$18,MATCH(H$7,'Goals-1'!$A$4:$A$18),MATCH($A15,'Goals-1'!$B$3:$P$3,0))</f>
        <v>12</v>
      </c>
      <c r="I15" s="167">
        <f>IF(INDEX(Actuals!$B$5:$M$21,MATCH(H$7,Actuals!$A$5:$A$21,0),MATCH($A15,Actuals!$B$4:$M$4,0))="","",INDEX(Actuals!$B$5:$M$21,MATCH(H$7,Actuals!$A$5:$A$21,0),MATCH($A15,Actuals!$B$4:$M$4,0)))</f>
        <v>7</v>
      </c>
      <c r="J15" s="150">
        <f>IF(Actuals!G$76="","",I15-H15)</f>
        <v>-5</v>
      </c>
      <c r="K15" s="169">
        <f t="shared" si="1"/>
        <v>0.58333333333333337</v>
      </c>
      <c r="L15" s="172"/>
      <c r="M15" s="168">
        <f>INDEX('Goals-1'!$B$4:$P$18,MATCH(M$7,'Goals-1'!$A$4:$A$18),MATCH($A15,'Goals-1'!$B$3:$P$3,0))</f>
        <v>8</v>
      </c>
      <c r="N15" s="167">
        <f>IF(INDEX(Actuals!$B$5:$M$21,MATCH(M$7,Actuals!$A$5:$A$21,0),MATCH($A15,Actuals!$B$4:$M$4,0))="","",INDEX(Actuals!$B$5:$M$21,MATCH(M$7,Actuals!$A$5:$A$21,0),MATCH($A15,Actuals!$B$4:$M$4,0)))</f>
        <v>1</v>
      </c>
      <c r="O15" s="150">
        <f>IF(Actuals!G$77="","",N15-M15)</f>
        <v>-7</v>
      </c>
      <c r="P15" s="169">
        <f t="shared" si="2"/>
        <v>0.125</v>
      </c>
      <c r="Q15" s="172"/>
      <c r="R15" s="168">
        <f>INDEX('Goals-1'!$B$4:$P$18,MATCH(R$7,'Goals-1'!$A$4:$A$18),MATCH($A15,'Goals-1'!$B$3:$P$3,0))</f>
        <v>9</v>
      </c>
      <c r="S15" s="167">
        <f>IF(INDEX(Actuals!$B$5:$M$21,MATCH(R$7,Actuals!$A$5:$A$21,0),MATCH($A15,Actuals!$B$4:$M$4,0))="","",INDEX(Actuals!$B$5:$M$21,MATCH(R$7,Actuals!$A$5:$A$21,0),MATCH($A15,Actuals!$B$4:$M$4,0)))</f>
        <v>2</v>
      </c>
      <c r="T15" s="150">
        <f>IF(Actuals!G$78="","",S15-R15)</f>
        <v>-7</v>
      </c>
      <c r="U15" s="169">
        <f t="shared" si="3"/>
        <v>0.22222222222222221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14</v>
      </c>
      <c r="Y15" s="150">
        <f>IF(Actuals!G$79="","",X15-W15)</f>
        <v>3</v>
      </c>
      <c r="Z15" s="169">
        <f t="shared" si="4"/>
        <v>1.2727272727272727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6</v>
      </c>
      <c r="D16" s="167">
        <f>IF(INDEX(Actuals!$B$5:$M$21,MATCH(C$7,Actuals!$A$5:$A$21,0),MATCH($A16,Actuals!$B$4:$M$4,0))="","",INDEX(Actuals!$B$5:$M$21,MATCH(C$7,Actuals!$A$5:$A$21,0),MATCH($A16,Actuals!$B$4:$M$4,0)))</f>
        <v>1</v>
      </c>
      <c r="E16" s="150">
        <f>IF(Actuals!H$75="","",D16-C16)</f>
        <v>-5</v>
      </c>
      <c r="F16" s="169">
        <f t="shared" si="0"/>
        <v>0.16666666666666666</v>
      </c>
      <c r="G16" s="171"/>
      <c r="H16" s="168">
        <f>INDEX('Goals-1'!$B$4:$P$18,MATCH(H$7,'Goals-1'!$A$4:$A$18),MATCH($A16,'Goals-1'!$B$3:$P$3,0))</f>
        <v>8</v>
      </c>
      <c r="I16" s="167">
        <f>IF(INDEX(Actuals!$B$5:$M$21,MATCH(H$7,Actuals!$A$5:$A$21,0),MATCH($A16,Actuals!$B$4:$M$4,0))="","",INDEX(Actuals!$B$5:$M$21,MATCH(H$7,Actuals!$A$5:$A$21,0),MATCH($A16,Actuals!$B$4:$M$4,0)))</f>
        <v>12</v>
      </c>
      <c r="J16" s="150">
        <f>IF(Actuals!H$76="","",I16-H16)</f>
        <v>4</v>
      </c>
      <c r="K16" s="169">
        <f t="shared" si="1"/>
        <v>1.5</v>
      </c>
      <c r="L16" s="171"/>
      <c r="M16" s="168">
        <f>INDEX('Goals-1'!$B$4:$P$18,MATCH(M$7,'Goals-1'!$A$4:$A$18),MATCH($A16,'Goals-1'!$B$3:$P$3,0))</f>
        <v>5</v>
      </c>
      <c r="N16" s="167">
        <f>IF(INDEX(Actuals!$B$5:$M$21,MATCH(M$7,Actuals!$A$5:$A$21,0),MATCH($A16,Actuals!$B$4:$M$4,0))="","",INDEX(Actuals!$B$5:$M$21,MATCH(M$7,Actuals!$A$5:$A$21,0),MATCH($A16,Actuals!$B$4:$M$4,0)))</f>
        <v>0</v>
      </c>
      <c r="O16" s="150">
        <f>IF(Actuals!H$77="","",N16-M16)</f>
        <v>-5</v>
      </c>
      <c r="P16" s="169">
        <f t="shared" si="2"/>
        <v>0</v>
      </c>
      <c r="Q16" s="171"/>
      <c r="R16" s="168">
        <f>INDEX('Goals-1'!$B$4:$P$18,MATCH(R$7,'Goals-1'!$A$4:$A$18),MATCH($A16,'Goals-1'!$B$3:$P$3,0))</f>
        <v>6</v>
      </c>
      <c r="S16" s="167">
        <f>IF(INDEX(Actuals!$B$5:$M$21,MATCH(R$7,Actuals!$A$5:$A$21,0),MATCH($A16,Actuals!$B$4:$M$4,0))="","",INDEX(Actuals!$B$5:$M$21,MATCH(R$7,Actuals!$A$5:$A$21,0),MATCH($A16,Actuals!$B$4:$M$4,0)))</f>
        <v>7</v>
      </c>
      <c r="T16" s="150">
        <f>IF(Actuals!H$78="","",S16-R16)</f>
        <v>1</v>
      </c>
      <c r="U16" s="169">
        <f t="shared" si="3"/>
        <v>1.1666666666666667</v>
      </c>
      <c r="V16" s="171"/>
      <c r="W16" s="168">
        <f>INDEX('Goals-1'!$B$4:$P$18,MATCH(W$7,'Goals-1'!$A$4:$A$18),MATCH($A16,'Goals-1'!$B$3:$P$3,0))</f>
        <v>7</v>
      </c>
      <c r="X16" s="167">
        <f>IF(INDEX(Actuals!$B$5:$M$21,MATCH(W$7,Actuals!$A$5:$A$21,0),MATCH($A16,Actuals!$B$4:$M$4,0))="","",INDEX(Actuals!$B$5:$M$21,MATCH(W$7,Actuals!$A$5:$A$21,0),MATCH($A16,Actuals!$B$4:$M$4,0)))</f>
        <v>2</v>
      </c>
      <c r="Y16" s="150">
        <f>IF(Actuals!H$79="","",X16-W16)</f>
        <v>-5</v>
      </c>
      <c r="Z16" s="169">
        <f t="shared" si="4"/>
        <v>0.2857142857142857</v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10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10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13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12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11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14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9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11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14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9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10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12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10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13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8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12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10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18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10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111</v>
      </c>
      <c r="D22" s="167">
        <f>SUM(D10:D21)</f>
        <v>12</v>
      </c>
      <c r="E22" s="150">
        <f>IF(D22="","",D22-C22)</f>
        <v>-99</v>
      </c>
      <c r="F22" s="169">
        <f>IF(D22="0","",D22/C22)</f>
        <v>0.10810810810810811</v>
      </c>
      <c r="G22" s="170"/>
      <c r="H22" s="175">
        <f>SUM(H10:H21)</f>
        <v>147</v>
      </c>
      <c r="I22" s="167">
        <f>SUM(I10:I21)</f>
        <v>67</v>
      </c>
      <c r="J22" s="150">
        <f>IF(I22="","",I22-H22)</f>
        <v>-80</v>
      </c>
      <c r="K22" s="169">
        <f>IF(I22="0","",I22/H22)</f>
        <v>0.45578231292517007</v>
      </c>
      <c r="L22" s="170"/>
      <c r="M22" s="175">
        <f>SUM(M10:M21)</f>
        <v>91</v>
      </c>
      <c r="N22" s="167">
        <f>SUM(N10:N21)</f>
        <v>20</v>
      </c>
      <c r="O22" s="150">
        <f>IF(N22="","",N22-M22)</f>
        <v>-71</v>
      </c>
      <c r="P22" s="169">
        <f>IF(N22="0","",N22/M22)</f>
        <v>0.21978021978021978</v>
      </c>
      <c r="Q22" s="170"/>
      <c r="R22" s="175">
        <f>SUM(R10:R21)</f>
        <v>104</v>
      </c>
      <c r="S22" s="167">
        <f>SUM(S10:S21)</f>
        <v>48</v>
      </c>
      <c r="T22" s="150">
        <f>IF(S22="","",S22-R22)</f>
        <v>-56</v>
      </c>
      <c r="U22" s="169">
        <f>IF(S22="0","",S22/R22)</f>
        <v>0.46153846153846156</v>
      </c>
      <c r="V22" s="170"/>
      <c r="W22" s="175">
        <f>SUM(W10:W21)</f>
        <v>127</v>
      </c>
      <c r="X22" s="167">
        <f>SUM(X10:X21)</f>
        <v>45</v>
      </c>
      <c r="Y22" s="150">
        <f>IF(X22="","",X22-W22)</f>
        <v>-82</v>
      </c>
      <c r="Z22" s="169">
        <f>IF(X22="0","",X22/W22)</f>
        <v>0.3543307086614173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23</v>
      </c>
      <c r="D25" s="177">
        <f>IFERROR(D10+D11+D12,"")</f>
        <v>2</v>
      </c>
      <c r="E25" s="269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30</v>
      </c>
      <c r="I25" s="168">
        <f>IFERROR(I10+I11+I12,"")</f>
        <v>28</v>
      </c>
      <c r="J25" s="269">
        <f>IFERROR(J10+J11+J12,"")</f>
        <v>-2</v>
      </c>
      <c r="K25" s="169">
        <f>IF(OR(I25="",I25=0),"",I25/H25)</f>
        <v>0.93333333333333335</v>
      </c>
      <c r="L25" s="176"/>
      <c r="M25" s="168">
        <f>IFERROR((M10+M11+M12),"")</f>
        <v>18</v>
      </c>
      <c r="N25" s="168">
        <f>IFERROR(N10+N11+N12,"")</f>
        <v>10</v>
      </c>
      <c r="O25" s="269">
        <f>IFERROR(O10+O11+O12,"")</f>
        <v>-8</v>
      </c>
      <c r="P25" s="169">
        <f>IF(OR(N25="",N25=0),"",N25/M25)</f>
        <v>0.55555555555555558</v>
      </c>
      <c r="Q25" s="176"/>
      <c r="R25" s="168">
        <f>IFERROR((R10+R11+R12),"")</f>
        <v>21</v>
      </c>
      <c r="S25" s="168">
        <f>IFERROR(S10+S11+S12,"")</f>
        <v>19</v>
      </c>
      <c r="T25" s="269">
        <f>IFERROR(T10+T11+T12,"")</f>
        <v>-2</v>
      </c>
      <c r="U25" s="169">
        <f>IF(OR(S25="",S25=0),"",S25/R25)</f>
        <v>0.90476190476190477</v>
      </c>
      <c r="V25" s="176"/>
      <c r="W25" s="168">
        <f>IFERROR((W10+W11+W12),"")</f>
        <v>26</v>
      </c>
      <c r="X25" s="168">
        <f>IFERROR(X10+X11+X12,"")</f>
        <v>18</v>
      </c>
      <c r="Y25" s="269">
        <f>IFERROR(Y10+Y11+Y12,"")</f>
        <v>-8</v>
      </c>
      <c r="Z25" s="169">
        <f>IF(OR(X25="",X25=0),"",X25/W25)</f>
        <v>0.69230769230769229</v>
      </c>
      <c r="AA25" s="176"/>
    </row>
    <row r="26" spans="1:27">
      <c r="A26" s="131" t="s">
        <v>663</v>
      </c>
      <c r="C26" s="168">
        <f>IFERROR((C13+C14+C15),"")</f>
        <v>30</v>
      </c>
      <c r="D26" s="177">
        <f>IFERROR(D13+D14+D15,"")</f>
        <v>9</v>
      </c>
      <c r="E26" s="269">
        <f>IFERROR(E13+E14+E15,"")</f>
        <v>-21</v>
      </c>
      <c r="F26" s="169">
        <f>IF(OR(D26="",D26=0),"",D26/C26)</f>
        <v>0.3</v>
      </c>
      <c r="G26" s="176"/>
      <c r="H26" s="168">
        <f>IFERROR((H13+H14+H15),"")</f>
        <v>40</v>
      </c>
      <c r="I26" s="168">
        <f>IFERROR(I13+I14+I15,"")</f>
        <v>27</v>
      </c>
      <c r="J26" s="269">
        <f>IFERROR(J13+J14+J15,"")</f>
        <v>-13</v>
      </c>
      <c r="K26" s="169">
        <f>IF(OR(I26="",I26=0),"",I26/H26)</f>
        <v>0.67500000000000004</v>
      </c>
      <c r="L26" s="176"/>
      <c r="M26" s="168">
        <f>IFERROR((M13+M14+M15),"")</f>
        <v>25</v>
      </c>
      <c r="N26" s="168">
        <f>IFERROR(N13+N14+N15,"")</f>
        <v>10</v>
      </c>
      <c r="O26" s="269">
        <f>IFERROR(O13+O14+O15,"")</f>
        <v>-15</v>
      </c>
      <c r="P26" s="169">
        <f>IF(OR(N26="",N26=0),"",N26/M26)</f>
        <v>0.4</v>
      </c>
      <c r="Q26" s="176"/>
      <c r="R26" s="168">
        <f>IFERROR((R13+R14+R15),"")</f>
        <v>29</v>
      </c>
      <c r="S26" s="168">
        <f>IFERROR(S13+S14+S15,"")</f>
        <v>22</v>
      </c>
      <c r="T26" s="269">
        <f>IFERROR(T13+T14+T15,"")</f>
        <v>-7</v>
      </c>
      <c r="U26" s="169">
        <f>IF(OR(S26="",S26=0),"",S26/R26)</f>
        <v>0.75862068965517238</v>
      </c>
      <c r="V26" s="176"/>
      <c r="W26" s="168">
        <f>IFERROR((W13+W14+W15),"")</f>
        <v>35</v>
      </c>
      <c r="X26" s="168">
        <f>IFERROR(X13+X14+X15,"")</f>
        <v>25</v>
      </c>
      <c r="Y26" s="269">
        <f>IFERROR(Y13+Y14+Y15,"")</f>
        <v>-10</v>
      </c>
      <c r="Z26" s="169">
        <f>IF(OR(X26="",X26=0),"",X26/W26)</f>
        <v>0.7142857142857143</v>
      </c>
      <c r="AA26" s="176"/>
    </row>
    <row r="27" spans="1:27">
      <c r="A27" s="131" t="s">
        <v>663</v>
      </c>
      <c r="C27" s="168">
        <f>IFERROR((C16+C17+C18),"")</f>
        <v>27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32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27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28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32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31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45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21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26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34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111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147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91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104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127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COUNTIFS(DD_Info!$B$2:$B$221,"&lt;&gt;TO BE APPOINTED",DD_Info!$C$2:$C$221,C7)</f>
        <v>6</v>
      </c>
      <c r="G32" s="176"/>
      <c r="H32" s="129">
        <f>COUNTIFS(DD_Info!$B$2:$B$221,"&lt;&gt;TO BE APPOINTED",DD_Info!$C$2:$C$221,H7)</f>
        <v>13</v>
      </c>
      <c r="L32" s="176"/>
      <c r="M32" s="129">
        <f>COUNTIFS(DD_Info!$B$2:$B$221,"&lt;&gt;TO BE APPOINTED",DD_Info!$C$2:$C$221,M7)</f>
        <v>8</v>
      </c>
      <c r="Q32" s="176"/>
      <c r="R32" s="129">
        <f>COUNTIFS(DD_Info!$B$2:$B$221,"&lt;&gt;TO BE APPOINTED",DD_Info!$C$2:$C$221,R7)</f>
        <v>6</v>
      </c>
      <c r="V32" s="176"/>
      <c r="W32" s="129">
        <f>COUNTIFS(DD_Info!$B$2:$B$221,"&lt;&gt;TO BE APPOINTED",DD_Info!$C$2:$C$221,W7)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COUNTIFS(Districts!$E$3:$E$217,"&gt;0",Districts!$B$3:$B$217,C7)</f>
        <v>1</v>
      </c>
      <c r="G34" s="176"/>
      <c r="H34" s="129">
        <f>COUNTIFS(Districts!$E$3:$E$217,"&gt;0",Districts!$B$3:$B$217,H7)</f>
        <v>5</v>
      </c>
      <c r="L34" s="176"/>
      <c r="M34" s="129">
        <f>COUNTIFS(Districts!$E$3:$E$217,"&gt;0",Districts!$B$3:$B$217,M7)</f>
        <v>0</v>
      </c>
      <c r="Q34" s="176"/>
      <c r="R34" s="129">
        <f>COUNTIFS(Districts!$E$3:$E$217,"&gt;0",Districts!$B$3:$B$217,R7)</f>
        <v>0</v>
      </c>
      <c r="V34" s="176"/>
      <c r="W34" s="129">
        <f>COUNTIFS(Districts!$E$3:$E$217,"&gt;0",Districts!$B$3:$B$217,W7)</f>
        <v>1</v>
      </c>
      <c r="AA34" s="176"/>
    </row>
    <row r="35" spans="1:27">
      <c r="A35" s="131" t="s">
        <v>898</v>
      </c>
      <c r="C35" s="129">
        <f>COUNTIFS(Districts!$H$3:$H$217,"&gt;0",Districts!$B$3:$B$217,C7)</f>
        <v>3</v>
      </c>
      <c r="G35" s="176"/>
      <c r="H35" s="129">
        <f>COUNTIFS(Districts!$H$3:$H$217,"&gt;0",Districts!$B$3:$B$217,H7)</f>
        <v>11</v>
      </c>
      <c r="L35" s="176"/>
      <c r="M35" s="129">
        <f>COUNTIFS(Districts!$H$3:$H$217,"&gt;0",Districts!$B$3:$B$217,M7)</f>
        <v>5</v>
      </c>
      <c r="Q35" s="176"/>
      <c r="R35" s="129">
        <f>COUNTIFS(Districts!$H$3:$H$217,"&gt;0",Districts!$B$3:$B$217,R7)</f>
        <v>1</v>
      </c>
      <c r="V35" s="176"/>
      <c r="W35" s="129">
        <f>COUNTIFS(Districts!$H$3:$H$217,"&gt;0",Districts!$B$3:$B$217,W7)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0.16666666666666666</v>
      </c>
      <c r="G38" s="176"/>
      <c r="H38" s="114">
        <f>H34/H$32</f>
        <v>0.38461538461538464</v>
      </c>
      <c r="L38" s="176"/>
      <c r="M38" s="114">
        <f>M34/M$32</f>
        <v>0</v>
      </c>
      <c r="Q38" s="176"/>
      <c r="R38" s="114">
        <f>R34/R$32</f>
        <v>0</v>
      </c>
      <c r="V38" s="176"/>
      <c r="W38" s="114">
        <f>W34/W$32</f>
        <v>0.125</v>
      </c>
      <c r="AA38" s="176"/>
    </row>
    <row r="39" spans="1:27">
      <c r="A39" s="131" t="s">
        <v>898</v>
      </c>
      <c r="C39" s="114">
        <f>C35/C$32</f>
        <v>0.5</v>
      </c>
      <c r="G39" s="176"/>
      <c r="H39" s="114">
        <f>H35/H$32</f>
        <v>0.84615384615384615</v>
      </c>
      <c r="L39" s="176"/>
      <c r="M39" s="114">
        <f>M35/M$32</f>
        <v>0.625</v>
      </c>
      <c r="Q39" s="176"/>
      <c r="R39" s="114">
        <f>R35/R$32</f>
        <v>0.16666666666666666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COUNTIFS(Council_Data!$A$4:$A$818,"&lt;&gt;0",Council_Data!$D$3:$D$838,C7)</f>
        <v>#VALUE!</v>
      </c>
      <c r="G41" s="176"/>
      <c r="H41" s="129" t="e">
        <f>COUNTIFS(Council_Data!$A$4:$A$818,"&lt;&gt;0",Council_Data!$D$3:$D$838,H7)</f>
        <v>#VALUE!</v>
      </c>
      <c r="L41" s="176"/>
      <c r="M41" s="129" t="e">
        <f>COUNTIFS(Council_Data!$A$4:$A$818,"&lt;&gt;0",Council_Data!$D$3:$D$838,M7)</f>
        <v>#VALUE!</v>
      </c>
      <c r="Q41" s="176"/>
      <c r="R41" s="129" t="e">
        <f>COUNTIFS(Council_Data!$A$4:$A$818,"&lt;&gt;0",Council_Data!$D$3:$D$838,R7)</f>
        <v>#VALUE!</v>
      </c>
      <c r="V41" s="176"/>
      <c r="W41" s="129" t="e">
        <f>COUNTIFS(Council_Data!$A$4:$A$818,"&lt;&gt;0",Council_Data!$D$3:$D$838,W7)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COUNTIFS(Council_Data!$G$4:$G$818,"&gt;0",Council_Data!$D$3:$D$838,C7)</f>
        <v>#VALUE!</v>
      </c>
      <c r="G43" s="176"/>
      <c r="H43" s="129" t="e">
        <f>COUNTIFS(Council_Data!$G$4:$G$818,"&gt;0",Council_Data!$D$3:$D$838,H7)</f>
        <v>#VALUE!</v>
      </c>
      <c r="L43" s="176"/>
      <c r="M43" s="129" t="e">
        <f>COUNTIFS(Council_Data!$G$4:$G$818,"&gt;0",Council_Data!$D$3:$D$838,M7)</f>
        <v>#VALUE!</v>
      </c>
      <c r="Q43" s="176"/>
      <c r="R43" s="129" t="e">
        <f>COUNTIFS(Council_Data!$G$4:$G$818,"&gt;0",Council_Data!$D$3:$D$838,R7)</f>
        <v>#VALUE!</v>
      </c>
      <c r="V43" s="176"/>
      <c r="W43" s="129" t="e">
        <f>COUNTIFS(Council_Data!$G$4:$G$818,"&gt;0",Council_Data!$D$3:$D$838,W7)</f>
        <v>#VALUE!</v>
      </c>
      <c r="AA43" s="176"/>
    </row>
    <row r="44" spans="1:27">
      <c r="A44" s="131" t="s">
        <v>898</v>
      </c>
      <c r="C44" s="129">
        <f>COUNTIFS(Council_Data!$J$3:$J$838,"&gt;0",Council_Data!$D$3:$D$838,C7)</f>
        <v>5</v>
      </c>
      <c r="G44" s="176"/>
      <c r="H44" s="129">
        <f>COUNTIFS(Council_Data!$J$3:$J$838,"&gt;0",Council_Data!$D$3:$D$838,H7)</f>
        <v>17</v>
      </c>
      <c r="L44" s="176"/>
      <c r="M44" s="129">
        <f>COUNTIFS(Council_Data!$J$3:$J$838,"&gt;0",Council_Data!$D$3:$D$838,M7)</f>
        <v>7</v>
      </c>
      <c r="Q44" s="176"/>
      <c r="R44" s="129">
        <f>COUNTIFS(Council_Data!$J$3:$J$838,"&gt;0",Council_Data!$D$3:$D$838,R7)</f>
        <v>11</v>
      </c>
      <c r="V44" s="176"/>
      <c r="W44" s="129">
        <f>COUNTIFS(Council_Data!$J$3:$J$838,"&gt;0",Council_Data!$D$3:$D$838,W7)</f>
        <v>15</v>
      </c>
      <c r="AA44" s="176"/>
    </row>
    <row r="45" spans="1:27">
      <c r="A45" s="131" t="s">
        <v>916</v>
      </c>
      <c r="C45" s="129" t="e">
        <f>COUNTIFS(Council_Data!$Y$4:$Y$818,"Dormant",Council_Data!$D$3:$D$838,C7)</f>
        <v>#VALUE!</v>
      </c>
      <c r="G45" s="176"/>
      <c r="H45" s="129" t="e">
        <f>COUNTIFS(Council_Data!$Y$4:$Y$818,"Dormant",Council_Data!$D$3:$D$838,H7)</f>
        <v>#VALUE!</v>
      </c>
      <c r="L45" s="176"/>
      <c r="M45" s="129" t="e">
        <f>COUNTIFS(Council_Data!$Y$4:$Y$818,"Dormant",Council_Data!$D$3:$D$838,M7)</f>
        <v>#VALUE!</v>
      </c>
      <c r="Q45" s="176"/>
      <c r="R45" s="129" t="e">
        <f>COUNTIFS(Council_Data!$Y$4:$Y$818,"Dormant",Council_Data!$D$3:$D$838,R7)</f>
        <v>#VALUE!</v>
      </c>
      <c r="V45" s="176"/>
      <c r="W45" s="129" t="e">
        <f>COUNTIFS(Council_Data!$Y$4:$Y$818,"Dormant",Council_Data!$D$3:$D$838,W7)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COUNTIFS(Council_Data!$Y$5:$YU$818,"Suspended",Council_Data!$D$3:$D$838,C7)</f>
        <v>#VALUE!</v>
      </c>
      <c r="G46" s="176"/>
      <c r="H46" s="129" t="e">
        <f>COUNTIFS(Council_Data!$Y$5:$YU$818,"Suspended",Council_Data!$D$3:$D$838,H7)</f>
        <v>#VALUE!</v>
      </c>
      <c r="L46" s="176"/>
      <c r="M46" s="129" t="e">
        <f>COUNTIFS(Council_Data!$Y$5:$YU$818,"Suspended",Council_Data!$D$3:$D$838,M7)</f>
        <v>#VALUE!</v>
      </c>
      <c r="Q46" s="176"/>
      <c r="R46" s="129" t="e">
        <f>COUNTIFS(Council_Data!$Y$5:$YU$818,"Suspended",Council_Data!$D$3:$D$838,R7)</f>
        <v>#VALUE!</v>
      </c>
      <c r="V46" s="176"/>
      <c r="W46" s="129" t="e">
        <f>COUNTIFS(Council_Data!$Y$5:$YU$818,"Suspended",Council_Data!$D$3:$D$838,W7)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JAN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SUMIF(Council_Data!$D$3:$D$838,C7,Council_Data!$J$3:$J$838)</f>
        <v>12</v>
      </c>
      <c r="G57" s="176"/>
      <c r="I57" s="182">
        <f>SUMIF(Council_Data!$D$3:$D$838,H7,Council_Data!$J$3:$J$838)</f>
        <v>67</v>
      </c>
      <c r="L57" s="176"/>
      <c r="N57" s="182">
        <f>SUMIF(Council_Data!$D$3:$D$838,M7,Council_Data!$J$3:$J$838)</f>
        <v>20</v>
      </c>
      <c r="Q57" s="176"/>
      <c r="S57" s="182">
        <f>SUMIF(Council_Data!$D$3:$D$838,R7,Council_Data!$J$3:$J$838)</f>
        <v>48</v>
      </c>
      <c r="V57" s="176"/>
      <c r="X57" s="182">
        <f>SUMIF(Council_Data!$D$3:$D$838,W7,Council_Data!$J$3:$J$838)</f>
        <v>45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395"/>
      <c r="D60" s="396"/>
      <c r="E60" s="396"/>
      <c r="F60" s="397"/>
      <c r="G60" s="176"/>
      <c r="H60" s="395"/>
      <c r="I60" s="396"/>
      <c r="J60" s="396"/>
      <c r="K60" s="397"/>
      <c r="L60" s="176"/>
      <c r="M60" s="395"/>
      <c r="N60" s="396"/>
      <c r="O60" s="396"/>
      <c r="P60" s="397"/>
      <c r="Q60" s="176"/>
      <c r="R60" s="395"/>
      <c r="S60" s="396"/>
      <c r="T60" s="396"/>
      <c r="U60" s="397"/>
      <c r="V60" s="176"/>
      <c r="W60" s="395"/>
      <c r="X60" s="396"/>
      <c r="Y60" s="396"/>
      <c r="Z60" s="397"/>
      <c r="AA60" s="176"/>
    </row>
    <row r="61" spans="1:27">
      <c r="C61" s="398"/>
      <c r="D61" s="399"/>
      <c r="E61" s="399"/>
      <c r="F61" s="400"/>
      <c r="G61" s="176"/>
      <c r="H61" s="398"/>
      <c r="I61" s="399"/>
      <c r="J61" s="399"/>
      <c r="K61" s="400"/>
      <c r="L61" s="176"/>
      <c r="M61" s="398"/>
      <c r="N61" s="399"/>
      <c r="O61" s="399"/>
      <c r="P61" s="400"/>
      <c r="Q61" s="176"/>
      <c r="R61" s="398"/>
      <c r="S61" s="399"/>
      <c r="T61" s="399"/>
      <c r="U61" s="400"/>
      <c r="V61" s="176"/>
      <c r="W61" s="398"/>
      <c r="X61" s="399"/>
      <c r="Y61" s="399"/>
      <c r="Z61" s="400"/>
      <c r="AA61" s="176"/>
    </row>
    <row r="62" spans="1:27">
      <c r="C62" s="398"/>
      <c r="D62" s="399"/>
      <c r="E62" s="399"/>
      <c r="F62" s="400"/>
      <c r="G62" s="176"/>
      <c r="H62" s="398"/>
      <c r="I62" s="399"/>
      <c r="J62" s="399"/>
      <c r="K62" s="400"/>
      <c r="L62" s="176"/>
      <c r="M62" s="398"/>
      <c r="N62" s="399"/>
      <c r="O62" s="399"/>
      <c r="P62" s="400"/>
      <c r="Q62" s="176"/>
      <c r="R62" s="398"/>
      <c r="S62" s="399"/>
      <c r="T62" s="399"/>
      <c r="U62" s="400"/>
      <c r="V62" s="176"/>
      <c r="W62" s="398"/>
      <c r="X62" s="399"/>
      <c r="Y62" s="399"/>
      <c r="Z62" s="400"/>
      <c r="AA62" s="176"/>
    </row>
    <row r="63" spans="1:27">
      <c r="C63" s="401"/>
      <c r="D63" s="402"/>
      <c r="E63" s="402"/>
      <c r="F63" s="403"/>
      <c r="G63" s="176"/>
      <c r="H63" s="401"/>
      <c r="I63" s="402"/>
      <c r="J63" s="402"/>
      <c r="K63" s="403"/>
      <c r="L63" s="176"/>
      <c r="M63" s="401"/>
      <c r="N63" s="402"/>
      <c r="O63" s="402"/>
      <c r="P63" s="403"/>
      <c r="Q63" s="176"/>
      <c r="R63" s="401"/>
      <c r="S63" s="402"/>
      <c r="T63" s="402"/>
      <c r="U63" s="403"/>
      <c r="V63" s="176"/>
      <c r="W63" s="401"/>
      <c r="X63" s="402"/>
      <c r="Y63" s="402"/>
      <c r="Z63" s="403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Z10:Z22">
    <cfRule type="containsBlanks" dxfId="302" priority="55" stopIfTrue="1">
      <formula>LEN(TRIM(Z10))=0</formula>
    </cfRule>
    <cfRule type="cellIs" dxfId="301" priority="56" stopIfTrue="1" operator="greaterThan">
      <formula>1</formula>
    </cfRule>
    <cfRule type="cellIs" dxfId="300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9" priority="6" stopIfTrue="1">
      <formula>LEN(TRIM(E10))=0</formula>
    </cfRule>
    <cfRule type="cellIs" dxfId="298" priority="7" stopIfTrue="1" operator="greaterThanOrEqual">
      <formula>1</formula>
    </cfRule>
    <cfRule type="cellIs" dxfId="297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5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7468</v>
      </c>
      <c r="B3" t="str">
        <f>IF(ISNA(VLOOKUP($A3,Councils!$B$6:$AE$841,3,0)),0,VLOOKUP($A3,Councils!$B$6:$AE$841,3,0))</f>
        <v>Baytown</v>
      </c>
      <c r="C3">
        <f>IF(ISNA(VLOOKUP($A3,Councils!$B$6:$AE$841,4,0)),0,VLOOKUP($A3,Councils!$B$6:$AE$841,4,0))</f>
        <v>37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10656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44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11662</v>
      </c>
      <c r="B5" t="str">
        <f>IF(ISNA(VLOOKUP($A5,Councils!$B$6:$AE$841,3,0)),0,VLOOKUP($A5,Councils!$B$6:$AE$841,3,0))</f>
        <v>Galena Park</v>
      </c>
      <c r="C5">
        <f>IF(ISNA(VLOOKUP($A5,Councils!$B$6:$AE$841,4,0)),0,VLOOKUP($A5,Councils!$B$6:$AE$841,4,0))</f>
        <v>47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 A5">
    <cfRule type="expression" dxfId="143" priority="1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3365</v>
      </c>
      <c r="B3" t="str">
        <f>IF(ISNA(VLOOKUP($A3,Councils!$B$6:$AE$841,3,0)),0,VLOOKUP($A3,Councils!$B$6:$AE$841,3,0))</f>
        <v>Freeport</v>
      </c>
      <c r="C3">
        <f>IF(ISNA(VLOOKUP($A3,Councils!$B$6:$AE$841,4,0)),0,VLOOKUP($A3,Councils!$B$6:$AE$841,4,0))</f>
        <v>111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6812</v>
      </c>
      <c r="B4" t="str">
        <f>IF(ISNA(VLOOKUP($A4,Councils!$B$6:$AE$841,3,0)),0,VLOOKUP($A4,Councils!$B$6:$AE$841,3,0))</f>
        <v>Lake Jackson</v>
      </c>
      <c r="C4">
        <f>IF(ISNA(VLOOKUP($A4,Councils!$B$6:$AE$841,4,0)),0,VLOOKUP($A4,Councils!$B$6:$AE$841,4,0))</f>
        <v>351</v>
      </c>
      <c r="D4">
        <f>IF(ISNA(VLOOKUP($A4,Councils!$B$6:$AE$841,5,0)),0,VLOOKUP($A4,Councils!$B$6:$AE$841,5,0))</f>
        <v>17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8548</v>
      </c>
      <c r="B5" t="str">
        <f>IF(ISNA(VLOOKUP($A5,Councils!$B$6:$AE$841,3,0)),0,VLOOKUP($A5,Councils!$B$6:$AE$841,3,0))</f>
        <v>Brazoria</v>
      </c>
      <c r="C5">
        <f>IF(ISNA(VLOOKUP($A5,Councils!$B$6:$AE$841,4,0)),0,VLOOKUP($A5,Councils!$B$6:$AE$841,4,0))</f>
        <v>118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9686</v>
      </c>
      <c r="B6" t="str">
        <f>IF(ISNA(VLOOKUP($A6,Councils!$B$6:$AE$841,3,0)),0,VLOOKUP($A6,Councils!$B$6:$AE$841,3,0))</f>
        <v>Clute</v>
      </c>
      <c r="C6">
        <f>IF(ISNA(VLOOKUP($A6,Councils!$B$6:$AE$841,4,0)),0,VLOOKUP($A6,Councils!$B$6:$AE$841,4,0))</f>
        <v>91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142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787</v>
      </c>
      <c r="B3" t="str">
        <f>IF(ISNA(VLOOKUP($A3,Councils!$B$6:$AE$841,3,0)),0,VLOOKUP($A3,Councils!$B$6:$AE$841,3,0))</f>
        <v>Galveston</v>
      </c>
      <c r="C3">
        <f>IF(ISNA(VLOOKUP($A3,Councils!$B$6:$AE$841,4,0)),0,VLOOKUP($A3,Councils!$B$6:$AE$841,4,0))</f>
        <v>274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8.3333333333333329E-2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9978</v>
      </c>
      <c r="B4" t="str">
        <f>IF(ISNA(VLOOKUP($A4,Councils!$B$6:$AE$841,3,0)),0,VLOOKUP($A4,Councils!$B$6:$AE$841,3,0))</f>
        <v>Galveston</v>
      </c>
      <c r="C4">
        <f>IF(ISNA(VLOOKUP($A4,Councils!$B$6:$AE$841,4,0)),0,VLOOKUP($A4,Councils!$B$6:$AE$841,4,0))</f>
        <v>184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298">
        <v>16146</v>
      </c>
      <c r="B5" t="str">
        <f>IF(ISNA(VLOOKUP($A5,Councils!$B$6:$AE$841,3,0)),0,VLOOKUP($A5,Councils!$B$6:$AE$841,3,0))</f>
        <v>Galveston</v>
      </c>
      <c r="C5">
        <f>IF(ISNA(VLOOKUP($A5,Councils!$B$6:$AE$841,4,0)),0,VLOOKUP($A5,Councils!$B$6:$AE$841,4,0))</f>
        <v>31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0.66666666666666663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3217</v>
      </c>
      <c r="B3" t="str">
        <f>IF(ISNA(VLOOKUP($A3,Councils!$B$6:$AE$841,3,0)),0,VLOOKUP($A3,Councils!$B$6:$AE$841,3,0))</f>
        <v>Dickinson</v>
      </c>
      <c r="C3">
        <f>IF(ISNA(VLOOKUP($A3,Councils!$B$6:$AE$841,4,0)),0,VLOOKUP($A3,Councils!$B$6:$AE$841,4,0))</f>
        <v>257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2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2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5236</v>
      </c>
      <c r="B4" t="str">
        <f>IF(ISNA(VLOOKUP($A4,Councils!$B$6:$AE$841,3,0)),0,VLOOKUP($A4,Councils!$B$6:$AE$841,3,0))</f>
        <v>La Marque</v>
      </c>
      <c r="C4">
        <f>IF(ISNA(VLOOKUP($A4,Councils!$B$6:$AE$841,4,0)),0,VLOOKUP($A4,Councils!$B$6:$AE$841,4,0))</f>
        <v>188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9310</v>
      </c>
      <c r="B5" t="str">
        <f>IF(ISNA(VLOOKUP($A5,Councils!$B$6:$AE$841,3,0)),0,VLOOKUP($A5,Councils!$B$6:$AE$841,3,0))</f>
        <v>League City</v>
      </c>
      <c r="C5">
        <f>IF(ISNA(VLOOKUP($A5,Councils!$B$6:$AE$841,4,0)),0,VLOOKUP($A5,Councils!$B$6:$AE$841,4,0))</f>
        <v>313</v>
      </c>
      <c r="D5">
        <f>IF(ISNA(VLOOKUP($A5,Councils!$B$6:$AE$841,5,0)),0,VLOOKUP($A5,Councils!$B$6:$AE$841,5,0))</f>
        <v>15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6.6666666666666666E-2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10393</v>
      </c>
      <c r="B6" t="str">
        <f>IF(ISNA(VLOOKUP($A6,Councils!$B$6:$AE$841,3,0)),0,VLOOKUP($A6,Councils!$B$6:$AE$841,3,0))</f>
        <v>Hitchcock</v>
      </c>
      <c r="C6">
        <f>IF(ISNA(VLOOKUP($A6,Councils!$B$6:$AE$841,4,0)),0,VLOOKUP($A6,Councils!$B$6:$AE$841,4,0))</f>
        <v>191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2</v>
      </c>
      <c r="G6">
        <f>IF(ISNA(VLOOKUP($A6,Councils!$B$6:$AE$81023,0)),0,VLOOKUP($A6,Councils!$B$6:$AE$841,8,0))</f>
        <v>-2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-2</v>
      </c>
      <c r="K6" s="63">
        <f>IFERROR(J6/D6,0)</f>
        <v>-0.22222222222222221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40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5155</v>
      </c>
      <c r="B3" t="str">
        <f>IF(ISNA(VLOOKUP($A3,Councils!$B$6:$AE$841,3,0)),0,VLOOKUP($A3,Councils!$B$6:$AE$841,3,0))</f>
        <v>Angleton</v>
      </c>
      <c r="C3">
        <f>IF(ISNA(VLOOKUP($A3,Councils!$B$6:$AE$841,4,0)),0,VLOOKUP($A3,Councils!$B$6:$AE$841,4,0))</f>
        <v>259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8.3333333333333329E-2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6403</v>
      </c>
      <c r="B4" t="str">
        <f>IF(ISNA(VLOOKUP($A4,Councils!$B$6:$AE$841,3,0)),0,VLOOKUP($A4,Councils!$B$6:$AE$841,3,0))</f>
        <v>Alvin Manvel</v>
      </c>
      <c r="C4">
        <f>IF(ISNA(VLOOKUP($A4,Councils!$B$6:$AE$841,4,0)),0,VLOOKUP($A4,Councils!$B$6:$AE$841,4,0))</f>
        <v>298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23</v>
      </c>
      <c r="J4">
        <f>IF(ISNA(VLOOKUP($A4,Councils!$B$6:$AE$841,11,0)),0,VLOOKUP($A4,Councils!$B$6:$AE$841,11,0))</f>
        <v>-21</v>
      </c>
      <c r="K4" s="63">
        <f>IFERROR(J4/D4,0)</f>
        <v>-1.5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5</v>
      </c>
      <c r="S4">
        <f>IF(ISNA(VLOOKUP($A4,Councils!$B$6:$AE$841,20,0)),0,VLOOKUP($A4,Councils!$B$6:$AE$841,20,0))</f>
        <v>-3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9817</v>
      </c>
      <c r="B5" t="str">
        <f>IF(ISNA(VLOOKUP($A5,Councils!$B$6:$AE$841,3,0)),0,VLOOKUP($A5,Councils!$B$6:$AE$841,3,0))</f>
        <v>Danbury</v>
      </c>
      <c r="C5">
        <f>IF(ISNA(VLOOKUP($A5,Councils!$B$6:$AE$841,4,0)),0,VLOOKUP($A5,Councils!$B$6:$AE$841,4,0))</f>
        <v>50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8494</v>
      </c>
      <c r="B3" t="str">
        <f>IF(ISNA(VLOOKUP($A3,Councils!$B$6:$AE$841,3,0)),0,VLOOKUP($A3,Councils!$B$6:$AE$841,3,0))</f>
        <v>Friendswood</v>
      </c>
      <c r="C3">
        <f>IF(ISNA(VLOOKUP($A3,Councils!$B$6:$AE$841,4,0)),0,VLOOKUP($A3,Councils!$B$6:$AE$841,4,0))</f>
        <v>294</v>
      </c>
      <c r="D3">
        <f>IF(ISNA(VLOOKUP($A3,Councils!$B$6:$AE$841,5,0)),0,VLOOKUP($A3,Councils!$B$6:$AE$841,5,0))</f>
        <v>15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11</v>
      </c>
      <c r="K3" s="63">
        <f>IFERROR(J3/D3,0)</f>
        <v>0.73333333333333328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9201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216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10959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133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2788</v>
      </c>
      <c r="B3" t="str">
        <f>IF(ISNA(VLOOKUP($A3,Councils!$B$6:$AE$841,3,0)),0,VLOOKUP($A3,Councils!$B$6:$AE$841,3,0))</f>
        <v>Baytown</v>
      </c>
      <c r="C3">
        <f>IF(ISNA(VLOOKUP($A3,Councils!$B$6:$AE$841,4,0)),0,VLOOKUP($A3,Councils!$B$6:$AE$841,4,0))</f>
        <v>106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5232</v>
      </c>
      <c r="B4" t="str">
        <f>IF(ISNA(VLOOKUP($A4,Councils!$B$6:$AE$841,3,0)),0,VLOOKUP($A4,Councils!$B$6:$AE$841,3,0))</f>
        <v>La Porte</v>
      </c>
      <c r="C4">
        <f>IF(ISNA(VLOOKUP($A4,Councils!$B$6:$AE$841,4,0)),0,VLOOKUP($A4,Councils!$B$6:$AE$841,4,0))</f>
        <v>182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6234</v>
      </c>
      <c r="B5" t="str">
        <f>IF(ISNA(VLOOKUP($A5,Councils!$B$6:$AE$841,3,0)),0,VLOOKUP($A5,Councils!$B$6:$AE$841,3,0))</f>
        <v>Nassau Bay</v>
      </c>
      <c r="C5">
        <f>IF(ISNA(VLOOKUP($A5,Councils!$B$6:$AE$841,4,0)),0,VLOOKUP($A5,Councils!$B$6:$AE$841,4,0))</f>
        <v>160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6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5</v>
      </c>
      <c r="K5" s="63">
        <f>IFERROR(J5/D5,0)</f>
        <v>0.625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7206</v>
      </c>
      <c r="B6" t="str">
        <f>IF(ISNA(VLOOKUP($A6,Councils!$B$6:$AE$841,3,0)),0,VLOOKUP($A6,Councils!$B$6:$AE$841,3,0))</f>
        <v>Baytown</v>
      </c>
      <c r="C6">
        <f>IF(ISNA(VLOOKUP($A6,Councils!$B$6:$AE$841,4,0)),0,VLOOKUP($A6,Councils!$B$6:$AE$841,4,0))</f>
        <v>115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0.16666666666666666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9708</v>
      </c>
      <c r="B7" t="str">
        <f>IF(ISNA(VLOOKUP($A7,Councils!$B$6:$AE$841,3,0)),0,VLOOKUP($A7,Councils!$B$6:$AE$841,3,0))</f>
        <v>Houston</v>
      </c>
      <c r="C7">
        <f>IF(ISNA(VLOOKUP($A7,Councils!$B$6:$AE$841,4,0)),0,VLOOKUP($A7,Councils!$B$6:$AE$841,4,0))</f>
        <v>144</v>
      </c>
      <c r="D7">
        <f>IF(ISNA(VLOOKUP($A7,Councils!$B$6:$AE$841,5,0)),0,VLOOKUP($A7,Councils!$B$6:$AE$841,5,0))</f>
        <v>7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5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5</v>
      </c>
      <c r="K7" s="63">
        <f>IFERROR(J7/D7,0)</f>
        <v>0.7142857142857143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2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1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1</v>
      </c>
    </row>
  </sheetData>
  <conditionalFormatting sqref="A3">
    <cfRule type="expression" dxfId="137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3700</v>
      </c>
      <c r="B3" t="str">
        <f>IF(ISNA(VLOOKUP($A3,Councils!$B$6:$AE$841,3,0)),0,VLOOKUP($A3,Councils!$B$6:$AE$841,3,0))</f>
        <v>Pasadena</v>
      </c>
      <c r="C3">
        <f>IF(ISNA(VLOOKUP($A3,Councils!$B$6:$AE$841,4,0)),0,VLOOKUP($A3,Councils!$B$6:$AE$841,4,0))</f>
        <v>219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10562</v>
      </c>
      <c r="B4" t="str">
        <f>IF(ISNA(VLOOKUP($A4,Councils!$B$6:$AE$841,3,0)),0,VLOOKUP($A4,Councils!$B$6:$AE$841,3,0))</f>
        <v>Pasadena</v>
      </c>
      <c r="C4">
        <f>IF(ISNA(VLOOKUP($A4,Councils!$B$6:$AE$841,4,0)),0,VLOOKUP($A4,Councils!$B$6:$AE$841,4,0))</f>
        <v>87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10574</v>
      </c>
      <c r="B5" t="str">
        <f>IF(ISNA(VLOOKUP($A5,Councils!$B$6:$AE$841,3,0)),0,VLOOKUP($A5,Councils!$B$6:$AE$841,3,0))</f>
        <v>Deer Park</v>
      </c>
      <c r="C5">
        <f>IF(ISNA(VLOOKUP($A5,Councils!$B$6:$AE$841,4,0)),0,VLOOKUP($A5,Councils!$B$6:$AE$841,4,0))</f>
        <v>168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16218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34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36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3229</v>
      </c>
      <c r="B3" t="str">
        <f>IF(ISNA(VLOOKUP($A3,Councils!$B$6:$AE$841,3,0)),0,VLOOKUP($A3,Councils!$B$6:$AE$841,3,0))</f>
        <v>Crosby</v>
      </c>
      <c r="C3">
        <f>IF(ISNA(VLOOKUP($A3,Councils!$B$6:$AE$841,4,0)),0,VLOOKUP($A3,Councils!$B$6:$AE$841,4,0))</f>
        <v>128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23</v>
      </c>
      <c r="J3">
        <f>IF(ISNA(VLOOKUP($A3,Councils!$B$6:$AE$841,11,0)),0,VLOOKUP($A3,Councils!$B$6:$AE$841,11,0))</f>
        <v>-22</v>
      </c>
      <c r="K3" s="63">
        <f>IFERROR(J3/D3,0)</f>
        <v>-3.6666666666666665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6</v>
      </c>
      <c r="S3">
        <f>IF(ISNA(VLOOKUP($A3,Councils!$B$6:$AE$841,20,0)),0,VLOOKUP($A3,Councils!$B$6:$AE$841,20,0))</f>
        <v>-6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5077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100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9041</v>
      </c>
      <c r="B5" t="str">
        <f>IF(ISNA(VLOOKUP($A5,Councils!$B$6:$AE$841,3,0)),0,VLOOKUP($A5,Councils!$B$6:$AE$841,3,0))</f>
        <v>Channelview</v>
      </c>
      <c r="C5">
        <f>IF(ISNA(VLOOKUP($A5,Councils!$B$6:$AE$841,4,0)),0,VLOOKUP($A5,Councils!$B$6:$AE$841,4,0))</f>
        <v>103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9629</v>
      </c>
      <c r="B6" t="str">
        <f>IF(ISNA(VLOOKUP($A6,Councils!$B$6:$AE$841,3,0)),0,VLOOKUP($A6,Councils!$B$6:$AE$841,3,0))</f>
        <v>Highlands</v>
      </c>
      <c r="C6">
        <f>IF(ISNA(VLOOKUP($A6,Councils!$B$6:$AE$841,4,0)),0,VLOOKUP($A6,Councils!$B$6:$AE$841,4,0))</f>
        <v>42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10779</v>
      </c>
      <c r="B7" t="str">
        <f>IF(ISNA(VLOOKUP($A7,Councils!$B$6:$AE$841,3,0)),0,VLOOKUP($A7,Councils!$B$6:$AE$841,3,0))</f>
        <v>Houston</v>
      </c>
      <c r="C7">
        <f>IF(ISNA(VLOOKUP($A7,Councils!$B$6:$AE$841,4,0)),0,VLOOKUP($A7,Councils!$B$6:$AE$841,4,0))</f>
        <v>88</v>
      </c>
      <c r="D7">
        <f>IF(ISNA(VLOOKUP($A7,Councils!$B$6:$AE$841,5,0)),0,VLOOKUP($A7,Councils!$B$6:$AE$841,5,0))</f>
        <v>4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1</v>
      </c>
      <c r="P7">
        <f>IF(ISNA(VLOOKUP($A7,Councils!$B$6:$AE$841,17,0)),0,VLOOKUP($A7,Councils!$B$6:$AE$841,17,0))</f>
        <v>-1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-1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</sheetData>
  <conditionalFormatting sqref="A3">
    <cfRule type="expression" dxfId="135" priority="2">
      <formula>IF(AND($H3="*"),($R3="*"))</formula>
    </cfRule>
  </conditionalFormatting>
  <conditionalFormatting sqref="A5">
    <cfRule type="expression" dxfId="134" priority="1">
      <formula>IF(AND($H5="*"),($R5="*"))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4577</v>
      </c>
      <c r="B3" t="str">
        <f>IF(ISNA(VLOOKUP($A3,Councils!$B$6:$AE$841,3,0)),0,VLOOKUP($A3,Councils!$B$6:$AE$841,3,0))</f>
        <v>Houston S</v>
      </c>
      <c r="C3">
        <f>IF(ISNA(VLOOKUP($A3,Councils!$B$6:$AE$841,4,0)),0,VLOOKUP($A3,Councils!$B$6:$AE$841,4,0))</f>
        <v>288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-8.3333333333333329E-2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8960</v>
      </c>
      <c r="B4" t="str">
        <f>IF(ISNA(VLOOKUP($A4,Councils!$B$6:$AE$841,3,0)),0,VLOOKUP($A4,Councils!$B$6:$AE$841,3,0))</f>
        <v>Pearland</v>
      </c>
      <c r="C4">
        <f>IF(ISNA(VLOOKUP($A4,Councils!$B$6:$AE$841,4,0)),0,VLOOKUP($A4,Councils!$B$6:$AE$841,4,0))</f>
        <v>478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51</v>
      </c>
      <c r="J4">
        <f>IF(ISNA(VLOOKUP($A4,Councils!$B$6:$AE$841,11,0)),0,VLOOKUP($A4,Councils!$B$6:$AE$841,11,0))</f>
        <v>-46</v>
      </c>
      <c r="K4" s="63">
        <f>IFERROR(J4/D4,0)</f>
        <v>-2.2999999999999998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12</v>
      </c>
      <c r="S4">
        <f>IF(ISNA(VLOOKUP($A4,Councils!$B$6:$AE$841,20,0)),0,VLOOKUP($A4,Councils!$B$6:$AE$841,20,0))</f>
        <v>-11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10390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173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12385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175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0.22222222222222221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9"/>
  <sheetViews>
    <sheetView zoomScaleNormal="100" workbookViewId="0">
      <selection activeCell="A169" sqref="A169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44227</v>
      </c>
    </row>
    <row r="2" spans="1:20" s="71" customFormat="1" ht="33.75">
      <c r="A2" s="71" t="s">
        <v>600</v>
      </c>
      <c r="B2" s="71" t="s">
        <v>621</v>
      </c>
      <c r="C2" s="72" t="s">
        <v>1053</v>
      </c>
      <c r="D2" s="72" t="s">
        <v>725</v>
      </c>
      <c r="E2" s="72" t="s">
        <v>724</v>
      </c>
      <c r="F2" s="72" t="s">
        <v>726</v>
      </c>
      <c r="G2" s="72" t="s">
        <v>727</v>
      </c>
      <c r="H2" s="72" t="s">
        <v>728</v>
      </c>
      <c r="I2" s="72" t="s">
        <v>729</v>
      </c>
      <c r="J2" s="72" t="s">
        <v>730</v>
      </c>
      <c r="K2" s="73" t="s">
        <v>818</v>
      </c>
      <c r="L2" s="72" t="s">
        <v>732</v>
      </c>
      <c r="M2" s="72" t="s">
        <v>733</v>
      </c>
      <c r="N2" s="72" t="s">
        <v>734</v>
      </c>
      <c r="O2" s="72" t="s">
        <v>735</v>
      </c>
      <c r="P2" s="72" t="s">
        <v>736</v>
      </c>
      <c r="Q2" s="72" t="s">
        <v>737</v>
      </c>
      <c r="R2" s="72" t="s">
        <v>738</v>
      </c>
      <c r="S2" s="72" t="s">
        <v>819</v>
      </c>
      <c r="T2" s="72" t="s">
        <v>620</v>
      </c>
    </row>
    <row r="3" spans="1:20">
      <c r="A3" s="81">
        <v>1</v>
      </c>
      <c r="B3" t="str">
        <f>IF(ISNA(VLOOKUP($A3,DD_Info!$A$1:$E$222,3,0)),0,VLOOKUP($A3,DD_Info!$A$1:$E$222,3,0))</f>
        <v>El Paso</v>
      </c>
      <c r="C3">
        <f>SUMIF(Council_Data!$V$3:$V$838,$A3,Council_Data!$E$3:$E$838)</f>
        <v>293</v>
      </c>
      <c r="D3">
        <f>ROUND(SUMIF(Council_Data!$V$3:$V$838,$A3,Council_Data!$F$3:$F$838)*0.7,0)</f>
        <v>11</v>
      </c>
      <c r="E3">
        <f>SUMIF(Council_Data!$V$3:$V$838,$A3,Council_Data!$G$3:$G$838)</f>
        <v>0</v>
      </c>
      <c r="F3">
        <f>SUMIF(Council_Data!$V$3:$V$838,$A3,Council_Data!$H$3:$H$838)</f>
        <v>1</v>
      </c>
      <c r="G3">
        <f>SUMIF(Council_Data!$V$3:$V$838,$A3,Council_Data!$I$3:$I$838)</f>
        <v>-1</v>
      </c>
      <c r="H3">
        <f>SUMIF(Council_Data!$V$3:$V$838,$A3,Council_Data!$J$3:$J$838)</f>
        <v>4</v>
      </c>
      <c r="I3">
        <f>SUMIF(Council_Data!$V$3:$V$838,$A3,Council_Data!$K$3:$K$838)</f>
        <v>2</v>
      </c>
      <c r="J3">
        <f>SUMIF(Council_Data!$V$3:$V$838,$A3,Council_Data!$L$3:$L$838)</f>
        <v>2</v>
      </c>
      <c r="K3" s="63">
        <f t="shared" ref="K3" si="0">IFERROR(J3/D3,0)</f>
        <v>0.18181818181818182</v>
      </c>
      <c r="L3">
        <f>ROUND(SUMIF(Council_Data!$V$3:$V$838,$A3,Council_Data!$N$3:$N$838)*0.7,0)</f>
        <v>0</v>
      </c>
      <c r="M3">
        <f>SUMIF(Council_Data!$V$3:$V$838,$A3,Council_Data!$O$3:$O$838)</f>
        <v>1</v>
      </c>
      <c r="N3">
        <f>SUMIF(Council_Data!$V$3:$V$838,$A3,Council_Data!$P$3:$P$838)</f>
        <v>3</v>
      </c>
      <c r="O3">
        <f>SUMIF(Council_Data!$V$3:$V$838,$A3,Council_Data!$Q$3:$Q$838)</f>
        <v>-2</v>
      </c>
      <c r="P3">
        <f>SUMIF(Council_Data!$V$3:$V$838,$A3,Council_Data!$R$3:$R$838)</f>
        <v>1</v>
      </c>
      <c r="Q3">
        <f>SUMIF(Council_Data!$V$3:$V$838,$A3,Council_Data!$S$3:$S$838)</f>
        <v>3</v>
      </c>
      <c r="R3">
        <f>SUMIF(Council_Data!$V$3:$V$838,$A3,Council_Data!$T$3:$T$838)</f>
        <v>-2</v>
      </c>
      <c r="S3" s="63">
        <f t="shared" ref="S3" si="1">IFERROR(R3/L3,0)</f>
        <v>0</v>
      </c>
      <c r="T3" t="str">
        <f>IF(ISNA(VLOOKUP($A3,DD_Info!$A$1:$E$222,2,0)),0,VLOOKUP($A3,DD_Info!$A$1:$E$222,2,0))</f>
        <v>Richard  Gilliland</v>
      </c>
    </row>
    <row r="4" spans="1:20">
      <c r="A4" s="81">
        <v>2</v>
      </c>
      <c r="B4" t="str">
        <f>IF(ISNA(VLOOKUP($A4,DD_Info!$A$1:$E$222,3,0)),0,VLOOKUP($A4,DD_Info!$A$1:$E$222,3,0))</f>
        <v>El Paso</v>
      </c>
      <c r="C4">
        <f>SUMIF(Council_Data!$V$3:$V$838,$A4,Council_Data!$E$3:$E$838)</f>
        <v>574</v>
      </c>
      <c r="D4">
        <f>ROUND(SUMIF(Council_Data!$V$3:$V$838,$A4,Council_Data!$F$3:$F$838)*0.7,0)</f>
        <v>20</v>
      </c>
      <c r="E4">
        <f>SUMIF(Council_Data!$V$3:$V$838,$A4,Council_Data!$G$3:$G$838)</f>
        <v>4</v>
      </c>
      <c r="F4">
        <f>SUMIF(Council_Data!$V$3:$V$838,$A4,Council_Data!$H$3:$H$838)</f>
        <v>0</v>
      </c>
      <c r="G4">
        <f>SUMIF(Council_Data!$V$3:$V$838,$A4,Council_Data!$I$3:$I$838)</f>
        <v>4</v>
      </c>
      <c r="H4">
        <f>SUMIF(Council_Data!$V$3:$V$838,$A4,Council_Data!$J$3:$J$838)</f>
        <v>8</v>
      </c>
      <c r="I4">
        <f>SUMIF(Council_Data!$V$3:$V$838,$A4,Council_Data!$K$3:$K$838)</f>
        <v>0</v>
      </c>
      <c r="J4">
        <f>SUMIF(Council_Data!$V$3:$V$838,$A4,Council_Data!$L$3:$L$838)</f>
        <v>8</v>
      </c>
      <c r="K4" s="63">
        <f t="shared" ref="K4:K66" si="2">IFERROR(J4/D4,0)</f>
        <v>0.4</v>
      </c>
      <c r="L4">
        <f>ROUND(SUMIF(Council_Data!$V$3:$V$838,$A4,Council_Data!$N$3:$N$838)*0.7,0)</f>
        <v>0</v>
      </c>
      <c r="M4">
        <f>SUMIF(Council_Data!$V$3:$V$838,$A4,Council_Data!$O$3:$O$838)</f>
        <v>0</v>
      </c>
      <c r="N4">
        <f>SUMIF(Council_Data!$V$3:$V$838,$A4,Council_Data!$P$3:$P$838)</f>
        <v>0</v>
      </c>
      <c r="O4">
        <f>SUMIF(Council_Data!$V$3:$V$838,$A4,Council_Data!$Q$3:$Q$838)</f>
        <v>0</v>
      </c>
      <c r="P4">
        <f>SUMIF(Council_Data!$V$3:$V$838,$A4,Council_Data!$R$3:$R$838)</f>
        <v>0</v>
      </c>
      <c r="Q4">
        <f>SUMIF(Council_Data!$V$3:$V$838,$A4,Council_Data!$S$3:$S$838)</f>
        <v>2</v>
      </c>
      <c r="R4">
        <f>SUMIF(Council_Data!$V$3:$V$838,$A4,Council_Data!$T$3:$T$838)</f>
        <v>-2</v>
      </c>
      <c r="S4" s="63">
        <f t="shared" ref="S4:S66" si="3">IFERROR(R4/L4,0)</f>
        <v>0</v>
      </c>
      <c r="T4" t="str">
        <f>IF(ISNA(VLOOKUP($A4,DD_Info!$A$1:$E$222,2,0)),0,VLOOKUP($A4,DD_Info!$A$1:$E$222,2,0))</f>
        <v>Fernando T Silva</v>
      </c>
    </row>
    <row r="5" spans="1:20">
      <c r="A5" s="81">
        <v>3</v>
      </c>
      <c r="B5" t="str">
        <f>IF(ISNA(VLOOKUP($A5,DD_Info!$A$1:$E$222,3,0)),0,VLOOKUP($A5,DD_Info!$A$1:$E$222,3,0))</f>
        <v>El Paso</v>
      </c>
      <c r="C5">
        <f>SUMIF(Council_Data!$V$3:$V$838,$A5,Council_Data!$E$3:$E$838)</f>
        <v>419</v>
      </c>
      <c r="D5">
        <f>ROUND(SUMIF(Council_Data!$V$3:$V$838,$A5,Council_Data!$F$3:$F$838)*0.7,0)</f>
        <v>15</v>
      </c>
      <c r="E5">
        <f>SUMIF(Council_Data!$V$3:$V$838,$A5,Council_Data!$G$3:$G$838)</f>
        <v>4</v>
      </c>
      <c r="F5">
        <f>SUMIF(Council_Data!$V$3:$V$838,$A5,Council_Data!$H$3:$H$838)</f>
        <v>0</v>
      </c>
      <c r="G5">
        <f>SUMIF(Council_Data!$V$3:$V$838,$A5,Council_Data!$I$3:$I$838)</f>
        <v>4</v>
      </c>
      <c r="H5">
        <f>SUMIF(Council_Data!$V$3:$V$838,$A5,Council_Data!$J$3:$J$838)</f>
        <v>12</v>
      </c>
      <c r="I5">
        <f>SUMIF(Council_Data!$V$3:$V$838,$A5,Council_Data!$K$3:$K$838)</f>
        <v>0</v>
      </c>
      <c r="J5">
        <f>SUMIF(Council_Data!$V$3:$V$838,$A5,Council_Data!$L$3:$L$838)</f>
        <v>12</v>
      </c>
      <c r="K5" s="63">
        <f t="shared" si="2"/>
        <v>0.8</v>
      </c>
      <c r="L5">
        <f>ROUND(SUMIF(Council_Data!$V$3:$V$838,$A5,Council_Data!$N$3:$N$838)*0.7,0)</f>
        <v>0</v>
      </c>
      <c r="M5">
        <f>SUMIF(Council_Data!$V$3:$V$838,$A5,Council_Data!$O$3:$O$838)</f>
        <v>0</v>
      </c>
      <c r="N5">
        <f>SUMIF(Council_Data!$V$3:$V$838,$A5,Council_Data!$P$3:$P$838)</f>
        <v>0</v>
      </c>
      <c r="O5">
        <f>SUMIF(Council_Data!$V$3:$V$838,$A5,Council_Data!$Q$3:$Q$838)</f>
        <v>0</v>
      </c>
      <c r="P5">
        <f>SUMIF(Council_Data!$V$3:$V$838,$A5,Council_Data!$R$3:$R$838)</f>
        <v>0</v>
      </c>
      <c r="Q5">
        <f>SUMIF(Council_Data!$V$3:$V$838,$A5,Council_Data!$S$3:$S$838)</f>
        <v>1</v>
      </c>
      <c r="R5">
        <f>SUMIF(Council_Data!$V$3:$V$838,$A5,Council_Data!$T$3:$T$838)</f>
        <v>-1</v>
      </c>
      <c r="S5" s="63">
        <f t="shared" si="3"/>
        <v>0</v>
      </c>
      <c r="T5" t="str">
        <f>IF(ISNA(VLOOKUP($A5,DD_Info!$A$1:$E$222,2,0)),0,VLOOKUP($A5,DD_Info!$A$1:$E$222,2,0))</f>
        <v>Armando  Acosta</v>
      </c>
    </row>
    <row r="6" spans="1:20">
      <c r="A6" s="81">
        <v>4</v>
      </c>
      <c r="B6" t="str">
        <f>IF(ISNA(VLOOKUP($A6,DD_Info!$A$1:$E$222,3,0)),0,VLOOKUP($A6,DD_Info!$A$1:$E$222,3,0))</f>
        <v>El Paso</v>
      </c>
      <c r="C6">
        <f>SUMIF(Council_Data!$V$3:$V$838,$A6,Council_Data!$E$3:$E$838)</f>
        <v>97</v>
      </c>
      <c r="D6">
        <f>ROUND(SUMIF(Council_Data!$V$3:$V$838,$A6,Council_Data!$F$3:$F$838)*0.7,0)</f>
        <v>4</v>
      </c>
      <c r="E6">
        <f>SUMIF(Council_Data!$V$3:$V$838,$A6,Council_Data!$G$3:$G$838)</f>
        <v>2</v>
      </c>
      <c r="F6">
        <f>SUMIF(Council_Data!$V$3:$V$838,$A6,Council_Data!$H$3:$H$838)</f>
        <v>0</v>
      </c>
      <c r="G6">
        <f>SUMIF(Council_Data!$V$3:$V$838,$A6,Council_Data!$I$3:$I$838)</f>
        <v>2</v>
      </c>
      <c r="H6">
        <f>SUMIF(Council_Data!$V$3:$V$838,$A6,Council_Data!$J$3:$J$838)</f>
        <v>24</v>
      </c>
      <c r="I6">
        <f>SUMIF(Council_Data!$V$3:$V$838,$A6,Council_Data!$K$3:$K$838)</f>
        <v>0</v>
      </c>
      <c r="J6">
        <f>SUMIF(Council_Data!$V$3:$V$838,$A6,Council_Data!$L$3:$L$838)</f>
        <v>24</v>
      </c>
      <c r="K6" s="63">
        <f t="shared" si="2"/>
        <v>6</v>
      </c>
      <c r="L6">
        <f>ROUND(SUMIF(Council_Data!$V$3:$V$838,$A6,Council_Data!$N$3:$N$838)*0.7,0)</f>
        <v>0</v>
      </c>
      <c r="M6">
        <f>SUMIF(Council_Data!$V$3:$V$838,$A6,Council_Data!$O$3:$O$838)</f>
        <v>0</v>
      </c>
      <c r="N6">
        <f>SUMIF(Council_Data!$V$3:$V$838,$A6,Council_Data!$P$3:$P$838)</f>
        <v>1</v>
      </c>
      <c r="O6">
        <f>SUMIF(Council_Data!$V$3:$V$838,$A6,Council_Data!$Q$3:$Q$838)</f>
        <v>-1</v>
      </c>
      <c r="P6">
        <f>SUMIF(Council_Data!$V$3:$V$838,$A6,Council_Data!$R$3:$R$838)</f>
        <v>0</v>
      </c>
      <c r="Q6">
        <f>SUMIF(Council_Data!$V$3:$V$838,$A6,Council_Data!$S$3:$S$838)</f>
        <v>1</v>
      </c>
      <c r="R6">
        <f>SUMIF(Council_Data!$V$3:$V$838,$A6,Council_Data!$T$3:$T$838)</f>
        <v>-1</v>
      </c>
      <c r="S6" s="63">
        <f t="shared" si="3"/>
        <v>0</v>
      </c>
      <c r="T6" t="str">
        <f>IF(ISNA(VLOOKUP($A6,DD_Info!$A$1:$E$222,2,0)),0,VLOOKUP($A6,DD_Info!$A$1:$E$222,2,0))</f>
        <v>James B Weber</v>
      </c>
    </row>
    <row r="7" spans="1:20">
      <c r="A7" s="81">
        <v>5</v>
      </c>
      <c r="B7" t="str">
        <f>IF(ISNA(VLOOKUP($A7,DD_Info!$A$1:$E$222,3,0)),0,VLOOKUP($A7,DD_Info!$A$1:$E$222,3,0))</f>
        <v>El Paso</v>
      </c>
      <c r="C7">
        <f>SUMIF(Council_Data!$V$3:$V$838,$A7,Council_Data!$E$3:$E$838)</f>
        <v>267</v>
      </c>
      <c r="D7">
        <f>ROUND(SUMIF(Council_Data!$V$3:$V$838,$A7,Council_Data!$F$3:$F$838)*0.7,0)</f>
        <v>10</v>
      </c>
      <c r="E7">
        <f>SUMIF(Council_Data!$V$3:$V$838,$A7,Council_Data!$G$3:$G$838)</f>
        <v>0</v>
      </c>
      <c r="F7">
        <f>SUMIF(Council_Data!$V$3:$V$838,$A7,Council_Data!$H$3:$H$838)</f>
        <v>0</v>
      </c>
      <c r="G7">
        <f>SUMIF(Council_Data!$V$3:$V$838,$A7,Council_Data!$I$3:$I$838)</f>
        <v>0</v>
      </c>
      <c r="H7">
        <f>SUMIF(Council_Data!$V$3:$V$838,$A7,Council_Data!$J$3:$J$838)</f>
        <v>4</v>
      </c>
      <c r="I7">
        <f>SUMIF(Council_Data!$V$3:$V$838,$A7,Council_Data!$K$3:$K$838)</f>
        <v>1</v>
      </c>
      <c r="J7">
        <f>SUMIF(Council_Data!$V$3:$V$838,$A7,Council_Data!$L$3:$L$838)</f>
        <v>3</v>
      </c>
      <c r="K7" s="63">
        <f t="shared" si="2"/>
        <v>0.3</v>
      </c>
      <c r="L7">
        <f>ROUND(SUMIF(Council_Data!$V$3:$V$838,$A7,Council_Data!$N$3:$N$838)*0.7,0)</f>
        <v>0</v>
      </c>
      <c r="M7">
        <f>SUMIF(Council_Data!$V$3:$V$838,$A7,Council_Data!$O$3:$O$838)</f>
        <v>0</v>
      </c>
      <c r="N7">
        <f>SUMIF(Council_Data!$V$3:$V$838,$A7,Council_Data!$P$3:$P$838)</f>
        <v>0</v>
      </c>
      <c r="O7">
        <f>SUMIF(Council_Data!$V$3:$V$838,$A7,Council_Data!$Q$3:$Q$838)</f>
        <v>0</v>
      </c>
      <c r="P7">
        <f>SUMIF(Council_Data!$V$3:$V$838,$A7,Council_Data!$R$3:$R$838)</f>
        <v>0</v>
      </c>
      <c r="Q7">
        <f>SUMIF(Council_Data!$V$3:$V$838,$A7,Council_Data!$S$3:$S$838)</f>
        <v>2</v>
      </c>
      <c r="R7">
        <f>SUMIF(Council_Data!$V$3:$V$838,$A7,Council_Data!$T$3:$T$838)</f>
        <v>-2</v>
      </c>
      <c r="S7" s="63">
        <f t="shared" si="3"/>
        <v>0</v>
      </c>
      <c r="T7" t="str">
        <f>IF(ISNA(VLOOKUP($A7,DD_Info!$A$1:$E$222,2,0)),0,VLOOKUP($A7,DD_Info!$A$1:$E$222,2,0))</f>
        <v>Giovani  Hyppolite</v>
      </c>
    </row>
    <row r="8" spans="1:20">
      <c r="A8" s="81">
        <v>6</v>
      </c>
      <c r="B8" t="str">
        <f>IF(ISNA(VLOOKUP($A8,DD_Info!$A$1:$E$222,3,0)),0,VLOOKUP($A8,DD_Info!$A$1:$E$222,3,0))</f>
        <v>El Paso</v>
      </c>
      <c r="C8">
        <f>SUMIF(Council_Data!$V$3:$V$838,$A8,Council_Data!$E$3:$E$838)</f>
        <v>233</v>
      </c>
      <c r="D8">
        <f>ROUND(SUMIF(Council_Data!$V$3:$V$838,$A8,Council_Data!$F$3:$F$838)*0.7,0)</f>
        <v>9</v>
      </c>
      <c r="E8">
        <f>SUMIF(Council_Data!$V$3:$V$838,$A8,Council_Data!$G$3:$G$838)</f>
        <v>0</v>
      </c>
      <c r="F8">
        <f>SUMIF(Council_Data!$V$3:$V$838,$A8,Council_Data!$H$3:$H$838)</f>
        <v>0</v>
      </c>
      <c r="G8">
        <f>SUMIF(Council_Data!$V$3:$V$838,$A8,Council_Data!$I$3:$I$838)</f>
        <v>0</v>
      </c>
      <c r="H8">
        <f>SUMIF(Council_Data!$V$3:$V$838,$A8,Council_Data!$J$3:$J$838)</f>
        <v>4</v>
      </c>
      <c r="I8">
        <f>SUMIF(Council_Data!$V$3:$V$838,$A8,Council_Data!$K$3:$K$838)</f>
        <v>8</v>
      </c>
      <c r="J8">
        <f>SUMIF(Council_Data!$V$3:$V$838,$A8,Council_Data!$L$3:$L$838)</f>
        <v>-4</v>
      </c>
      <c r="K8" s="63">
        <f t="shared" si="2"/>
        <v>-0.44444444444444442</v>
      </c>
      <c r="L8">
        <f>ROUND(SUMIF(Council_Data!$V$3:$V$838,$A8,Council_Data!$N$3:$N$838)*0.7,0)</f>
        <v>0</v>
      </c>
      <c r="M8">
        <f>SUMIF(Council_Data!$V$3:$V$838,$A8,Council_Data!$O$3:$O$838)</f>
        <v>0</v>
      </c>
      <c r="N8">
        <f>SUMIF(Council_Data!$V$3:$V$838,$A8,Council_Data!$P$3:$P$838)</f>
        <v>0</v>
      </c>
      <c r="O8">
        <f>SUMIF(Council_Data!$V$3:$V$838,$A8,Council_Data!$Q$3:$Q$838)</f>
        <v>0</v>
      </c>
      <c r="P8">
        <f>SUMIF(Council_Data!$V$3:$V$838,$A8,Council_Data!$R$3:$R$838)</f>
        <v>0</v>
      </c>
      <c r="Q8">
        <f>SUMIF(Council_Data!$V$3:$V$838,$A8,Council_Data!$S$3:$S$838)</f>
        <v>0</v>
      </c>
      <c r="R8">
        <f>SUMIF(Council_Data!$V$3:$V$838,$A8,Council_Data!$T$3:$T$838)</f>
        <v>0</v>
      </c>
      <c r="S8" s="63">
        <f t="shared" si="3"/>
        <v>0</v>
      </c>
      <c r="T8" t="str">
        <f>IF(ISNA(VLOOKUP($A8,DD_Info!$A$1:$E$222,2,0)),0,VLOOKUP($A8,DD_Info!$A$1:$E$222,2,0))</f>
        <v>Luis J Ortiz Jr</v>
      </c>
    </row>
    <row r="9" spans="1:20">
      <c r="A9" s="81">
        <v>7</v>
      </c>
      <c r="B9" t="str">
        <f>IF(ISNA(VLOOKUP($A9,DD_Info!$A$1:$E$222,3,0)),0,VLOOKUP($A9,DD_Info!$A$1:$E$222,3,0))</f>
        <v>El Paso</v>
      </c>
      <c r="C9">
        <f>SUMIF(Council_Data!$V$3:$V$838,$A9,Council_Data!$E$3:$E$838)</f>
        <v>176</v>
      </c>
      <c r="D9">
        <f>ROUND(SUMIF(Council_Data!$V$3:$V$838,$A9,Council_Data!$F$3:$F$838)*0.7,0)</f>
        <v>6</v>
      </c>
      <c r="E9">
        <f>SUMIF(Council_Data!$V$3:$V$838,$A9,Council_Data!$G$3:$G$838)</f>
        <v>0</v>
      </c>
      <c r="F9">
        <f>SUMIF(Council_Data!$V$3:$V$838,$A9,Council_Data!$H$3:$H$838)</f>
        <v>0</v>
      </c>
      <c r="G9">
        <f>SUMIF(Council_Data!$V$3:$V$838,$A9,Council_Data!$I$3:$I$838)</f>
        <v>0</v>
      </c>
      <c r="H9">
        <f>SUMIF(Council_Data!$V$3:$V$838,$A9,Council_Data!$J$3:$J$838)</f>
        <v>1</v>
      </c>
      <c r="I9">
        <f>SUMIF(Council_Data!$V$3:$V$838,$A9,Council_Data!$K$3:$K$838)</f>
        <v>2</v>
      </c>
      <c r="J9">
        <f>SUMIF(Council_Data!$V$3:$V$838,$A9,Council_Data!$L$3:$L$838)</f>
        <v>-1</v>
      </c>
      <c r="K9" s="63">
        <f t="shared" si="2"/>
        <v>-0.16666666666666666</v>
      </c>
      <c r="L9">
        <f>ROUND(SUMIF(Council_Data!$V$3:$V$838,$A9,Council_Data!$N$3:$N$838)*0.7,0)</f>
        <v>0</v>
      </c>
      <c r="M9">
        <f>SUMIF(Council_Data!$V$3:$V$838,$A9,Council_Data!$O$3:$O$838)</f>
        <v>0</v>
      </c>
      <c r="N9">
        <f>SUMIF(Council_Data!$V$3:$V$838,$A9,Council_Data!$P$3:$P$838)</f>
        <v>0</v>
      </c>
      <c r="O9">
        <f>SUMIF(Council_Data!$V$3:$V$838,$A9,Council_Data!$Q$3:$Q$838)</f>
        <v>0</v>
      </c>
      <c r="P9">
        <f>SUMIF(Council_Data!$V$3:$V$838,$A9,Council_Data!$R$3:$R$838)</f>
        <v>0</v>
      </c>
      <c r="Q9">
        <f>SUMIF(Council_Data!$V$3:$V$838,$A9,Council_Data!$S$3:$S$838)</f>
        <v>1</v>
      </c>
      <c r="R9">
        <f>SUMIF(Council_Data!$V$3:$V$838,$A9,Council_Data!$T$3:$T$838)</f>
        <v>-1</v>
      </c>
      <c r="S9" s="63">
        <f t="shared" si="3"/>
        <v>0</v>
      </c>
      <c r="T9" t="str">
        <f>IF(ISNA(VLOOKUP($A9,DD_Info!$A$1:$E$222,2,0)),0,VLOOKUP($A9,DD_Info!$A$1:$E$222,2,0))</f>
        <v>Jesus  Granado Jr</v>
      </c>
    </row>
    <row r="10" spans="1:20">
      <c r="A10" s="81">
        <v>8</v>
      </c>
      <c r="B10" t="str">
        <f>IF(ISNA(VLOOKUP($A10,DD_Info!$A$1:$E$222,3,0)),0,VLOOKUP($A10,DD_Info!$A$1:$E$222,3,0))</f>
        <v>El Paso</v>
      </c>
      <c r="C10">
        <f>SUMIF(Council_Data!$V$3:$V$838,$A10,Council_Data!$E$3:$E$838)</f>
        <v>243</v>
      </c>
      <c r="D10">
        <f>ROUND(SUMIF(Council_Data!$V$3:$V$838,$A10,Council_Data!$F$3:$F$838)*0.7,0)</f>
        <v>9</v>
      </c>
      <c r="E10">
        <f>SUMIF(Council_Data!$V$3:$V$838,$A10,Council_Data!$G$3:$G$838)</f>
        <v>1</v>
      </c>
      <c r="F10">
        <f>SUMIF(Council_Data!$V$3:$V$838,$A10,Council_Data!$H$3:$H$838)</f>
        <v>0</v>
      </c>
      <c r="G10">
        <f>SUMIF(Council_Data!$V$3:$V$838,$A10,Council_Data!$I$3:$I$838)</f>
        <v>1</v>
      </c>
      <c r="H10">
        <f>SUMIF(Council_Data!$V$3:$V$838,$A10,Council_Data!$J$3:$J$838)</f>
        <v>3</v>
      </c>
      <c r="I10">
        <f>SUMIF(Council_Data!$V$3:$V$838,$A10,Council_Data!$K$3:$K$838)</f>
        <v>0</v>
      </c>
      <c r="J10">
        <f>SUMIF(Council_Data!$V$3:$V$838,$A10,Council_Data!$L$3:$L$838)</f>
        <v>3</v>
      </c>
      <c r="K10" s="63">
        <f t="shared" si="2"/>
        <v>0.33333333333333331</v>
      </c>
      <c r="L10">
        <f>ROUND(SUMIF(Council_Data!$V$3:$V$838,$A10,Council_Data!$N$3:$N$838)*0.7,0)</f>
        <v>0</v>
      </c>
      <c r="M10">
        <f>SUMIF(Council_Data!$V$3:$V$838,$A10,Council_Data!$O$3:$O$838)</f>
        <v>1</v>
      </c>
      <c r="N10">
        <f>SUMIF(Council_Data!$V$3:$V$838,$A10,Council_Data!$P$3:$P$838)</f>
        <v>1</v>
      </c>
      <c r="O10">
        <f>SUMIF(Council_Data!$V$3:$V$838,$A10,Council_Data!$Q$3:$Q$838)</f>
        <v>0</v>
      </c>
      <c r="P10">
        <f>SUMIF(Council_Data!$V$3:$V$838,$A10,Council_Data!$R$3:$R$838)</f>
        <v>4</v>
      </c>
      <c r="Q10">
        <f>SUMIF(Council_Data!$V$3:$V$838,$A10,Council_Data!$S$3:$S$838)</f>
        <v>1</v>
      </c>
      <c r="R10">
        <f>SUMIF(Council_Data!$V$3:$V$838,$A10,Council_Data!$T$3:$T$838)</f>
        <v>3</v>
      </c>
      <c r="S10" s="63">
        <f t="shared" si="3"/>
        <v>0</v>
      </c>
      <c r="T10" t="str">
        <f>IF(ISNA(VLOOKUP($A10,DD_Info!$A$1:$E$222,2,0)),0,VLOOKUP($A10,DD_Info!$A$1:$E$222,2,0))</f>
        <v>Roman  Bustillos</v>
      </c>
    </row>
    <row r="11" spans="1:20">
      <c r="A11" s="81">
        <v>9</v>
      </c>
      <c r="B11" t="str">
        <f>IF(ISNA(VLOOKUP($A11,DD_Info!$A$1:$E$222,3,0)),0,VLOOKUP($A11,DD_Info!$A$1:$E$222,3,0))</f>
        <v>El Paso</v>
      </c>
      <c r="C11">
        <f>SUMIF(Council_Data!$V$3:$V$838,$A11,Council_Data!$E$3:$E$838)</f>
        <v>69</v>
      </c>
      <c r="D11">
        <f>ROUND(SUMIF(Council_Data!$V$3:$V$838,$A11,Council_Data!$F$3:$F$838)*0.7,0)</f>
        <v>4</v>
      </c>
      <c r="E11">
        <f>SUMIF(Council_Data!$V$3:$V$838,$A11,Council_Data!$G$3:$G$838)</f>
        <v>0</v>
      </c>
      <c r="F11">
        <f>SUMIF(Council_Data!$V$3:$V$838,$A11,Council_Data!$H$3:$H$838)</f>
        <v>0</v>
      </c>
      <c r="G11">
        <f>SUMIF(Council_Data!$V$3:$V$838,$A11,Council_Data!$I$3:$I$838)</f>
        <v>0</v>
      </c>
      <c r="H11">
        <f>SUMIF(Council_Data!$V$3:$V$838,$A11,Council_Data!$J$3:$J$838)</f>
        <v>1</v>
      </c>
      <c r="I11">
        <f>SUMIF(Council_Data!$V$3:$V$838,$A11,Council_Data!$K$3:$K$838)</f>
        <v>0</v>
      </c>
      <c r="J11">
        <f>SUMIF(Council_Data!$V$3:$V$838,$A11,Council_Data!$L$3:$L$838)</f>
        <v>1</v>
      </c>
      <c r="K11" s="63">
        <f t="shared" si="2"/>
        <v>0.25</v>
      </c>
      <c r="L11">
        <f>ROUND(SUMIF(Council_Data!$V$3:$V$838,$A11,Council_Data!$N$3:$N$838)*0.7,0)</f>
        <v>0</v>
      </c>
      <c r="M11">
        <f>SUMIF(Council_Data!$V$3:$V$838,$A11,Council_Data!$O$3:$O$838)</f>
        <v>0</v>
      </c>
      <c r="N11">
        <f>SUMIF(Council_Data!$V$3:$V$838,$A11,Council_Data!$P$3:$P$838)</f>
        <v>1</v>
      </c>
      <c r="O11">
        <f>SUMIF(Council_Data!$V$3:$V$838,$A11,Council_Data!$Q$3:$Q$838)</f>
        <v>-1</v>
      </c>
      <c r="P11">
        <f>SUMIF(Council_Data!$V$3:$V$838,$A11,Council_Data!$R$3:$R$838)</f>
        <v>0</v>
      </c>
      <c r="Q11">
        <f>SUMIF(Council_Data!$V$3:$V$838,$A11,Council_Data!$S$3:$S$838)</f>
        <v>1</v>
      </c>
      <c r="R11">
        <f>SUMIF(Council_Data!$V$3:$V$838,$A11,Council_Data!$T$3:$T$838)</f>
        <v>-1</v>
      </c>
      <c r="S11" s="63">
        <f t="shared" si="3"/>
        <v>0</v>
      </c>
      <c r="T11" t="str">
        <f>IF(ISNA(VLOOKUP($A11,DD_Info!$A$1:$E$222,2,0)),0,VLOOKUP($A11,DD_Info!$A$1:$E$222,2,0))</f>
        <v>Jesus  Quinones</v>
      </c>
    </row>
    <row r="12" spans="1:20">
      <c r="A12" s="81">
        <v>10</v>
      </c>
      <c r="B12" t="str">
        <f>IF(ISNA(VLOOKUP($A12,DD_Info!$A$1:$E$222,3,0)),0,VLOOKUP($A12,DD_Info!$A$1:$E$222,3,0))</f>
        <v>El Paso</v>
      </c>
      <c r="C12">
        <f>SUMIF(Council_Data!$V$3:$V$838,$A12,Council_Data!$E$3:$E$838)</f>
        <v>181</v>
      </c>
      <c r="D12">
        <f>ROUND(SUMIF(Council_Data!$V$3:$V$838,$A12,Council_Data!$F$3:$F$838)*0.7,0)</f>
        <v>6</v>
      </c>
      <c r="E12">
        <f>SUMIF(Council_Data!$V$3:$V$838,$A12,Council_Data!$G$3:$G$838)</f>
        <v>0</v>
      </c>
      <c r="F12">
        <f>SUMIF(Council_Data!$V$3:$V$838,$A12,Council_Data!$H$3:$H$838)</f>
        <v>0</v>
      </c>
      <c r="G12">
        <f>SUMIF(Council_Data!$V$3:$V$838,$A12,Council_Data!$I$3:$I$838)</f>
        <v>0</v>
      </c>
      <c r="H12">
        <f>SUMIF(Council_Data!$V$3:$V$838,$A12,Council_Data!$J$3:$J$838)</f>
        <v>1</v>
      </c>
      <c r="I12">
        <f>SUMIF(Council_Data!$V$3:$V$838,$A12,Council_Data!$K$3:$K$838)</f>
        <v>2</v>
      </c>
      <c r="J12">
        <f>SUMIF(Council_Data!$V$3:$V$838,$A12,Council_Data!$L$3:$L$838)</f>
        <v>-1</v>
      </c>
      <c r="K12" s="63">
        <f t="shared" si="2"/>
        <v>-0.16666666666666666</v>
      </c>
      <c r="L12">
        <f>ROUND(SUMIF(Council_Data!$V$3:$V$838,$A12,Council_Data!$N$3:$N$838)*0.7,0)</f>
        <v>0</v>
      </c>
      <c r="M12">
        <f>SUMIF(Council_Data!$V$3:$V$838,$A12,Council_Data!$O$3:$O$838)</f>
        <v>0</v>
      </c>
      <c r="N12">
        <f>SUMIF(Council_Data!$V$3:$V$838,$A12,Council_Data!$P$3:$P$838)</f>
        <v>1</v>
      </c>
      <c r="O12">
        <f>SUMIF(Council_Data!$V$3:$V$838,$A12,Council_Data!$Q$3:$Q$838)</f>
        <v>-1</v>
      </c>
      <c r="P12">
        <f>SUMIF(Council_Data!$V$3:$V$838,$A12,Council_Data!$R$3:$R$838)</f>
        <v>0</v>
      </c>
      <c r="Q12">
        <f>SUMIF(Council_Data!$V$3:$V$838,$A12,Council_Data!$S$3:$S$838)</f>
        <v>1</v>
      </c>
      <c r="R12">
        <f>SUMIF(Council_Data!$V$3:$V$838,$A12,Council_Data!$T$3:$T$838)</f>
        <v>-1</v>
      </c>
      <c r="S12" s="63">
        <f t="shared" si="3"/>
        <v>0</v>
      </c>
      <c r="T12" t="str">
        <f>IF(ISNA(VLOOKUP($A12,DD_Info!$A$1:$E$222,2,0)),0,VLOOKUP($A12,DD_Info!$A$1:$E$222,2,0))</f>
        <v>Robert  Diaz</v>
      </c>
    </row>
    <row r="13" spans="1:20">
      <c r="A13" s="81">
        <v>11</v>
      </c>
      <c r="B13" t="str">
        <f>IF(ISNA(VLOOKUP($A13,DD_Info!$A$1:$E$222,3,0)),0,VLOOKUP($A13,DD_Info!$A$1:$E$222,3,0))</f>
        <v>El Paso</v>
      </c>
      <c r="C13">
        <f>SUMIF(Council_Data!$V$3:$V$838,$A13,Council_Data!$E$3:$E$838)</f>
        <v>172</v>
      </c>
      <c r="D13">
        <f>ROUND(SUMIF(Council_Data!$V$3:$V$838,$A13,Council_Data!$F$3:$F$838)*0.7,0)</f>
        <v>6</v>
      </c>
      <c r="E13">
        <f>SUMIF(Council_Data!$V$3:$V$838,$A13,Council_Data!$G$3:$G$838)</f>
        <v>1</v>
      </c>
      <c r="F13">
        <f>SUMIF(Council_Data!$V$3:$V$838,$A13,Council_Data!$H$3:$H$838)</f>
        <v>0</v>
      </c>
      <c r="G13">
        <f>SUMIF(Council_Data!$V$3:$V$838,$A13,Council_Data!$I$3:$I$838)</f>
        <v>1</v>
      </c>
      <c r="H13">
        <f>SUMIF(Council_Data!$V$3:$V$838,$A13,Council_Data!$J$3:$J$838)</f>
        <v>5</v>
      </c>
      <c r="I13">
        <f>SUMIF(Council_Data!$V$3:$V$838,$A13,Council_Data!$K$3:$K$838)</f>
        <v>0</v>
      </c>
      <c r="J13">
        <f>SUMIF(Council_Data!$V$3:$V$838,$A13,Council_Data!$L$3:$L$838)</f>
        <v>5</v>
      </c>
      <c r="K13" s="63">
        <f t="shared" si="2"/>
        <v>0.83333333333333337</v>
      </c>
      <c r="L13">
        <f>ROUND(SUMIF(Council_Data!$V$3:$V$838,$A13,Council_Data!$N$3:$N$838)*0.7,0)</f>
        <v>0</v>
      </c>
      <c r="M13">
        <f>SUMIF(Council_Data!$V$3:$V$838,$A13,Council_Data!$O$3:$O$838)</f>
        <v>0</v>
      </c>
      <c r="N13">
        <f>SUMIF(Council_Data!$V$3:$V$838,$A13,Council_Data!$P$3:$P$838)</f>
        <v>0</v>
      </c>
      <c r="O13">
        <f>SUMIF(Council_Data!$V$3:$V$838,$A13,Council_Data!$Q$3:$Q$838)</f>
        <v>0</v>
      </c>
      <c r="P13">
        <f>SUMIF(Council_Data!$V$3:$V$838,$A13,Council_Data!$R$3:$R$838)</f>
        <v>1</v>
      </c>
      <c r="Q13">
        <f>SUMIF(Council_Data!$V$3:$V$838,$A13,Council_Data!$S$3:$S$838)</f>
        <v>1</v>
      </c>
      <c r="R13">
        <f>SUMIF(Council_Data!$V$3:$V$838,$A13,Council_Data!$T$3:$T$838)</f>
        <v>0</v>
      </c>
      <c r="S13" s="63">
        <f t="shared" si="3"/>
        <v>0</v>
      </c>
      <c r="T13" t="str">
        <f>IF(ISNA(VLOOKUP($A13,DD_Info!$A$1:$E$222,2,0)),0,VLOOKUP($A13,DD_Info!$A$1:$E$222,2,0))</f>
        <v>Ramon J Salgado</v>
      </c>
    </row>
    <row r="14" spans="1:20">
      <c r="A14" s="81">
        <v>12</v>
      </c>
      <c r="B14" t="str">
        <f>IF(ISNA(VLOOKUP($A14,DD_Info!$A$1:$E$222,3,0)),0,VLOOKUP($A14,DD_Info!$A$1:$E$222,3,0))</f>
        <v>El Paso</v>
      </c>
      <c r="C14">
        <f>SUMIF(Council_Data!$V$3:$V$838,$A14,Council_Data!$E$3:$E$838)</f>
        <v>246</v>
      </c>
      <c r="D14">
        <f>ROUND(SUMIF(Council_Data!$V$3:$V$838,$A14,Council_Data!$F$3:$F$838)*0.7,0)</f>
        <v>9</v>
      </c>
      <c r="E14">
        <f>SUMIF(Council_Data!$V$3:$V$838,$A14,Council_Data!$G$3:$G$838)</f>
        <v>0</v>
      </c>
      <c r="F14">
        <f>SUMIF(Council_Data!$V$3:$V$838,$A14,Council_Data!$H$3:$H$838)</f>
        <v>0</v>
      </c>
      <c r="G14">
        <f>SUMIF(Council_Data!$V$3:$V$838,$A14,Council_Data!$I$3:$I$838)</f>
        <v>0</v>
      </c>
      <c r="H14">
        <f>SUMIF(Council_Data!$V$3:$V$838,$A14,Council_Data!$J$3:$J$838)</f>
        <v>0</v>
      </c>
      <c r="I14">
        <f>SUMIF(Council_Data!$V$3:$V$838,$A14,Council_Data!$K$3:$K$838)</f>
        <v>0</v>
      </c>
      <c r="J14">
        <f>SUMIF(Council_Data!$V$3:$V$838,$A14,Council_Data!$L$3:$L$838)</f>
        <v>0</v>
      </c>
      <c r="K14" s="63">
        <f t="shared" si="2"/>
        <v>0</v>
      </c>
      <c r="L14">
        <f>ROUND(SUMIF(Council_Data!$V$3:$V$838,$A14,Council_Data!$N$3:$N$838)*0.7,0)</f>
        <v>0</v>
      </c>
      <c r="M14">
        <f>SUMIF(Council_Data!$V$3:$V$838,$A14,Council_Data!$O$3:$O$838)</f>
        <v>0</v>
      </c>
      <c r="N14">
        <f>SUMIF(Council_Data!$V$3:$V$838,$A14,Council_Data!$P$3:$P$838)</f>
        <v>0</v>
      </c>
      <c r="O14">
        <f>SUMIF(Council_Data!$V$3:$V$838,$A14,Council_Data!$Q$3:$Q$838)</f>
        <v>0</v>
      </c>
      <c r="P14">
        <f>SUMIF(Council_Data!$V$3:$V$838,$A14,Council_Data!$R$3:$R$838)</f>
        <v>0</v>
      </c>
      <c r="Q14">
        <f>SUMIF(Council_Data!$V$3:$V$838,$A14,Council_Data!$S$3:$S$838)</f>
        <v>0</v>
      </c>
      <c r="R14">
        <f>SUMIF(Council_Data!$V$3:$V$838,$A14,Council_Data!$T$3:$T$838)</f>
        <v>0</v>
      </c>
      <c r="S14" s="63">
        <f t="shared" si="3"/>
        <v>0</v>
      </c>
      <c r="T14" t="str">
        <f>IF(ISNA(VLOOKUP($A14,DD_Info!$A$1:$E$222,2,0)),0,VLOOKUP($A14,DD_Info!$A$1:$E$222,2,0))</f>
        <v>Juan A Dominguez</v>
      </c>
    </row>
    <row r="15" spans="1:20">
      <c r="A15" s="81">
        <v>13</v>
      </c>
      <c r="B15" t="str">
        <f>IF(ISNA(VLOOKUP($A15,DD_Info!$A$1:$E$222,3,0)),0,VLOOKUP($A15,DD_Info!$A$1:$E$222,3,0))</f>
        <v>El Paso</v>
      </c>
      <c r="C15">
        <f>SUMIF(Council_Data!$V$3:$V$838,$A15,Council_Data!$E$3:$E$838)</f>
        <v>91</v>
      </c>
      <c r="D15">
        <f>ROUND(SUMIF(Council_Data!$V$3:$V$838,$A15,Council_Data!$F$3:$F$838)*0.7,0)</f>
        <v>7</v>
      </c>
      <c r="E15">
        <f>SUMIF(Council_Data!$V$3:$V$838,$A15,Council_Data!$G$3:$G$838)</f>
        <v>0</v>
      </c>
      <c r="F15">
        <f>SUMIF(Council_Data!$V$3:$V$838,$A15,Council_Data!$H$3:$H$838)</f>
        <v>0</v>
      </c>
      <c r="G15">
        <f>SUMIF(Council_Data!$V$3:$V$838,$A15,Council_Data!$I$3:$I$838)</f>
        <v>0</v>
      </c>
      <c r="H15">
        <f>SUMIF(Council_Data!$V$3:$V$838,$A15,Council_Data!$J$3:$J$838)</f>
        <v>0</v>
      </c>
      <c r="I15">
        <f>SUMIF(Council_Data!$V$3:$V$838,$A15,Council_Data!$K$3:$K$838)</f>
        <v>0</v>
      </c>
      <c r="J15">
        <f>SUMIF(Council_Data!$V$3:$V$838,$A15,Council_Data!$L$3:$L$838)</f>
        <v>0</v>
      </c>
      <c r="K15" s="63">
        <f t="shared" si="2"/>
        <v>0</v>
      </c>
      <c r="L15">
        <f>ROUND(SUMIF(Council_Data!$V$3:$V$838,$A15,Council_Data!$N$3:$N$838)*0.7,0)</f>
        <v>0</v>
      </c>
      <c r="M15">
        <f>SUMIF(Council_Data!$V$3:$V$838,$A15,Council_Data!$O$3:$O$838)</f>
        <v>0</v>
      </c>
      <c r="N15">
        <f>SUMIF(Council_Data!$V$3:$V$838,$A15,Council_Data!$P$3:$P$838)</f>
        <v>1</v>
      </c>
      <c r="O15">
        <f>SUMIF(Council_Data!$V$3:$V$838,$A15,Council_Data!$Q$3:$Q$838)</f>
        <v>-1</v>
      </c>
      <c r="P15">
        <f>SUMIF(Council_Data!$V$3:$V$838,$A15,Council_Data!$R$3:$R$838)</f>
        <v>0</v>
      </c>
      <c r="Q15">
        <f>SUMIF(Council_Data!$V$3:$V$838,$A15,Council_Data!$S$3:$S$838)</f>
        <v>1</v>
      </c>
      <c r="R15">
        <f>SUMIF(Council_Data!$V$3:$V$838,$A15,Council_Data!$T$3:$T$838)</f>
        <v>-1</v>
      </c>
      <c r="S15" s="63">
        <f t="shared" si="3"/>
        <v>0</v>
      </c>
      <c r="T15" t="str">
        <f>IF(ISNA(VLOOKUP($A15,DD_Info!$A$1:$E$222,2,0)),0,VLOOKUP($A15,DD_Info!$A$1:$E$222,2,0))</f>
        <v>Louie N Martinez</v>
      </c>
    </row>
    <row r="16" spans="1:20">
      <c r="A16" s="81">
        <v>16</v>
      </c>
      <c r="B16" t="str">
        <f>IF(ISNA(VLOOKUP($A16,DD_Info!$A$1:$E$222,3,0)),0,VLOOKUP($A16,DD_Info!$A$1:$E$222,3,0))</f>
        <v>Fort Worth</v>
      </c>
      <c r="C16">
        <f>SUMIF(Council_Data!$V$3:$V$838,$A16,Council_Data!$E$3:$E$838)</f>
        <v>268</v>
      </c>
      <c r="D16">
        <f>ROUND(SUMIF(Council_Data!$V$3:$V$838,$A16,Council_Data!$F$3:$F$838)*0.7,0)</f>
        <v>11</v>
      </c>
      <c r="E16">
        <f>SUMIF(Council_Data!$V$3:$V$838,$A16,Council_Data!$G$3:$G$838)</f>
        <v>0</v>
      </c>
      <c r="F16">
        <f>SUMIF(Council_Data!$V$3:$V$838,$A16,Council_Data!$H$3:$H$838)</f>
        <v>0</v>
      </c>
      <c r="G16">
        <f>SUMIF(Council_Data!$V$3:$V$838,$A16,Council_Data!$I$3:$I$838)</f>
        <v>0</v>
      </c>
      <c r="H16">
        <f>SUMIF(Council_Data!$V$3:$V$838,$A16,Council_Data!$J$3:$J$838)</f>
        <v>0</v>
      </c>
      <c r="I16">
        <f>SUMIF(Council_Data!$V$3:$V$838,$A16,Council_Data!$K$3:$K$838)</f>
        <v>0</v>
      </c>
      <c r="J16">
        <f>SUMIF(Council_Data!$V$3:$V$838,$A16,Council_Data!$L$3:$L$838)</f>
        <v>0</v>
      </c>
      <c r="K16" s="63">
        <f t="shared" si="2"/>
        <v>0</v>
      </c>
      <c r="L16">
        <f>ROUND(SUMIF(Council_Data!$V$3:$V$838,$A16,Council_Data!$N$3:$N$838)*0.7,0)</f>
        <v>0</v>
      </c>
      <c r="M16">
        <f>SUMIF(Council_Data!$V$3:$V$838,$A16,Council_Data!$O$3:$O$838)</f>
        <v>0</v>
      </c>
      <c r="N16">
        <f>SUMIF(Council_Data!$V$3:$V$838,$A16,Council_Data!$P$3:$P$838)</f>
        <v>0</v>
      </c>
      <c r="O16">
        <f>SUMIF(Council_Data!$V$3:$V$838,$A16,Council_Data!$Q$3:$Q$838)</f>
        <v>0</v>
      </c>
      <c r="P16">
        <f>SUMIF(Council_Data!$V$3:$V$838,$A16,Council_Data!$R$3:$R$838)</f>
        <v>1</v>
      </c>
      <c r="Q16">
        <f>SUMIF(Council_Data!$V$3:$V$838,$A16,Council_Data!$S$3:$S$838)</f>
        <v>0</v>
      </c>
      <c r="R16">
        <f>SUMIF(Council_Data!$V$3:$V$838,$A16,Council_Data!$T$3:$T$838)</f>
        <v>1</v>
      </c>
      <c r="S16" s="63">
        <f t="shared" si="3"/>
        <v>0</v>
      </c>
      <c r="T16" t="str">
        <f>IF(ISNA(VLOOKUP($A16,DD_Info!$A$1:$E$222,2,0)),0,VLOOKUP($A16,DD_Info!$A$1:$E$222,2,0))</f>
        <v>TO BE APPOINTED</v>
      </c>
    </row>
    <row r="17" spans="1:20">
      <c r="A17" s="81">
        <v>17</v>
      </c>
      <c r="B17" t="str">
        <f>IF(ISNA(VLOOKUP($A17,DD_Info!$A$1:$E$222,3,0)),0,VLOOKUP($A17,DD_Info!$A$1:$E$222,3,0))</f>
        <v>Fort Worth</v>
      </c>
      <c r="C17">
        <f>SUMIF(Council_Data!$V$3:$V$838,$A17,Council_Data!$E$3:$E$838)</f>
        <v>622</v>
      </c>
      <c r="D17">
        <f>ROUND(SUMIF(Council_Data!$V$3:$V$838,$A17,Council_Data!$F$3:$F$838)*0.7,0)</f>
        <v>21</v>
      </c>
      <c r="E17">
        <f>SUMIF(Council_Data!$V$3:$V$838,$A17,Council_Data!$G$3:$G$838)</f>
        <v>0</v>
      </c>
      <c r="F17">
        <f>SUMIF(Council_Data!$V$3:$V$838,$A17,Council_Data!$H$3:$H$838)</f>
        <v>0</v>
      </c>
      <c r="G17">
        <f>SUMIF(Council_Data!$V$3:$V$838,$A17,Council_Data!$I$3:$I$838)</f>
        <v>0</v>
      </c>
      <c r="H17">
        <f>SUMIF(Council_Data!$V$3:$V$838,$A17,Council_Data!$J$3:$J$838)</f>
        <v>4</v>
      </c>
      <c r="I17">
        <f>SUMIF(Council_Data!$V$3:$V$838,$A17,Council_Data!$K$3:$K$838)</f>
        <v>0</v>
      </c>
      <c r="J17">
        <f>SUMIF(Council_Data!$V$3:$V$838,$A17,Council_Data!$L$3:$L$838)</f>
        <v>4</v>
      </c>
      <c r="K17" s="63">
        <f t="shared" si="2"/>
        <v>0.19047619047619047</v>
      </c>
      <c r="L17">
        <f>ROUND(SUMIF(Council_Data!$V$3:$V$838,$A17,Council_Data!$N$3:$N$838)*0.7,0)</f>
        <v>0</v>
      </c>
      <c r="M17">
        <f>SUMIF(Council_Data!$V$3:$V$838,$A17,Council_Data!$O$3:$O$838)</f>
        <v>0</v>
      </c>
      <c r="N17">
        <f>SUMIF(Council_Data!$V$3:$V$838,$A17,Council_Data!$P$3:$P$838)</f>
        <v>2</v>
      </c>
      <c r="O17">
        <f>SUMIF(Council_Data!$V$3:$V$838,$A17,Council_Data!$Q$3:$Q$838)</f>
        <v>-2</v>
      </c>
      <c r="P17">
        <f>SUMIF(Council_Data!$V$3:$V$838,$A17,Council_Data!$R$3:$R$838)</f>
        <v>5</v>
      </c>
      <c r="Q17">
        <f>SUMIF(Council_Data!$V$3:$V$838,$A17,Council_Data!$S$3:$S$838)</f>
        <v>2</v>
      </c>
      <c r="R17">
        <f>SUMIF(Council_Data!$V$3:$V$838,$A17,Council_Data!$T$3:$T$838)</f>
        <v>3</v>
      </c>
      <c r="S17" s="63">
        <f t="shared" si="3"/>
        <v>0</v>
      </c>
      <c r="T17" t="str">
        <f>IF(ISNA(VLOOKUP($A17,DD_Info!$A$1:$E$222,2,0)),0,VLOOKUP($A17,DD_Info!$A$1:$E$222,2,0))</f>
        <v>Gregory  Brown</v>
      </c>
    </row>
    <row r="18" spans="1:20">
      <c r="A18" s="81">
        <v>18</v>
      </c>
      <c r="B18" t="str">
        <f>IF(ISNA(VLOOKUP($A18,DD_Info!$A$1:$E$222,3,0)),0,VLOOKUP($A18,DD_Info!$A$1:$E$222,3,0))</f>
        <v>Fort Worth</v>
      </c>
      <c r="C18">
        <f>SUMIF(Council_Data!$V$3:$V$838,$A18,Council_Data!$E$3:$E$838)</f>
        <v>979</v>
      </c>
      <c r="D18">
        <f>ROUND(SUMIF(Council_Data!$V$3:$V$838,$A18,Council_Data!$F$3:$F$838)*0.7,0)</f>
        <v>28</v>
      </c>
      <c r="E18">
        <f>SUMIF(Council_Data!$V$3:$V$838,$A18,Council_Data!$G$3:$G$838)</f>
        <v>2</v>
      </c>
      <c r="F18">
        <f>SUMIF(Council_Data!$V$3:$V$838,$A18,Council_Data!$H$3:$H$838)</f>
        <v>0</v>
      </c>
      <c r="G18">
        <f>SUMIF(Council_Data!$V$3:$V$838,$A18,Council_Data!$I$3:$I$838)</f>
        <v>2</v>
      </c>
      <c r="H18">
        <f>SUMIF(Council_Data!$V$3:$V$838,$A18,Council_Data!$J$3:$J$838)</f>
        <v>8</v>
      </c>
      <c r="I18">
        <f>SUMIF(Council_Data!$V$3:$V$838,$A18,Council_Data!$K$3:$K$838)</f>
        <v>0</v>
      </c>
      <c r="J18">
        <f>SUMIF(Council_Data!$V$3:$V$838,$A18,Council_Data!$L$3:$L$838)</f>
        <v>8</v>
      </c>
      <c r="K18" s="63">
        <f t="shared" si="2"/>
        <v>0.2857142857142857</v>
      </c>
      <c r="L18">
        <f>ROUND(SUMIF(Council_Data!$V$3:$V$838,$A18,Council_Data!$N$3:$N$838)*0.7,0)</f>
        <v>0</v>
      </c>
      <c r="M18">
        <f>SUMIF(Council_Data!$V$3:$V$838,$A18,Council_Data!$O$3:$O$838)</f>
        <v>2</v>
      </c>
      <c r="N18">
        <f>SUMIF(Council_Data!$V$3:$V$838,$A18,Council_Data!$P$3:$P$838)</f>
        <v>1</v>
      </c>
      <c r="O18">
        <f>SUMIF(Council_Data!$V$3:$V$838,$A18,Council_Data!$Q$3:$Q$838)</f>
        <v>1</v>
      </c>
      <c r="P18">
        <f>SUMIF(Council_Data!$V$3:$V$838,$A18,Council_Data!$R$3:$R$838)</f>
        <v>8</v>
      </c>
      <c r="Q18">
        <f>SUMIF(Council_Data!$V$3:$V$838,$A18,Council_Data!$S$3:$S$838)</f>
        <v>2</v>
      </c>
      <c r="R18">
        <f>SUMIF(Council_Data!$V$3:$V$838,$A18,Council_Data!$T$3:$T$838)</f>
        <v>6</v>
      </c>
      <c r="S18" s="63">
        <f t="shared" si="3"/>
        <v>0</v>
      </c>
      <c r="T18" t="str">
        <f>IF(ISNA(VLOOKUP($A18,DD_Info!$A$1:$E$222,2,0)),0,VLOOKUP($A18,DD_Info!$A$1:$E$222,2,0))</f>
        <v>Richard  Norgaard</v>
      </c>
    </row>
    <row r="19" spans="1:20">
      <c r="A19" s="81">
        <v>19</v>
      </c>
      <c r="B19" t="str">
        <f>IF(ISNA(VLOOKUP($A19,DD_Info!$A$1:$E$222,3,0)),0,VLOOKUP($A19,DD_Info!$A$1:$E$222,3,0))</f>
        <v>Fort Worth</v>
      </c>
      <c r="C19">
        <f>SUMIF(Council_Data!$V$3:$V$838,$A19,Council_Data!$E$3:$E$838)</f>
        <v>586</v>
      </c>
      <c r="D19">
        <f>ROUND(SUMIF(Council_Data!$V$3:$V$838,$A19,Council_Data!$F$3:$F$838)*0.7,0)</f>
        <v>20</v>
      </c>
      <c r="E19">
        <f>SUMIF(Council_Data!$V$3:$V$838,$A19,Council_Data!$G$3:$G$838)</f>
        <v>1</v>
      </c>
      <c r="F19">
        <f>SUMIF(Council_Data!$V$3:$V$838,$A19,Council_Data!$H$3:$H$838)</f>
        <v>1</v>
      </c>
      <c r="G19">
        <f>SUMIF(Council_Data!$V$3:$V$838,$A19,Council_Data!$I$3:$I$838)</f>
        <v>0</v>
      </c>
      <c r="H19">
        <f>SUMIF(Council_Data!$V$3:$V$838,$A19,Council_Data!$J$3:$J$838)</f>
        <v>12</v>
      </c>
      <c r="I19">
        <f>SUMIF(Council_Data!$V$3:$V$838,$A19,Council_Data!$K$3:$K$838)</f>
        <v>33</v>
      </c>
      <c r="J19">
        <f>SUMIF(Council_Data!$V$3:$V$838,$A19,Council_Data!$L$3:$L$838)</f>
        <v>-21</v>
      </c>
      <c r="K19" s="63">
        <f t="shared" si="2"/>
        <v>-1.05</v>
      </c>
      <c r="L19">
        <f>ROUND(SUMIF(Council_Data!$V$3:$V$838,$A19,Council_Data!$N$3:$N$838)*0.7,0)</f>
        <v>0</v>
      </c>
      <c r="M19">
        <f>SUMIF(Council_Data!$V$3:$V$838,$A19,Council_Data!$O$3:$O$838)</f>
        <v>1</v>
      </c>
      <c r="N19">
        <f>SUMIF(Council_Data!$V$3:$V$838,$A19,Council_Data!$P$3:$P$838)</f>
        <v>1</v>
      </c>
      <c r="O19">
        <f>SUMIF(Council_Data!$V$3:$V$838,$A19,Council_Data!$Q$3:$Q$838)</f>
        <v>0</v>
      </c>
      <c r="P19">
        <f>SUMIF(Council_Data!$V$3:$V$838,$A19,Council_Data!$R$3:$R$838)</f>
        <v>8</v>
      </c>
      <c r="Q19">
        <f>SUMIF(Council_Data!$V$3:$V$838,$A19,Council_Data!$S$3:$S$838)</f>
        <v>7</v>
      </c>
      <c r="R19">
        <f>SUMIF(Council_Data!$V$3:$V$838,$A19,Council_Data!$T$3:$T$838)</f>
        <v>1</v>
      </c>
      <c r="S19" s="63">
        <f t="shared" si="3"/>
        <v>0</v>
      </c>
      <c r="T19" t="str">
        <f>IF(ISNA(VLOOKUP($A19,DD_Info!$A$1:$E$222,2,0)),0,VLOOKUP($A19,DD_Info!$A$1:$E$222,2,0))</f>
        <v>Richard  Rumenapp</v>
      </c>
    </row>
    <row r="20" spans="1:20">
      <c r="A20" s="81">
        <v>20</v>
      </c>
      <c r="B20" t="str">
        <f>IF(ISNA(VLOOKUP($A20,DD_Info!$A$1:$E$222,3,0)),0,VLOOKUP($A20,DD_Info!$A$1:$E$222,3,0))</f>
        <v>Fort Worth</v>
      </c>
      <c r="C20">
        <f>SUMIF(Council_Data!$V$3:$V$838,$A20,Council_Data!$E$3:$E$838)</f>
        <v>487</v>
      </c>
      <c r="D20">
        <f>ROUND(SUMIF(Council_Data!$V$3:$V$838,$A20,Council_Data!$F$3:$F$838)*0.7,0)</f>
        <v>17</v>
      </c>
      <c r="E20">
        <f>SUMIF(Council_Data!$V$3:$V$838,$A20,Council_Data!$G$3:$G$838)</f>
        <v>1</v>
      </c>
      <c r="F20">
        <f>SUMIF(Council_Data!$V$3:$V$838,$A20,Council_Data!$H$3:$H$838)</f>
        <v>0</v>
      </c>
      <c r="G20">
        <f>SUMIF(Council_Data!$V$3:$V$838,$A20,Council_Data!$I$3:$I$838)</f>
        <v>1</v>
      </c>
      <c r="H20">
        <f>SUMIF(Council_Data!$V$3:$V$838,$A20,Council_Data!$J$3:$J$838)</f>
        <v>7</v>
      </c>
      <c r="I20">
        <f>SUMIF(Council_Data!$V$3:$V$838,$A20,Council_Data!$K$3:$K$838)</f>
        <v>0</v>
      </c>
      <c r="J20">
        <f>SUMIF(Council_Data!$V$3:$V$838,$A20,Council_Data!$L$3:$L$838)</f>
        <v>7</v>
      </c>
      <c r="K20" s="63">
        <f t="shared" si="2"/>
        <v>0.41176470588235292</v>
      </c>
      <c r="L20">
        <f>ROUND(SUMIF(Council_Data!$V$3:$V$838,$A20,Council_Data!$N$3:$N$838)*0.7,0)</f>
        <v>0</v>
      </c>
      <c r="M20">
        <f>SUMIF(Council_Data!$V$3:$V$838,$A20,Council_Data!$O$3:$O$838)</f>
        <v>0</v>
      </c>
      <c r="N20">
        <f>SUMIF(Council_Data!$V$3:$V$838,$A20,Council_Data!$P$3:$P$838)</f>
        <v>0</v>
      </c>
      <c r="O20">
        <f>SUMIF(Council_Data!$V$3:$V$838,$A20,Council_Data!$Q$3:$Q$838)</f>
        <v>0</v>
      </c>
      <c r="P20">
        <f>SUMIF(Council_Data!$V$3:$V$838,$A20,Council_Data!$R$3:$R$838)</f>
        <v>3</v>
      </c>
      <c r="Q20">
        <f>SUMIF(Council_Data!$V$3:$V$838,$A20,Council_Data!$S$3:$S$838)</f>
        <v>0</v>
      </c>
      <c r="R20">
        <f>SUMIF(Council_Data!$V$3:$V$838,$A20,Council_Data!$T$3:$T$838)</f>
        <v>3</v>
      </c>
      <c r="S20" s="63">
        <f t="shared" si="3"/>
        <v>0</v>
      </c>
      <c r="T20" t="str">
        <f>IF(ISNA(VLOOKUP($A20,DD_Info!$A$1:$E$222,2,0)),0,VLOOKUP($A20,DD_Info!$A$1:$E$222,2,0))</f>
        <v>Walter A Hoesing</v>
      </c>
    </row>
    <row r="21" spans="1:20">
      <c r="A21" s="81">
        <v>21</v>
      </c>
      <c r="B21" t="str">
        <f>IF(ISNA(VLOOKUP($A21,DD_Info!$A$1:$E$222,3,0)),0,VLOOKUP($A21,DD_Info!$A$1:$E$222,3,0))</f>
        <v>Fort Worth</v>
      </c>
      <c r="C21">
        <f>SUMIF(Council_Data!$V$3:$V$838,$A21,Council_Data!$E$3:$E$838)</f>
        <v>839</v>
      </c>
      <c r="D21">
        <f>ROUND(SUMIF(Council_Data!$V$3:$V$838,$A21,Council_Data!$F$3:$F$838)*0.7,0)</f>
        <v>28</v>
      </c>
      <c r="E21">
        <f>SUMIF(Council_Data!$V$3:$V$838,$A21,Council_Data!$G$3:$G$838)</f>
        <v>0</v>
      </c>
      <c r="F21">
        <f>SUMIF(Council_Data!$V$3:$V$838,$A21,Council_Data!$H$3:$H$838)</f>
        <v>0</v>
      </c>
      <c r="G21">
        <f>SUMIF(Council_Data!$V$3:$V$838,$A21,Council_Data!$I$3:$I$838)</f>
        <v>0</v>
      </c>
      <c r="H21">
        <f>SUMIF(Council_Data!$V$3:$V$838,$A21,Council_Data!$J$3:$J$838)</f>
        <v>3</v>
      </c>
      <c r="I21">
        <f>SUMIF(Council_Data!$V$3:$V$838,$A21,Council_Data!$K$3:$K$838)</f>
        <v>0</v>
      </c>
      <c r="J21">
        <f>SUMIF(Council_Data!$V$3:$V$838,$A21,Council_Data!$L$3:$L$838)</f>
        <v>3</v>
      </c>
      <c r="K21" s="63">
        <f t="shared" si="2"/>
        <v>0.10714285714285714</v>
      </c>
      <c r="L21">
        <f>ROUND(SUMIF(Council_Data!$V$3:$V$838,$A21,Council_Data!$N$3:$N$838)*0.7,0)</f>
        <v>0</v>
      </c>
      <c r="M21">
        <f>SUMIF(Council_Data!$V$3:$V$838,$A21,Council_Data!$O$3:$O$838)</f>
        <v>0</v>
      </c>
      <c r="N21">
        <f>SUMIF(Council_Data!$V$3:$V$838,$A21,Council_Data!$P$3:$P$838)</f>
        <v>0</v>
      </c>
      <c r="O21">
        <f>SUMIF(Council_Data!$V$3:$V$838,$A21,Council_Data!$Q$3:$Q$838)</f>
        <v>0</v>
      </c>
      <c r="P21">
        <f>SUMIF(Council_Data!$V$3:$V$838,$A21,Council_Data!$R$3:$R$838)</f>
        <v>1</v>
      </c>
      <c r="Q21">
        <f>SUMIF(Council_Data!$V$3:$V$838,$A21,Council_Data!$S$3:$S$838)</f>
        <v>0</v>
      </c>
      <c r="R21">
        <f>SUMIF(Council_Data!$V$3:$V$838,$A21,Council_Data!$T$3:$T$838)</f>
        <v>1</v>
      </c>
      <c r="S21" s="63">
        <f t="shared" si="3"/>
        <v>0</v>
      </c>
      <c r="T21" t="str">
        <f>IF(ISNA(VLOOKUP($A21,DD_Info!$A$1:$E$222,2,0)),0,VLOOKUP($A21,DD_Info!$A$1:$E$222,2,0))</f>
        <v>Mike G Becan Sr</v>
      </c>
    </row>
    <row r="22" spans="1:20">
      <c r="A22" s="81">
        <v>22</v>
      </c>
      <c r="B22" t="str">
        <f>IF(ISNA(VLOOKUP($A22,DD_Info!$A$1:$E$222,3,0)),0,VLOOKUP($A22,DD_Info!$A$1:$E$222,3,0))</f>
        <v>Fort Worth</v>
      </c>
      <c r="C22">
        <f>SUMIF(Council_Data!$V$3:$V$838,$A22,Council_Data!$E$3:$E$838)</f>
        <v>569</v>
      </c>
      <c r="D22">
        <f>ROUND(SUMIF(Council_Data!$V$3:$V$838,$A22,Council_Data!$F$3:$F$838)*0.7,0)</f>
        <v>20</v>
      </c>
      <c r="E22">
        <f>SUMIF(Council_Data!$V$3:$V$838,$A22,Council_Data!$G$3:$G$838)</f>
        <v>0</v>
      </c>
      <c r="F22">
        <f>SUMIF(Council_Data!$V$3:$V$838,$A22,Council_Data!$H$3:$H$838)</f>
        <v>0</v>
      </c>
      <c r="G22">
        <f>SUMIF(Council_Data!$V$3:$V$838,$A22,Council_Data!$I$3:$I$838)</f>
        <v>0</v>
      </c>
      <c r="H22">
        <f>SUMIF(Council_Data!$V$3:$V$838,$A22,Council_Data!$J$3:$J$838)</f>
        <v>2</v>
      </c>
      <c r="I22">
        <f>SUMIF(Council_Data!$V$3:$V$838,$A22,Council_Data!$K$3:$K$838)</f>
        <v>0</v>
      </c>
      <c r="J22">
        <f>SUMIF(Council_Data!$V$3:$V$838,$A22,Council_Data!$L$3:$L$838)</f>
        <v>2</v>
      </c>
      <c r="K22" s="63">
        <f t="shared" si="2"/>
        <v>0.1</v>
      </c>
      <c r="L22">
        <f>ROUND(SUMIF(Council_Data!$V$3:$V$838,$A22,Council_Data!$N$3:$N$838)*0.7,0)</f>
        <v>0</v>
      </c>
      <c r="M22">
        <f>SUMIF(Council_Data!$V$3:$V$838,$A22,Council_Data!$O$3:$O$838)</f>
        <v>1</v>
      </c>
      <c r="N22">
        <f>SUMIF(Council_Data!$V$3:$V$838,$A22,Council_Data!$P$3:$P$838)</f>
        <v>1</v>
      </c>
      <c r="O22">
        <f>SUMIF(Council_Data!$V$3:$V$838,$A22,Council_Data!$Q$3:$Q$838)</f>
        <v>0</v>
      </c>
      <c r="P22">
        <f>SUMIF(Council_Data!$V$3:$V$838,$A22,Council_Data!$R$3:$R$838)</f>
        <v>2</v>
      </c>
      <c r="Q22">
        <f>SUMIF(Council_Data!$V$3:$V$838,$A22,Council_Data!$S$3:$S$838)</f>
        <v>3</v>
      </c>
      <c r="R22">
        <f>SUMIF(Council_Data!$V$3:$V$838,$A22,Council_Data!$T$3:$T$838)</f>
        <v>-1</v>
      </c>
      <c r="S22" s="63">
        <f t="shared" si="3"/>
        <v>0</v>
      </c>
      <c r="T22" t="str">
        <f>IF(ISNA(VLOOKUP($A22,DD_Info!$A$1:$E$222,2,0)),0,VLOOKUP($A22,DD_Info!$A$1:$E$222,2,0))</f>
        <v>John  Walker</v>
      </c>
    </row>
    <row r="23" spans="1:20">
      <c r="A23" s="81">
        <v>23</v>
      </c>
      <c r="B23" t="str">
        <f>IF(ISNA(VLOOKUP($A23,DD_Info!$A$1:$E$222,3,0)),0,VLOOKUP($A23,DD_Info!$A$1:$E$222,3,0))</f>
        <v>Fort Worth</v>
      </c>
      <c r="C23">
        <f>SUMIF(Council_Data!$V$3:$V$838,$A23,Council_Data!$E$3:$E$838)</f>
        <v>554</v>
      </c>
      <c r="D23">
        <f>ROUND(SUMIF(Council_Data!$V$3:$V$838,$A23,Council_Data!$F$3:$F$838)*0.7,0)</f>
        <v>18</v>
      </c>
      <c r="E23">
        <f>SUMIF(Council_Data!$V$3:$V$838,$A23,Council_Data!$G$3:$G$838)</f>
        <v>0</v>
      </c>
      <c r="F23">
        <f>SUMIF(Council_Data!$V$3:$V$838,$A23,Council_Data!$H$3:$H$838)</f>
        <v>0</v>
      </c>
      <c r="G23">
        <f>SUMIF(Council_Data!$V$3:$V$838,$A23,Council_Data!$I$3:$I$838)</f>
        <v>0</v>
      </c>
      <c r="H23">
        <f>SUMIF(Council_Data!$V$3:$V$838,$A23,Council_Data!$J$3:$J$838)</f>
        <v>1</v>
      </c>
      <c r="I23">
        <f>SUMIF(Council_Data!$V$3:$V$838,$A23,Council_Data!$K$3:$K$838)</f>
        <v>0</v>
      </c>
      <c r="J23">
        <f>SUMIF(Council_Data!$V$3:$V$838,$A23,Council_Data!$L$3:$L$838)</f>
        <v>1</v>
      </c>
      <c r="K23" s="63">
        <f t="shared" si="2"/>
        <v>5.5555555555555552E-2</v>
      </c>
      <c r="L23">
        <f>ROUND(SUMIF(Council_Data!$V$3:$V$838,$A23,Council_Data!$N$3:$N$838)*0.7,0)</f>
        <v>0</v>
      </c>
      <c r="M23">
        <f>SUMIF(Council_Data!$V$3:$V$838,$A23,Council_Data!$O$3:$O$838)</f>
        <v>0</v>
      </c>
      <c r="N23">
        <f>SUMIF(Council_Data!$V$3:$V$838,$A23,Council_Data!$P$3:$P$838)</f>
        <v>1</v>
      </c>
      <c r="O23">
        <f>SUMIF(Council_Data!$V$3:$V$838,$A23,Council_Data!$Q$3:$Q$838)</f>
        <v>-1</v>
      </c>
      <c r="P23">
        <f>SUMIF(Council_Data!$V$3:$V$838,$A23,Council_Data!$R$3:$R$838)</f>
        <v>1</v>
      </c>
      <c r="Q23">
        <f>SUMIF(Council_Data!$V$3:$V$838,$A23,Council_Data!$S$3:$S$838)</f>
        <v>3</v>
      </c>
      <c r="R23">
        <f>SUMIF(Council_Data!$V$3:$V$838,$A23,Council_Data!$T$3:$T$838)</f>
        <v>-2</v>
      </c>
      <c r="S23" s="63">
        <f t="shared" si="3"/>
        <v>0</v>
      </c>
      <c r="T23" t="str">
        <f>IF(ISNA(VLOOKUP($A23,DD_Info!$A$1:$E$222,2,0)),0,VLOOKUP($A23,DD_Info!$A$1:$E$222,2,0))</f>
        <v>Michael  Rueschenberg</v>
      </c>
    </row>
    <row r="24" spans="1:20">
      <c r="A24" s="81">
        <v>24</v>
      </c>
      <c r="B24" t="str">
        <f>IF(ISNA(VLOOKUP($A24,DD_Info!$A$1:$E$222,3,0)),0,VLOOKUP($A24,DD_Info!$A$1:$E$222,3,0))</f>
        <v>Fort Worth</v>
      </c>
      <c r="C24">
        <f>SUMIF(Council_Data!$V$3:$V$838,$A24,Council_Data!$E$3:$E$838)</f>
        <v>831</v>
      </c>
      <c r="D24">
        <f>ROUND(SUMIF(Council_Data!$V$3:$V$838,$A24,Council_Data!$F$3:$F$838)*0.7,0)</f>
        <v>27</v>
      </c>
      <c r="E24">
        <f>SUMIF(Council_Data!$V$3:$V$838,$A24,Council_Data!$G$3:$G$838)</f>
        <v>4</v>
      </c>
      <c r="F24">
        <f>SUMIF(Council_Data!$V$3:$V$838,$A24,Council_Data!$H$3:$H$838)</f>
        <v>1</v>
      </c>
      <c r="G24">
        <f>SUMIF(Council_Data!$V$3:$V$838,$A24,Council_Data!$I$3:$I$838)</f>
        <v>3</v>
      </c>
      <c r="H24">
        <f>SUMIF(Council_Data!$V$3:$V$838,$A24,Council_Data!$J$3:$J$838)</f>
        <v>13</v>
      </c>
      <c r="I24">
        <f>SUMIF(Council_Data!$V$3:$V$838,$A24,Council_Data!$K$3:$K$838)</f>
        <v>4</v>
      </c>
      <c r="J24">
        <f>SUMIF(Council_Data!$V$3:$V$838,$A24,Council_Data!$L$3:$L$838)</f>
        <v>9</v>
      </c>
      <c r="K24" s="63">
        <f t="shared" si="2"/>
        <v>0.33333333333333331</v>
      </c>
      <c r="L24">
        <f>ROUND(SUMIF(Council_Data!$V$3:$V$838,$A24,Council_Data!$N$3:$N$838)*0.7,0)</f>
        <v>0</v>
      </c>
      <c r="M24">
        <f>SUMIF(Council_Data!$V$3:$V$838,$A24,Council_Data!$O$3:$O$838)</f>
        <v>0</v>
      </c>
      <c r="N24">
        <f>SUMIF(Council_Data!$V$3:$V$838,$A24,Council_Data!$P$3:$P$838)</f>
        <v>2</v>
      </c>
      <c r="O24">
        <f>SUMIF(Council_Data!$V$3:$V$838,$A24,Council_Data!$Q$3:$Q$838)</f>
        <v>-2</v>
      </c>
      <c r="P24">
        <f>SUMIF(Council_Data!$V$3:$V$838,$A24,Council_Data!$R$3:$R$838)</f>
        <v>7</v>
      </c>
      <c r="Q24">
        <f>SUMIF(Council_Data!$V$3:$V$838,$A24,Council_Data!$S$3:$S$838)</f>
        <v>8</v>
      </c>
      <c r="R24">
        <f>SUMIF(Council_Data!$V$3:$V$838,$A24,Council_Data!$T$3:$T$838)</f>
        <v>-1</v>
      </c>
      <c r="S24" s="63">
        <f t="shared" si="3"/>
        <v>0</v>
      </c>
      <c r="T24" t="str">
        <f>IF(ISNA(VLOOKUP($A24,DD_Info!$A$1:$E$222,2,0)),0,VLOOKUP($A24,DD_Info!$A$1:$E$222,2,0))</f>
        <v>Ruben  Cisneros</v>
      </c>
    </row>
    <row r="25" spans="1:20">
      <c r="A25" s="81">
        <v>25</v>
      </c>
      <c r="B25" t="str">
        <f>IF(ISNA(VLOOKUP($A25,DD_Info!$A$1:$E$222,3,0)),0,VLOOKUP($A25,DD_Info!$A$1:$E$222,3,0))</f>
        <v>Fort Worth</v>
      </c>
      <c r="C25">
        <f>SUMIF(Council_Data!$V$3:$V$838,$A25,Council_Data!$E$3:$E$838)</f>
        <v>741</v>
      </c>
      <c r="D25">
        <f>ROUND(SUMIF(Council_Data!$V$3:$V$838,$A25,Council_Data!$F$3:$F$838)*0.7,0)</f>
        <v>26</v>
      </c>
      <c r="E25">
        <f>SUMIF(Council_Data!$V$3:$V$838,$A25,Council_Data!$G$3:$G$838)</f>
        <v>1</v>
      </c>
      <c r="F25">
        <f>SUMIF(Council_Data!$V$3:$V$838,$A25,Council_Data!$H$3:$H$838)</f>
        <v>2</v>
      </c>
      <c r="G25">
        <f>SUMIF(Council_Data!$V$3:$V$838,$A25,Council_Data!$I$3:$I$838)</f>
        <v>-1</v>
      </c>
      <c r="H25">
        <f>SUMIF(Council_Data!$V$3:$V$838,$A25,Council_Data!$J$3:$J$838)</f>
        <v>8</v>
      </c>
      <c r="I25">
        <f>SUMIF(Council_Data!$V$3:$V$838,$A25,Council_Data!$K$3:$K$838)</f>
        <v>3</v>
      </c>
      <c r="J25">
        <f>SUMIF(Council_Data!$V$3:$V$838,$A25,Council_Data!$L$3:$L$838)</f>
        <v>5</v>
      </c>
      <c r="K25" s="63">
        <f t="shared" si="2"/>
        <v>0.19230769230769232</v>
      </c>
      <c r="L25">
        <f>ROUND(SUMIF(Council_Data!$V$3:$V$838,$A25,Council_Data!$N$3:$N$838)*0.7,0)</f>
        <v>0</v>
      </c>
      <c r="M25">
        <f>SUMIF(Council_Data!$V$3:$V$838,$A25,Council_Data!$O$3:$O$838)</f>
        <v>0</v>
      </c>
      <c r="N25">
        <f>SUMIF(Council_Data!$V$3:$V$838,$A25,Council_Data!$P$3:$P$838)</f>
        <v>0</v>
      </c>
      <c r="O25">
        <f>SUMIF(Council_Data!$V$3:$V$838,$A25,Council_Data!$Q$3:$Q$838)</f>
        <v>0</v>
      </c>
      <c r="P25">
        <f>SUMIF(Council_Data!$V$3:$V$838,$A25,Council_Data!$R$3:$R$838)</f>
        <v>6</v>
      </c>
      <c r="Q25">
        <f>SUMIF(Council_Data!$V$3:$V$838,$A25,Council_Data!$S$3:$S$838)</f>
        <v>6</v>
      </c>
      <c r="R25">
        <f>SUMIF(Council_Data!$V$3:$V$838,$A25,Council_Data!$T$3:$T$838)</f>
        <v>0</v>
      </c>
      <c r="S25" s="63">
        <f t="shared" si="3"/>
        <v>0</v>
      </c>
      <c r="T25" t="str">
        <f>IF(ISNA(VLOOKUP($A25,DD_Info!$A$1:$E$222,2,0)),0,VLOOKUP($A25,DD_Info!$A$1:$E$222,2,0))</f>
        <v>Alfonso "Obie"  Obregon Sr</v>
      </c>
    </row>
    <row r="26" spans="1:20">
      <c r="A26" s="81">
        <v>26</v>
      </c>
      <c r="B26" t="str">
        <f>IF(ISNA(VLOOKUP($A26,DD_Info!$A$1:$E$222,3,0)),0,VLOOKUP($A26,DD_Info!$A$1:$E$222,3,0))</f>
        <v>Fort Worth</v>
      </c>
      <c r="C26">
        <f>SUMIF(Council_Data!$V$3:$V$838,$A26,Council_Data!$E$3:$E$838)</f>
        <v>634</v>
      </c>
      <c r="D26">
        <f>ROUND(SUMIF(Council_Data!$V$3:$V$838,$A26,Council_Data!$F$3:$F$838)*0.7,0)</f>
        <v>22</v>
      </c>
      <c r="E26">
        <f>SUMIF(Council_Data!$V$3:$V$838,$A26,Council_Data!$G$3:$G$838)</f>
        <v>0</v>
      </c>
      <c r="F26">
        <f>SUMIF(Council_Data!$V$3:$V$838,$A26,Council_Data!$H$3:$H$838)</f>
        <v>0</v>
      </c>
      <c r="G26">
        <f>SUMIF(Council_Data!$V$3:$V$838,$A26,Council_Data!$I$3:$I$838)</f>
        <v>0</v>
      </c>
      <c r="H26">
        <f>SUMIF(Council_Data!$V$3:$V$838,$A26,Council_Data!$J$3:$J$838)</f>
        <v>2</v>
      </c>
      <c r="I26">
        <f>SUMIF(Council_Data!$V$3:$V$838,$A26,Council_Data!$K$3:$K$838)</f>
        <v>25</v>
      </c>
      <c r="J26">
        <f>SUMIF(Council_Data!$V$3:$V$838,$A26,Council_Data!$L$3:$L$838)</f>
        <v>-23</v>
      </c>
      <c r="K26" s="63">
        <f t="shared" si="2"/>
        <v>-1.0454545454545454</v>
      </c>
      <c r="L26">
        <f>ROUND(SUMIF(Council_Data!$V$3:$V$838,$A26,Council_Data!$N$3:$N$838)*0.7,0)</f>
        <v>0</v>
      </c>
      <c r="M26">
        <f>SUMIF(Council_Data!$V$3:$V$838,$A26,Council_Data!$O$3:$O$838)</f>
        <v>0</v>
      </c>
      <c r="N26">
        <f>SUMIF(Council_Data!$V$3:$V$838,$A26,Council_Data!$P$3:$P$838)</f>
        <v>1</v>
      </c>
      <c r="O26">
        <f>SUMIF(Council_Data!$V$3:$V$838,$A26,Council_Data!$Q$3:$Q$838)</f>
        <v>-1</v>
      </c>
      <c r="P26">
        <f>SUMIF(Council_Data!$V$3:$V$838,$A26,Council_Data!$R$3:$R$838)</f>
        <v>3</v>
      </c>
      <c r="Q26">
        <f>SUMIF(Council_Data!$V$3:$V$838,$A26,Council_Data!$S$3:$S$838)</f>
        <v>9</v>
      </c>
      <c r="R26">
        <f>SUMIF(Council_Data!$V$3:$V$838,$A26,Council_Data!$T$3:$T$838)</f>
        <v>-6</v>
      </c>
      <c r="S26" s="63">
        <f t="shared" si="3"/>
        <v>0</v>
      </c>
      <c r="T26" t="str">
        <f>IF(ISNA(VLOOKUP($A26,DD_Info!$A$1:$E$222,2,0)),0,VLOOKUP($A26,DD_Info!$A$1:$E$222,2,0))</f>
        <v>Gerald  Hightower</v>
      </c>
    </row>
    <row r="27" spans="1:20">
      <c r="A27" s="81">
        <v>27</v>
      </c>
      <c r="B27" t="str">
        <f>IF(ISNA(VLOOKUP($A27,DD_Info!$A$1:$E$222,3,0)),0,VLOOKUP($A27,DD_Info!$A$1:$E$222,3,0))</f>
        <v>Fort Worth</v>
      </c>
      <c r="C27">
        <f>SUMIF(Council_Data!$V$3:$V$838,$A27,Council_Data!$E$3:$E$838)</f>
        <v>814</v>
      </c>
      <c r="D27">
        <f>ROUND(SUMIF(Council_Data!$V$3:$V$838,$A27,Council_Data!$F$3:$F$838)*0.7,0)</f>
        <v>29</v>
      </c>
      <c r="E27">
        <f>SUMIF(Council_Data!$V$3:$V$838,$A27,Council_Data!$G$3:$G$838)</f>
        <v>2</v>
      </c>
      <c r="F27">
        <f>SUMIF(Council_Data!$V$3:$V$838,$A27,Council_Data!$H$3:$H$838)</f>
        <v>5</v>
      </c>
      <c r="G27">
        <f>SUMIF(Council_Data!$V$3:$V$838,$A27,Council_Data!$I$3:$I$838)</f>
        <v>-3</v>
      </c>
      <c r="H27">
        <f>SUMIF(Council_Data!$V$3:$V$838,$A27,Council_Data!$J$3:$J$838)</f>
        <v>21</v>
      </c>
      <c r="I27">
        <f>SUMIF(Council_Data!$V$3:$V$838,$A27,Council_Data!$K$3:$K$838)</f>
        <v>8</v>
      </c>
      <c r="J27">
        <f>SUMIF(Council_Data!$V$3:$V$838,$A27,Council_Data!$L$3:$L$838)</f>
        <v>13</v>
      </c>
      <c r="K27" s="63">
        <f t="shared" si="2"/>
        <v>0.44827586206896552</v>
      </c>
      <c r="L27">
        <f>ROUND(SUMIF(Council_Data!$V$3:$V$838,$A27,Council_Data!$N$3:$N$838)*0.7,0)</f>
        <v>0</v>
      </c>
      <c r="M27">
        <f>SUMIF(Council_Data!$V$3:$V$838,$A27,Council_Data!$O$3:$O$838)</f>
        <v>1</v>
      </c>
      <c r="N27">
        <f>SUMIF(Council_Data!$V$3:$V$838,$A27,Council_Data!$P$3:$P$838)</f>
        <v>1</v>
      </c>
      <c r="O27">
        <f>SUMIF(Council_Data!$V$3:$V$838,$A27,Council_Data!$Q$3:$Q$838)</f>
        <v>0</v>
      </c>
      <c r="P27">
        <f>SUMIF(Council_Data!$V$3:$V$838,$A27,Council_Data!$R$3:$R$838)</f>
        <v>10</v>
      </c>
      <c r="Q27">
        <f>SUMIF(Council_Data!$V$3:$V$838,$A27,Council_Data!$S$3:$S$838)</f>
        <v>3</v>
      </c>
      <c r="R27">
        <f>SUMIF(Council_Data!$V$3:$V$838,$A27,Council_Data!$T$3:$T$838)</f>
        <v>7</v>
      </c>
      <c r="S27" s="63">
        <f t="shared" si="3"/>
        <v>0</v>
      </c>
      <c r="T27" t="str">
        <f>IF(ISNA(VLOOKUP($A27,DD_Info!$A$1:$E$222,2,0)),0,VLOOKUP($A27,DD_Info!$A$1:$E$222,2,0))</f>
        <v>Archie  Wright II</v>
      </c>
    </row>
    <row r="28" spans="1:20">
      <c r="A28" s="81">
        <v>28</v>
      </c>
      <c r="B28" t="str">
        <f>IF(ISNA(VLOOKUP($A28,DD_Info!$A$1:$E$222,3,0)),0,VLOOKUP($A28,DD_Info!$A$1:$E$222,3,0))</f>
        <v>Fort Worth</v>
      </c>
      <c r="C28">
        <f>SUMIF(Council_Data!$V$3:$V$838,$A28,Council_Data!$E$3:$E$838)</f>
        <v>601</v>
      </c>
      <c r="D28">
        <f>ROUND(SUMIF(Council_Data!$V$3:$V$838,$A28,Council_Data!$F$3:$F$838)*0.7,0)</f>
        <v>19</v>
      </c>
      <c r="E28">
        <f>SUMIF(Council_Data!$V$3:$V$838,$A28,Council_Data!$G$3:$G$838)</f>
        <v>5</v>
      </c>
      <c r="F28">
        <f>SUMIF(Council_Data!$V$3:$V$838,$A28,Council_Data!$H$3:$H$838)</f>
        <v>1</v>
      </c>
      <c r="G28">
        <f>SUMIF(Council_Data!$V$3:$V$838,$A28,Council_Data!$I$3:$I$838)</f>
        <v>4</v>
      </c>
      <c r="H28">
        <f>SUMIF(Council_Data!$V$3:$V$838,$A28,Council_Data!$J$3:$J$838)</f>
        <v>15</v>
      </c>
      <c r="I28">
        <f>SUMIF(Council_Data!$V$3:$V$838,$A28,Council_Data!$K$3:$K$838)</f>
        <v>2</v>
      </c>
      <c r="J28">
        <f>SUMIF(Council_Data!$V$3:$V$838,$A28,Council_Data!$L$3:$L$838)</f>
        <v>13</v>
      </c>
      <c r="K28" s="63">
        <f t="shared" si="2"/>
        <v>0.68421052631578949</v>
      </c>
      <c r="L28">
        <f>ROUND(SUMIF(Council_Data!$V$3:$V$838,$A28,Council_Data!$N$3:$N$838)*0.7,0)</f>
        <v>0</v>
      </c>
      <c r="M28">
        <f>SUMIF(Council_Data!$V$3:$V$838,$A28,Council_Data!$O$3:$O$838)</f>
        <v>0</v>
      </c>
      <c r="N28">
        <f>SUMIF(Council_Data!$V$3:$V$838,$A28,Council_Data!$P$3:$P$838)</f>
        <v>1</v>
      </c>
      <c r="O28">
        <f>SUMIF(Council_Data!$V$3:$V$838,$A28,Council_Data!$Q$3:$Q$838)</f>
        <v>-1</v>
      </c>
      <c r="P28">
        <f>SUMIF(Council_Data!$V$3:$V$838,$A28,Council_Data!$R$3:$R$838)</f>
        <v>2</v>
      </c>
      <c r="Q28">
        <f>SUMIF(Council_Data!$V$3:$V$838,$A28,Council_Data!$S$3:$S$838)</f>
        <v>2</v>
      </c>
      <c r="R28">
        <f>SUMIF(Council_Data!$V$3:$V$838,$A28,Council_Data!$T$3:$T$838)</f>
        <v>0</v>
      </c>
      <c r="S28" s="63">
        <f t="shared" si="3"/>
        <v>0</v>
      </c>
      <c r="T28" t="str">
        <f>IF(ISNA(VLOOKUP($A28,DD_Info!$A$1:$E$222,2,0)),0,VLOOKUP($A28,DD_Info!$A$1:$E$222,2,0))</f>
        <v>Anson  Geisel</v>
      </c>
    </row>
    <row r="29" spans="1:20">
      <c r="A29" s="81">
        <v>29</v>
      </c>
      <c r="B29" t="str">
        <f>IF(ISNA(VLOOKUP($A29,DD_Info!$A$1:$E$222,3,0)),0,VLOOKUP($A29,DD_Info!$A$1:$E$222,3,0))</f>
        <v>Fort Worth</v>
      </c>
      <c r="C29">
        <f>SUMIF(Council_Data!$V$3:$V$838,$A29,Council_Data!$E$3:$E$838)</f>
        <v>243</v>
      </c>
      <c r="D29">
        <f>ROUND(SUMIF(Council_Data!$V$3:$V$838,$A29,Council_Data!$F$3:$F$838)*0.7,0)</f>
        <v>9</v>
      </c>
      <c r="E29">
        <f>SUMIF(Council_Data!$V$3:$V$838,$A29,Council_Data!$G$3:$G$838)</f>
        <v>0</v>
      </c>
      <c r="F29">
        <f>SUMIF(Council_Data!$V$3:$V$838,$A29,Council_Data!$H$3:$H$838)</f>
        <v>1</v>
      </c>
      <c r="G29">
        <f>SUMIF(Council_Data!$V$3:$V$838,$A29,Council_Data!$I$3:$I$838)</f>
        <v>-1</v>
      </c>
      <c r="H29">
        <f>SUMIF(Council_Data!$V$3:$V$838,$A29,Council_Data!$J$3:$J$838)</f>
        <v>2</v>
      </c>
      <c r="I29">
        <f>SUMIF(Council_Data!$V$3:$V$838,$A29,Council_Data!$K$3:$K$838)</f>
        <v>1</v>
      </c>
      <c r="J29">
        <f>SUMIF(Council_Data!$V$3:$V$838,$A29,Council_Data!$L$3:$L$838)</f>
        <v>1</v>
      </c>
      <c r="K29" s="63">
        <f t="shared" si="2"/>
        <v>0.1111111111111111</v>
      </c>
      <c r="L29">
        <f>ROUND(SUMIF(Council_Data!$V$3:$V$838,$A29,Council_Data!$N$3:$N$838)*0.7,0)</f>
        <v>0</v>
      </c>
      <c r="M29">
        <f>SUMIF(Council_Data!$V$3:$V$838,$A29,Council_Data!$O$3:$O$838)</f>
        <v>2</v>
      </c>
      <c r="N29">
        <f>SUMIF(Council_Data!$V$3:$V$838,$A29,Council_Data!$P$3:$P$838)</f>
        <v>1</v>
      </c>
      <c r="O29">
        <f>SUMIF(Council_Data!$V$3:$V$838,$A29,Council_Data!$Q$3:$Q$838)</f>
        <v>1</v>
      </c>
      <c r="P29">
        <f>SUMIF(Council_Data!$V$3:$V$838,$A29,Council_Data!$R$3:$R$838)</f>
        <v>5</v>
      </c>
      <c r="Q29">
        <f>SUMIF(Council_Data!$V$3:$V$838,$A29,Council_Data!$S$3:$S$838)</f>
        <v>2</v>
      </c>
      <c r="R29">
        <f>SUMIF(Council_Data!$V$3:$V$838,$A29,Council_Data!$T$3:$T$838)</f>
        <v>3</v>
      </c>
      <c r="S29" s="63">
        <f t="shared" si="3"/>
        <v>0</v>
      </c>
      <c r="T29" t="str">
        <f>IF(ISNA(VLOOKUP($A29,DD_Info!$A$1:$E$222,2,0)),0,VLOOKUP($A29,DD_Info!$A$1:$E$222,2,0))</f>
        <v>James Halfmann</v>
      </c>
    </row>
    <row r="30" spans="1:20">
      <c r="A30" s="81">
        <v>30</v>
      </c>
      <c r="B30" t="str">
        <f>IF(ISNA(VLOOKUP($A30,DD_Info!$A$1:$E$222,3,0)),0,VLOOKUP($A30,DD_Info!$A$1:$E$222,3,0))</f>
        <v>Fort Worth</v>
      </c>
      <c r="C30">
        <f>SUMIF(Council_Data!$V$3:$V$838,$A30,Council_Data!$E$3:$E$838)</f>
        <v>504</v>
      </c>
      <c r="D30">
        <f>ROUND(SUMIF(Council_Data!$V$3:$V$838,$A30,Council_Data!$F$3:$F$838)*0.7,0)</f>
        <v>16</v>
      </c>
      <c r="E30">
        <f>SUMIF(Council_Data!$V$3:$V$838,$A30,Council_Data!$G$3:$G$838)</f>
        <v>0</v>
      </c>
      <c r="F30">
        <f>SUMIF(Council_Data!$V$3:$V$838,$A30,Council_Data!$H$3:$H$838)</f>
        <v>0</v>
      </c>
      <c r="G30">
        <f>SUMIF(Council_Data!$V$3:$V$838,$A30,Council_Data!$I$3:$I$838)</f>
        <v>0</v>
      </c>
      <c r="H30">
        <f>SUMIF(Council_Data!$V$3:$V$838,$A30,Council_Data!$J$3:$J$838)</f>
        <v>13</v>
      </c>
      <c r="I30">
        <f>SUMIF(Council_Data!$V$3:$V$838,$A30,Council_Data!$K$3:$K$838)</f>
        <v>1</v>
      </c>
      <c r="J30">
        <f>SUMIF(Council_Data!$V$3:$V$838,$A30,Council_Data!$L$3:$L$838)</f>
        <v>12</v>
      </c>
      <c r="K30" s="63">
        <f t="shared" si="2"/>
        <v>0.75</v>
      </c>
      <c r="L30">
        <f>ROUND(SUMIF(Council_Data!$V$3:$V$838,$A30,Council_Data!$N$3:$N$838)*0.7,0)</f>
        <v>0</v>
      </c>
      <c r="M30">
        <f>SUMIF(Council_Data!$V$3:$V$838,$A30,Council_Data!$O$3:$O$838)</f>
        <v>1</v>
      </c>
      <c r="N30">
        <f>SUMIF(Council_Data!$V$3:$V$838,$A30,Council_Data!$P$3:$P$838)</f>
        <v>0</v>
      </c>
      <c r="O30">
        <f>SUMIF(Council_Data!$V$3:$V$838,$A30,Council_Data!$Q$3:$Q$838)</f>
        <v>1</v>
      </c>
      <c r="P30">
        <f>SUMIF(Council_Data!$V$3:$V$838,$A30,Council_Data!$R$3:$R$838)</f>
        <v>2</v>
      </c>
      <c r="Q30">
        <f>SUMIF(Council_Data!$V$3:$V$838,$A30,Council_Data!$S$3:$S$838)</f>
        <v>0</v>
      </c>
      <c r="R30">
        <f>SUMIF(Council_Data!$V$3:$V$838,$A30,Council_Data!$T$3:$T$838)</f>
        <v>2</v>
      </c>
      <c r="S30" s="63">
        <f t="shared" si="3"/>
        <v>0</v>
      </c>
      <c r="T30" t="str">
        <f>IF(ISNA(VLOOKUP($A30,DD_Info!$A$1:$E$222,2,0)),0,VLOOKUP($A30,DD_Info!$A$1:$E$222,2,0))</f>
        <v>Robert  Daleo</v>
      </c>
    </row>
    <row r="31" spans="1:20">
      <c r="A31" s="81">
        <v>31</v>
      </c>
      <c r="B31" t="str">
        <f>IF(ISNA(VLOOKUP($A31,DD_Info!$A$1:$E$222,3,0)),0,VLOOKUP($A31,DD_Info!$A$1:$E$222,3,0))</f>
        <v>Fort Worth</v>
      </c>
      <c r="C31">
        <f>SUMIF(Council_Data!$V$3:$V$838,$A31,Council_Data!$E$3:$E$838)</f>
        <v>42</v>
      </c>
      <c r="D31">
        <f>ROUND(SUMIF(Council_Data!$V$3:$V$838,$A31,Council_Data!$F$3:$F$838)*0.7,0)</f>
        <v>4</v>
      </c>
      <c r="E31">
        <f>SUMIF(Council_Data!$V$3:$V$838,$A31,Council_Data!$G$3:$G$838)</f>
        <v>0</v>
      </c>
      <c r="F31">
        <f>SUMIF(Council_Data!$V$3:$V$838,$A31,Council_Data!$H$3:$H$838)</f>
        <v>0</v>
      </c>
      <c r="G31">
        <f>SUMIF(Council_Data!$V$3:$V$838,$A31,Council_Data!$I$3:$I$838)</f>
        <v>0</v>
      </c>
      <c r="H31">
        <f>SUMIF(Council_Data!$V$3:$V$838,$A31,Council_Data!$J$3:$J$838)</f>
        <v>0</v>
      </c>
      <c r="I31">
        <f>SUMIF(Council_Data!$V$3:$V$838,$A31,Council_Data!$K$3:$K$838)</f>
        <v>0</v>
      </c>
      <c r="J31">
        <f>SUMIF(Council_Data!$V$3:$V$838,$A31,Council_Data!$L$3:$L$838)</f>
        <v>0</v>
      </c>
      <c r="K31" s="63">
        <f t="shared" si="2"/>
        <v>0</v>
      </c>
      <c r="L31">
        <f>ROUND(SUMIF(Council_Data!$V$3:$V$838,$A31,Council_Data!$N$3:$N$838)*0.7,0)</f>
        <v>0</v>
      </c>
      <c r="M31">
        <f>SUMIF(Council_Data!$V$3:$V$838,$A31,Council_Data!$O$3:$O$838)</f>
        <v>0</v>
      </c>
      <c r="N31">
        <f>SUMIF(Council_Data!$V$3:$V$838,$A31,Council_Data!$P$3:$P$838)</f>
        <v>0</v>
      </c>
      <c r="O31">
        <f>SUMIF(Council_Data!$V$3:$V$838,$A31,Council_Data!$Q$3:$Q$838)</f>
        <v>0</v>
      </c>
      <c r="P31">
        <f>SUMIF(Council_Data!$V$3:$V$838,$A31,Council_Data!$R$3:$R$838)</f>
        <v>0</v>
      </c>
      <c r="Q31">
        <f>SUMIF(Council_Data!$V$3:$V$838,$A31,Council_Data!$S$3:$S$838)</f>
        <v>0</v>
      </c>
      <c r="R31">
        <f>SUMIF(Council_Data!$V$3:$V$838,$A31,Council_Data!$T$3:$T$838)</f>
        <v>0</v>
      </c>
      <c r="S31" s="63">
        <f t="shared" si="3"/>
        <v>0</v>
      </c>
      <c r="T31" t="str">
        <f>IF(ISNA(VLOOKUP($A31,DD_Info!$A$1:$E$222,2,0)),0,VLOOKUP($A31,DD_Info!$A$1:$E$222,2,0))</f>
        <v>William  Tillotson</v>
      </c>
    </row>
    <row r="32" spans="1:20">
      <c r="A32" s="81">
        <v>32</v>
      </c>
      <c r="B32" t="str">
        <f>IF(ISNA(VLOOKUP($A32,DD_Info!$A$1:$E$222,3,0)),0,VLOOKUP($A32,DD_Info!$A$1:$E$222,3,0))</f>
        <v>Fort Worth</v>
      </c>
      <c r="C32">
        <f>SUMIF(Council_Data!$V$3:$V$838,$A32,Council_Data!$E$3:$E$838)</f>
        <v>479</v>
      </c>
      <c r="D32">
        <f>ROUND(SUMIF(Council_Data!$V$3:$V$838,$A32,Council_Data!$F$3:$F$838)*0.7,0)</f>
        <v>17</v>
      </c>
      <c r="E32">
        <f>SUMIF(Council_Data!$V$3:$V$838,$A32,Council_Data!$G$3:$G$838)</f>
        <v>0</v>
      </c>
      <c r="F32">
        <f>SUMIF(Council_Data!$V$3:$V$838,$A32,Council_Data!$H$3:$H$838)</f>
        <v>0</v>
      </c>
      <c r="G32">
        <f>SUMIF(Council_Data!$V$3:$V$838,$A32,Council_Data!$I$3:$I$838)</f>
        <v>0</v>
      </c>
      <c r="H32">
        <f>SUMIF(Council_Data!$V$3:$V$838,$A32,Council_Data!$J$3:$J$838)</f>
        <v>17</v>
      </c>
      <c r="I32">
        <f>SUMIF(Council_Data!$V$3:$V$838,$A32,Council_Data!$K$3:$K$838)</f>
        <v>1</v>
      </c>
      <c r="J32">
        <f>SUMIF(Council_Data!$V$3:$V$838,$A32,Council_Data!$L$3:$L$838)</f>
        <v>16</v>
      </c>
      <c r="K32" s="63">
        <f t="shared" ref="K32" si="4">IFERROR(J32/D32,0)</f>
        <v>0.94117647058823528</v>
      </c>
      <c r="L32">
        <f>ROUND(SUMIF(Council_Data!$V$3:$V$838,$A32,Council_Data!$N$3:$N$838)*0.7,0)</f>
        <v>0</v>
      </c>
      <c r="M32">
        <f>SUMIF(Council_Data!$V$3:$V$838,$A32,Council_Data!$O$3:$O$838)</f>
        <v>0</v>
      </c>
      <c r="N32">
        <f>SUMIF(Council_Data!$V$3:$V$838,$A32,Council_Data!$P$3:$P$838)</f>
        <v>1</v>
      </c>
      <c r="O32">
        <f>SUMIF(Council_Data!$V$3:$V$838,$A32,Council_Data!$Q$3:$Q$838)</f>
        <v>-1</v>
      </c>
      <c r="P32">
        <f>SUMIF(Council_Data!$V$3:$V$838,$A32,Council_Data!$R$3:$R$838)</f>
        <v>6</v>
      </c>
      <c r="Q32">
        <f>SUMIF(Council_Data!$V$3:$V$838,$A32,Council_Data!$S$3:$S$838)</f>
        <v>1</v>
      </c>
      <c r="R32">
        <f>SUMIF(Council_Data!$V$3:$V$838,$A32,Council_Data!$T$3:$T$838)</f>
        <v>5</v>
      </c>
      <c r="S32" s="63">
        <f t="shared" ref="S32" si="5">IFERROR(R32/L32,0)</f>
        <v>0</v>
      </c>
      <c r="T32" t="str">
        <f>IF(ISNA(VLOOKUP($A32,DD_Info!$A$1:$E$222,2,0)),0,VLOOKUP($A32,DD_Info!$A$1:$E$222,2,0))</f>
        <v>David  Pels</v>
      </c>
    </row>
    <row r="33" spans="1:20">
      <c r="A33" s="81">
        <v>33</v>
      </c>
      <c r="B33" t="str">
        <f>IF(ISNA(VLOOKUP($A33,DD_Info!$A$1:$E$222,3,0)),0,VLOOKUP($A33,DD_Info!$A$1:$E$222,3,0))</f>
        <v>Fort Worth</v>
      </c>
      <c r="C33">
        <f>SUMIF(Council_Data!$V$3:$V$838,$A33,Council_Data!$E$3:$E$838)</f>
        <v>28</v>
      </c>
      <c r="D33">
        <f>ROUND(SUMIF(Council_Data!$V$3:$V$838,$A33,Council_Data!$F$3:$F$838)*0.7,0)</f>
        <v>2</v>
      </c>
      <c r="E33">
        <f>SUMIF(Council_Data!$V$3:$V$838,$A33,Council_Data!$G$3:$G$838)</f>
        <v>0</v>
      </c>
      <c r="F33">
        <f>SUMIF(Council_Data!$V$3:$V$838,$A33,Council_Data!$H$3:$H$838)</f>
        <v>0</v>
      </c>
      <c r="G33">
        <f>SUMIF(Council_Data!$V$3:$V$838,$A33,Council_Data!$I$3:$I$838)</f>
        <v>0</v>
      </c>
      <c r="H33">
        <f>SUMIF(Council_Data!$V$3:$V$838,$A33,Council_Data!$J$3:$J$838)</f>
        <v>1</v>
      </c>
      <c r="I33">
        <f>SUMIF(Council_Data!$V$3:$V$838,$A33,Council_Data!$K$3:$K$838)</f>
        <v>0</v>
      </c>
      <c r="J33">
        <f>SUMIF(Council_Data!$V$3:$V$838,$A33,Council_Data!$L$3:$L$838)</f>
        <v>1</v>
      </c>
      <c r="K33" s="63">
        <f t="shared" si="2"/>
        <v>0.5</v>
      </c>
      <c r="L33">
        <f>ROUND(SUMIF(Council_Data!$V$3:$V$838,$A33,Council_Data!$N$3:$N$838)*0.7,0)</f>
        <v>0</v>
      </c>
      <c r="M33">
        <f>SUMIF(Council_Data!$V$3:$V$838,$A33,Council_Data!$O$3:$O$838)</f>
        <v>0</v>
      </c>
      <c r="N33">
        <f>SUMIF(Council_Data!$V$3:$V$838,$A33,Council_Data!$P$3:$P$838)</f>
        <v>0</v>
      </c>
      <c r="O33">
        <f>SUMIF(Council_Data!$V$3:$V$838,$A33,Council_Data!$Q$3:$Q$838)</f>
        <v>0</v>
      </c>
      <c r="P33">
        <f>SUMIF(Council_Data!$V$3:$V$838,$A33,Council_Data!$R$3:$R$838)</f>
        <v>0</v>
      </c>
      <c r="Q33">
        <f>SUMIF(Council_Data!$V$3:$V$838,$A33,Council_Data!$S$3:$S$838)</f>
        <v>0</v>
      </c>
      <c r="R33">
        <f>SUMIF(Council_Data!$V$3:$V$838,$A33,Council_Data!$T$3:$T$838)</f>
        <v>0</v>
      </c>
      <c r="S33" s="63">
        <f t="shared" si="3"/>
        <v>0</v>
      </c>
      <c r="T33" t="str">
        <f>IF(ISNA(VLOOKUP($A33,DD_Info!$A$1:$E$222,2,0)),0,VLOOKUP($A33,DD_Info!$A$1:$E$222,2,0))</f>
        <v>William J Mechura</v>
      </c>
    </row>
    <row r="34" spans="1:20">
      <c r="A34" s="81">
        <v>34</v>
      </c>
      <c r="B34" t="str">
        <f>IF(ISNA(VLOOKUP($A34,DD_Info!$A$1:$E$222,3,0)),0,VLOOKUP($A34,DD_Info!$A$1:$E$222,3,0))</f>
        <v>San Antonio</v>
      </c>
      <c r="C34">
        <f>SUMIF(Council_Data!$V$3:$V$838,$A34,Council_Data!$E$3:$E$838)</f>
        <v>36</v>
      </c>
      <c r="D34">
        <f>ROUND(SUMIF(Council_Data!$V$3:$V$838,$A34,Council_Data!$F$3:$F$838)*0.7,0)</f>
        <v>11</v>
      </c>
      <c r="E34">
        <f>SUMIF(Council_Data!$V$3:$V$838,$A34,Council_Data!$G$3:$G$838)</f>
        <v>0</v>
      </c>
      <c r="F34">
        <f>SUMIF(Council_Data!$V$3:$V$838,$A34,Council_Data!$H$3:$H$838)</f>
        <v>0</v>
      </c>
      <c r="G34">
        <f>SUMIF(Council_Data!$V$3:$V$838,$A34,Council_Data!$I$3:$I$838)</f>
        <v>0</v>
      </c>
      <c r="H34">
        <f>SUMIF(Council_Data!$V$3:$V$838,$A34,Council_Data!$J$3:$J$838)</f>
        <v>0</v>
      </c>
      <c r="I34">
        <f>SUMIF(Council_Data!$V$3:$V$838,$A34,Council_Data!$K$3:$K$838)</f>
        <v>0</v>
      </c>
      <c r="J34">
        <f>SUMIF(Council_Data!$V$3:$V$838,$A34,Council_Data!$L$3:$L$838)</f>
        <v>0</v>
      </c>
      <c r="K34" s="63">
        <f t="shared" ref="K34:K35" si="6">IFERROR(J34/D34,0)</f>
        <v>0</v>
      </c>
      <c r="L34">
        <f>ROUND(SUMIF(Council_Data!$V$3:$V$838,$A34,Council_Data!$N$3:$N$838)*0.7,0)</f>
        <v>0</v>
      </c>
      <c r="M34">
        <f>SUMIF(Council_Data!$V$3:$V$838,$A34,Council_Data!$O$3:$O$838)</f>
        <v>0</v>
      </c>
      <c r="N34">
        <f>SUMIF(Council_Data!$V$3:$V$838,$A34,Council_Data!$P$3:$P$838)</f>
        <v>0</v>
      </c>
      <c r="O34">
        <f>SUMIF(Council_Data!$V$3:$V$838,$A34,Council_Data!$Q$3:$Q$838)</f>
        <v>0</v>
      </c>
      <c r="P34">
        <f>SUMIF(Council_Data!$V$3:$V$838,$A34,Council_Data!$R$3:$R$838)</f>
        <v>1</v>
      </c>
      <c r="Q34">
        <f>SUMIF(Council_Data!$V$3:$V$838,$A34,Council_Data!$S$3:$S$838)</f>
        <v>0</v>
      </c>
      <c r="R34">
        <f>SUMIF(Council_Data!$V$3:$V$838,$A34,Council_Data!$T$3:$T$838)</f>
        <v>1</v>
      </c>
      <c r="S34" s="63">
        <f t="shared" ref="S34:S35" si="7">IFERROR(R34/L34,0)</f>
        <v>0</v>
      </c>
      <c r="T34" t="str">
        <f>IF(ISNA(VLOOKUP($A34,DD_Info!$A$1:$E$222,2,0)),0,VLOOKUP($A34,DD_Info!$A$1:$E$222,2,0))</f>
        <v>Christobal  Rodriguez, Jr.</v>
      </c>
    </row>
    <row r="35" spans="1:20">
      <c r="A35" s="81">
        <v>35</v>
      </c>
      <c r="B35" t="str">
        <f>IF(ISNA(VLOOKUP($A35,DD_Info!$A$1:$E$222,3,0)),0,VLOOKUP($A35,DD_Info!$A$1:$E$222,3,0))</f>
        <v>San Antonio</v>
      </c>
      <c r="C35">
        <f>SUMIF(Council_Data!$V$3:$V$838,$A35,Council_Data!$E$3:$E$838)</f>
        <v>35</v>
      </c>
      <c r="D35">
        <f>ROUND(SUMIF(Council_Data!$V$3:$V$838,$A35,Council_Data!$F$3:$F$838)*0.7,0)</f>
        <v>2</v>
      </c>
      <c r="E35">
        <f>SUMIF(Council_Data!$V$3:$V$838,$A35,Council_Data!$G$3:$G$838)</f>
        <v>0</v>
      </c>
      <c r="F35">
        <f>SUMIF(Council_Data!$V$3:$V$838,$A35,Council_Data!$H$3:$H$838)</f>
        <v>0</v>
      </c>
      <c r="G35">
        <f>SUMIF(Council_Data!$V$3:$V$838,$A35,Council_Data!$I$3:$I$838)</f>
        <v>0</v>
      </c>
      <c r="H35">
        <f>SUMIF(Council_Data!$V$3:$V$838,$A35,Council_Data!$J$3:$J$838)</f>
        <v>0</v>
      </c>
      <c r="I35">
        <f>SUMIF(Council_Data!$V$3:$V$838,$A35,Council_Data!$K$3:$K$838)</f>
        <v>0</v>
      </c>
      <c r="J35">
        <f>SUMIF(Council_Data!$V$3:$V$838,$A35,Council_Data!$L$3:$L$838)</f>
        <v>0</v>
      </c>
      <c r="K35" s="63">
        <f t="shared" si="6"/>
        <v>0</v>
      </c>
      <c r="L35">
        <f>ROUND(SUMIF(Council_Data!$V$3:$V$838,$A35,Council_Data!$N$3:$N$838)*0.7,0)</f>
        <v>0</v>
      </c>
      <c r="M35">
        <f>SUMIF(Council_Data!$V$3:$V$838,$A35,Council_Data!$O$3:$O$838)</f>
        <v>0</v>
      </c>
      <c r="N35">
        <f>SUMIF(Council_Data!$V$3:$V$838,$A35,Council_Data!$P$3:$P$838)</f>
        <v>0</v>
      </c>
      <c r="O35">
        <f>SUMIF(Council_Data!$V$3:$V$838,$A35,Council_Data!$Q$3:$Q$838)</f>
        <v>0</v>
      </c>
      <c r="P35">
        <f>SUMIF(Council_Data!$V$3:$V$838,$A35,Council_Data!$R$3:$R$838)</f>
        <v>0</v>
      </c>
      <c r="Q35">
        <f>SUMIF(Council_Data!$V$3:$V$838,$A35,Council_Data!$S$3:$S$838)</f>
        <v>0</v>
      </c>
      <c r="R35">
        <f>SUMIF(Council_Data!$V$3:$V$838,$A35,Council_Data!$T$3:$T$838)</f>
        <v>0</v>
      </c>
      <c r="S35" s="63">
        <f t="shared" si="7"/>
        <v>0</v>
      </c>
      <c r="T35" t="str">
        <f>IF(ISNA(VLOOKUP($A35,DD_Info!$A$1:$E$222,2,0)),0,VLOOKUP($A35,DD_Info!$A$1:$E$222,2,0))</f>
        <v>David B Gonzales</v>
      </c>
    </row>
    <row r="36" spans="1:20">
      <c r="A36" s="81">
        <v>36</v>
      </c>
      <c r="B36" t="str">
        <f>IF(ISNA(VLOOKUP($A36,DD_Info!$A$1:$E$222,3,0)),0,VLOOKUP($A36,DD_Info!$A$1:$E$222,3,0))</f>
        <v>San Antonio</v>
      </c>
      <c r="C36">
        <f>SUMIF(Council_Data!$V$3:$V$838,$A36,Council_Data!$E$3:$E$838)</f>
        <v>419</v>
      </c>
      <c r="D36">
        <f>ROUND(SUMIF(Council_Data!$V$3:$V$838,$A36,Council_Data!$F$3:$F$838)*0.7,0)</f>
        <v>15</v>
      </c>
      <c r="E36">
        <f>SUMIF(Council_Data!$V$3:$V$838,$A36,Council_Data!$G$3:$G$838)</f>
        <v>0</v>
      </c>
      <c r="F36">
        <f>SUMIF(Council_Data!$V$3:$V$838,$A36,Council_Data!$H$3:$H$838)</f>
        <v>0</v>
      </c>
      <c r="G36">
        <f>SUMIF(Council_Data!$V$3:$V$838,$A36,Council_Data!$I$3:$I$838)</f>
        <v>0</v>
      </c>
      <c r="H36">
        <f>SUMIF(Council_Data!$V$3:$V$838,$A36,Council_Data!$J$3:$J$838)</f>
        <v>0</v>
      </c>
      <c r="I36">
        <f>SUMIF(Council_Data!$V$3:$V$838,$A36,Council_Data!$K$3:$K$838)</f>
        <v>0</v>
      </c>
      <c r="J36">
        <f>SUMIF(Council_Data!$V$3:$V$838,$A36,Council_Data!$L$3:$L$838)</f>
        <v>0</v>
      </c>
      <c r="K36" s="63">
        <f t="shared" si="2"/>
        <v>0</v>
      </c>
      <c r="L36">
        <f>ROUND(SUMIF(Council_Data!$V$3:$V$838,$A36,Council_Data!$N$3:$N$838)*0.7,0)</f>
        <v>0</v>
      </c>
      <c r="M36">
        <f>SUMIF(Council_Data!$V$3:$V$838,$A36,Council_Data!$O$3:$O$838)</f>
        <v>0</v>
      </c>
      <c r="N36">
        <f>SUMIF(Council_Data!$V$3:$V$838,$A36,Council_Data!$P$3:$P$838)</f>
        <v>0</v>
      </c>
      <c r="O36">
        <f>SUMIF(Council_Data!$V$3:$V$838,$A36,Council_Data!$Q$3:$Q$838)</f>
        <v>0</v>
      </c>
      <c r="P36">
        <f>SUMIF(Council_Data!$V$3:$V$838,$A36,Council_Data!$R$3:$R$838)</f>
        <v>2</v>
      </c>
      <c r="Q36">
        <f>SUMIF(Council_Data!$V$3:$V$838,$A36,Council_Data!$S$3:$S$838)</f>
        <v>1</v>
      </c>
      <c r="R36">
        <f>SUMIF(Council_Data!$V$3:$V$838,$A36,Council_Data!$T$3:$T$838)</f>
        <v>1</v>
      </c>
      <c r="S36" s="63">
        <f t="shared" si="3"/>
        <v>0</v>
      </c>
      <c r="T36" t="str">
        <f>IF(ISNA(VLOOKUP($A36,DD_Info!$A$1:$E$222,2,0)),0,VLOOKUP($A36,DD_Info!$A$1:$E$222,2,0))</f>
        <v>Armando R Vasquez</v>
      </c>
    </row>
    <row r="37" spans="1:20">
      <c r="A37" s="81">
        <v>37</v>
      </c>
      <c r="B37" t="str">
        <f>IF(ISNA(VLOOKUP($A37,DD_Info!$A$1:$E$222,3,0)),0,VLOOKUP($A37,DD_Info!$A$1:$E$222,3,0))</f>
        <v>San Antonio</v>
      </c>
      <c r="C37">
        <f>SUMIF(Council_Data!$V$3:$V$838,$A37,Council_Data!$E$3:$E$838)</f>
        <v>463</v>
      </c>
      <c r="D37">
        <f>ROUND(SUMIF(Council_Data!$V$3:$V$838,$A37,Council_Data!$F$3:$F$838)*0.7,0)</f>
        <v>17</v>
      </c>
      <c r="E37">
        <f>SUMIF(Council_Data!$V$3:$V$838,$A37,Council_Data!$G$3:$G$838)</f>
        <v>0</v>
      </c>
      <c r="F37">
        <f>SUMIF(Council_Data!$V$3:$V$838,$A37,Council_Data!$H$3:$H$838)</f>
        <v>0</v>
      </c>
      <c r="G37">
        <f>SUMIF(Council_Data!$V$3:$V$838,$A37,Council_Data!$I$3:$I$838)</f>
        <v>0</v>
      </c>
      <c r="H37">
        <f>SUMIF(Council_Data!$V$3:$V$838,$A37,Council_Data!$J$3:$J$838)</f>
        <v>1</v>
      </c>
      <c r="I37">
        <f>SUMIF(Council_Data!$V$3:$V$838,$A37,Council_Data!$K$3:$K$838)</f>
        <v>0</v>
      </c>
      <c r="J37">
        <f>SUMIF(Council_Data!$V$3:$V$838,$A37,Council_Data!$L$3:$L$838)</f>
        <v>1</v>
      </c>
      <c r="K37" s="63">
        <f t="shared" si="2"/>
        <v>5.8823529411764705E-2</v>
      </c>
      <c r="L37">
        <f>ROUND(SUMIF(Council_Data!$V$3:$V$838,$A37,Council_Data!$N$3:$N$838)*0.7,0)</f>
        <v>0</v>
      </c>
      <c r="M37">
        <f>SUMIF(Council_Data!$V$3:$V$838,$A37,Council_Data!$O$3:$O$838)</f>
        <v>0</v>
      </c>
      <c r="N37">
        <f>SUMIF(Council_Data!$V$3:$V$838,$A37,Council_Data!$P$3:$P$838)</f>
        <v>2</v>
      </c>
      <c r="O37">
        <f>SUMIF(Council_Data!$V$3:$V$838,$A37,Council_Data!$Q$3:$Q$838)</f>
        <v>-2</v>
      </c>
      <c r="P37">
        <f>SUMIF(Council_Data!$V$3:$V$838,$A37,Council_Data!$R$3:$R$838)</f>
        <v>5</v>
      </c>
      <c r="Q37">
        <f>SUMIF(Council_Data!$V$3:$V$838,$A37,Council_Data!$S$3:$S$838)</f>
        <v>3</v>
      </c>
      <c r="R37">
        <f>SUMIF(Council_Data!$V$3:$V$838,$A37,Council_Data!$T$3:$T$838)</f>
        <v>2</v>
      </c>
      <c r="S37" s="63">
        <f t="shared" si="3"/>
        <v>0</v>
      </c>
      <c r="T37" t="str">
        <f>IF(ISNA(VLOOKUP($A37,DD_Info!$A$1:$E$222,2,0)),0,VLOOKUP($A37,DD_Info!$A$1:$E$222,2,0))</f>
        <v>Ruben R Elizondo</v>
      </c>
    </row>
    <row r="38" spans="1:20">
      <c r="A38" s="81">
        <v>38</v>
      </c>
      <c r="B38" t="str">
        <f>IF(ISNA(VLOOKUP($A38,DD_Info!$A$1:$E$222,3,0)),0,VLOOKUP($A38,DD_Info!$A$1:$E$222,3,0))</f>
        <v>San Antonio</v>
      </c>
      <c r="C38">
        <f>SUMIF(Council_Data!$V$3:$V$838,$A38,Council_Data!$E$3:$E$838)</f>
        <v>338</v>
      </c>
      <c r="D38">
        <f>ROUND(SUMIF(Council_Data!$V$3:$V$838,$A38,Council_Data!$F$3:$F$838)*0.7,0)</f>
        <v>13</v>
      </c>
      <c r="E38">
        <f>SUMIF(Council_Data!$V$3:$V$838,$A38,Council_Data!$G$3:$G$838)</f>
        <v>0</v>
      </c>
      <c r="F38">
        <f>SUMIF(Council_Data!$V$3:$V$838,$A38,Council_Data!$H$3:$H$838)</f>
        <v>0</v>
      </c>
      <c r="G38">
        <f>SUMIF(Council_Data!$V$3:$V$838,$A38,Council_Data!$I$3:$I$838)</f>
        <v>0</v>
      </c>
      <c r="H38">
        <f>SUMIF(Council_Data!$V$3:$V$838,$A38,Council_Data!$J$3:$J$838)</f>
        <v>2</v>
      </c>
      <c r="I38">
        <f>SUMIF(Council_Data!$V$3:$V$838,$A38,Council_Data!$K$3:$K$838)</f>
        <v>0</v>
      </c>
      <c r="J38">
        <f>SUMIF(Council_Data!$V$3:$V$838,$A38,Council_Data!$L$3:$L$838)</f>
        <v>2</v>
      </c>
      <c r="K38" s="63">
        <f t="shared" si="2"/>
        <v>0.15384615384615385</v>
      </c>
      <c r="L38">
        <f>ROUND(SUMIF(Council_Data!$V$3:$V$838,$A38,Council_Data!$N$3:$N$838)*0.7,0)</f>
        <v>0</v>
      </c>
      <c r="M38">
        <f>SUMIF(Council_Data!$V$3:$V$838,$A38,Council_Data!$O$3:$O$838)</f>
        <v>0</v>
      </c>
      <c r="N38">
        <f>SUMIF(Council_Data!$V$3:$V$838,$A38,Council_Data!$P$3:$P$838)</f>
        <v>1</v>
      </c>
      <c r="O38">
        <f>SUMIF(Council_Data!$V$3:$V$838,$A38,Council_Data!$Q$3:$Q$838)</f>
        <v>-1</v>
      </c>
      <c r="P38">
        <f>SUMIF(Council_Data!$V$3:$V$838,$A38,Council_Data!$R$3:$R$838)</f>
        <v>2</v>
      </c>
      <c r="Q38">
        <f>SUMIF(Council_Data!$V$3:$V$838,$A38,Council_Data!$S$3:$S$838)</f>
        <v>1</v>
      </c>
      <c r="R38">
        <f>SUMIF(Council_Data!$V$3:$V$838,$A38,Council_Data!$T$3:$T$838)</f>
        <v>1</v>
      </c>
      <c r="S38" s="63">
        <f t="shared" si="3"/>
        <v>0</v>
      </c>
      <c r="T38" t="str">
        <f>IF(ISNA(VLOOKUP($A38,DD_Info!$A$1:$E$222,2,0)),0,VLOOKUP($A38,DD_Info!$A$1:$E$222,2,0))</f>
        <v>Fernando  Herrera</v>
      </c>
    </row>
    <row r="39" spans="1:20">
      <c r="A39" s="81">
        <v>39</v>
      </c>
      <c r="B39" t="str">
        <f>IF(ISNA(VLOOKUP($A39,DD_Info!$A$1:$E$222,3,0)),0,VLOOKUP($A39,DD_Info!$A$1:$E$222,3,0))</f>
        <v>San Antonio</v>
      </c>
      <c r="C39">
        <f>SUMIF(Council_Data!$V$3:$V$838,$A39,Council_Data!$E$3:$E$838)</f>
        <v>405</v>
      </c>
      <c r="D39">
        <f>ROUND(SUMIF(Council_Data!$V$3:$V$838,$A39,Council_Data!$F$3:$F$838)*0.7,0)</f>
        <v>15</v>
      </c>
      <c r="E39">
        <f>SUMIF(Council_Data!$V$3:$V$838,$A39,Council_Data!$G$3:$G$838)</f>
        <v>0</v>
      </c>
      <c r="F39">
        <f>SUMIF(Council_Data!$V$3:$V$838,$A39,Council_Data!$H$3:$H$838)</f>
        <v>0</v>
      </c>
      <c r="G39">
        <f>SUMIF(Council_Data!$V$3:$V$838,$A39,Council_Data!$I$3:$I$838)</f>
        <v>0</v>
      </c>
      <c r="H39">
        <f>SUMIF(Council_Data!$V$3:$V$838,$A39,Council_Data!$J$3:$J$838)</f>
        <v>1</v>
      </c>
      <c r="I39">
        <f>SUMIF(Council_Data!$V$3:$V$838,$A39,Council_Data!$K$3:$K$838)</f>
        <v>0</v>
      </c>
      <c r="J39">
        <f>SUMIF(Council_Data!$V$3:$V$838,$A39,Council_Data!$L$3:$L$838)</f>
        <v>1</v>
      </c>
      <c r="K39" s="63">
        <f t="shared" si="2"/>
        <v>6.6666666666666666E-2</v>
      </c>
      <c r="L39">
        <f>ROUND(SUMIF(Council_Data!$V$3:$V$838,$A39,Council_Data!$N$3:$N$838)*0.7,0)</f>
        <v>0</v>
      </c>
      <c r="M39">
        <f>SUMIF(Council_Data!$V$3:$V$838,$A39,Council_Data!$O$3:$O$838)</f>
        <v>0</v>
      </c>
      <c r="N39">
        <f>SUMIF(Council_Data!$V$3:$V$838,$A39,Council_Data!$P$3:$P$838)</f>
        <v>1</v>
      </c>
      <c r="O39">
        <f>SUMIF(Council_Data!$V$3:$V$838,$A39,Council_Data!$Q$3:$Q$838)</f>
        <v>-1</v>
      </c>
      <c r="P39">
        <f>SUMIF(Council_Data!$V$3:$V$838,$A39,Council_Data!$R$3:$R$838)</f>
        <v>0</v>
      </c>
      <c r="Q39">
        <f>SUMIF(Council_Data!$V$3:$V$838,$A39,Council_Data!$S$3:$S$838)</f>
        <v>2</v>
      </c>
      <c r="R39">
        <f>SUMIF(Council_Data!$V$3:$V$838,$A39,Council_Data!$T$3:$T$838)</f>
        <v>-2</v>
      </c>
      <c r="S39" s="63">
        <f t="shared" si="3"/>
        <v>0</v>
      </c>
      <c r="T39" t="str">
        <f>IF(ISNA(VLOOKUP($A39,DD_Info!$A$1:$E$222,2,0)),0,VLOOKUP($A39,DD_Info!$A$1:$E$222,2,0))</f>
        <v>Carlos  Delgado</v>
      </c>
    </row>
    <row r="40" spans="1:20">
      <c r="A40" s="81">
        <v>40</v>
      </c>
      <c r="B40" t="str">
        <f>IF(ISNA(VLOOKUP($A40,DD_Info!$A$1:$E$222,3,0)),0,VLOOKUP($A40,DD_Info!$A$1:$E$222,3,0))</f>
        <v>San Antonio</v>
      </c>
      <c r="C40">
        <f>SUMIF(Council_Data!$V$3:$V$838,$A40,Council_Data!$E$3:$E$838)</f>
        <v>1035</v>
      </c>
      <c r="D40">
        <f>ROUND(SUMIF(Council_Data!$V$3:$V$838,$A40,Council_Data!$F$3:$F$838)*0.7,0)</f>
        <v>35</v>
      </c>
      <c r="E40">
        <f>SUMIF(Council_Data!$V$3:$V$838,$A40,Council_Data!$G$3:$G$838)</f>
        <v>1</v>
      </c>
      <c r="F40">
        <f>SUMIF(Council_Data!$V$3:$V$838,$A40,Council_Data!$H$3:$H$838)</f>
        <v>2</v>
      </c>
      <c r="G40">
        <f>SUMIF(Council_Data!$V$3:$V$838,$A40,Council_Data!$I$3:$I$838)</f>
        <v>-1</v>
      </c>
      <c r="H40">
        <f>SUMIF(Council_Data!$V$3:$V$838,$A40,Council_Data!$J$3:$J$838)</f>
        <v>14</v>
      </c>
      <c r="I40">
        <f>SUMIF(Council_Data!$V$3:$V$838,$A40,Council_Data!$K$3:$K$838)</f>
        <v>26</v>
      </c>
      <c r="J40">
        <f>SUMIF(Council_Data!$V$3:$V$838,$A40,Council_Data!$L$3:$L$838)</f>
        <v>-12</v>
      </c>
      <c r="K40" s="63">
        <f t="shared" si="2"/>
        <v>-0.34285714285714286</v>
      </c>
      <c r="L40">
        <f>ROUND(SUMIF(Council_Data!$V$3:$V$838,$A40,Council_Data!$N$3:$N$838)*0.7,0)</f>
        <v>0</v>
      </c>
      <c r="M40">
        <f>SUMIF(Council_Data!$V$3:$V$838,$A40,Council_Data!$O$3:$O$838)</f>
        <v>0</v>
      </c>
      <c r="N40">
        <f>SUMIF(Council_Data!$V$3:$V$838,$A40,Council_Data!$P$3:$P$838)</f>
        <v>0</v>
      </c>
      <c r="O40">
        <f>SUMIF(Council_Data!$V$3:$V$838,$A40,Council_Data!$Q$3:$Q$838)</f>
        <v>0</v>
      </c>
      <c r="P40">
        <f>SUMIF(Council_Data!$V$3:$V$838,$A40,Council_Data!$R$3:$R$838)</f>
        <v>7</v>
      </c>
      <c r="Q40">
        <f>SUMIF(Council_Data!$V$3:$V$838,$A40,Council_Data!$S$3:$S$838)</f>
        <v>12</v>
      </c>
      <c r="R40">
        <f>SUMIF(Council_Data!$V$3:$V$838,$A40,Council_Data!$T$3:$T$838)</f>
        <v>-5</v>
      </c>
      <c r="S40" s="63">
        <f t="shared" si="3"/>
        <v>0</v>
      </c>
      <c r="T40" t="str">
        <f>IF(ISNA(VLOOKUP($A40,DD_Info!$A$1:$E$222,2,0)),0,VLOOKUP($A40,DD_Info!$A$1:$E$222,2,0))</f>
        <v>Dan  Rangel</v>
      </c>
    </row>
    <row r="41" spans="1:20">
      <c r="A41" s="81">
        <v>41</v>
      </c>
      <c r="B41" t="str">
        <f>IF(ISNA(VLOOKUP($A41,DD_Info!$A$1:$E$222,3,0)),0,VLOOKUP($A41,DD_Info!$A$1:$E$222,3,0))</f>
        <v>San Antonio</v>
      </c>
      <c r="C41">
        <f>SUMIF(Council_Data!$V$3:$V$838,$A41,Council_Data!$E$3:$E$838)</f>
        <v>698</v>
      </c>
      <c r="D41">
        <f>ROUND(SUMIF(Council_Data!$V$3:$V$838,$A41,Council_Data!$F$3:$F$838)*0.7,0)</f>
        <v>25</v>
      </c>
      <c r="E41">
        <f>SUMIF(Council_Data!$V$3:$V$838,$A41,Council_Data!$G$3:$G$838)</f>
        <v>0</v>
      </c>
      <c r="F41">
        <f>SUMIF(Council_Data!$V$3:$V$838,$A41,Council_Data!$H$3:$H$838)</f>
        <v>0</v>
      </c>
      <c r="G41">
        <f>SUMIF(Council_Data!$V$3:$V$838,$A41,Council_Data!$I$3:$I$838)</f>
        <v>0</v>
      </c>
      <c r="H41">
        <f>SUMIF(Council_Data!$V$3:$V$838,$A41,Council_Data!$J$3:$J$838)</f>
        <v>3</v>
      </c>
      <c r="I41">
        <f>SUMIF(Council_Data!$V$3:$V$838,$A41,Council_Data!$K$3:$K$838)</f>
        <v>34</v>
      </c>
      <c r="J41">
        <f>SUMIF(Council_Data!$V$3:$V$838,$A41,Council_Data!$L$3:$L$838)</f>
        <v>-31</v>
      </c>
      <c r="K41" s="63">
        <f t="shared" si="2"/>
        <v>-1.24</v>
      </c>
      <c r="L41">
        <f>ROUND(SUMIF(Council_Data!$V$3:$V$838,$A41,Council_Data!$N$3:$N$838)*0.7,0)</f>
        <v>0</v>
      </c>
      <c r="M41">
        <f>SUMIF(Council_Data!$V$3:$V$838,$A41,Council_Data!$O$3:$O$838)</f>
        <v>0</v>
      </c>
      <c r="N41">
        <f>SUMIF(Council_Data!$V$3:$V$838,$A41,Council_Data!$P$3:$P$838)</f>
        <v>0</v>
      </c>
      <c r="O41">
        <f>SUMIF(Council_Data!$V$3:$V$838,$A41,Council_Data!$Q$3:$Q$838)</f>
        <v>0</v>
      </c>
      <c r="P41">
        <f>SUMIF(Council_Data!$V$3:$V$838,$A41,Council_Data!$R$3:$R$838)</f>
        <v>3</v>
      </c>
      <c r="Q41">
        <f>SUMIF(Council_Data!$V$3:$V$838,$A41,Council_Data!$S$3:$S$838)</f>
        <v>5</v>
      </c>
      <c r="R41">
        <f>SUMIF(Council_Data!$V$3:$V$838,$A41,Council_Data!$T$3:$T$838)</f>
        <v>-2</v>
      </c>
      <c r="S41" s="63">
        <f t="shared" si="3"/>
        <v>0</v>
      </c>
      <c r="T41" t="str">
        <f>IF(ISNA(VLOOKUP($A41,DD_Info!$A$1:$E$222,2,0)),0,VLOOKUP($A41,DD_Info!$A$1:$E$222,2,0))</f>
        <v>Jaime  Piedra</v>
      </c>
    </row>
    <row r="42" spans="1:20">
      <c r="A42" s="81">
        <v>42</v>
      </c>
      <c r="B42" t="str">
        <f>IF(ISNA(VLOOKUP($A42,DD_Info!$A$1:$E$222,3,0)),0,VLOOKUP($A42,DD_Info!$A$1:$E$222,3,0))</f>
        <v>San Antonio</v>
      </c>
      <c r="C42">
        <f>SUMIF(Council_Data!$V$3:$V$838,$A42,Council_Data!$E$3:$E$838)</f>
        <v>926</v>
      </c>
      <c r="D42">
        <f>ROUND(SUMIF(Council_Data!$V$3:$V$838,$A42,Council_Data!$F$3:$F$838)*0.7,0)</f>
        <v>31</v>
      </c>
      <c r="E42">
        <f>SUMIF(Council_Data!$V$3:$V$838,$A42,Council_Data!$G$3:$G$838)</f>
        <v>2</v>
      </c>
      <c r="F42">
        <f>SUMIF(Council_Data!$V$3:$V$838,$A42,Council_Data!$H$3:$H$838)</f>
        <v>3</v>
      </c>
      <c r="G42">
        <f>SUMIF(Council_Data!$V$3:$V$838,$A42,Council_Data!$I$3:$I$838)</f>
        <v>-1</v>
      </c>
      <c r="H42">
        <f>SUMIF(Council_Data!$V$3:$V$838,$A42,Council_Data!$J$3:$J$838)</f>
        <v>6</v>
      </c>
      <c r="I42">
        <f>SUMIF(Council_Data!$V$3:$V$838,$A42,Council_Data!$K$3:$K$838)</f>
        <v>23</v>
      </c>
      <c r="J42">
        <f>SUMIF(Council_Data!$V$3:$V$838,$A42,Council_Data!$L$3:$L$838)</f>
        <v>-17</v>
      </c>
      <c r="K42" s="63">
        <f t="shared" si="2"/>
        <v>-0.54838709677419351</v>
      </c>
      <c r="L42">
        <f>ROUND(SUMIF(Council_Data!$V$3:$V$838,$A42,Council_Data!$N$3:$N$838)*0.7,0)</f>
        <v>0</v>
      </c>
      <c r="M42">
        <f>SUMIF(Council_Data!$V$3:$V$838,$A42,Council_Data!$O$3:$O$838)</f>
        <v>0</v>
      </c>
      <c r="N42">
        <f>SUMIF(Council_Data!$V$3:$V$838,$A42,Council_Data!$P$3:$P$838)</f>
        <v>0</v>
      </c>
      <c r="O42">
        <f>SUMIF(Council_Data!$V$3:$V$838,$A42,Council_Data!$Q$3:$Q$838)</f>
        <v>0</v>
      </c>
      <c r="P42">
        <f>SUMIF(Council_Data!$V$3:$V$838,$A42,Council_Data!$R$3:$R$838)</f>
        <v>7</v>
      </c>
      <c r="Q42">
        <f>SUMIF(Council_Data!$V$3:$V$838,$A42,Council_Data!$S$3:$S$838)</f>
        <v>5</v>
      </c>
      <c r="R42">
        <f>SUMIF(Council_Data!$V$3:$V$838,$A42,Council_Data!$T$3:$T$838)</f>
        <v>2</v>
      </c>
      <c r="S42" s="63">
        <f t="shared" si="3"/>
        <v>0</v>
      </c>
      <c r="T42" t="str">
        <f>IF(ISNA(VLOOKUP($A42,DD_Info!$A$1:$E$222,2,0)),0,VLOOKUP($A42,DD_Info!$A$1:$E$222,2,0))</f>
        <v>Michael W Trevino</v>
      </c>
    </row>
    <row r="43" spans="1:20">
      <c r="A43" s="81">
        <v>43</v>
      </c>
      <c r="B43" t="str">
        <f>IF(ISNA(VLOOKUP($A43,DD_Info!$A$1:$E$222,3,0)),0,VLOOKUP($A43,DD_Info!$A$1:$E$222,3,0))</f>
        <v>San Antonio</v>
      </c>
      <c r="C43">
        <f>SUMIF(Council_Data!$V$3:$V$838,$A43,Council_Data!$E$3:$E$838)</f>
        <v>1403</v>
      </c>
      <c r="D43">
        <f>ROUND(SUMIF(Council_Data!$V$3:$V$838,$A43,Council_Data!$F$3:$F$838)*0.7,0)</f>
        <v>45</v>
      </c>
      <c r="E43">
        <f>SUMIF(Council_Data!$V$3:$V$838,$A43,Council_Data!$G$3:$G$838)</f>
        <v>0</v>
      </c>
      <c r="F43">
        <f>SUMIF(Council_Data!$V$3:$V$838,$A43,Council_Data!$H$3:$H$838)</f>
        <v>7</v>
      </c>
      <c r="G43">
        <f>SUMIF(Council_Data!$V$3:$V$838,$A43,Council_Data!$I$3:$I$838)</f>
        <v>-7</v>
      </c>
      <c r="H43">
        <f>SUMIF(Council_Data!$V$3:$V$838,$A43,Council_Data!$J$3:$J$838)</f>
        <v>18</v>
      </c>
      <c r="I43">
        <f>SUMIF(Council_Data!$V$3:$V$838,$A43,Council_Data!$K$3:$K$838)</f>
        <v>17</v>
      </c>
      <c r="J43">
        <f>SUMIF(Council_Data!$V$3:$V$838,$A43,Council_Data!$L$3:$L$838)</f>
        <v>1</v>
      </c>
      <c r="K43" s="63">
        <f t="shared" si="2"/>
        <v>2.2222222222222223E-2</v>
      </c>
      <c r="L43">
        <f>ROUND(SUMIF(Council_Data!$V$3:$V$838,$A43,Council_Data!$N$3:$N$838)*0.7,0)</f>
        <v>0</v>
      </c>
      <c r="M43">
        <f>SUMIF(Council_Data!$V$3:$V$838,$A43,Council_Data!$O$3:$O$838)</f>
        <v>0</v>
      </c>
      <c r="N43">
        <f>SUMIF(Council_Data!$V$3:$V$838,$A43,Council_Data!$P$3:$P$838)</f>
        <v>1</v>
      </c>
      <c r="O43">
        <f>SUMIF(Council_Data!$V$3:$V$838,$A43,Council_Data!$Q$3:$Q$838)</f>
        <v>-1</v>
      </c>
      <c r="P43">
        <f>SUMIF(Council_Data!$V$3:$V$838,$A43,Council_Data!$R$3:$R$838)</f>
        <v>8</v>
      </c>
      <c r="Q43">
        <f>SUMIF(Council_Data!$V$3:$V$838,$A43,Council_Data!$S$3:$S$838)</f>
        <v>7</v>
      </c>
      <c r="R43">
        <f>SUMIF(Council_Data!$V$3:$V$838,$A43,Council_Data!$T$3:$T$838)</f>
        <v>1</v>
      </c>
      <c r="S43" s="63">
        <f t="shared" si="3"/>
        <v>0</v>
      </c>
      <c r="T43" t="str">
        <f>IF(ISNA(VLOOKUP($A43,DD_Info!$A$1:$E$222,2,0)),0,VLOOKUP($A43,DD_Info!$A$1:$E$222,2,0))</f>
        <v>William A Torres</v>
      </c>
    </row>
    <row r="44" spans="1:20">
      <c r="A44" s="81">
        <v>44</v>
      </c>
      <c r="B44" t="str">
        <f>IF(ISNA(VLOOKUP($A44,DD_Info!$A$1:$E$222,3,0)),0,VLOOKUP($A44,DD_Info!$A$1:$E$222,3,0))</f>
        <v>San Antonio</v>
      </c>
      <c r="C44">
        <f>SUMIF(Council_Data!$V$3:$V$838,$A44,Council_Data!$E$3:$E$838)</f>
        <v>296</v>
      </c>
      <c r="D44">
        <f>ROUND(SUMIF(Council_Data!$V$3:$V$838,$A44,Council_Data!$F$3:$F$838)*0.7,0)</f>
        <v>11</v>
      </c>
      <c r="E44">
        <f>SUMIF(Council_Data!$V$3:$V$838,$A44,Council_Data!$G$3:$G$838)</f>
        <v>0</v>
      </c>
      <c r="F44">
        <f>SUMIF(Council_Data!$V$3:$V$838,$A44,Council_Data!$H$3:$H$838)</f>
        <v>18</v>
      </c>
      <c r="G44">
        <f>SUMIF(Council_Data!$V$3:$V$838,$A44,Council_Data!$I$3:$I$838)</f>
        <v>-18</v>
      </c>
      <c r="H44">
        <f>SUMIF(Council_Data!$V$3:$V$838,$A44,Council_Data!$J$3:$J$838)</f>
        <v>2</v>
      </c>
      <c r="I44">
        <f>SUMIF(Council_Data!$V$3:$V$838,$A44,Council_Data!$K$3:$K$838)</f>
        <v>18</v>
      </c>
      <c r="J44">
        <f>SUMIF(Council_Data!$V$3:$V$838,$A44,Council_Data!$L$3:$L$838)</f>
        <v>-16</v>
      </c>
      <c r="K44" s="63">
        <f t="shared" si="2"/>
        <v>-1.4545454545454546</v>
      </c>
      <c r="L44">
        <f>ROUND(SUMIF(Council_Data!$V$3:$V$838,$A44,Council_Data!$N$3:$N$838)*0.7,0)</f>
        <v>0</v>
      </c>
      <c r="M44">
        <f>SUMIF(Council_Data!$V$3:$V$838,$A44,Council_Data!$O$3:$O$838)</f>
        <v>0</v>
      </c>
      <c r="N44">
        <f>SUMIF(Council_Data!$V$3:$V$838,$A44,Council_Data!$P$3:$P$838)</f>
        <v>1</v>
      </c>
      <c r="O44">
        <f>SUMIF(Council_Data!$V$3:$V$838,$A44,Council_Data!$Q$3:$Q$838)</f>
        <v>-1</v>
      </c>
      <c r="P44">
        <f>SUMIF(Council_Data!$V$3:$V$838,$A44,Council_Data!$R$3:$R$838)</f>
        <v>2</v>
      </c>
      <c r="Q44">
        <f>SUMIF(Council_Data!$V$3:$V$838,$A44,Council_Data!$S$3:$S$838)</f>
        <v>2</v>
      </c>
      <c r="R44">
        <f>SUMIF(Council_Data!$V$3:$V$838,$A44,Council_Data!$T$3:$T$838)</f>
        <v>0</v>
      </c>
      <c r="S44" s="63">
        <f t="shared" si="3"/>
        <v>0</v>
      </c>
      <c r="T44" t="str">
        <f>IF(ISNA(VLOOKUP($A44,DD_Info!$A$1:$E$222,2,0)),0,VLOOKUP($A44,DD_Info!$A$1:$E$222,2,0))</f>
        <v>James A Matz</v>
      </c>
    </row>
    <row r="45" spans="1:20">
      <c r="A45" s="81">
        <v>45</v>
      </c>
      <c r="B45" t="str">
        <f>IF(ISNA(VLOOKUP($A45,DD_Info!$A$1:$E$222,3,0)),0,VLOOKUP($A45,DD_Info!$A$1:$E$222,3,0))</f>
        <v>San Antonio</v>
      </c>
      <c r="C45">
        <f>SUMIF(Council_Data!$V$3:$V$838,$A45,Council_Data!$E$3:$E$838)</f>
        <v>909</v>
      </c>
      <c r="D45">
        <f>ROUND(SUMIF(Council_Data!$V$3:$V$838,$A45,Council_Data!$F$3:$F$838)*0.7,0)</f>
        <v>29</v>
      </c>
      <c r="E45">
        <f>SUMIF(Council_Data!$V$3:$V$838,$A45,Council_Data!$G$3:$G$838)</f>
        <v>1</v>
      </c>
      <c r="F45">
        <f>SUMIF(Council_Data!$V$3:$V$838,$A45,Council_Data!$H$3:$H$838)</f>
        <v>0</v>
      </c>
      <c r="G45">
        <f>SUMIF(Council_Data!$V$3:$V$838,$A45,Council_Data!$I$3:$I$838)</f>
        <v>1</v>
      </c>
      <c r="H45">
        <f>SUMIF(Council_Data!$V$3:$V$838,$A45,Council_Data!$J$3:$J$838)</f>
        <v>14</v>
      </c>
      <c r="I45">
        <f>SUMIF(Council_Data!$V$3:$V$838,$A45,Council_Data!$K$3:$K$838)</f>
        <v>7</v>
      </c>
      <c r="J45">
        <f>SUMIF(Council_Data!$V$3:$V$838,$A45,Council_Data!$L$3:$L$838)</f>
        <v>7</v>
      </c>
      <c r="K45" s="63">
        <f t="shared" si="2"/>
        <v>0.2413793103448276</v>
      </c>
      <c r="L45">
        <f>ROUND(SUMIF(Council_Data!$V$3:$V$838,$A45,Council_Data!$N$3:$N$838)*0.7,0)</f>
        <v>0</v>
      </c>
      <c r="M45">
        <f>SUMIF(Council_Data!$V$3:$V$838,$A45,Council_Data!$O$3:$O$838)</f>
        <v>1</v>
      </c>
      <c r="N45">
        <f>SUMIF(Council_Data!$V$3:$V$838,$A45,Council_Data!$P$3:$P$838)</f>
        <v>1</v>
      </c>
      <c r="O45">
        <f>SUMIF(Council_Data!$V$3:$V$838,$A45,Council_Data!$Q$3:$Q$838)</f>
        <v>0</v>
      </c>
      <c r="P45">
        <f>SUMIF(Council_Data!$V$3:$V$838,$A45,Council_Data!$R$3:$R$838)</f>
        <v>7</v>
      </c>
      <c r="Q45">
        <f>SUMIF(Council_Data!$V$3:$V$838,$A45,Council_Data!$S$3:$S$838)</f>
        <v>2</v>
      </c>
      <c r="R45">
        <f>SUMIF(Council_Data!$V$3:$V$838,$A45,Council_Data!$T$3:$T$838)</f>
        <v>5</v>
      </c>
      <c r="S45" s="63">
        <f t="shared" si="3"/>
        <v>0</v>
      </c>
      <c r="T45" t="str">
        <f>IF(ISNA(VLOOKUP($A45,DD_Info!$A$1:$E$222,2,0)),0,VLOOKUP($A45,DD_Info!$A$1:$E$222,2,0))</f>
        <v>Joseph L Zimmer</v>
      </c>
    </row>
    <row r="46" spans="1:20">
      <c r="A46" s="81">
        <v>46</v>
      </c>
      <c r="B46" t="str">
        <f>IF(ISNA(VLOOKUP($A46,DD_Info!$A$1:$E$222,3,0)),0,VLOOKUP($A46,DD_Info!$A$1:$E$222,3,0))</f>
        <v>San Antonio</v>
      </c>
      <c r="C46">
        <f>SUMIF(Council_Data!$V$3:$V$838,$A46,Council_Data!$E$3:$E$838)</f>
        <v>705</v>
      </c>
      <c r="D46">
        <f>ROUND(SUMIF(Council_Data!$V$3:$V$838,$A46,Council_Data!$F$3:$F$838)*0.7,0)</f>
        <v>24</v>
      </c>
      <c r="E46">
        <f>SUMIF(Council_Data!$V$3:$V$838,$A46,Council_Data!$G$3:$G$838)</f>
        <v>0</v>
      </c>
      <c r="F46">
        <f>SUMIF(Council_Data!$V$3:$V$838,$A46,Council_Data!$H$3:$H$838)</f>
        <v>0</v>
      </c>
      <c r="G46">
        <f>SUMIF(Council_Data!$V$3:$V$838,$A46,Council_Data!$I$3:$I$838)</f>
        <v>0</v>
      </c>
      <c r="H46">
        <f>SUMIF(Council_Data!$V$3:$V$838,$A46,Council_Data!$J$3:$J$838)</f>
        <v>5</v>
      </c>
      <c r="I46">
        <f>SUMIF(Council_Data!$V$3:$V$838,$A46,Council_Data!$K$3:$K$838)</f>
        <v>0</v>
      </c>
      <c r="J46">
        <f>SUMIF(Council_Data!$V$3:$V$838,$A46,Council_Data!$L$3:$L$838)</f>
        <v>5</v>
      </c>
      <c r="K46" s="63">
        <f t="shared" si="2"/>
        <v>0.20833333333333334</v>
      </c>
      <c r="L46">
        <f>ROUND(SUMIF(Council_Data!$V$3:$V$838,$A46,Council_Data!$N$3:$N$838)*0.7,0)</f>
        <v>0</v>
      </c>
      <c r="M46">
        <f>SUMIF(Council_Data!$V$3:$V$838,$A46,Council_Data!$O$3:$O$838)</f>
        <v>0</v>
      </c>
      <c r="N46">
        <f>SUMIF(Council_Data!$V$3:$V$838,$A46,Council_Data!$P$3:$P$838)</f>
        <v>1</v>
      </c>
      <c r="O46">
        <f>SUMIF(Council_Data!$V$3:$V$838,$A46,Council_Data!$Q$3:$Q$838)</f>
        <v>-1</v>
      </c>
      <c r="P46">
        <f>SUMIF(Council_Data!$V$3:$V$838,$A46,Council_Data!$R$3:$R$838)</f>
        <v>4</v>
      </c>
      <c r="Q46">
        <f>SUMIF(Council_Data!$V$3:$V$838,$A46,Council_Data!$S$3:$S$838)</f>
        <v>1</v>
      </c>
      <c r="R46">
        <f>SUMIF(Council_Data!$V$3:$V$838,$A46,Council_Data!$T$3:$T$838)</f>
        <v>3</v>
      </c>
      <c r="S46" s="63">
        <f t="shared" si="3"/>
        <v>0</v>
      </c>
      <c r="T46" t="str">
        <f>IF(ISNA(VLOOKUP($A46,DD_Info!$A$1:$E$222,2,0)),0,VLOOKUP($A46,DD_Info!$A$1:$E$222,2,0))</f>
        <v>Hermilo  Silva</v>
      </c>
    </row>
    <row r="47" spans="1:20">
      <c r="A47" s="81">
        <v>47</v>
      </c>
      <c r="B47" t="str">
        <f>IF(ISNA(VLOOKUP($A47,DD_Info!$A$1:$E$222,3,0)),0,VLOOKUP($A47,DD_Info!$A$1:$E$222,3,0))</f>
        <v>San Antonio</v>
      </c>
      <c r="C47">
        <f>SUMIF(Council_Data!$V$3:$V$838,$A47,Council_Data!$E$3:$E$838)</f>
        <v>513</v>
      </c>
      <c r="D47">
        <f>ROUND(SUMIF(Council_Data!$V$3:$V$838,$A47,Council_Data!$F$3:$F$838)*0.7,0)</f>
        <v>19</v>
      </c>
      <c r="E47">
        <f>SUMIF(Council_Data!$V$3:$V$838,$A47,Council_Data!$G$3:$G$838)</f>
        <v>0</v>
      </c>
      <c r="F47">
        <f>SUMIF(Council_Data!$V$3:$V$838,$A47,Council_Data!$H$3:$H$838)</f>
        <v>0</v>
      </c>
      <c r="G47">
        <f>SUMIF(Council_Data!$V$3:$V$838,$A47,Council_Data!$I$3:$I$838)</f>
        <v>0</v>
      </c>
      <c r="H47">
        <f>SUMIF(Council_Data!$V$3:$V$838,$A47,Council_Data!$J$3:$J$838)</f>
        <v>7</v>
      </c>
      <c r="I47">
        <f>SUMIF(Council_Data!$V$3:$V$838,$A47,Council_Data!$K$3:$K$838)</f>
        <v>0</v>
      </c>
      <c r="J47">
        <f>SUMIF(Council_Data!$V$3:$V$838,$A47,Council_Data!$L$3:$L$838)</f>
        <v>7</v>
      </c>
      <c r="K47" s="63">
        <f t="shared" si="2"/>
        <v>0.36842105263157893</v>
      </c>
      <c r="L47">
        <f>ROUND(SUMIF(Council_Data!$V$3:$V$838,$A47,Council_Data!$N$3:$N$838)*0.7,0)</f>
        <v>0</v>
      </c>
      <c r="M47">
        <f>SUMIF(Council_Data!$V$3:$V$838,$A47,Council_Data!$O$3:$O$838)</f>
        <v>0</v>
      </c>
      <c r="N47">
        <f>SUMIF(Council_Data!$V$3:$V$838,$A47,Council_Data!$P$3:$P$838)</f>
        <v>1</v>
      </c>
      <c r="O47">
        <f>SUMIF(Council_Data!$V$3:$V$838,$A47,Council_Data!$Q$3:$Q$838)</f>
        <v>-1</v>
      </c>
      <c r="P47">
        <f>SUMIF(Council_Data!$V$3:$V$838,$A47,Council_Data!$R$3:$R$838)</f>
        <v>5</v>
      </c>
      <c r="Q47">
        <f>SUMIF(Council_Data!$V$3:$V$838,$A47,Council_Data!$S$3:$S$838)</f>
        <v>1</v>
      </c>
      <c r="R47">
        <f>SUMIF(Council_Data!$V$3:$V$838,$A47,Council_Data!$T$3:$T$838)</f>
        <v>4</v>
      </c>
      <c r="S47" s="63">
        <f t="shared" si="3"/>
        <v>0</v>
      </c>
      <c r="T47" t="str">
        <f>IF(ISNA(VLOOKUP($A47,DD_Info!$A$1:$E$222,2,0)),0,VLOOKUP($A47,DD_Info!$A$1:$E$222,2,0))</f>
        <v>George H Cheney</v>
      </c>
    </row>
    <row r="48" spans="1:20">
      <c r="A48" s="81">
        <v>48</v>
      </c>
      <c r="B48" t="str">
        <f>IF(ISNA(VLOOKUP($A48,DD_Info!$A$1:$E$222,3,0)),0,VLOOKUP($A48,DD_Info!$A$1:$E$222,3,0))</f>
        <v>San Antonio</v>
      </c>
      <c r="C48">
        <f>SUMIF(Council_Data!$V$3:$V$838,$A48,Council_Data!$E$3:$E$838)</f>
        <v>659</v>
      </c>
      <c r="D48">
        <f>ROUND(SUMIF(Council_Data!$V$3:$V$838,$A48,Council_Data!$F$3:$F$838)*0.7,0)</f>
        <v>22</v>
      </c>
      <c r="E48">
        <f>SUMIF(Council_Data!$V$3:$V$838,$A48,Council_Data!$G$3:$G$838)</f>
        <v>0</v>
      </c>
      <c r="F48">
        <f>SUMIF(Council_Data!$V$3:$V$838,$A48,Council_Data!$H$3:$H$838)</f>
        <v>0</v>
      </c>
      <c r="G48">
        <f>SUMIF(Council_Data!$V$3:$V$838,$A48,Council_Data!$I$3:$I$838)</f>
        <v>0</v>
      </c>
      <c r="H48">
        <f>SUMIF(Council_Data!$V$3:$V$838,$A48,Council_Data!$J$3:$J$838)</f>
        <v>9</v>
      </c>
      <c r="I48">
        <f>SUMIF(Council_Data!$V$3:$V$838,$A48,Council_Data!$K$3:$K$838)</f>
        <v>6</v>
      </c>
      <c r="J48">
        <f>SUMIF(Council_Data!$V$3:$V$838,$A48,Council_Data!$L$3:$L$838)</f>
        <v>3</v>
      </c>
      <c r="K48" s="63">
        <f t="shared" si="2"/>
        <v>0.13636363636363635</v>
      </c>
      <c r="L48">
        <f>ROUND(SUMIF(Council_Data!$V$3:$V$838,$A48,Council_Data!$N$3:$N$838)*0.7,0)</f>
        <v>0</v>
      </c>
      <c r="M48">
        <f>SUMIF(Council_Data!$V$3:$V$838,$A48,Council_Data!$O$3:$O$838)</f>
        <v>2</v>
      </c>
      <c r="N48">
        <f>SUMIF(Council_Data!$V$3:$V$838,$A48,Council_Data!$P$3:$P$838)</f>
        <v>0</v>
      </c>
      <c r="O48">
        <f>SUMIF(Council_Data!$V$3:$V$838,$A48,Council_Data!$Q$3:$Q$838)</f>
        <v>2</v>
      </c>
      <c r="P48">
        <f>SUMIF(Council_Data!$V$3:$V$838,$A48,Council_Data!$R$3:$R$838)</f>
        <v>4</v>
      </c>
      <c r="Q48">
        <f>SUMIF(Council_Data!$V$3:$V$838,$A48,Council_Data!$S$3:$S$838)</f>
        <v>6</v>
      </c>
      <c r="R48">
        <f>SUMIF(Council_Data!$V$3:$V$838,$A48,Council_Data!$T$3:$T$838)</f>
        <v>-2</v>
      </c>
      <c r="S48" s="63">
        <f t="shared" si="3"/>
        <v>0</v>
      </c>
      <c r="T48" t="str">
        <f>IF(ISNA(VLOOKUP($A48,DD_Info!$A$1:$E$222,2,0)),0,VLOOKUP($A48,DD_Info!$A$1:$E$222,2,0))</f>
        <v>Henry  Alves</v>
      </c>
    </row>
    <row r="49" spans="1:20">
      <c r="A49" s="81">
        <v>49</v>
      </c>
      <c r="B49" t="str">
        <f>IF(ISNA(VLOOKUP($A49,DD_Info!$A$1:$E$222,3,0)),0,VLOOKUP($A49,DD_Info!$A$1:$E$222,3,0))</f>
        <v>San Antonio</v>
      </c>
      <c r="C49">
        <f>SUMIF(Council_Data!$V$3:$V$838,$A49,Council_Data!$E$3:$E$838)</f>
        <v>494</v>
      </c>
      <c r="D49">
        <f>ROUND(SUMIF(Council_Data!$V$3:$V$838,$A49,Council_Data!$F$3:$F$838)*0.7,0)</f>
        <v>18</v>
      </c>
      <c r="E49">
        <f>SUMIF(Council_Data!$V$3:$V$838,$A49,Council_Data!$G$3:$G$838)</f>
        <v>0</v>
      </c>
      <c r="F49">
        <f>SUMIF(Council_Data!$V$3:$V$838,$A49,Council_Data!$H$3:$H$838)</f>
        <v>0</v>
      </c>
      <c r="G49">
        <f>SUMIF(Council_Data!$V$3:$V$838,$A49,Council_Data!$I$3:$I$838)</f>
        <v>0</v>
      </c>
      <c r="H49">
        <f>SUMIF(Council_Data!$V$3:$V$838,$A49,Council_Data!$J$3:$J$838)</f>
        <v>2</v>
      </c>
      <c r="I49">
        <f>SUMIF(Council_Data!$V$3:$V$838,$A49,Council_Data!$K$3:$K$838)</f>
        <v>0</v>
      </c>
      <c r="J49">
        <f>SUMIF(Council_Data!$V$3:$V$838,$A49,Council_Data!$L$3:$L$838)</f>
        <v>2</v>
      </c>
      <c r="K49" s="63">
        <f t="shared" si="2"/>
        <v>0.1111111111111111</v>
      </c>
      <c r="L49">
        <f>ROUND(SUMIF(Council_Data!$V$3:$V$838,$A49,Council_Data!$N$3:$N$838)*0.7,0)</f>
        <v>0</v>
      </c>
      <c r="M49">
        <f>SUMIF(Council_Data!$V$3:$V$838,$A49,Council_Data!$O$3:$O$838)</f>
        <v>0</v>
      </c>
      <c r="N49">
        <f>SUMIF(Council_Data!$V$3:$V$838,$A49,Council_Data!$P$3:$P$838)</f>
        <v>1</v>
      </c>
      <c r="O49">
        <f>SUMIF(Council_Data!$V$3:$V$838,$A49,Council_Data!$Q$3:$Q$838)</f>
        <v>-1</v>
      </c>
      <c r="P49">
        <f>SUMIF(Council_Data!$V$3:$V$838,$A49,Council_Data!$R$3:$R$838)</f>
        <v>2</v>
      </c>
      <c r="Q49">
        <f>SUMIF(Council_Data!$V$3:$V$838,$A49,Council_Data!$S$3:$S$838)</f>
        <v>3</v>
      </c>
      <c r="R49">
        <f>SUMIF(Council_Data!$V$3:$V$838,$A49,Council_Data!$T$3:$T$838)</f>
        <v>-1</v>
      </c>
      <c r="S49" s="63">
        <f t="shared" si="3"/>
        <v>0</v>
      </c>
      <c r="T49" t="str">
        <f>IF(ISNA(VLOOKUP($A49,DD_Info!$A$1:$E$222,2,0)),0,VLOOKUP($A49,DD_Info!$A$1:$E$222,2,0))</f>
        <v>Oscar M Caballero</v>
      </c>
    </row>
    <row r="50" spans="1:20">
      <c r="A50" s="81">
        <v>50</v>
      </c>
      <c r="B50" t="str">
        <f>IF(ISNA(VLOOKUP($A50,DD_Info!$A$1:$E$222,3,0)),0,VLOOKUP($A50,DD_Info!$A$1:$E$222,3,0))</f>
        <v>San Antonio</v>
      </c>
      <c r="C50">
        <f>SUMIF(Council_Data!$V$3:$V$838,$A50,Council_Data!$E$3:$E$838)</f>
        <v>403</v>
      </c>
      <c r="D50">
        <f>ROUND(SUMIF(Council_Data!$V$3:$V$838,$A50,Council_Data!$F$3:$F$838)*0.7,0)</f>
        <v>15</v>
      </c>
      <c r="E50">
        <f>SUMIF(Council_Data!$V$3:$V$838,$A50,Council_Data!$G$3:$G$838)</f>
        <v>0</v>
      </c>
      <c r="F50">
        <f>SUMIF(Council_Data!$V$3:$V$838,$A50,Council_Data!$H$3:$H$838)</f>
        <v>0</v>
      </c>
      <c r="G50">
        <f>SUMIF(Council_Data!$V$3:$V$838,$A50,Council_Data!$I$3:$I$838)</f>
        <v>0</v>
      </c>
      <c r="H50">
        <f>SUMIF(Council_Data!$V$3:$V$838,$A50,Council_Data!$J$3:$J$838)</f>
        <v>0</v>
      </c>
      <c r="I50">
        <f>SUMIF(Council_Data!$V$3:$V$838,$A50,Council_Data!$K$3:$K$838)</f>
        <v>0</v>
      </c>
      <c r="J50">
        <f>SUMIF(Council_Data!$V$3:$V$838,$A50,Council_Data!$L$3:$L$838)</f>
        <v>0</v>
      </c>
      <c r="K50" s="63">
        <f t="shared" si="2"/>
        <v>0</v>
      </c>
      <c r="L50">
        <f>ROUND(SUMIF(Council_Data!$V$3:$V$838,$A50,Council_Data!$N$3:$N$838)*0.7,0)</f>
        <v>0</v>
      </c>
      <c r="M50">
        <f>SUMIF(Council_Data!$V$3:$V$838,$A50,Council_Data!$O$3:$O$838)</f>
        <v>0</v>
      </c>
      <c r="N50">
        <f>SUMIF(Council_Data!$V$3:$V$838,$A50,Council_Data!$P$3:$P$838)</f>
        <v>1</v>
      </c>
      <c r="O50">
        <f>SUMIF(Council_Data!$V$3:$V$838,$A50,Council_Data!$Q$3:$Q$838)</f>
        <v>-1</v>
      </c>
      <c r="P50">
        <f>SUMIF(Council_Data!$V$3:$V$838,$A50,Council_Data!$R$3:$R$838)</f>
        <v>3</v>
      </c>
      <c r="Q50">
        <f>SUMIF(Council_Data!$V$3:$V$838,$A50,Council_Data!$S$3:$S$838)</f>
        <v>1</v>
      </c>
      <c r="R50">
        <f>SUMIF(Council_Data!$V$3:$V$838,$A50,Council_Data!$T$3:$T$838)</f>
        <v>2</v>
      </c>
      <c r="S50" s="63">
        <f t="shared" si="3"/>
        <v>0</v>
      </c>
      <c r="T50" t="str">
        <f>IF(ISNA(VLOOKUP($A50,DD_Info!$A$1:$E$222,2,0)),0,VLOOKUP($A50,DD_Info!$A$1:$E$222,2,0))</f>
        <v>Phillip  Reyes</v>
      </c>
    </row>
    <row r="51" spans="1:20">
      <c r="A51" s="81">
        <v>51</v>
      </c>
      <c r="B51" t="str">
        <f>IF(ISNA(VLOOKUP($A51,DD_Info!$A$1:$E$222,3,0)),0,VLOOKUP($A51,DD_Info!$A$1:$E$222,3,0))</f>
        <v>San Antonio</v>
      </c>
      <c r="C51">
        <f>SUMIF(Council_Data!$V$3:$V$838,$A51,Council_Data!$E$3:$E$838)</f>
        <v>970</v>
      </c>
      <c r="D51">
        <f>ROUND(SUMIF(Council_Data!$V$3:$V$838,$A51,Council_Data!$F$3:$F$838)*0.7,0)</f>
        <v>33</v>
      </c>
      <c r="E51">
        <f>SUMIF(Council_Data!$V$3:$V$838,$A51,Council_Data!$G$3:$G$838)</f>
        <v>4</v>
      </c>
      <c r="F51">
        <f>SUMIF(Council_Data!$V$3:$V$838,$A51,Council_Data!$H$3:$H$838)</f>
        <v>0</v>
      </c>
      <c r="G51">
        <f>SUMIF(Council_Data!$V$3:$V$838,$A51,Council_Data!$I$3:$I$838)</f>
        <v>4</v>
      </c>
      <c r="H51">
        <f>SUMIF(Council_Data!$V$3:$V$838,$A51,Council_Data!$J$3:$J$838)</f>
        <v>18</v>
      </c>
      <c r="I51">
        <f>SUMIF(Council_Data!$V$3:$V$838,$A51,Council_Data!$K$3:$K$838)</f>
        <v>1</v>
      </c>
      <c r="J51">
        <f>SUMIF(Council_Data!$V$3:$V$838,$A51,Council_Data!$L$3:$L$838)</f>
        <v>17</v>
      </c>
      <c r="K51" s="63">
        <f t="shared" si="2"/>
        <v>0.51515151515151514</v>
      </c>
      <c r="L51">
        <f>ROUND(SUMIF(Council_Data!$V$3:$V$838,$A51,Council_Data!$N$3:$N$838)*0.7,0)</f>
        <v>0</v>
      </c>
      <c r="M51">
        <f>SUMIF(Council_Data!$V$3:$V$838,$A51,Council_Data!$O$3:$O$838)</f>
        <v>1</v>
      </c>
      <c r="N51">
        <f>SUMIF(Council_Data!$V$3:$V$838,$A51,Council_Data!$P$3:$P$838)</f>
        <v>1</v>
      </c>
      <c r="O51">
        <f>SUMIF(Council_Data!$V$3:$V$838,$A51,Council_Data!$Q$3:$Q$838)</f>
        <v>0</v>
      </c>
      <c r="P51">
        <f>SUMIF(Council_Data!$V$3:$V$838,$A51,Council_Data!$R$3:$R$838)</f>
        <v>6</v>
      </c>
      <c r="Q51">
        <f>SUMIF(Council_Data!$V$3:$V$838,$A51,Council_Data!$S$3:$S$838)</f>
        <v>1</v>
      </c>
      <c r="R51">
        <f>SUMIF(Council_Data!$V$3:$V$838,$A51,Council_Data!$T$3:$T$838)</f>
        <v>5</v>
      </c>
      <c r="S51" s="63">
        <f t="shared" si="3"/>
        <v>0</v>
      </c>
      <c r="T51" t="str">
        <f>IF(ISNA(VLOOKUP($A51,DD_Info!$A$1:$E$222,2,0)),0,VLOOKUP($A51,DD_Info!$A$1:$E$222,2,0))</f>
        <v>Edvardo  Garcia</v>
      </c>
    </row>
    <row r="52" spans="1:20">
      <c r="A52" s="81">
        <v>52</v>
      </c>
      <c r="B52" t="str">
        <f>IF(ISNA(VLOOKUP($A52,DD_Info!$A$1:$E$222,3,0)),0,VLOOKUP($A52,DD_Info!$A$1:$E$222,3,0))</f>
        <v>San Antonio</v>
      </c>
      <c r="C52">
        <f>SUMIF(Council_Data!$V$3:$V$838,$A52,Council_Data!$E$3:$E$838)</f>
        <v>302</v>
      </c>
      <c r="D52">
        <f>ROUND(SUMIF(Council_Data!$V$3:$V$838,$A52,Council_Data!$F$3:$F$838)*0.7,0)</f>
        <v>12</v>
      </c>
      <c r="E52">
        <f>SUMIF(Council_Data!$V$3:$V$838,$A52,Council_Data!$G$3:$G$838)</f>
        <v>0</v>
      </c>
      <c r="F52">
        <f>SUMIF(Council_Data!$V$3:$V$838,$A52,Council_Data!$H$3:$H$838)</f>
        <v>0</v>
      </c>
      <c r="G52">
        <f>SUMIF(Council_Data!$V$3:$V$838,$A52,Council_Data!$I$3:$I$838)</f>
        <v>0</v>
      </c>
      <c r="H52">
        <f>SUMIF(Council_Data!$V$3:$V$838,$A52,Council_Data!$J$3:$J$838)</f>
        <v>2</v>
      </c>
      <c r="I52">
        <f>SUMIF(Council_Data!$V$3:$V$838,$A52,Council_Data!$K$3:$K$838)</f>
        <v>0</v>
      </c>
      <c r="J52">
        <f>SUMIF(Council_Data!$V$3:$V$838,$A52,Council_Data!$L$3:$L$838)</f>
        <v>2</v>
      </c>
      <c r="K52" s="63">
        <f t="shared" si="2"/>
        <v>0.16666666666666666</v>
      </c>
      <c r="L52">
        <f>ROUND(SUMIF(Council_Data!$V$3:$V$838,$A52,Council_Data!$N$3:$N$838)*0.7,0)</f>
        <v>0</v>
      </c>
      <c r="M52">
        <f>SUMIF(Council_Data!$V$3:$V$838,$A52,Council_Data!$O$3:$O$838)</f>
        <v>0</v>
      </c>
      <c r="N52">
        <f>SUMIF(Council_Data!$V$3:$V$838,$A52,Council_Data!$P$3:$P$838)</f>
        <v>0</v>
      </c>
      <c r="O52">
        <f>SUMIF(Council_Data!$V$3:$V$838,$A52,Council_Data!$Q$3:$Q$838)</f>
        <v>0</v>
      </c>
      <c r="P52">
        <f>SUMIF(Council_Data!$V$3:$V$838,$A52,Council_Data!$R$3:$R$838)</f>
        <v>1</v>
      </c>
      <c r="Q52">
        <f>SUMIF(Council_Data!$V$3:$V$838,$A52,Council_Data!$S$3:$S$838)</f>
        <v>3</v>
      </c>
      <c r="R52">
        <f>SUMIF(Council_Data!$V$3:$V$838,$A52,Council_Data!$T$3:$T$838)</f>
        <v>-2</v>
      </c>
      <c r="S52" s="63">
        <f t="shared" si="3"/>
        <v>0</v>
      </c>
      <c r="T52" t="str">
        <f>IF(ISNA(VLOOKUP($A52,DD_Info!$A$1:$E$222,2,0)),0,VLOOKUP($A52,DD_Info!$A$1:$E$222,2,0))</f>
        <v>Ruben  Gallegos</v>
      </c>
    </row>
    <row r="53" spans="1:20">
      <c r="A53" s="81">
        <v>53</v>
      </c>
      <c r="B53" t="str">
        <f>IF(ISNA(VLOOKUP($A53,DD_Info!$A$1:$E$222,3,0)),0,VLOOKUP($A53,DD_Info!$A$1:$E$222,3,0))</f>
        <v>San Antonio</v>
      </c>
      <c r="C53">
        <f>SUMIF(Council_Data!$V$3:$V$838,$A53,Council_Data!$E$3:$E$838)</f>
        <v>276</v>
      </c>
      <c r="D53">
        <f>ROUND(SUMIF(Council_Data!$V$3:$V$838,$A53,Council_Data!$F$3:$F$838)*0.7,0)</f>
        <v>11</v>
      </c>
      <c r="E53">
        <f>SUMIF(Council_Data!$V$3:$V$838,$A53,Council_Data!$G$3:$G$838)</f>
        <v>0</v>
      </c>
      <c r="F53">
        <f>SUMIF(Council_Data!$V$3:$V$838,$A53,Council_Data!$H$3:$H$838)</f>
        <v>0</v>
      </c>
      <c r="G53">
        <f>SUMIF(Council_Data!$V$3:$V$838,$A53,Council_Data!$I$3:$I$838)</f>
        <v>0</v>
      </c>
      <c r="H53">
        <f>SUMIF(Council_Data!$V$3:$V$838,$A53,Council_Data!$J$3:$J$838)</f>
        <v>4</v>
      </c>
      <c r="I53">
        <f>SUMIF(Council_Data!$V$3:$V$838,$A53,Council_Data!$K$3:$K$838)</f>
        <v>0</v>
      </c>
      <c r="J53">
        <f>SUMIF(Council_Data!$V$3:$V$838,$A53,Council_Data!$L$3:$L$838)</f>
        <v>4</v>
      </c>
      <c r="K53" s="63">
        <f t="shared" si="2"/>
        <v>0.36363636363636365</v>
      </c>
      <c r="L53">
        <f>ROUND(SUMIF(Council_Data!$V$3:$V$838,$A53,Council_Data!$N$3:$N$838)*0.7,0)</f>
        <v>0</v>
      </c>
      <c r="M53">
        <f>SUMIF(Council_Data!$V$3:$V$838,$A53,Council_Data!$O$3:$O$838)</f>
        <v>0</v>
      </c>
      <c r="N53">
        <f>SUMIF(Council_Data!$V$3:$V$838,$A53,Council_Data!$P$3:$P$838)</f>
        <v>0</v>
      </c>
      <c r="O53">
        <f>SUMIF(Council_Data!$V$3:$V$838,$A53,Council_Data!$Q$3:$Q$838)</f>
        <v>0</v>
      </c>
      <c r="P53">
        <f>SUMIF(Council_Data!$V$3:$V$838,$A53,Council_Data!$R$3:$R$838)</f>
        <v>4</v>
      </c>
      <c r="Q53">
        <f>SUMIF(Council_Data!$V$3:$V$838,$A53,Council_Data!$S$3:$S$838)</f>
        <v>1</v>
      </c>
      <c r="R53">
        <f>SUMIF(Council_Data!$V$3:$V$838,$A53,Council_Data!$T$3:$T$838)</f>
        <v>3</v>
      </c>
      <c r="S53" s="63">
        <f t="shared" si="3"/>
        <v>0</v>
      </c>
      <c r="T53" t="str">
        <f>IF(ISNA(VLOOKUP($A53,DD_Info!$A$1:$E$222,2,0)),0,VLOOKUP($A53,DD_Info!$A$1:$E$222,2,0))</f>
        <v>Jim  Irwin</v>
      </c>
    </row>
    <row r="54" spans="1:20">
      <c r="A54" s="81">
        <v>54</v>
      </c>
      <c r="B54" t="str">
        <f>IF(ISNA(VLOOKUP($A54,DD_Info!$A$1:$E$222,3,0)),0,VLOOKUP($A54,DD_Info!$A$1:$E$222,3,0))</f>
        <v>San Antonio</v>
      </c>
      <c r="C54">
        <f>SUMIF(Council_Data!$V$3:$V$838,$A54,Council_Data!$E$3:$E$838)</f>
        <v>440</v>
      </c>
      <c r="D54">
        <f>ROUND(SUMIF(Council_Data!$V$3:$V$838,$A54,Council_Data!$F$3:$F$838)*0.7,0)</f>
        <v>17</v>
      </c>
      <c r="E54">
        <f>SUMIF(Council_Data!$V$3:$V$838,$A54,Council_Data!$G$3:$G$838)</f>
        <v>0</v>
      </c>
      <c r="F54">
        <f>SUMIF(Council_Data!$V$3:$V$838,$A54,Council_Data!$H$3:$H$838)</f>
        <v>0</v>
      </c>
      <c r="G54">
        <f>SUMIF(Council_Data!$V$3:$V$838,$A54,Council_Data!$I$3:$I$838)</f>
        <v>0</v>
      </c>
      <c r="H54">
        <f>SUMIF(Council_Data!$V$3:$V$838,$A54,Council_Data!$J$3:$J$838)</f>
        <v>3</v>
      </c>
      <c r="I54">
        <f>SUMIF(Council_Data!$V$3:$V$838,$A54,Council_Data!$K$3:$K$838)</f>
        <v>0</v>
      </c>
      <c r="J54">
        <f>SUMIF(Council_Data!$V$3:$V$838,$A54,Council_Data!$L$3:$L$838)</f>
        <v>3</v>
      </c>
      <c r="K54" s="63">
        <f t="shared" si="2"/>
        <v>0.17647058823529413</v>
      </c>
      <c r="L54">
        <f>ROUND(SUMIF(Council_Data!$V$3:$V$838,$A54,Council_Data!$N$3:$N$838)*0.7,0)</f>
        <v>0</v>
      </c>
      <c r="M54">
        <f>SUMIF(Council_Data!$V$3:$V$838,$A54,Council_Data!$O$3:$O$838)</f>
        <v>0</v>
      </c>
      <c r="N54">
        <f>SUMIF(Council_Data!$V$3:$V$838,$A54,Council_Data!$P$3:$P$838)</f>
        <v>1</v>
      </c>
      <c r="O54">
        <f>SUMIF(Council_Data!$V$3:$V$838,$A54,Council_Data!$Q$3:$Q$838)</f>
        <v>-1</v>
      </c>
      <c r="P54">
        <f>SUMIF(Council_Data!$V$3:$V$838,$A54,Council_Data!$R$3:$R$838)</f>
        <v>2</v>
      </c>
      <c r="Q54">
        <f>SUMIF(Council_Data!$V$3:$V$838,$A54,Council_Data!$S$3:$S$838)</f>
        <v>3</v>
      </c>
      <c r="R54">
        <f>SUMIF(Council_Data!$V$3:$V$838,$A54,Council_Data!$T$3:$T$838)</f>
        <v>-1</v>
      </c>
      <c r="S54" s="63">
        <f t="shared" si="3"/>
        <v>0</v>
      </c>
      <c r="T54" t="str">
        <f>IF(ISNA(VLOOKUP($A54,DD_Info!$A$1:$E$222,2,0)),0,VLOOKUP($A54,DD_Info!$A$1:$E$222,2,0))</f>
        <v>Jesse J Aguilar</v>
      </c>
    </row>
    <row r="55" spans="1:20">
      <c r="A55" s="81">
        <v>55</v>
      </c>
      <c r="B55" t="str">
        <f>IF(ISNA(VLOOKUP($A55,DD_Info!$A$1:$E$222,3,0)),0,VLOOKUP($A55,DD_Info!$A$1:$E$222,3,0))</f>
        <v>San Antonio</v>
      </c>
      <c r="C55">
        <f>SUMIF(Council_Data!$V$3:$V$838,$A55,Council_Data!$E$3:$E$838)</f>
        <v>423</v>
      </c>
      <c r="D55">
        <f>ROUND(SUMIF(Council_Data!$V$3:$V$838,$A55,Council_Data!$F$3:$F$838)*0.7,0)</f>
        <v>15</v>
      </c>
      <c r="E55">
        <f>SUMIF(Council_Data!$V$3:$V$838,$A55,Council_Data!$G$3:$G$838)</f>
        <v>0</v>
      </c>
      <c r="F55">
        <f>SUMIF(Council_Data!$V$3:$V$838,$A55,Council_Data!$H$3:$H$838)</f>
        <v>0</v>
      </c>
      <c r="G55">
        <f>SUMIF(Council_Data!$V$3:$V$838,$A55,Council_Data!$I$3:$I$838)</f>
        <v>0</v>
      </c>
      <c r="H55">
        <f>SUMIF(Council_Data!$V$3:$V$838,$A55,Council_Data!$J$3:$J$838)</f>
        <v>3</v>
      </c>
      <c r="I55">
        <f>SUMIF(Council_Data!$V$3:$V$838,$A55,Council_Data!$K$3:$K$838)</f>
        <v>0</v>
      </c>
      <c r="J55">
        <f>SUMIF(Council_Data!$V$3:$V$838,$A55,Council_Data!$L$3:$L$838)</f>
        <v>3</v>
      </c>
      <c r="K55" s="63">
        <f t="shared" si="2"/>
        <v>0.2</v>
      </c>
      <c r="L55">
        <f>ROUND(SUMIF(Council_Data!$V$3:$V$838,$A55,Council_Data!$N$3:$N$838)*0.7,0)</f>
        <v>0</v>
      </c>
      <c r="M55">
        <f>SUMIF(Council_Data!$V$3:$V$838,$A55,Council_Data!$O$3:$O$838)</f>
        <v>0</v>
      </c>
      <c r="N55">
        <f>SUMIF(Council_Data!$V$3:$V$838,$A55,Council_Data!$P$3:$P$838)</f>
        <v>0</v>
      </c>
      <c r="O55">
        <f>SUMIF(Council_Data!$V$3:$V$838,$A55,Council_Data!$Q$3:$Q$838)</f>
        <v>0</v>
      </c>
      <c r="P55">
        <f>SUMIF(Council_Data!$V$3:$V$838,$A55,Council_Data!$R$3:$R$838)</f>
        <v>1</v>
      </c>
      <c r="Q55">
        <f>SUMIF(Council_Data!$V$3:$V$838,$A55,Council_Data!$S$3:$S$838)</f>
        <v>4</v>
      </c>
      <c r="R55">
        <f>SUMIF(Council_Data!$V$3:$V$838,$A55,Council_Data!$T$3:$T$838)</f>
        <v>-3</v>
      </c>
      <c r="S55" s="63">
        <f t="shared" si="3"/>
        <v>0</v>
      </c>
      <c r="T55" t="str">
        <f>IF(ISNA(VLOOKUP($A55,DD_Info!$A$1:$E$222,2,0)),0,VLOOKUP($A55,DD_Info!$A$1:$E$222,2,0))</f>
        <v>Javier  Martinez</v>
      </c>
    </row>
    <row r="56" spans="1:20">
      <c r="A56" s="81">
        <v>56</v>
      </c>
      <c r="B56" t="str">
        <f>IF(ISNA(VLOOKUP($A56,DD_Info!$A$1:$E$222,3,0)),0,VLOOKUP($A56,DD_Info!$A$1:$E$222,3,0))</f>
        <v>San Antonio</v>
      </c>
      <c r="C56">
        <f>SUMIF(Council_Data!$V$3:$V$838,$A56,Council_Data!$E$3:$E$838)</f>
        <v>333</v>
      </c>
      <c r="D56">
        <f>ROUND(SUMIF(Council_Data!$V$3:$V$838,$A56,Council_Data!$F$3:$F$838)*0.7,0)</f>
        <v>13</v>
      </c>
      <c r="E56">
        <f>SUMIF(Council_Data!$V$3:$V$838,$A56,Council_Data!$G$3:$G$838)</f>
        <v>0</v>
      </c>
      <c r="F56">
        <f>SUMIF(Council_Data!$V$3:$V$838,$A56,Council_Data!$H$3:$H$838)</f>
        <v>0</v>
      </c>
      <c r="G56">
        <f>SUMIF(Council_Data!$V$3:$V$838,$A56,Council_Data!$I$3:$I$838)</f>
        <v>0</v>
      </c>
      <c r="H56">
        <f>SUMIF(Council_Data!$V$3:$V$838,$A56,Council_Data!$J$3:$J$838)</f>
        <v>0</v>
      </c>
      <c r="I56">
        <f>SUMIF(Council_Data!$V$3:$V$838,$A56,Council_Data!$K$3:$K$838)</f>
        <v>4</v>
      </c>
      <c r="J56">
        <f>SUMIF(Council_Data!$V$3:$V$838,$A56,Council_Data!$L$3:$L$838)</f>
        <v>-4</v>
      </c>
      <c r="K56" s="63">
        <f t="shared" si="2"/>
        <v>-0.30769230769230771</v>
      </c>
      <c r="L56">
        <f>ROUND(SUMIF(Council_Data!$V$3:$V$838,$A56,Council_Data!$N$3:$N$838)*0.7,0)</f>
        <v>0</v>
      </c>
      <c r="M56">
        <f>SUMIF(Council_Data!$V$3:$V$838,$A56,Council_Data!$O$3:$O$838)</f>
        <v>0</v>
      </c>
      <c r="N56">
        <f>SUMIF(Council_Data!$V$3:$V$838,$A56,Council_Data!$P$3:$P$838)</f>
        <v>0</v>
      </c>
      <c r="O56">
        <f>SUMIF(Council_Data!$V$3:$V$838,$A56,Council_Data!$Q$3:$Q$838)</f>
        <v>0</v>
      </c>
      <c r="P56">
        <f>SUMIF(Council_Data!$V$3:$V$838,$A56,Council_Data!$R$3:$R$838)</f>
        <v>0</v>
      </c>
      <c r="Q56">
        <f>SUMIF(Council_Data!$V$3:$V$838,$A56,Council_Data!$S$3:$S$838)</f>
        <v>0</v>
      </c>
      <c r="R56">
        <f>SUMIF(Council_Data!$V$3:$V$838,$A56,Council_Data!$T$3:$T$838)</f>
        <v>0</v>
      </c>
      <c r="S56" s="63">
        <f t="shared" si="3"/>
        <v>0</v>
      </c>
      <c r="T56" t="str">
        <f>IF(ISNA(VLOOKUP($A56,DD_Info!$A$1:$E$222,2,0)),0,VLOOKUP($A56,DD_Info!$A$1:$E$222,2,0))</f>
        <v>Carlos J Gonzalez</v>
      </c>
    </row>
    <row r="57" spans="1:20">
      <c r="A57" s="81">
        <v>57</v>
      </c>
      <c r="B57" t="str">
        <f>IF(ISNA(VLOOKUP($A57,DD_Info!$A$1:$E$222,3,0)),0,VLOOKUP($A57,DD_Info!$A$1:$E$222,3,0))</f>
        <v>San Antonio</v>
      </c>
      <c r="C57">
        <f>SUMIF(Council_Data!$V$3:$V$838,$A57,Council_Data!$E$3:$E$838)</f>
        <v>328</v>
      </c>
      <c r="D57">
        <f>ROUND(SUMIF(Council_Data!$V$3:$V$838,$A57,Council_Data!$F$3:$F$838)*0.7,0)</f>
        <v>13</v>
      </c>
      <c r="E57">
        <f>SUMIF(Council_Data!$V$3:$V$838,$A57,Council_Data!$G$3:$G$838)</f>
        <v>0</v>
      </c>
      <c r="F57">
        <f>SUMIF(Council_Data!$V$3:$V$838,$A57,Council_Data!$H$3:$H$838)</f>
        <v>5</v>
      </c>
      <c r="G57">
        <f>SUMIF(Council_Data!$V$3:$V$838,$A57,Council_Data!$I$3:$I$838)</f>
        <v>-5</v>
      </c>
      <c r="H57">
        <f>SUMIF(Council_Data!$V$3:$V$838,$A57,Council_Data!$J$3:$J$838)</f>
        <v>1</v>
      </c>
      <c r="I57">
        <f>SUMIF(Council_Data!$V$3:$V$838,$A57,Council_Data!$K$3:$K$838)</f>
        <v>5</v>
      </c>
      <c r="J57">
        <f>SUMIF(Council_Data!$V$3:$V$838,$A57,Council_Data!$L$3:$L$838)</f>
        <v>-4</v>
      </c>
      <c r="K57" s="63">
        <f t="shared" si="2"/>
        <v>-0.30769230769230771</v>
      </c>
      <c r="L57">
        <f>ROUND(SUMIF(Council_Data!$V$3:$V$838,$A57,Council_Data!$N$3:$N$838)*0.7,0)</f>
        <v>0</v>
      </c>
      <c r="M57">
        <f>SUMIF(Council_Data!$V$3:$V$838,$A57,Council_Data!$O$3:$O$838)</f>
        <v>0</v>
      </c>
      <c r="N57">
        <f>SUMIF(Council_Data!$V$3:$V$838,$A57,Council_Data!$P$3:$P$838)</f>
        <v>1</v>
      </c>
      <c r="O57">
        <f>SUMIF(Council_Data!$V$3:$V$838,$A57,Council_Data!$Q$3:$Q$838)</f>
        <v>-1</v>
      </c>
      <c r="P57">
        <f>SUMIF(Council_Data!$V$3:$V$838,$A57,Council_Data!$R$3:$R$838)</f>
        <v>3</v>
      </c>
      <c r="Q57">
        <f>SUMIF(Council_Data!$V$3:$V$838,$A57,Council_Data!$S$3:$S$838)</f>
        <v>1</v>
      </c>
      <c r="R57">
        <f>SUMIF(Council_Data!$V$3:$V$838,$A57,Council_Data!$T$3:$T$838)</f>
        <v>2</v>
      </c>
      <c r="S57" s="63">
        <f t="shared" si="3"/>
        <v>0</v>
      </c>
      <c r="T57" t="str">
        <f>IF(ISNA(VLOOKUP($A57,DD_Info!$A$1:$E$222,2,0)),0,VLOOKUP($A57,DD_Info!$A$1:$E$222,2,0))</f>
        <v>Willie  Leal Jr</v>
      </c>
    </row>
    <row r="58" spans="1:20">
      <c r="A58" s="81">
        <v>58</v>
      </c>
      <c r="B58" t="str">
        <f>IF(ISNA(VLOOKUP($A58,DD_Info!$A$1:$E$222,3,0)),0,VLOOKUP($A58,DD_Info!$A$1:$E$222,3,0))</f>
        <v>San Antonio</v>
      </c>
      <c r="C58">
        <f>SUMIF(Council_Data!$V$3:$V$838,$A58,Council_Data!$E$3:$E$838)</f>
        <v>334</v>
      </c>
      <c r="D58">
        <f>ROUND(SUMIF(Council_Data!$V$3:$V$838,$A58,Council_Data!$F$3:$F$838)*0.7,0)</f>
        <v>11</v>
      </c>
      <c r="E58">
        <f>SUMIF(Council_Data!$V$3:$V$838,$A58,Council_Data!$G$3:$G$838)</f>
        <v>0</v>
      </c>
      <c r="F58">
        <f>SUMIF(Council_Data!$V$3:$V$838,$A58,Council_Data!$H$3:$H$838)</f>
        <v>0</v>
      </c>
      <c r="G58">
        <f>SUMIF(Council_Data!$V$3:$V$838,$A58,Council_Data!$I$3:$I$838)</f>
        <v>0</v>
      </c>
      <c r="H58">
        <f>SUMIF(Council_Data!$V$3:$V$838,$A58,Council_Data!$J$3:$J$838)</f>
        <v>1</v>
      </c>
      <c r="I58">
        <f>SUMIF(Council_Data!$V$3:$V$838,$A58,Council_Data!$K$3:$K$838)</f>
        <v>0</v>
      </c>
      <c r="J58">
        <f>SUMIF(Council_Data!$V$3:$V$838,$A58,Council_Data!$L$3:$L$838)</f>
        <v>1</v>
      </c>
      <c r="K58" s="63">
        <f t="shared" si="2"/>
        <v>9.0909090909090912E-2</v>
      </c>
      <c r="L58">
        <f>ROUND(SUMIF(Council_Data!$V$3:$V$838,$A58,Council_Data!$N$3:$N$838)*0.7,0)</f>
        <v>0</v>
      </c>
      <c r="M58">
        <f>SUMIF(Council_Data!$V$3:$V$838,$A58,Council_Data!$O$3:$O$838)</f>
        <v>1</v>
      </c>
      <c r="N58">
        <f>SUMIF(Council_Data!$V$3:$V$838,$A58,Council_Data!$P$3:$P$838)</f>
        <v>0</v>
      </c>
      <c r="O58">
        <f>SUMIF(Council_Data!$V$3:$V$838,$A58,Council_Data!$Q$3:$Q$838)</f>
        <v>1</v>
      </c>
      <c r="P58">
        <f>SUMIF(Council_Data!$V$3:$V$838,$A58,Council_Data!$R$3:$R$838)</f>
        <v>2</v>
      </c>
      <c r="Q58">
        <f>SUMIF(Council_Data!$V$3:$V$838,$A58,Council_Data!$S$3:$S$838)</f>
        <v>0</v>
      </c>
      <c r="R58">
        <f>SUMIF(Council_Data!$V$3:$V$838,$A58,Council_Data!$T$3:$T$838)</f>
        <v>2</v>
      </c>
      <c r="S58" s="63">
        <f t="shared" si="3"/>
        <v>0</v>
      </c>
      <c r="T58" t="str">
        <f>IF(ISNA(VLOOKUP($A58,DD_Info!$A$1:$E$222,2,0)),0,VLOOKUP($A58,DD_Info!$A$1:$E$222,2,0))</f>
        <v>Louis C Soriano</v>
      </c>
    </row>
    <row r="59" spans="1:20">
      <c r="A59" s="81">
        <v>59</v>
      </c>
      <c r="B59" t="str">
        <f>IF(ISNA(VLOOKUP($A59,DD_Info!$A$1:$E$222,3,0)),0,VLOOKUP($A59,DD_Info!$A$1:$E$222,3,0))</f>
        <v>San Antonio</v>
      </c>
      <c r="C59">
        <f>SUMIF(Council_Data!$V$3:$V$838,$A59,Council_Data!$E$3:$E$838)</f>
        <v>575</v>
      </c>
      <c r="D59">
        <f>ROUND(SUMIF(Council_Data!$V$3:$V$838,$A59,Council_Data!$F$3:$F$838)*0.7,0)</f>
        <v>19</v>
      </c>
      <c r="E59">
        <f>SUMIF(Council_Data!$V$3:$V$838,$A59,Council_Data!$G$3:$G$838)</f>
        <v>0</v>
      </c>
      <c r="F59">
        <f>SUMIF(Council_Data!$V$3:$V$838,$A59,Council_Data!$H$3:$H$838)</f>
        <v>0</v>
      </c>
      <c r="G59">
        <f>SUMIF(Council_Data!$V$3:$V$838,$A59,Council_Data!$I$3:$I$838)</f>
        <v>0</v>
      </c>
      <c r="H59">
        <f>SUMIF(Council_Data!$V$3:$V$838,$A59,Council_Data!$J$3:$J$838)</f>
        <v>2</v>
      </c>
      <c r="I59">
        <f>SUMIF(Council_Data!$V$3:$V$838,$A59,Council_Data!$K$3:$K$838)</f>
        <v>1</v>
      </c>
      <c r="J59">
        <f>SUMIF(Council_Data!$V$3:$V$838,$A59,Council_Data!$L$3:$L$838)</f>
        <v>1</v>
      </c>
      <c r="K59" s="63">
        <f t="shared" si="2"/>
        <v>5.2631578947368418E-2</v>
      </c>
      <c r="L59">
        <f>ROUND(SUMIF(Council_Data!$V$3:$V$838,$A59,Council_Data!$N$3:$N$838)*0.7,0)</f>
        <v>0</v>
      </c>
      <c r="M59">
        <f>SUMIF(Council_Data!$V$3:$V$838,$A59,Council_Data!$O$3:$O$838)</f>
        <v>0</v>
      </c>
      <c r="N59">
        <f>SUMIF(Council_Data!$V$3:$V$838,$A59,Council_Data!$P$3:$P$838)</f>
        <v>0</v>
      </c>
      <c r="O59">
        <f>SUMIF(Council_Data!$V$3:$V$838,$A59,Council_Data!$Q$3:$Q$838)</f>
        <v>0</v>
      </c>
      <c r="P59">
        <f>SUMIF(Council_Data!$V$3:$V$838,$A59,Council_Data!$R$3:$R$838)</f>
        <v>2</v>
      </c>
      <c r="Q59">
        <f>SUMIF(Council_Data!$V$3:$V$838,$A59,Council_Data!$S$3:$S$838)</f>
        <v>2</v>
      </c>
      <c r="R59">
        <f>SUMIF(Council_Data!$V$3:$V$838,$A59,Council_Data!$T$3:$T$838)</f>
        <v>0</v>
      </c>
      <c r="S59" s="63">
        <f t="shared" si="3"/>
        <v>0</v>
      </c>
      <c r="T59" t="str">
        <f>IF(ISNA(VLOOKUP($A59,DD_Info!$A$1:$E$222,2,0)),0,VLOOKUP($A59,DD_Info!$A$1:$E$222,2,0))</f>
        <v>Butch J Rodriguez</v>
      </c>
    </row>
    <row r="60" spans="1:20">
      <c r="A60" s="81">
        <v>60</v>
      </c>
      <c r="B60" t="str">
        <f>IF(ISNA(VLOOKUP($A60,DD_Info!$A$1:$E$222,3,0)),0,VLOOKUP($A60,DD_Info!$A$1:$E$222,3,0))</f>
        <v>San Antonio</v>
      </c>
      <c r="C60">
        <f>SUMIF(Council_Data!$V$3:$V$838,$A60,Council_Data!$E$3:$E$838)</f>
        <v>285</v>
      </c>
      <c r="D60">
        <f>ROUND(SUMIF(Council_Data!$V$3:$V$838,$A60,Council_Data!$F$3:$F$838)*0.7,0)</f>
        <v>10</v>
      </c>
      <c r="E60">
        <f>SUMIF(Council_Data!$V$3:$V$838,$A60,Council_Data!$G$3:$G$838)</f>
        <v>0</v>
      </c>
      <c r="F60">
        <f>SUMIF(Council_Data!$V$3:$V$838,$A60,Council_Data!$H$3:$H$838)</f>
        <v>0</v>
      </c>
      <c r="G60">
        <f>SUMIF(Council_Data!$V$3:$V$838,$A60,Council_Data!$I$3:$I$838)</f>
        <v>0</v>
      </c>
      <c r="H60">
        <f>SUMIF(Council_Data!$V$3:$V$838,$A60,Council_Data!$J$3:$J$838)</f>
        <v>2</v>
      </c>
      <c r="I60">
        <f>SUMIF(Council_Data!$V$3:$V$838,$A60,Council_Data!$K$3:$K$838)</f>
        <v>0</v>
      </c>
      <c r="J60">
        <f>SUMIF(Council_Data!$V$3:$V$838,$A60,Council_Data!$L$3:$L$838)</f>
        <v>2</v>
      </c>
      <c r="K60" s="63">
        <f t="shared" si="2"/>
        <v>0.2</v>
      </c>
      <c r="L60">
        <f>ROUND(SUMIF(Council_Data!$V$3:$V$838,$A60,Council_Data!$N$3:$N$838)*0.7,0)</f>
        <v>0</v>
      </c>
      <c r="M60">
        <f>SUMIF(Council_Data!$V$3:$V$838,$A60,Council_Data!$O$3:$O$838)</f>
        <v>0</v>
      </c>
      <c r="N60">
        <f>SUMIF(Council_Data!$V$3:$V$838,$A60,Council_Data!$P$3:$P$838)</f>
        <v>0</v>
      </c>
      <c r="O60">
        <f>SUMIF(Council_Data!$V$3:$V$838,$A60,Council_Data!$Q$3:$Q$838)</f>
        <v>0</v>
      </c>
      <c r="P60">
        <f>SUMIF(Council_Data!$V$3:$V$838,$A60,Council_Data!$R$3:$R$838)</f>
        <v>0</v>
      </c>
      <c r="Q60">
        <f>SUMIF(Council_Data!$V$3:$V$838,$A60,Council_Data!$S$3:$S$838)</f>
        <v>1</v>
      </c>
      <c r="R60">
        <f>SUMIF(Council_Data!$V$3:$V$838,$A60,Council_Data!$T$3:$T$838)</f>
        <v>-1</v>
      </c>
      <c r="S60" s="63">
        <f t="shared" si="3"/>
        <v>0</v>
      </c>
      <c r="T60" t="str">
        <f>IF(ISNA(VLOOKUP($A60,DD_Info!$A$1:$E$222,2,0)),0,VLOOKUP($A60,DD_Info!$A$1:$E$222,2,0))</f>
        <v>Ruben C Gomez</v>
      </c>
    </row>
    <row r="61" spans="1:20">
      <c r="A61" s="81">
        <v>61</v>
      </c>
      <c r="B61" t="str">
        <f>IF(ISNA(VLOOKUP($A61,DD_Info!$A$1:$E$222,3,0)),0,VLOOKUP($A61,DD_Info!$A$1:$E$222,3,0))</f>
        <v>San Antonio</v>
      </c>
      <c r="C61">
        <f>SUMIF(Council_Data!$V$3:$V$838,$A61,Council_Data!$E$3:$E$838)</f>
        <v>112</v>
      </c>
      <c r="D61">
        <f>ROUND(SUMIF(Council_Data!$V$3:$V$838,$A61,Council_Data!$F$3:$F$838)*0.7,0)</f>
        <v>6</v>
      </c>
      <c r="E61">
        <f>SUMIF(Council_Data!$V$3:$V$838,$A61,Council_Data!$G$3:$G$838)</f>
        <v>1</v>
      </c>
      <c r="F61">
        <f>SUMIF(Council_Data!$V$3:$V$838,$A61,Council_Data!$H$3:$H$838)</f>
        <v>0</v>
      </c>
      <c r="G61">
        <f>SUMIF(Council_Data!$V$3:$V$838,$A61,Council_Data!$I$3:$I$838)</f>
        <v>1</v>
      </c>
      <c r="H61">
        <f>SUMIF(Council_Data!$V$3:$V$838,$A61,Council_Data!$J$3:$J$838)</f>
        <v>1</v>
      </c>
      <c r="I61">
        <f>SUMIF(Council_Data!$V$3:$V$838,$A61,Council_Data!$K$3:$K$838)</f>
        <v>0</v>
      </c>
      <c r="J61">
        <f>SUMIF(Council_Data!$V$3:$V$838,$A61,Council_Data!$L$3:$L$838)</f>
        <v>1</v>
      </c>
      <c r="K61" s="63">
        <f t="shared" si="2"/>
        <v>0.16666666666666666</v>
      </c>
      <c r="L61">
        <f>ROUND(SUMIF(Council_Data!$V$3:$V$838,$A61,Council_Data!$N$3:$N$838)*0.7,0)</f>
        <v>0</v>
      </c>
      <c r="M61">
        <f>SUMIF(Council_Data!$V$3:$V$838,$A61,Council_Data!$O$3:$O$838)</f>
        <v>0</v>
      </c>
      <c r="N61">
        <f>SUMIF(Council_Data!$V$3:$V$838,$A61,Council_Data!$P$3:$P$838)</f>
        <v>0</v>
      </c>
      <c r="O61">
        <f>SUMIF(Council_Data!$V$3:$V$838,$A61,Council_Data!$Q$3:$Q$838)</f>
        <v>0</v>
      </c>
      <c r="P61">
        <f>SUMIF(Council_Data!$V$3:$V$838,$A61,Council_Data!$R$3:$R$838)</f>
        <v>0</v>
      </c>
      <c r="Q61">
        <f>SUMIF(Council_Data!$V$3:$V$838,$A61,Council_Data!$S$3:$S$838)</f>
        <v>1</v>
      </c>
      <c r="R61">
        <f>SUMIF(Council_Data!$V$3:$V$838,$A61,Council_Data!$T$3:$T$838)</f>
        <v>-1</v>
      </c>
      <c r="S61" s="63">
        <f t="shared" si="3"/>
        <v>0</v>
      </c>
      <c r="T61" t="str">
        <f>IF(ISNA(VLOOKUP($A61,DD_Info!$A$1:$E$222,2,0)),0,VLOOKUP($A61,DD_Info!$A$1:$E$222,2,0))</f>
        <v>Joe  Torres</v>
      </c>
    </row>
    <row r="62" spans="1:20">
      <c r="A62" s="81">
        <v>62</v>
      </c>
      <c r="B62" t="str">
        <f>IF(ISNA(VLOOKUP($A62,DD_Info!$A$1:$E$222,3,0)),0,VLOOKUP($A62,DD_Info!$A$1:$E$222,3,0))</f>
        <v>San Antonio</v>
      </c>
      <c r="C62">
        <f>SUMIF(Council_Data!$V$3:$V$838,$A62,Council_Data!$E$3:$E$838)</f>
        <v>69</v>
      </c>
      <c r="D62">
        <f>ROUND(SUMIF(Council_Data!$V$3:$V$838,$A62,Council_Data!$F$3:$F$838)*0.7,0)</f>
        <v>4</v>
      </c>
      <c r="E62">
        <f>SUMIF(Council_Data!$V$3:$V$838,$A62,Council_Data!$G$3:$G$838)</f>
        <v>0</v>
      </c>
      <c r="F62">
        <f>SUMIF(Council_Data!$V$3:$V$838,$A62,Council_Data!$H$3:$H$838)</f>
        <v>0</v>
      </c>
      <c r="G62">
        <f>SUMIF(Council_Data!$V$3:$V$838,$A62,Council_Data!$I$3:$I$838)</f>
        <v>0</v>
      </c>
      <c r="H62">
        <f>SUMIF(Council_Data!$V$3:$V$838,$A62,Council_Data!$J$3:$J$838)</f>
        <v>0</v>
      </c>
      <c r="I62">
        <f>SUMIF(Council_Data!$V$3:$V$838,$A62,Council_Data!$K$3:$K$838)</f>
        <v>0</v>
      </c>
      <c r="J62">
        <f>SUMIF(Council_Data!$V$3:$V$838,$A62,Council_Data!$L$3:$L$838)</f>
        <v>0</v>
      </c>
      <c r="K62" s="63">
        <f t="shared" si="2"/>
        <v>0</v>
      </c>
      <c r="L62">
        <f>ROUND(SUMIF(Council_Data!$V$3:$V$838,$A62,Council_Data!$N$3:$N$838)*0.7,0)</f>
        <v>0</v>
      </c>
      <c r="M62">
        <f>SUMIF(Council_Data!$V$3:$V$838,$A62,Council_Data!$O$3:$O$838)</f>
        <v>0</v>
      </c>
      <c r="N62">
        <f>SUMIF(Council_Data!$V$3:$V$838,$A62,Council_Data!$P$3:$P$838)</f>
        <v>0</v>
      </c>
      <c r="O62">
        <f>SUMIF(Council_Data!$V$3:$V$838,$A62,Council_Data!$Q$3:$Q$838)</f>
        <v>0</v>
      </c>
      <c r="P62">
        <f>SUMIF(Council_Data!$V$3:$V$838,$A62,Council_Data!$R$3:$R$838)</f>
        <v>0</v>
      </c>
      <c r="Q62">
        <f>SUMIF(Council_Data!$V$3:$V$838,$A62,Council_Data!$S$3:$S$838)</f>
        <v>0</v>
      </c>
      <c r="R62">
        <f>SUMIF(Council_Data!$V$3:$V$838,$A62,Council_Data!$T$3:$T$838)</f>
        <v>0</v>
      </c>
      <c r="S62" s="63">
        <f t="shared" si="3"/>
        <v>0</v>
      </c>
      <c r="T62" t="str">
        <f>IF(ISNA(VLOOKUP($A62,DD_Info!$A$1:$E$222,2,0)),0,VLOOKUP($A62,DD_Info!$A$1:$E$222,2,0))</f>
        <v>David D Colton</v>
      </c>
    </row>
    <row r="63" spans="1:20">
      <c r="A63" s="81">
        <v>63</v>
      </c>
      <c r="B63" t="str">
        <f>IF(ISNA(VLOOKUP($A63,DD_Info!$A$1:$E$222,3,0)),0,VLOOKUP($A63,DD_Info!$A$1:$E$222,3,0))</f>
        <v>San Antonio</v>
      </c>
      <c r="C63">
        <f>SUMIF(Council_Data!$V$3:$V$838,$A63,Council_Data!$E$3:$E$838)</f>
        <v>108</v>
      </c>
      <c r="D63">
        <f>ROUND(SUMIF(Council_Data!$V$3:$V$838,$A63,Council_Data!$F$3:$F$838)*0.7,0)</f>
        <v>4</v>
      </c>
      <c r="E63">
        <f>SUMIF(Council_Data!$V$3:$V$838,$A63,Council_Data!$G$3:$G$838)</f>
        <v>0</v>
      </c>
      <c r="F63">
        <f>SUMIF(Council_Data!$V$3:$V$838,$A63,Council_Data!$H$3:$H$838)</f>
        <v>0</v>
      </c>
      <c r="G63">
        <f>SUMIF(Council_Data!$V$3:$V$838,$A63,Council_Data!$I$3:$I$838)</f>
        <v>0</v>
      </c>
      <c r="H63">
        <f>SUMIF(Council_Data!$V$3:$V$838,$A63,Council_Data!$J$3:$J$838)</f>
        <v>0</v>
      </c>
      <c r="I63">
        <f>SUMIF(Council_Data!$V$3:$V$838,$A63,Council_Data!$K$3:$K$838)</f>
        <v>0</v>
      </c>
      <c r="J63">
        <f>SUMIF(Council_Data!$V$3:$V$838,$A63,Council_Data!$L$3:$L$838)</f>
        <v>0</v>
      </c>
      <c r="K63" s="63">
        <f t="shared" si="2"/>
        <v>0</v>
      </c>
      <c r="L63">
        <f>ROUND(SUMIF(Council_Data!$V$3:$V$838,$A63,Council_Data!$N$3:$N$838)*0.7,0)</f>
        <v>0</v>
      </c>
      <c r="M63">
        <f>SUMIF(Council_Data!$V$3:$V$838,$A63,Council_Data!$O$3:$O$838)</f>
        <v>0</v>
      </c>
      <c r="N63">
        <f>SUMIF(Council_Data!$V$3:$V$838,$A63,Council_Data!$P$3:$P$838)</f>
        <v>0</v>
      </c>
      <c r="O63">
        <f>SUMIF(Council_Data!$V$3:$V$838,$A63,Council_Data!$Q$3:$Q$838)</f>
        <v>0</v>
      </c>
      <c r="P63">
        <f>SUMIF(Council_Data!$V$3:$V$838,$A63,Council_Data!$R$3:$R$838)</f>
        <v>0</v>
      </c>
      <c r="Q63">
        <f>SUMIF(Council_Data!$V$3:$V$838,$A63,Council_Data!$S$3:$S$838)</f>
        <v>0</v>
      </c>
      <c r="R63">
        <f>SUMIF(Council_Data!$V$3:$V$838,$A63,Council_Data!$T$3:$T$838)</f>
        <v>0</v>
      </c>
      <c r="S63" s="63">
        <f t="shared" si="3"/>
        <v>0</v>
      </c>
      <c r="T63" t="str">
        <f>IF(ISNA(VLOOKUP($A63,DD_Info!$A$1:$E$222,2,0)),0,VLOOKUP($A63,DD_Info!$A$1:$E$222,2,0))</f>
        <v>Joe  Hernandez</v>
      </c>
    </row>
    <row r="64" spans="1:20">
      <c r="A64" s="81">
        <v>64</v>
      </c>
      <c r="B64" t="str">
        <f>IF(ISNA(VLOOKUP($A64,DD_Info!$A$1:$E$222,3,0)),0,VLOOKUP($A64,DD_Info!$A$1:$E$222,3,0))</f>
        <v>Galv/Hous</v>
      </c>
      <c r="C64">
        <f>SUMIF(Council_Data!$V$3:$V$838,$A64,Council_Data!$E$3:$E$838)</f>
        <v>123</v>
      </c>
      <c r="D64">
        <f>ROUND(SUMIF(Council_Data!$V$3:$V$838,$A64,Council_Data!$F$3:$F$838)*0.7,0)</f>
        <v>4</v>
      </c>
      <c r="E64">
        <f>SUMIF(Council_Data!$V$3:$V$838,$A64,Council_Data!$G$3:$G$838)</f>
        <v>0</v>
      </c>
      <c r="F64">
        <f>SUMIF(Council_Data!$V$3:$V$838,$A64,Council_Data!$H$3:$H$838)</f>
        <v>0</v>
      </c>
      <c r="G64">
        <f>SUMIF(Council_Data!$V$3:$V$838,$A64,Council_Data!$I$3:$I$838)</f>
        <v>0</v>
      </c>
      <c r="H64">
        <f>SUMIF(Council_Data!$V$3:$V$838,$A64,Council_Data!$J$3:$J$838)</f>
        <v>0</v>
      </c>
      <c r="I64">
        <f>SUMIF(Council_Data!$V$3:$V$838,$A64,Council_Data!$K$3:$K$838)</f>
        <v>0</v>
      </c>
      <c r="J64">
        <f>SUMIF(Council_Data!$V$3:$V$838,$A64,Council_Data!$L$3:$L$838)</f>
        <v>0</v>
      </c>
      <c r="K64" s="63">
        <f t="shared" si="2"/>
        <v>0</v>
      </c>
      <c r="L64">
        <f>ROUND(SUMIF(Council_Data!$V$3:$V$838,$A64,Council_Data!$N$3:$N$838)*0.7,0)</f>
        <v>0</v>
      </c>
      <c r="M64">
        <f>SUMIF(Council_Data!$V$3:$V$838,$A64,Council_Data!$O$3:$O$838)</f>
        <v>0</v>
      </c>
      <c r="N64">
        <f>SUMIF(Council_Data!$V$3:$V$838,$A64,Council_Data!$P$3:$P$838)</f>
        <v>0</v>
      </c>
      <c r="O64">
        <f>SUMIF(Council_Data!$V$3:$V$838,$A64,Council_Data!$Q$3:$Q$838)</f>
        <v>0</v>
      </c>
      <c r="P64">
        <f>SUMIF(Council_Data!$V$3:$V$838,$A64,Council_Data!$R$3:$R$838)</f>
        <v>0</v>
      </c>
      <c r="Q64">
        <f>SUMIF(Council_Data!$V$3:$V$838,$A64,Council_Data!$S$3:$S$838)</f>
        <v>0</v>
      </c>
      <c r="R64">
        <f>SUMIF(Council_Data!$V$3:$V$838,$A64,Council_Data!$T$3:$T$838)</f>
        <v>0</v>
      </c>
      <c r="S64" s="63">
        <f t="shared" si="3"/>
        <v>0</v>
      </c>
      <c r="T64" t="str">
        <f>IF(ISNA(VLOOKUP($A64,DD_Info!$A$1:$E$222,2,0)),0,VLOOKUP($A64,DD_Info!$A$1:$E$222,2,0))</f>
        <v>Rafael 'RC' Canamar</v>
      </c>
    </row>
    <row r="65" spans="1:20">
      <c r="A65" s="81">
        <v>65</v>
      </c>
      <c r="B65" t="str">
        <f>IF(ISNA(VLOOKUP($A65,DD_Info!$A$1:$E$222,3,0)),0,VLOOKUP($A65,DD_Info!$A$1:$E$222,3,0))</f>
        <v>Galv/Hous</v>
      </c>
      <c r="C65">
        <f>SUMIF(Council_Data!$V$3:$V$838,$A65,Council_Data!$E$3:$E$838)</f>
        <v>128</v>
      </c>
      <c r="D65">
        <f>ROUND(SUMIF(Council_Data!$V$3:$V$838,$A65,Council_Data!$F$3:$F$838)*0.7,0)</f>
        <v>6</v>
      </c>
      <c r="E65">
        <f>SUMIF(Council_Data!$V$3:$V$838,$A65,Council_Data!$G$3:$G$838)</f>
        <v>0</v>
      </c>
      <c r="F65">
        <f>SUMIF(Council_Data!$V$3:$V$838,$A65,Council_Data!$H$3:$H$838)</f>
        <v>0</v>
      </c>
      <c r="G65">
        <f>SUMIF(Council_Data!$V$3:$V$838,$A65,Council_Data!$I$3:$I$838)</f>
        <v>0</v>
      </c>
      <c r="H65">
        <f>SUMIF(Council_Data!$V$3:$V$838,$A65,Council_Data!$J$3:$J$838)</f>
        <v>0</v>
      </c>
      <c r="I65">
        <f>SUMIF(Council_Data!$V$3:$V$838,$A65,Council_Data!$K$3:$K$838)</f>
        <v>0</v>
      </c>
      <c r="J65">
        <f>SUMIF(Council_Data!$V$3:$V$838,$A65,Council_Data!$L$3:$L$838)</f>
        <v>0</v>
      </c>
      <c r="K65" s="63">
        <f t="shared" si="2"/>
        <v>0</v>
      </c>
      <c r="L65">
        <f>ROUND(SUMIF(Council_Data!$V$3:$V$838,$A65,Council_Data!$N$3:$N$838)*0.7,0)</f>
        <v>0</v>
      </c>
      <c r="M65">
        <f>SUMIF(Council_Data!$V$3:$V$838,$A65,Council_Data!$O$3:$O$838)</f>
        <v>0</v>
      </c>
      <c r="N65">
        <f>SUMIF(Council_Data!$V$3:$V$838,$A65,Council_Data!$P$3:$P$838)</f>
        <v>1</v>
      </c>
      <c r="O65">
        <f>SUMIF(Council_Data!$V$3:$V$838,$A65,Council_Data!$Q$3:$Q$838)</f>
        <v>-1</v>
      </c>
      <c r="P65">
        <f>SUMIF(Council_Data!$V$3:$V$838,$A65,Council_Data!$R$3:$R$838)</f>
        <v>0</v>
      </c>
      <c r="Q65">
        <f>SUMIF(Council_Data!$V$3:$V$838,$A65,Council_Data!$S$3:$S$838)</f>
        <v>1</v>
      </c>
      <c r="R65">
        <f>SUMIF(Council_Data!$V$3:$V$838,$A65,Council_Data!$T$3:$T$838)</f>
        <v>-1</v>
      </c>
      <c r="S65" s="63">
        <f t="shared" si="3"/>
        <v>0</v>
      </c>
      <c r="T65" t="str">
        <f>IF(ISNA(VLOOKUP($A65,DD_Info!$A$1:$E$222,2,0)),0,VLOOKUP($A65,DD_Info!$A$1:$E$222,2,0))</f>
        <v>Erubiel Chaires</v>
      </c>
    </row>
    <row r="66" spans="1:20">
      <c r="A66" s="81">
        <v>66</v>
      </c>
      <c r="B66" t="str">
        <f>IF(ISNA(VLOOKUP($A66,DD_Info!$A$1:$E$222,3,0)),0,VLOOKUP($A66,DD_Info!$A$1:$E$222,3,0))</f>
        <v>Galv/Hous</v>
      </c>
      <c r="C66">
        <f>SUMIF(Council_Data!$V$3:$V$838,$A66,Council_Data!$E$3:$E$838)</f>
        <v>671</v>
      </c>
      <c r="D66">
        <f>ROUND(SUMIF(Council_Data!$V$3:$V$838,$A66,Council_Data!$F$3:$F$838)*0.7,0)</f>
        <v>22</v>
      </c>
      <c r="E66">
        <f>SUMIF(Council_Data!$V$3:$V$838,$A66,Council_Data!$G$3:$G$838)</f>
        <v>0</v>
      </c>
      <c r="F66">
        <f>SUMIF(Council_Data!$V$3:$V$838,$A66,Council_Data!$H$3:$H$838)</f>
        <v>0</v>
      </c>
      <c r="G66">
        <f>SUMIF(Council_Data!$V$3:$V$838,$A66,Council_Data!$I$3:$I$838)</f>
        <v>0</v>
      </c>
      <c r="H66">
        <f>SUMIF(Council_Data!$V$3:$V$838,$A66,Council_Data!$J$3:$J$838)</f>
        <v>1</v>
      </c>
      <c r="I66">
        <f>SUMIF(Council_Data!$V$3:$V$838,$A66,Council_Data!$K$3:$K$838)</f>
        <v>0</v>
      </c>
      <c r="J66">
        <f>SUMIF(Council_Data!$V$3:$V$838,$A66,Council_Data!$L$3:$L$838)</f>
        <v>1</v>
      </c>
      <c r="K66" s="63">
        <f t="shared" si="2"/>
        <v>4.5454545454545456E-2</v>
      </c>
      <c r="L66">
        <f>ROUND(SUMIF(Council_Data!$V$3:$V$838,$A66,Council_Data!$N$3:$N$838)*0.7,0)</f>
        <v>0</v>
      </c>
      <c r="M66">
        <f>SUMIF(Council_Data!$V$3:$V$838,$A66,Council_Data!$O$3:$O$838)</f>
        <v>0</v>
      </c>
      <c r="N66">
        <f>SUMIF(Council_Data!$V$3:$V$838,$A66,Council_Data!$P$3:$P$838)</f>
        <v>1</v>
      </c>
      <c r="O66">
        <f>SUMIF(Council_Data!$V$3:$V$838,$A66,Council_Data!$Q$3:$Q$838)</f>
        <v>-1</v>
      </c>
      <c r="P66">
        <f>SUMIF(Council_Data!$V$3:$V$838,$A66,Council_Data!$R$3:$R$838)</f>
        <v>4</v>
      </c>
      <c r="Q66">
        <f>SUMIF(Council_Data!$V$3:$V$838,$A66,Council_Data!$S$3:$S$838)</f>
        <v>2</v>
      </c>
      <c r="R66">
        <f>SUMIF(Council_Data!$V$3:$V$838,$A66,Council_Data!$T$3:$T$838)</f>
        <v>2</v>
      </c>
      <c r="S66" s="63">
        <f t="shared" si="3"/>
        <v>0</v>
      </c>
      <c r="T66" t="str">
        <f>IF(ISNA(VLOOKUP($A66,DD_Info!$A$1:$E$222,2,0)),0,VLOOKUP($A66,DD_Info!$A$1:$E$222,2,0))</f>
        <v>Mark L Jasek</v>
      </c>
    </row>
    <row r="67" spans="1:20">
      <c r="A67" s="81">
        <v>67</v>
      </c>
      <c r="B67" t="str">
        <f>IF(ISNA(VLOOKUP($A67,DD_Info!$A$1:$E$222,3,0)),0,VLOOKUP($A67,DD_Info!$A$1:$E$222,3,0))</f>
        <v>Galv/Hous</v>
      </c>
      <c r="C67">
        <f>SUMIF(Council_Data!$V$3:$V$838,$A67,Council_Data!$E$3:$E$838)</f>
        <v>489</v>
      </c>
      <c r="D67">
        <f>ROUND(SUMIF(Council_Data!$V$3:$V$838,$A67,Council_Data!$F$3:$F$838)*0.7,0)</f>
        <v>17</v>
      </c>
      <c r="E67">
        <f>SUMIF(Council_Data!$V$3:$V$838,$A67,Council_Data!$G$3:$G$838)</f>
        <v>0</v>
      </c>
      <c r="F67">
        <f>SUMIF(Council_Data!$V$3:$V$838,$A67,Council_Data!$H$3:$H$838)</f>
        <v>0</v>
      </c>
      <c r="G67">
        <f>SUMIF(Council_Data!$V$3:$V$838,$A67,Council_Data!$I$3:$I$838)</f>
        <v>0</v>
      </c>
      <c r="H67">
        <f>SUMIF(Council_Data!$V$3:$V$838,$A67,Council_Data!$J$3:$J$838)</f>
        <v>3</v>
      </c>
      <c r="I67">
        <f>SUMIF(Council_Data!$V$3:$V$838,$A67,Council_Data!$K$3:$K$838)</f>
        <v>0</v>
      </c>
      <c r="J67">
        <f>SUMIF(Council_Data!$V$3:$V$838,$A67,Council_Data!$L$3:$L$838)</f>
        <v>3</v>
      </c>
      <c r="K67" s="63">
        <f t="shared" ref="K67:K132" si="8">IFERROR(J67/D67,0)</f>
        <v>0.17647058823529413</v>
      </c>
      <c r="L67">
        <f>ROUND(SUMIF(Council_Data!$V$3:$V$838,$A67,Council_Data!$N$3:$N$838)*0.7,0)</f>
        <v>0</v>
      </c>
      <c r="M67">
        <f>SUMIF(Council_Data!$V$3:$V$838,$A67,Council_Data!$O$3:$O$838)</f>
        <v>0</v>
      </c>
      <c r="N67">
        <f>SUMIF(Council_Data!$V$3:$V$838,$A67,Council_Data!$P$3:$P$838)</f>
        <v>0</v>
      </c>
      <c r="O67">
        <f>SUMIF(Council_Data!$V$3:$V$838,$A67,Council_Data!$Q$3:$Q$838)</f>
        <v>0</v>
      </c>
      <c r="P67">
        <f>SUMIF(Council_Data!$V$3:$V$838,$A67,Council_Data!$R$3:$R$838)</f>
        <v>1</v>
      </c>
      <c r="Q67">
        <f>SUMIF(Council_Data!$V$3:$V$838,$A67,Council_Data!$S$3:$S$838)</f>
        <v>0</v>
      </c>
      <c r="R67">
        <f>SUMIF(Council_Data!$V$3:$V$838,$A67,Council_Data!$T$3:$T$838)</f>
        <v>1</v>
      </c>
      <c r="S67" s="63">
        <f t="shared" ref="S67:S132" si="9">IFERROR(R67/L67,0)</f>
        <v>0</v>
      </c>
      <c r="T67" t="str">
        <f>IF(ISNA(VLOOKUP($A67,DD_Info!$A$1:$E$222,2,0)),0,VLOOKUP($A67,DD_Info!$A$1:$E$222,2,0))</f>
        <v>Raul R Maldonado</v>
      </c>
    </row>
    <row r="68" spans="1:20">
      <c r="A68" s="81">
        <v>68</v>
      </c>
      <c r="B68" t="str">
        <f>IF(ISNA(VLOOKUP($A68,DD_Info!$A$1:$E$222,3,0)),0,VLOOKUP($A68,DD_Info!$A$1:$E$222,3,0))</f>
        <v>Galv/Hous</v>
      </c>
      <c r="C68">
        <f>SUMIF(Council_Data!$V$3:$V$838,$A68,Council_Data!$E$3:$E$838)</f>
        <v>949</v>
      </c>
      <c r="D68">
        <f>ROUND(SUMIF(Council_Data!$V$3:$V$838,$A68,Council_Data!$F$3:$F$838)*0.7,0)</f>
        <v>32</v>
      </c>
      <c r="E68">
        <f>SUMIF(Council_Data!$V$3:$V$838,$A68,Council_Data!$G$3:$G$838)</f>
        <v>2</v>
      </c>
      <c r="F68">
        <f>SUMIF(Council_Data!$V$3:$V$838,$A68,Council_Data!$H$3:$H$838)</f>
        <v>2</v>
      </c>
      <c r="G68">
        <f>SUMIF(Council_Data!$V$3:$V$838,$A68,Council_Data!$I$3:$I$838)</f>
        <v>0</v>
      </c>
      <c r="H68">
        <f>SUMIF(Council_Data!$V$3:$V$838,$A68,Council_Data!$J$3:$J$838)</f>
        <v>6</v>
      </c>
      <c r="I68">
        <f>SUMIF(Council_Data!$V$3:$V$838,$A68,Council_Data!$K$3:$K$838)</f>
        <v>2</v>
      </c>
      <c r="J68">
        <f>SUMIF(Council_Data!$V$3:$V$838,$A68,Council_Data!$L$3:$L$838)</f>
        <v>4</v>
      </c>
      <c r="K68" s="63">
        <f t="shared" si="8"/>
        <v>0.125</v>
      </c>
      <c r="L68">
        <f>ROUND(SUMIF(Council_Data!$V$3:$V$838,$A68,Council_Data!$N$3:$N$838)*0.7,0)</f>
        <v>0</v>
      </c>
      <c r="M68">
        <f>SUMIF(Council_Data!$V$3:$V$838,$A68,Council_Data!$O$3:$O$838)</f>
        <v>1</v>
      </c>
      <c r="N68">
        <f>SUMIF(Council_Data!$V$3:$V$838,$A68,Council_Data!$P$3:$P$838)</f>
        <v>0</v>
      </c>
      <c r="O68">
        <f>SUMIF(Council_Data!$V$3:$V$838,$A68,Council_Data!$Q$3:$Q$838)</f>
        <v>1</v>
      </c>
      <c r="P68">
        <f>SUMIF(Council_Data!$V$3:$V$838,$A68,Council_Data!$R$3:$R$838)</f>
        <v>3</v>
      </c>
      <c r="Q68">
        <f>SUMIF(Council_Data!$V$3:$V$838,$A68,Council_Data!$S$3:$S$838)</f>
        <v>2</v>
      </c>
      <c r="R68">
        <f>SUMIF(Council_Data!$V$3:$V$838,$A68,Council_Data!$T$3:$T$838)</f>
        <v>1</v>
      </c>
      <c r="S68" s="63">
        <f t="shared" si="9"/>
        <v>0</v>
      </c>
      <c r="T68" t="str">
        <f>IF(ISNA(VLOOKUP($A68,DD_Info!$A$1:$E$222,2,0)),0,VLOOKUP($A68,DD_Info!$A$1:$E$222,2,0))</f>
        <v>Dennis J Doherty</v>
      </c>
    </row>
    <row r="69" spans="1:20">
      <c r="A69" s="81">
        <v>69</v>
      </c>
      <c r="B69" t="str">
        <f>IF(ISNA(VLOOKUP($A69,DD_Info!$A$1:$E$222,3,0)),0,VLOOKUP($A69,DD_Info!$A$1:$E$222,3,0))</f>
        <v>Galv/Hous</v>
      </c>
      <c r="C69">
        <f>SUMIF(Council_Data!$V$3:$V$838,$A69,Council_Data!$E$3:$E$838)</f>
        <v>607</v>
      </c>
      <c r="D69">
        <f>ROUND(SUMIF(Council_Data!$V$3:$V$838,$A69,Council_Data!$F$3:$F$838)*0.7,0)</f>
        <v>20</v>
      </c>
      <c r="E69">
        <f>SUMIF(Council_Data!$V$3:$V$838,$A69,Council_Data!$G$3:$G$838)</f>
        <v>0</v>
      </c>
      <c r="F69">
        <f>SUMIF(Council_Data!$V$3:$V$838,$A69,Council_Data!$H$3:$H$838)</f>
        <v>0</v>
      </c>
      <c r="G69">
        <f>SUMIF(Council_Data!$V$3:$V$838,$A69,Council_Data!$I$3:$I$838)</f>
        <v>0</v>
      </c>
      <c r="H69">
        <f>SUMIF(Council_Data!$V$3:$V$838,$A69,Council_Data!$J$3:$J$838)</f>
        <v>4</v>
      </c>
      <c r="I69">
        <f>SUMIF(Council_Data!$V$3:$V$838,$A69,Council_Data!$K$3:$K$838)</f>
        <v>23</v>
      </c>
      <c r="J69">
        <f>SUMIF(Council_Data!$V$3:$V$838,$A69,Council_Data!$L$3:$L$838)</f>
        <v>-19</v>
      </c>
      <c r="K69" s="63">
        <f t="shared" si="8"/>
        <v>-0.95</v>
      </c>
      <c r="L69">
        <f>ROUND(SUMIF(Council_Data!$V$3:$V$838,$A69,Council_Data!$N$3:$N$838)*0.7,0)</f>
        <v>0</v>
      </c>
      <c r="M69">
        <f>SUMIF(Council_Data!$V$3:$V$838,$A69,Council_Data!$O$3:$O$838)</f>
        <v>0</v>
      </c>
      <c r="N69">
        <f>SUMIF(Council_Data!$V$3:$V$838,$A69,Council_Data!$P$3:$P$838)</f>
        <v>2</v>
      </c>
      <c r="O69">
        <f>SUMIF(Council_Data!$V$3:$V$838,$A69,Council_Data!$Q$3:$Q$838)</f>
        <v>-2</v>
      </c>
      <c r="P69">
        <f>SUMIF(Council_Data!$V$3:$V$838,$A69,Council_Data!$R$3:$R$838)</f>
        <v>3</v>
      </c>
      <c r="Q69">
        <f>SUMIF(Council_Data!$V$3:$V$838,$A69,Council_Data!$S$3:$S$838)</f>
        <v>7</v>
      </c>
      <c r="R69">
        <f>SUMIF(Council_Data!$V$3:$V$838,$A69,Council_Data!$T$3:$T$838)</f>
        <v>-4</v>
      </c>
      <c r="S69" s="63">
        <f t="shared" si="9"/>
        <v>0</v>
      </c>
      <c r="T69" t="str">
        <f>IF(ISNA(VLOOKUP($A69,DD_Info!$A$1:$E$222,2,0)),0,VLOOKUP($A69,DD_Info!$A$1:$E$222,2,0))</f>
        <v>Robert  Guerrero Jr</v>
      </c>
    </row>
    <row r="70" spans="1:20">
      <c r="A70" s="81">
        <v>70</v>
      </c>
      <c r="B70" t="str">
        <f>IF(ISNA(VLOOKUP($A70,DD_Info!$A$1:$E$222,3,0)),0,VLOOKUP($A70,DD_Info!$A$1:$E$222,3,0))</f>
        <v>Galv/Hous</v>
      </c>
      <c r="C70">
        <f>SUMIF(Council_Data!$V$3:$V$838,$A70,Council_Data!$E$3:$E$838)</f>
        <v>643</v>
      </c>
      <c r="D70">
        <f>ROUND(SUMIF(Council_Data!$V$3:$V$838,$A70,Council_Data!$F$3:$F$838)*0.7,0)</f>
        <v>22</v>
      </c>
      <c r="E70">
        <f>SUMIF(Council_Data!$V$3:$V$838,$A70,Council_Data!$G$3:$G$838)</f>
        <v>0</v>
      </c>
      <c r="F70">
        <f>SUMIF(Council_Data!$V$3:$V$838,$A70,Council_Data!$H$3:$H$838)</f>
        <v>0</v>
      </c>
      <c r="G70">
        <f>SUMIF(Council_Data!$V$3:$V$838,$A70,Council_Data!$I$3:$I$838)</f>
        <v>0</v>
      </c>
      <c r="H70">
        <f>SUMIF(Council_Data!$V$3:$V$838,$A70,Council_Data!$J$3:$J$838)</f>
        <v>11</v>
      </c>
      <c r="I70">
        <f>SUMIF(Council_Data!$V$3:$V$838,$A70,Council_Data!$K$3:$K$838)</f>
        <v>0</v>
      </c>
      <c r="J70">
        <f>SUMIF(Council_Data!$V$3:$V$838,$A70,Council_Data!$L$3:$L$838)</f>
        <v>11</v>
      </c>
      <c r="K70" s="63">
        <f t="shared" si="8"/>
        <v>0.5</v>
      </c>
      <c r="L70">
        <f>ROUND(SUMIF(Council_Data!$V$3:$V$838,$A70,Council_Data!$N$3:$N$838)*0.7,0)</f>
        <v>0</v>
      </c>
      <c r="M70">
        <f>SUMIF(Council_Data!$V$3:$V$838,$A70,Council_Data!$O$3:$O$838)</f>
        <v>0</v>
      </c>
      <c r="N70">
        <f>SUMIF(Council_Data!$V$3:$V$838,$A70,Council_Data!$P$3:$P$838)</f>
        <v>1</v>
      </c>
      <c r="O70">
        <f>SUMIF(Council_Data!$V$3:$V$838,$A70,Council_Data!$Q$3:$Q$838)</f>
        <v>-1</v>
      </c>
      <c r="P70">
        <f>SUMIF(Council_Data!$V$3:$V$838,$A70,Council_Data!$R$3:$R$838)</f>
        <v>1</v>
      </c>
      <c r="Q70">
        <f>SUMIF(Council_Data!$V$3:$V$838,$A70,Council_Data!$S$3:$S$838)</f>
        <v>3</v>
      </c>
      <c r="R70">
        <f>SUMIF(Council_Data!$V$3:$V$838,$A70,Council_Data!$T$3:$T$838)</f>
        <v>-2</v>
      </c>
      <c r="S70" s="63">
        <f t="shared" si="9"/>
        <v>0</v>
      </c>
      <c r="T70" t="str">
        <f>IF(ISNA(VLOOKUP($A70,DD_Info!$A$1:$E$222,2,0)),0,VLOOKUP($A70,DD_Info!$A$1:$E$222,2,0))</f>
        <v>Joseph E Maloy</v>
      </c>
    </row>
    <row r="71" spans="1:20">
      <c r="A71" s="81">
        <v>71</v>
      </c>
      <c r="B71" t="str">
        <f>IF(ISNA(VLOOKUP($A71,DD_Info!$A$1:$E$222,3,0)),0,VLOOKUP($A71,DD_Info!$A$1:$E$222,3,0))</f>
        <v>Galv/Hous</v>
      </c>
      <c r="C71">
        <f>SUMIF(Council_Data!$V$3:$V$838,$A71,Council_Data!$E$3:$E$838)</f>
        <v>707</v>
      </c>
      <c r="D71">
        <f>ROUND(SUMIF(Council_Data!$V$3:$V$838,$A71,Council_Data!$F$3:$F$838)*0.7,0)</f>
        <v>25</v>
      </c>
      <c r="E71">
        <f>SUMIF(Council_Data!$V$3:$V$838,$A71,Council_Data!$G$3:$G$838)</f>
        <v>1</v>
      </c>
      <c r="F71">
        <f>SUMIF(Council_Data!$V$3:$V$838,$A71,Council_Data!$H$3:$H$838)</f>
        <v>0</v>
      </c>
      <c r="G71">
        <f>SUMIF(Council_Data!$V$3:$V$838,$A71,Council_Data!$I$3:$I$838)</f>
        <v>1</v>
      </c>
      <c r="H71">
        <f>SUMIF(Council_Data!$V$3:$V$838,$A71,Council_Data!$J$3:$J$838)</f>
        <v>14</v>
      </c>
      <c r="I71">
        <f>SUMIF(Council_Data!$V$3:$V$838,$A71,Council_Data!$K$3:$K$838)</f>
        <v>1</v>
      </c>
      <c r="J71">
        <f>SUMIF(Council_Data!$V$3:$V$838,$A71,Council_Data!$L$3:$L$838)</f>
        <v>13</v>
      </c>
      <c r="K71" s="63">
        <f t="shared" si="8"/>
        <v>0.52</v>
      </c>
      <c r="L71">
        <f>ROUND(SUMIF(Council_Data!$V$3:$V$838,$A71,Council_Data!$N$3:$N$838)*0.7,0)</f>
        <v>0</v>
      </c>
      <c r="M71">
        <f>SUMIF(Council_Data!$V$3:$V$838,$A71,Council_Data!$O$3:$O$838)</f>
        <v>0</v>
      </c>
      <c r="N71">
        <f>SUMIF(Council_Data!$V$3:$V$838,$A71,Council_Data!$P$3:$P$838)</f>
        <v>0</v>
      </c>
      <c r="O71">
        <f>SUMIF(Council_Data!$V$3:$V$838,$A71,Council_Data!$Q$3:$Q$838)</f>
        <v>0</v>
      </c>
      <c r="P71">
        <f>SUMIF(Council_Data!$V$3:$V$838,$A71,Council_Data!$R$3:$R$838)</f>
        <v>6</v>
      </c>
      <c r="Q71">
        <f>SUMIF(Council_Data!$V$3:$V$838,$A71,Council_Data!$S$3:$S$838)</f>
        <v>4</v>
      </c>
      <c r="R71">
        <f>SUMIF(Council_Data!$V$3:$V$838,$A71,Council_Data!$T$3:$T$838)</f>
        <v>2</v>
      </c>
      <c r="S71" s="63">
        <f t="shared" si="9"/>
        <v>0</v>
      </c>
      <c r="T71" t="str">
        <f>IF(ISNA(VLOOKUP($A71,DD_Info!$A$1:$E$222,2,0)),0,VLOOKUP($A71,DD_Info!$A$1:$E$222,2,0))</f>
        <v>E.J. "Jerry"  Moch Jr</v>
      </c>
    </row>
    <row r="72" spans="1:20">
      <c r="A72" s="81">
        <v>72</v>
      </c>
      <c r="B72" t="str">
        <f>IF(ISNA(VLOOKUP($A72,DD_Info!$A$1:$E$222,3,0)),0,VLOOKUP($A72,DD_Info!$A$1:$E$222,3,0))</f>
        <v>Galv/Hous</v>
      </c>
      <c r="C72">
        <f>SUMIF(Council_Data!$V$3:$V$838,$A72,Council_Data!$E$3:$E$838)</f>
        <v>508</v>
      </c>
      <c r="D72">
        <f>ROUND(SUMIF(Council_Data!$V$3:$V$838,$A72,Council_Data!$F$3:$F$838)*0.7,0)</f>
        <v>17</v>
      </c>
      <c r="E72">
        <f>SUMIF(Council_Data!$V$3:$V$838,$A72,Council_Data!$G$3:$G$838)</f>
        <v>0</v>
      </c>
      <c r="F72">
        <f>SUMIF(Council_Data!$V$3:$V$838,$A72,Council_Data!$H$3:$H$838)</f>
        <v>0</v>
      </c>
      <c r="G72">
        <f>SUMIF(Council_Data!$V$3:$V$838,$A72,Council_Data!$I$3:$I$838)</f>
        <v>0</v>
      </c>
      <c r="H72">
        <f>SUMIF(Council_Data!$V$3:$V$838,$A72,Council_Data!$J$3:$J$838)</f>
        <v>0</v>
      </c>
      <c r="I72">
        <f>SUMIF(Council_Data!$V$3:$V$838,$A72,Council_Data!$K$3:$K$838)</f>
        <v>0</v>
      </c>
      <c r="J72">
        <f>SUMIF(Council_Data!$V$3:$V$838,$A72,Council_Data!$L$3:$L$838)</f>
        <v>0</v>
      </c>
      <c r="K72" s="63">
        <f t="shared" si="8"/>
        <v>0</v>
      </c>
      <c r="L72">
        <f>ROUND(SUMIF(Council_Data!$V$3:$V$838,$A72,Council_Data!$N$3:$N$838)*0.7,0)</f>
        <v>0</v>
      </c>
      <c r="M72">
        <f>SUMIF(Council_Data!$V$3:$V$838,$A72,Council_Data!$O$3:$O$838)</f>
        <v>0</v>
      </c>
      <c r="N72">
        <f>SUMIF(Council_Data!$V$3:$V$838,$A72,Council_Data!$P$3:$P$838)</f>
        <v>1</v>
      </c>
      <c r="O72">
        <f>SUMIF(Council_Data!$V$3:$V$838,$A72,Council_Data!$Q$3:$Q$838)</f>
        <v>-1</v>
      </c>
      <c r="P72">
        <f>SUMIF(Council_Data!$V$3:$V$838,$A72,Council_Data!$R$3:$R$838)</f>
        <v>1</v>
      </c>
      <c r="Q72">
        <f>SUMIF(Council_Data!$V$3:$V$838,$A72,Council_Data!$S$3:$S$838)</f>
        <v>1</v>
      </c>
      <c r="R72">
        <f>SUMIF(Council_Data!$V$3:$V$838,$A72,Council_Data!$T$3:$T$838)</f>
        <v>0</v>
      </c>
      <c r="S72" s="63">
        <f t="shared" si="9"/>
        <v>0</v>
      </c>
      <c r="T72" t="str">
        <f>IF(ISNA(VLOOKUP($A72,DD_Info!$A$1:$E$222,2,0)),0,VLOOKUP($A72,DD_Info!$A$1:$E$222,2,0))</f>
        <v>Anthony P Scarpa</v>
      </c>
    </row>
    <row r="73" spans="1:20">
      <c r="A73" s="81">
        <v>73</v>
      </c>
      <c r="B73" t="str">
        <f>IF(ISNA(VLOOKUP($A73,DD_Info!$A$1:$E$222,3,0)),0,VLOOKUP($A73,DD_Info!$A$1:$E$222,3,0))</f>
        <v>Galv/Hous</v>
      </c>
      <c r="C73">
        <f>SUMIF(Council_Data!$V$3:$V$838,$A73,Council_Data!$E$3:$E$838)</f>
        <v>461</v>
      </c>
      <c r="D73">
        <f>ROUND(SUMIF(Council_Data!$V$3:$V$838,$A73,Council_Data!$F$3:$F$838)*0.7,0)</f>
        <v>16</v>
      </c>
      <c r="E73">
        <f>SUMIF(Council_Data!$V$3:$V$838,$A73,Council_Data!$G$3:$G$838)</f>
        <v>0</v>
      </c>
      <c r="F73">
        <f>SUMIF(Council_Data!$V$3:$V$838,$A73,Council_Data!$H$3:$H$838)</f>
        <v>0</v>
      </c>
      <c r="G73">
        <f>SUMIF(Council_Data!$V$3:$V$838,$A73,Council_Data!$I$3:$I$838)</f>
        <v>0</v>
      </c>
      <c r="H73">
        <f>SUMIF(Council_Data!$V$3:$V$838,$A73,Council_Data!$J$3:$J$838)</f>
        <v>1</v>
      </c>
      <c r="I73">
        <f>SUMIF(Council_Data!$V$3:$V$838,$A73,Council_Data!$K$3:$K$838)</f>
        <v>23</v>
      </c>
      <c r="J73">
        <f>SUMIF(Council_Data!$V$3:$V$838,$A73,Council_Data!$L$3:$L$838)</f>
        <v>-22</v>
      </c>
      <c r="K73" s="63">
        <f t="shared" si="8"/>
        <v>-1.375</v>
      </c>
      <c r="L73">
        <f>ROUND(SUMIF(Council_Data!$V$3:$V$838,$A73,Council_Data!$N$3:$N$838)*0.7,0)</f>
        <v>0</v>
      </c>
      <c r="M73">
        <f>SUMIF(Council_Data!$V$3:$V$838,$A73,Council_Data!$O$3:$O$838)</f>
        <v>0</v>
      </c>
      <c r="N73">
        <f>SUMIF(Council_Data!$V$3:$V$838,$A73,Council_Data!$P$3:$P$838)</f>
        <v>3</v>
      </c>
      <c r="O73">
        <f>SUMIF(Council_Data!$V$3:$V$838,$A73,Council_Data!$Q$3:$Q$838)</f>
        <v>-3</v>
      </c>
      <c r="P73">
        <f>SUMIF(Council_Data!$V$3:$V$838,$A73,Council_Data!$R$3:$R$838)</f>
        <v>1</v>
      </c>
      <c r="Q73">
        <f>SUMIF(Council_Data!$V$3:$V$838,$A73,Council_Data!$S$3:$S$838)</f>
        <v>10</v>
      </c>
      <c r="R73">
        <f>SUMIF(Council_Data!$V$3:$V$838,$A73,Council_Data!$T$3:$T$838)</f>
        <v>-9</v>
      </c>
      <c r="S73" s="63">
        <f t="shared" si="9"/>
        <v>0</v>
      </c>
      <c r="T73" t="str">
        <f>IF(ISNA(VLOOKUP($A73,DD_Info!$A$1:$E$222,2,0)),0,VLOOKUP($A73,DD_Info!$A$1:$E$222,2,0))</f>
        <v>Rudy  Ordaz</v>
      </c>
    </row>
    <row r="74" spans="1:20">
      <c r="A74" s="81">
        <v>74</v>
      </c>
      <c r="B74" t="str">
        <f>IF(ISNA(VLOOKUP($A74,DD_Info!$A$1:$E$222,3,0)),0,VLOOKUP($A74,DD_Info!$A$1:$E$222,3,0))</f>
        <v>Galv/Hous</v>
      </c>
      <c r="C74">
        <f>SUMIF(Council_Data!$V$3:$V$838,$A74,Council_Data!$E$3:$E$838)</f>
        <v>1114</v>
      </c>
      <c r="D74">
        <f>ROUND(SUMIF(Council_Data!$V$3:$V$838,$A74,Council_Data!$F$3:$F$838)*0.7,0)</f>
        <v>35</v>
      </c>
      <c r="E74">
        <f>SUMIF(Council_Data!$V$3:$V$838,$A74,Council_Data!$G$3:$G$838)</f>
        <v>0</v>
      </c>
      <c r="F74">
        <f>SUMIF(Council_Data!$V$3:$V$838,$A74,Council_Data!$H$3:$H$838)</f>
        <v>1</v>
      </c>
      <c r="G74">
        <f>SUMIF(Council_Data!$V$3:$V$838,$A74,Council_Data!$I$3:$I$838)</f>
        <v>-1</v>
      </c>
      <c r="H74">
        <f>SUMIF(Council_Data!$V$3:$V$838,$A74,Council_Data!$J$3:$J$838)</f>
        <v>7</v>
      </c>
      <c r="I74">
        <f>SUMIF(Council_Data!$V$3:$V$838,$A74,Council_Data!$K$3:$K$838)</f>
        <v>52</v>
      </c>
      <c r="J74">
        <f>SUMIF(Council_Data!$V$3:$V$838,$A74,Council_Data!$L$3:$L$838)</f>
        <v>-45</v>
      </c>
      <c r="K74" s="63">
        <f t="shared" si="8"/>
        <v>-1.2857142857142858</v>
      </c>
      <c r="L74">
        <f>ROUND(SUMIF(Council_Data!$V$3:$V$838,$A74,Council_Data!$N$3:$N$838)*0.7,0)</f>
        <v>0</v>
      </c>
      <c r="M74">
        <f>SUMIF(Council_Data!$V$3:$V$838,$A74,Council_Data!$O$3:$O$838)</f>
        <v>0</v>
      </c>
      <c r="N74">
        <f>SUMIF(Council_Data!$V$3:$V$838,$A74,Council_Data!$P$3:$P$838)</f>
        <v>4</v>
      </c>
      <c r="O74">
        <f>SUMIF(Council_Data!$V$3:$V$838,$A74,Council_Data!$Q$3:$Q$838)</f>
        <v>-4</v>
      </c>
      <c r="P74">
        <f>SUMIF(Council_Data!$V$3:$V$838,$A74,Council_Data!$R$3:$R$838)</f>
        <v>1</v>
      </c>
      <c r="Q74">
        <f>SUMIF(Council_Data!$V$3:$V$838,$A74,Council_Data!$S$3:$S$838)</f>
        <v>16</v>
      </c>
      <c r="R74">
        <f>SUMIF(Council_Data!$V$3:$V$838,$A74,Council_Data!$T$3:$T$838)</f>
        <v>-15</v>
      </c>
      <c r="S74" s="63">
        <f t="shared" si="9"/>
        <v>0</v>
      </c>
      <c r="T74" t="str">
        <f>IF(ISNA(VLOOKUP($A74,DD_Info!$A$1:$E$222,2,0)),0,VLOOKUP($A74,DD_Info!$A$1:$E$222,2,0))</f>
        <v>Brian  Kozel</v>
      </c>
    </row>
    <row r="75" spans="1:20">
      <c r="A75" s="81">
        <v>75</v>
      </c>
      <c r="B75" t="str">
        <f>IF(ISNA(VLOOKUP($A75,DD_Info!$A$1:$E$222,3,0)),0,VLOOKUP($A75,DD_Info!$A$1:$E$222,3,0))</f>
        <v>Galv/Hous</v>
      </c>
      <c r="C75">
        <f>SUMIF(Council_Data!$V$3:$V$838,$A75,Council_Data!$E$3:$E$838)</f>
        <v>1120</v>
      </c>
      <c r="D75">
        <f>ROUND(SUMIF(Council_Data!$V$3:$V$838,$A75,Council_Data!$F$3:$F$838)*0.7,0)</f>
        <v>39</v>
      </c>
      <c r="E75">
        <f>SUMIF(Council_Data!$V$3:$V$838,$A75,Council_Data!$G$3:$G$838)</f>
        <v>1</v>
      </c>
      <c r="F75">
        <f>SUMIF(Council_Data!$V$3:$V$838,$A75,Council_Data!$H$3:$H$838)</f>
        <v>3</v>
      </c>
      <c r="G75">
        <f>SUMIF(Council_Data!$V$3:$V$838,$A75,Council_Data!$I$3:$I$838)</f>
        <v>-2</v>
      </c>
      <c r="H75">
        <f>SUMIF(Council_Data!$V$3:$V$838,$A75,Council_Data!$J$3:$J$838)</f>
        <v>6</v>
      </c>
      <c r="I75">
        <f>SUMIF(Council_Data!$V$3:$V$838,$A75,Council_Data!$K$3:$K$838)</f>
        <v>6</v>
      </c>
      <c r="J75">
        <f>SUMIF(Council_Data!$V$3:$V$838,$A75,Council_Data!$L$3:$L$838)</f>
        <v>0</v>
      </c>
      <c r="K75" s="63">
        <f t="shared" si="8"/>
        <v>0</v>
      </c>
      <c r="L75">
        <f>ROUND(SUMIF(Council_Data!$V$3:$V$838,$A75,Council_Data!$N$3:$N$838)*0.7,0)</f>
        <v>0</v>
      </c>
      <c r="M75">
        <f>SUMIF(Council_Data!$V$3:$V$838,$A75,Council_Data!$O$3:$O$838)</f>
        <v>1</v>
      </c>
      <c r="N75">
        <f>SUMIF(Council_Data!$V$3:$V$838,$A75,Council_Data!$P$3:$P$838)</f>
        <v>7</v>
      </c>
      <c r="O75">
        <f>SUMIF(Council_Data!$V$3:$V$838,$A75,Council_Data!$Q$3:$Q$838)</f>
        <v>-6</v>
      </c>
      <c r="P75">
        <f>SUMIF(Council_Data!$V$3:$V$838,$A75,Council_Data!$R$3:$R$838)</f>
        <v>3</v>
      </c>
      <c r="Q75">
        <f>SUMIF(Council_Data!$V$3:$V$838,$A75,Council_Data!$S$3:$S$838)</f>
        <v>11</v>
      </c>
      <c r="R75">
        <f>SUMIF(Council_Data!$V$3:$V$838,$A75,Council_Data!$T$3:$T$838)</f>
        <v>-8</v>
      </c>
      <c r="S75" s="63">
        <f t="shared" si="9"/>
        <v>0</v>
      </c>
      <c r="T75" t="str">
        <f>IF(ISNA(VLOOKUP($A75,DD_Info!$A$1:$E$222,2,0)),0,VLOOKUP($A75,DD_Info!$A$1:$E$222,2,0))</f>
        <v>Michael  Appling</v>
      </c>
    </row>
    <row r="76" spans="1:20">
      <c r="A76" s="81">
        <v>76</v>
      </c>
      <c r="B76" t="str">
        <f>IF(ISNA(VLOOKUP($A76,DD_Info!$A$1:$E$222,3,0)),0,VLOOKUP($A76,DD_Info!$A$1:$E$222,3,0))</f>
        <v>Galv/Hous</v>
      </c>
      <c r="C76">
        <f>SUMIF(Council_Data!$V$3:$V$838,$A76,Council_Data!$E$3:$E$838)</f>
        <v>200</v>
      </c>
      <c r="D76">
        <f>ROUND(SUMIF(Council_Data!$V$3:$V$838,$A76,Council_Data!$F$3:$F$838)*0.7,0)</f>
        <v>7</v>
      </c>
      <c r="E76">
        <f>SUMIF(Council_Data!$V$3:$V$838,$A76,Council_Data!$G$3:$G$838)</f>
        <v>0</v>
      </c>
      <c r="F76">
        <f>SUMIF(Council_Data!$V$3:$V$838,$A76,Council_Data!$H$3:$H$838)</f>
        <v>0</v>
      </c>
      <c r="G76">
        <f>SUMIF(Council_Data!$V$3:$V$838,$A76,Council_Data!$I$3:$I$838)</f>
        <v>0</v>
      </c>
      <c r="H76">
        <f>SUMIF(Council_Data!$V$3:$V$838,$A76,Council_Data!$J$3:$J$838)</f>
        <v>0</v>
      </c>
      <c r="I76">
        <f>SUMIF(Council_Data!$V$3:$V$838,$A76,Council_Data!$K$3:$K$838)</f>
        <v>0</v>
      </c>
      <c r="J76">
        <f>SUMIF(Council_Data!$V$3:$V$838,$A76,Council_Data!$L$3:$L$838)</f>
        <v>0</v>
      </c>
      <c r="K76" s="63">
        <f t="shared" si="8"/>
        <v>0</v>
      </c>
      <c r="L76">
        <f>ROUND(SUMIF(Council_Data!$V$3:$V$838,$A76,Council_Data!$N$3:$N$838)*0.7,0)</f>
        <v>0</v>
      </c>
      <c r="M76">
        <f>SUMIF(Council_Data!$V$3:$V$838,$A76,Council_Data!$O$3:$O$838)</f>
        <v>0</v>
      </c>
      <c r="N76">
        <f>SUMIF(Council_Data!$V$3:$V$838,$A76,Council_Data!$P$3:$P$838)</f>
        <v>1</v>
      </c>
      <c r="O76">
        <f>SUMIF(Council_Data!$V$3:$V$838,$A76,Council_Data!$Q$3:$Q$838)</f>
        <v>-1</v>
      </c>
      <c r="P76">
        <f>SUMIF(Council_Data!$V$3:$V$838,$A76,Council_Data!$R$3:$R$838)</f>
        <v>3</v>
      </c>
      <c r="Q76">
        <f>SUMIF(Council_Data!$V$3:$V$838,$A76,Council_Data!$S$3:$S$838)</f>
        <v>3</v>
      </c>
      <c r="R76">
        <f>SUMIF(Council_Data!$V$3:$V$838,$A76,Council_Data!$T$3:$T$838)</f>
        <v>0</v>
      </c>
      <c r="S76" s="63">
        <f t="shared" si="9"/>
        <v>0</v>
      </c>
      <c r="T76" t="str">
        <f>IF(ISNA(VLOOKUP($A76,DD_Info!$A$1:$E$222,2,0)),0,VLOOKUP($A76,DD_Info!$A$1:$E$222,2,0))</f>
        <v>Francisco  Carpinteyro</v>
      </c>
    </row>
    <row r="77" spans="1:20">
      <c r="A77" s="81">
        <v>77</v>
      </c>
      <c r="B77" t="str">
        <f>IF(ISNA(VLOOKUP($A77,DD_Info!$A$1:$E$222,3,0)),0,VLOOKUP($A77,DD_Info!$A$1:$E$222,3,0))</f>
        <v>Galv/Hous</v>
      </c>
      <c r="C77">
        <f>SUMIF(Council_Data!$V$3:$V$838,$A77,Council_Data!$E$3:$E$838)</f>
        <v>368</v>
      </c>
      <c r="D77">
        <f>ROUND(SUMIF(Council_Data!$V$3:$V$838,$A77,Council_Data!$F$3:$F$838)*0.7,0)</f>
        <v>13</v>
      </c>
      <c r="E77">
        <f>SUMIF(Council_Data!$V$3:$V$838,$A77,Council_Data!$G$3:$G$838)</f>
        <v>4</v>
      </c>
      <c r="F77">
        <f>SUMIF(Council_Data!$V$3:$V$838,$A77,Council_Data!$H$3:$H$838)</f>
        <v>0</v>
      </c>
      <c r="G77">
        <f>SUMIF(Council_Data!$V$3:$V$838,$A77,Council_Data!$I$3:$I$838)</f>
        <v>4</v>
      </c>
      <c r="H77">
        <f>SUMIF(Council_Data!$V$3:$V$838,$A77,Council_Data!$J$3:$J$838)</f>
        <v>21</v>
      </c>
      <c r="I77">
        <f>SUMIF(Council_Data!$V$3:$V$838,$A77,Council_Data!$K$3:$K$838)</f>
        <v>0</v>
      </c>
      <c r="J77">
        <f>SUMIF(Council_Data!$V$3:$V$838,$A77,Council_Data!$L$3:$L$838)</f>
        <v>21</v>
      </c>
      <c r="K77" s="63">
        <f t="shared" si="8"/>
        <v>1.6153846153846154</v>
      </c>
      <c r="L77">
        <f>ROUND(SUMIF(Council_Data!$V$3:$V$838,$A77,Council_Data!$N$3:$N$838)*0.7,0)</f>
        <v>0</v>
      </c>
      <c r="M77">
        <f>SUMIF(Council_Data!$V$3:$V$838,$A77,Council_Data!$O$3:$O$838)</f>
        <v>3</v>
      </c>
      <c r="N77">
        <f>SUMIF(Council_Data!$V$3:$V$838,$A77,Council_Data!$P$3:$P$838)</f>
        <v>0</v>
      </c>
      <c r="O77">
        <f>SUMIF(Council_Data!$V$3:$V$838,$A77,Council_Data!$Q$3:$Q$838)</f>
        <v>3</v>
      </c>
      <c r="P77">
        <f>SUMIF(Council_Data!$V$3:$V$838,$A77,Council_Data!$R$3:$R$838)</f>
        <v>12</v>
      </c>
      <c r="Q77">
        <f>SUMIF(Council_Data!$V$3:$V$838,$A77,Council_Data!$S$3:$S$838)</f>
        <v>4</v>
      </c>
      <c r="R77">
        <f>SUMIF(Council_Data!$V$3:$V$838,$A77,Council_Data!$T$3:$T$838)</f>
        <v>8</v>
      </c>
      <c r="S77" s="63">
        <f t="shared" si="9"/>
        <v>0</v>
      </c>
      <c r="T77" t="str">
        <f>IF(ISNA(VLOOKUP($A77,DD_Info!$A$1:$E$222,2,0)),0,VLOOKUP($A77,DD_Info!$A$1:$E$222,2,0))</f>
        <v>Manuel  Cervantes</v>
      </c>
    </row>
    <row r="78" spans="1:20">
      <c r="A78" s="81">
        <v>78</v>
      </c>
      <c r="B78" t="str">
        <f>IF(ISNA(VLOOKUP($A78,DD_Info!$A$1:$E$222,3,0)),0,VLOOKUP($A78,DD_Info!$A$1:$E$222,3,0))</f>
        <v>Galv/Hous</v>
      </c>
      <c r="C78">
        <f>SUMIF(Council_Data!$V$3:$V$838,$A78,Council_Data!$E$3:$E$838)</f>
        <v>223</v>
      </c>
      <c r="D78">
        <f>ROUND(SUMIF(Council_Data!$V$3:$V$838,$A78,Council_Data!$F$3:$F$838)*0.7,0)</f>
        <v>8</v>
      </c>
      <c r="E78">
        <f>SUMIF(Council_Data!$V$3:$V$838,$A78,Council_Data!$G$3:$G$838)</f>
        <v>0</v>
      </c>
      <c r="F78">
        <f>SUMIF(Council_Data!$V$3:$V$838,$A78,Council_Data!$H$3:$H$838)</f>
        <v>0</v>
      </c>
      <c r="G78">
        <f>SUMIF(Council_Data!$V$3:$V$838,$A78,Council_Data!$I$3:$I$838)</f>
        <v>0</v>
      </c>
      <c r="H78">
        <f>SUMIF(Council_Data!$V$3:$V$838,$A78,Council_Data!$J$3:$J$838)</f>
        <v>2</v>
      </c>
      <c r="I78">
        <f>SUMIF(Council_Data!$V$3:$V$838,$A78,Council_Data!$K$3:$K$838)</f>
        <v>0</v>
      </c>
      <c r="J78">
        <f>SUMIF(Council_Data!$V$3:$V$838,$A78,Council_Data!$L$3:$L$838)</f>
        <v>2</v>
      </c>
      <c r="K78" s="63">
        <f t="shared" si="8"/>
        <v>0.25</v>
      </c>
      <c r="L78">
        <f>ROUND(SUMIF(Council_Data!$V$3:$V$838,$A78,Council_Data!$N$3:$N$838)*0.7,0)</f>
        <v>0</v>
      </c>
      <c r="M78">
        <f>SUMIF(Council_Data!$V$3:$V$838,$A78,Council_Data!$O$3:$O$838)</f>
        <v>0</v>
      </c>
      <c r="N78">
        <f>SUMIF(Council_Data!$V$3:$V$838,$A78,Council_Data!$P$3:$P$838)</f>
        <v>0</v>
      </c>
      <c r="O78">
        <f>SUMIF(Council_Data!$V$3:$V$838,$A78,Council_Data!$Q$3:$Q$838)</f>
        <v>0</v>
      </c>
      <c r="P78">
        <f>SUMIF(Council_Data!$V$3:$V$838,$A78,Council_Data!$R$3:$R$838)</f>
        <v>1</v>
      </c>
      <c r="Q78">
        <f>SUMIF(Council_Data!$V$3:$V$838,$A78,Council_Data!$S$3:$S$838)</f>
        <v>0</v>
      </c>
      <c r="R78">
        <f>SUMIF(Council_Data!$V$3:$V$838,$A78,Council_Data!$T$3:$T$838)</f>
        <v>1</v>
      </c>
      <c r="S78" s="63">
        <f t="shared" si="9"/>
        <v>0</v>
      </c>
      <c r="T78" t="str">
        <f>IF(ISNA(VLOOKUP($A78,DD_Info!$A$1:$E$222,2,0)),0,VLOOKUP($A78,DD_Info!$A$1:$E$222,2,0))</f>
        <v>Ernest Garcia</v>
      </c>
    </row>
    <row r="79" spans="1:20">
      <c r="A79" s="81">
        <v>79</v>
      </c>
      <c r="B79" t="str">
        <f>IF(ISNA(VLOOKUP($A79,DD_Info!$A$1:$E$222,3,0)),0,VLOOKUP($A79,DD_Info!$A$1:$E$222,3,0))</f>
        <v>Galv/Hous</v>
      </c>
      <c r="C79">
        <f>SUMIF(Council_Data!$V$3:$V$838,$A79,Council_Data!$E$3:$E$838)</f>
        <v>1599</v>
      </c>
      <c r="D79">
        <f>ROUND(SUMIF(Council_Data!$V$3:$V$838,$A79,Council_Data!$F$3:$F$838)*0.7,0)</f>
        <v>53</v>
      </c>
      <c r="E79">
        <f>SUMIF(Council_Data!$V$3:$V$838,$A79,Council_Data!$G$3:$G$838)</f>
        <v>0</v>
      </c>
      <c r="F79">
        <f>SUMIF(Council_Data!$V$3:$V$838,$A79,Council_Data!$H$3:$H$838)</f>
        <v>7</v>
      </c>
      <c r="G79">
        <f>SUMIF(Council_Data!$V$3:$V$838,$A79,Council_Data!$I$3:$I$838)</f>
        <v>-7</v>
      </c>
      <c r="H79">
        <f>SUMIF(Council_Data!$V$3:$V$838,$A79,Council_Data!$J$3:$J$838)</f>
        <v>12</v>
      </c>
      <c r="I79">
        <f>SUMIF(Council_Data!$V$3:$V$838,$A79,Council_Data!$K$3:$K$838)</f>
        <v>24</v>
      </c>
      <c r="J79">
        <f>SUMIF(Council_Data!$V$3:$V$838,$A79,Council_Data!$L$3:$L$838)</f>
        <v>-12</v>
      </c>
      <c r="K79" s="63">
        <f t="shared" si="8"/>
        <v>-0.22641509433962265</v>
      </c>
      <c r="L79">
        <f>ROUND(SUMIF(Council_Data!$V$3:$V$838,$A79,Council_Data!$N$3:$N$838)*0.7,0)</f>
        <v>0</v>
      </c>
      <c r="M79">
        <f>SUMIF(Council_Data!$V$3:$V$838,$A79,Council_Data!$O$3:$O$838)</f>
        <v>0</v>
      </c>
      <c r="N79">
        <f>SUMIF(Council_Data!$V$3:$V$838,$A79,Council_Data!$P$3:$P$838)</f>
        <v>7</v>
      </c>
      <c r="O79">
        <f>SUMIF(Council_Data!$V$3:$V$838,$A79,Council_Data!$Q$3:$Q$838)</f>
        <v>-7</v>
      </c>
      <c r="P79">
        <f>SUMIF(Council_Data!$V$3:$V$838,$A79,Council_Data!$R$3:$R$838)</f>
        <v>8</v>
      </c>
      <c r="Q79">
        <f>SUMIF(Council_Data!$V$3:$V$838,$A79,Council_Data!$S$3:$S$838)</f>
        <v>10</v>
      </c>
      <c r="R79">
        <f>SUMIF(Council_Data!$V$3:$V$838,$A79,Council_Data!$T$3:$T$838)</f>
        <v>-2</v>
      </c>
      <c r="S79" s="63">
        <f t="shared" si="9"/>
        <v>0</v>
      </c>
      <c r="T79" t="str">
        <f>IF(ISNA(VLOOKUP($A79,DD_Info!$A$1:$E$222,2,0)),0,VLOOKUP($A79,DD_Info!$A$1:$E$222,2,0))</f>
        <v>Samuel  Gonzalez</v>
      </c>
    </row>
    <row r="80" spans="1:20">
      <c r="A80" s="81">
        <v>80</v>
      </c>
      <c r="B80" t="str">
        <f>IF(ISNA(VLOOKUP($A80,DD_Info!$A$1:$E$222,3,0)),0,VLOOKUP($A80,DD_Info!$A$1:$E$222,3,0))</f>
        <v>Galv/Hous</v>
      </c>
      <c r="C80">
        <f>SUMIF(Council_Data!$V$3:$V$838,$A80,Council_Data!$E$3:$E$838)</f>
        <v>914</v>
      </c>
      <c r="D80">
        <f>ROUND(SUMIF(Council_Data!$V$3:$V$838,$A80,Council_Data!$F$3:$F$838)*0.7,0)</f>
        <v>31</v>
      </c>
      <c r="E80">
        <f>SUMIF(Council_Data!$V$3:$V$838,$A80,Council_Data!$G$3:$G$838)</f>
        <v>1</v>
      </c>
      <c r="F80">
        <f>SUMIF(Council_Data!$V$3:$V$838,$A80,Council_Data!$H$3:$H$838)</f>
        <v>1</v>
      </c>
      <c r="G80">
        <f>SUMIF(Council_Data!$V$3:$V$838,$A80,Council_Data!$I$3:$I$838)</f>
        <v>0</v>
      </c>
      <c r="H80">
        <f>SUMIF(Council_Data!$V$3:$V$838,$A80,Council_Data!$J$3:$J$838)</f>
        <v>5</v>
      </c>
      <c r="I80">
        <f>SUMIF(Council_Data!$V$3:$V$838,$A80,Council_Data!$K$3:$K$838)</f>
        <v>3</v>
      </c>
      <c r="J80">
        <f>SUMIF(Council_Data!$V$3:$V$838,$A80,Council_Data!$L$3:$L$838)</f>
        <v>2</v>
      </c>
      <c r="K80" s="63">
        <f t="shared" si="8"/>
        <v>6.4516129032258063E-2</v>
      </c>
      <c r="L80">
        <f>ROUND(SUMIF(Council_Data!$V$3:$V$838,$A80,Council_Data!$N$3:$N$838)*0.7,0)</f>
        <v>0</v>
      </c>
      <c r="M80">
        <f>SUMIF(Council_Data!$V$3:$V$838,$A80,Council_Data!$O$3:$O$838)</f>
        <v>1</v>
      </c>
      <c r="N80">
        <f>SUMIF(Council_Data!$V$3:$V$838,$A80,Council_Data!$P$3:$P$838)</f>
        <v>6</v>
      </c>
      <c r="O80">
        <f>SUMIF(Council_Data!$V$3:$V$838,$A80,Council_Data!$Q$3:$Q$838)</f>
        <v>-5</v>
      </c>
      <c r="P80">
        <f>SUMIF(Council_Data!$V$3:$V$838,$A80,Council_Data!$R$3:$R$838)</f>
        <v>4</v>
      </c>
      <c r="Q80">
        <f>SUMIF(Council_Data!$V$3:$V$838,$A80,Council_Data!$S$3:$S$838)</f>
        <v>12</v>
      </c>
      <c r="R80">
        <f>SUMIF(Council_Data!$V$3:$V$838,$A80,Council_Data!$T$3:$T$838)</f>
        <v>-8</v>
      </c>
      <c r="S80" s="63">
        <f t="shared" si="9"/>
        <v>0</v>
      </c>
      <c r="T80" t="str">
        <f>IF(ISNA(VLOOKUP($A80,DD_Info!$A$1:$E$222,2,0)),0,VLOOKUP($A80,DD_Info!$A$1:$E$222,2,0))</f>
        <v>Vincent C Stasio</v>
      </c>
    </row>
    <row r="81" spans="1:20">
      <c r="A81" s="81">
        <v>81</v>
      </c>
      <c r="B81" t="str">
        <f>IF(ISNA(VLOOKUP($A81,DD_Info!$A$1:$E$222,3,0)),0,VLOOKUP($A81,DD_Info!$A$1:$E$222,3,0))</f>
        <v>Galv/Hous</v>
      </c>
      <c r="C81">
        <f>SUMIF(Council_Data!$V$3:$V$838,$A81,Council_Data!$E$3:$E$838)</f>
        <v>435</v>
      </c>
      <c r="D81">
        <f>ROUND(SUMIF(Council_Data!$V$3:$V$838,$A81,Council_Data!$F$3:$F$838)*0.7,0)</f>
        <v>15</v>
      </c>
      <c r="E81">
        <f>SUMIF(Council_Data!$V$3:$V$838,$A81,Council_Data!$G$3:$G$838)</f>
        <v>0</v>
      </c>
      <c r="F81">
        <f>SUMIF(Council_Data!$V$3:$V$838,$A81,Council_Data!$H$3:$H$838)</f>
        <v>0</v>
      </c>
      <c r="G81">
        <f>SUMIF(Council_Data!$V$3:$V$838,$A81,Council_Data!$I$3:$I$838)</f>
        <v>0</v>
      </c>
      <c r="H81">
        <f>SUMIF(Council_Data!$V$3:$V$838,$A81,Council_Data!$J$3:$J$838)</f>
        <v>3</v>
      </c>
      <c r="I81">
        <f>SUMIF(Council_Data!$V$3:$V$838,$A81,Council_Data!$K$3:$K$838)</f>
        <v>0</v>
      </c>
      <c r="J81">
        <f>SUMIF(Council_Data!$V$3:$V$838,$A81,Council_Data!$L$3:$L$838)</f>
        <v>3</v>
      </c>
      <c r="K81" s="63">
        <f t="shared" si="8"/>
        <v>0.2</v>
      </c>
      <c r="L81">
        <f>ROUND(SUMIF(Council_Data!$V$3:$V$838,$A81,Council_Data!$N$3:$N$838)*0.7,0)</f>
        <v>0</v>
      </c>
      <c r="M81">
        <f>SUMIF(Council_Data!$V$3:$V$838,$A81,Council_Data!$O$3:$O$838)</f>
        <v>0</v>
      </c>
      <c r="N81">
        <f>SUMIF(Council_Data!$V$3:$V$838,$A81,Council_Data!$P$3:$P$838)</f>
        <v>2</v>
      </c>
      <c r="O81">
        <f>SUMIF(Council_Data!$V$3:$V$838,$A81,Council_Data!$Q$3:$Q$838)</f>
        <v>-2</v>
      </c>
      <c r="P81">
        <f>SUMIF(Council_Data!$V$3:$V$838,$A81,Council_Data!$R$3:$R$838)</f>
        <v>4</v>
      </c>
      <c r="Q81">
        <f>SUMIF(Council_Data!$V$3:$V$838,$A81,Council_Data!$S$3:$S$838)</f>
        <v>3</v>
      </c>
      <c r="R81">
        <f>SUMIF(Council_Data!$V$3:$V$838,$A81,Council_Data!$T$3:$T$838)</f>
        <v>1</v>
      </c>
      <c r="S81" s="63">
        <f t="shared" si="9"/>
        <v>0</v>
      </c>
      <c r="T81" t="str">
        <f>IF(ISNA(VLOOKUP($A81,DD_Info!$A$1:$E$222,2,0)),0,VLOOKUP($A81,DD_Info!$A$1:$E$222,2,0))</f>
        <v>Mario Rodriguez</v>
      </c>
    </row>
    <row r="82" spans="1:20">
      <c r="A82" s="81">
        <v>82</v>
      </c>
      <c r="B82" t="str">
        <f>IF(ISNA(VLOOKUP($A82,DD_Info!$A$1:$E$222,3,0)),0,VLOOKUP($A82,DD_Info!$A$1:$E$222,3,0))</f>
        <v>Galv/Hous</v>
      </c>
      <c r="C82">
        <f>SUMIF(Council_Data!$V$3:$V$838,$A82,Council_Data!$E$3:$E$838)</f>
        <v>795</v>
      </c>
      <c r="D82">
        <f>ROUND(SUMIF(Council_Data!$V$3:$V$838,$A82,Council_Data!$F$3:$F$838)*0.7,0)</f>
        <v>28</v>
      </c>
      <c r="E82">
        <f>SUMIF(Council_Data!$V$3:$V$838,$A82,Council_Data!$G$3:$G$838)</f>
        <v>0</v>
      </c>
      <c r="F82">
        <f>SUMIF(Council_Data!$V$3:$V$838,$A82,Council_Data!$H$3:$H$838)</f>
        <v>6</v>
      </c>
      <c r="G82">
        <f>SUMIF(Council_Data!$V$3:$V$838,$A82,Council_Data!$I$3:$I$838)</f>
        <v>-6</v>
      </c>
      <c r="H82">
        <f>SUMIF(Council_Data!$V$3:$V$838,$A82,Council_Data!$J$3:$J$838)</f>
        <v>9</v>
      </c>
      <c r="I82">
        <f>SUMIF(Council_Data!$V$3:$V$838,$A82,Council_Data!$K$3:$K$838)</f>
        <v>21</v>
      </c>
      <c r="J82">
        <f>SUMIF(Council_Data!$V$3:$V$838,$A82,Council_Data!$L$3:$L$838)</f>
        <v>-12</v>
      </c>
      <c r="K82" s="63">
        <f t="shared" si="8"/>
        <v>-0.42857142857142855</v>
      </c>
      <c r="L82">
        <f>ROUND(SUMIF(Council_Data!$V$3:$V$838,$A82,Council_Data!$N$3:$N$838)*0.7,0)</f>
        <v>0</v>
      </c>
      <c r="M82">
        <f>SUMIF(Council_Data!$V$3:$V$838,$A82,Council_Data!$O$3:$O$838)</f>
        <v>2</v>
      </c>
      <c r="N82">
        <f>SUMIF(Council_Data!$V$3:$V$838,$A82,Council_Data!$P$3:$P$838)</f>
        <v>3</v>
      </c>
      <c r="O82">
        <f>SUMIF(Council_Data!$V$3:$V$838,$A82,Council_Data!$Q$3:$Q$838)</f>
        <v>-1</v>
      </c>
      <c r="P82">
        <f>SUMIF(Council_Data!$V$3:$V$838,$A82,Council_Data!$R$3:$R$838)</f>
        <v>12</v>
      </c>
      <c r="Q82">
        <f>SUMIF(Council_Data!$V$3:$V$838,$A82,Council_Data!$S$3:$S$838)</f>
        <v>14</v>
      </c>
      <c r="R82">
        <f>SUMIF(Council_Data!$V$3:$V$838,$A82,Council_Data!$T$3:$T$838)</f>
        <v>-2</v>
      </c>
      <c r="S82" s="63">
        <f t="shared" si="9"/>
        <v>0</v>
      </c>
      <c r="T82" t="str">
        <f>IF(ISNA(VLOOKUP($A82,DD_Info!$A$1:$E$222,2,0)),0,VLOOKUP($A82,DD_Info!$A$1:$E$222,2,0))</f>
        <v>Michael  Akiboh</v>
      </c>
    </row>
    <row r="83" spans="1:20">
      <c r="A83" s="81">
        <v>83</v>
      </c>
      <c r="B83" t="str">
        <f>IF(ISNA(VLOOKUP($A83,DD_Info!$A$1:$E$222,3,0)),0,VLOOKUP($A83,DD_Info!$A$1:$E$222,3,0))</f>
        <v>Galv/Hous</v>
      </c>
      <c r="C83">
        <f>SUMIF(Council_Data!$V$3:$V$838,$A83,Council_Data!$E$3:$E$838)</f>
        <v>633</v>
      </c>
      <c r="D83">
        <f>ROUND(SUMIF(Council_Data!$V$3:$V$838,$A83,Council_Data!$F$3:$F$838)*0.7,0)</f>
        <v>22</v>
      </c>
      <c r="E83">
        <f>SUMIF(Council_Data!$V$3:$V$838,$A83,Council_Data!$G$3:$G$838)</f>
        <v>1</v>
      </c>
      <c r="F83">
        <f>SUMIF(Council_Data!$V$3:$V$838,$A83,Council_Data!$H$3:$H$838)</f>
        <v>3</v>
      </c>
      <c r="G83">
        <f>SUMIF(Council_Data!$V$3:$V$838,$A83,Council_Data!$I$3:$I$838)</f>
        <v>-2</v>
      </c>
      <c r="H83">
        <f>SUMIF(Council_Data!$V$3:$V$838,$A83,Council_Data!$J$3:$J$838)</f>
        <v>1</v>
      </c>
      <c r="I83">
        <f>SUMIF(Council_Data!$V$3:$V$838,$A83,Council_Data!$K$3:$K$838)</f>
        <v>4</v>
      </c>
      <c r="J83">
        <f>SUMIF(Council_Data!$V$3:$V$838,$A83,Council_Data!$L$3:$L$838)</f>
        <v>-3</v>
      </c>
      <c r="K83" s="63">
        <f t="shared" si="8"/>
        <v>-0.13636363636363635</v>
      </c>
      <c r="L83">
        <f>ROUND(SUMIF(Council_Data!$V$3:$V$838,$A83,Council_Data!$N$3:$N$838)*0.7,0)</f>
        <v>0</v>
      </c>
      <c r="M83">
        <f>SUMIF(Council_Data!$V$3:$V$838,$A83,Council_Data!$O$3:$O$838)</f>
        <v>1</v>
      </c>
      <c r="N83">
        <f>SUMIF(Council_Data!$V$3:$V$838,$A83,Council_Data!$P$3:$P$838)</f>
        <v>2</v>
      </c>
      <c r="O83">
        <f>SUMIF(Council_Data!$V$3:$V$838,$A83,Council_Data!$Q$3:$Q$838)</f>
        <v>-1</v>
      </c>
      <c r="P83">
        <f>SUMIF(Council_Data!$V$3:$V$838,$A83,Council_Data!$R$3:$R$838)</f>
        <v>1</v>
      </c>
      <c r="Q83">
        <f>SUMIF(Council_Data!$V$3:$V$838,$A83,Council_Data!$S$3:$S$838)</f>
        <v>6</v>
      </c>
      <c r="R83">
        <f>SUMIF(Council_Data!$V$3:$V$838,$A83,Council_Data!$T$3:$T$838)</f>
        <v>-5</v>
      </c>
      <c r="S83" s="63">
        <f t="shared" si="9"/>
        <v>0</v>
      </c>
      <c r="T83" t="str">
        <f>IF(ISNA(VLOOKUP($A83,DD_Info!$A$1:$E$222,2,0)),0,VLOOKUP($A83,DD_Info!$A$1:$E$222,2,0))</f>
        <v>Don  Huml</v>
      </c>
    </row>
    <row r="84" spans="1:20">
      <c r="A84" s="81">
        <v>84</v>
      </c>
      <c r="B84" t="str">
        <f>IF(ISNA(VLOOKUP($A84,DD_Info!$A$1:$E$222,3,0)),0,VLOOKUP($A84,DD_Info!$A$1:$E$222,3,0))</f>
        <v>Galv/Hous</v>
      </c>
      <c r="C84">
        <f>SUMIF(Council_Data!$V$3:$V$838,$A84,Council_Data!$E$3:$E$838)</f>
        <v>288</v>
      </c>
      <c r="D84">
        <f>ROUND(SUMIF(Council_Data!$V$3:$V$838,$A84,Council_Data!$F$3:$F$838)*0.7,0)</f>
        <v>10</v>
      </c>
      <c r="E84">
        <f>SUMIF(Council_Data!$V$3:$V$838,$A84,Council_Data!$G$3:$G$838)</f>
        <v>0</v>
      </c>
      <c r="F84">
        <f>SUMIF(Council_Data!$V$3:$V$838,$A84,Council_Data!$H$3:$H$838)</f>
        <v>0</v>
      </c>
      <c r="G84">
        <f>SUMIF(Council_Data!$V$3:$V$838,$A84,Council_Data!$I$3:$I$838)</f>
        <v>0</v>
      </c>
      <c r="H84">
        <f>SUMIF(Council_Data!$V$3:$V$838,$A84,Council_Data!$J$3:$J$838)</f>
        <v>5</v>
      </c>
      <c r="I84">
        <f>SUMIF(Council_Data!$V$3:$V$838,$A84,Council_Data!$K$3:$K$838)</f>
        <v>0</v>
      </c>
      <c r="J84">
        <f>SUMIF(Council_Data!$V$3:$V$838,$A84,Council_Data!$L$3:$L$838)</f>
        <v>5</v>
      </c>
      <c r="K84" s="63">
        <f t="shared" si="8"/>
        <v>0.5</v>
      </c>
      <c r="L84">
        <f>ROUND(SUMIF(Council_Data!$V$3:$V$838,$A84,Council_Data!$N$3:$N$838)*0.7,0)</f>
        <v>0</v>
      </c>
      <c r="M84">
        <f>SUMIF(Council_Data!$V$3:$V$838,$A84,Council_Data!$O$3:$O$838)</f>
        <v>0</v>
      </c>
      <c r="N84">
        <f>SUMIF(Council_Data!$V$3:$V$838,$A84,Council_Data!$P$3:$P$838)</f>
        <v>1</v>
      </c>
      <c r="O84">
        <f>SUMIF(Council_Data!$V$3:$V$838,$A84,Council_Data!$Q$3:$Q$838)</f>
        <v>-1</v>
      </c>
      <c r="P84">
        <f>SUMIF(Council_Data!$V$3:$V$838,$A84,Council_Data!$R$3:$R$838)</f>
        <v>2</v>
      </c>
      <c r="Q84">
        <f>SUMIF(Council_Data!$V$3:$V$838,$A84,Council_Data!$S$3:$S$838)</f>
        <v>1</v>
      </c>
      <c r="R84">
        <f>SUMIF(Council_Data!$V$3:$V$838,$A84,Council_Data!$T$3:$T$838)</f>
        <v>1</v>
      </c>
      <c r="S84" s="63">
        <f t="shared" si="9"/>
        <v>0</v>
      </c>
      <c r="T84" t="str">
        <f>IF(ISNA(VLOOKUP($A84,DD_Info!$A$1:$E$222,2,0)),0,VLOOKUP($A84,DD_Info!$A$1:$E$222,2,0))</f>
        <v>Thomas J. Gooney</v>
      </c>
    </row>
    <row r="85" spans="1:20">
      <c r="A85" s="81">
        <v>85</v>
      </c>
      <c r="B85" t="str">
        <f>IF(ISNA(VLOOKUP($A85,DD_Info!$A$1:$E$222,3,0)),0,VLOOKUP($A85,DD_Info!$A$1:$E$222,3,0))</f>
        <v>Galv/Hous</v>
      </c>
      <c r="C85">
        <f>SUMIF(Council_Data!$V$3:$V$838,$A85,Council_Data!$E$3:$E$838)</f>
        <v>1301</v>
      </c>
      <c r="D85">
        <f>ROUND(SUMIF(Council_Data!$V$3:$V$838,$A85,Council_Data!$F$3:$F$838)*0.7,0)</f>
        <v>44</v>
      </c>
      <c r="E85">
        <f>SUMIF(Council_Data!$V$3:$V$838,$A85,Council_Data!$G$3:$G$838)</f>
        <v>0</v>
      </c>
      <c r="F85">
        <f>SUMIF(Council_Data!$V$3:$V$838,$A85,Council_Data!$H$3:$H$838)</f>
        <v>5</v>
      </c>
      <c r="G85">
        <f>SUMIF(Council_Data!$V$3:$V$838,$A85,Council_Data!$I$3:$I$838)</f>
        <v>-5</v>
      </c>
      <c r="H85">
        <f>SUMIF(Council_Data!$V$3:$V$838,$A85,Council_Data!$J$3:$J$838)</f>
        <v>2</v>
      </c>
      <c r="I85">
        <f>SUMIF(Council_Data!$V$3:$V$838,$A85,Council_Data!$K$3:$K$838)</f>
        <v>40</v>
      </c>
      <c r="J85">
        <f>SUMIF(Council_Data!$V$3:$V$838,$A85,Council_Data!$L$3:$L$838)</f>
        <v>-38</v>
      </c>
      <c r="K85" s="63">
        <f t="shared" si="8"/>
        <v>-0.86363636363636365</v>
      </c>
      <c r="L85">
        <f>ROUND(SUMIF(Council_Data!$V$3:$V$838,$A85,Council_Data!$N$3:$N$838)*0.7,0)</f>
        <v>0</v>
      </c>
      <c r="M85">
        <f>SUMIF(Council_Data!$V$3:$V$838,$A85,Council_Data!$O$3:$O$838)</f>
        <v>1</v>
      </c>
      <c r="N85">
        <f>SUMIF(Council_Data!$V$3:$V$838,$A85,Council_Data!$P$3:$P$838)</f>
        <v>1</v>
      </c>
      <c r="O85">
        <f>SUMIF(Council_Data!$V$3:$V$838,$A85,Council_Data!$Q$3:$Q$838)</f>
        <v>0</v>
      </c>
      <c r="P85">
        <f>SUMIF(Council_Data!$V$3:$V$838,$A85,Council_Data!$R$3:$R$838)</f>
        <v>9</v>
      </c>
      <c r="Q85">
        <f>SUMIF(Council_Data!$V$3:$V$838,$A85,Council_Data!$S$3:$S$838)</f>
        <v>10</v>
      </c>
      <c r="R85">
        <f>SUMIF(Council_Data!$V$3:$V$838,$A85,Council_Data!$T$3:$T$838)</f>
        <v>-1</v>
      </c>
      <c r="S85" s="63">
        <f t="shared" si="9"/>
        <v>0</v>
      </c>
      <c r="T85" t="str">
        <f>IF(ISNA(VLOOKUP($A85,DD_Info!$A$1:$E$222,2,0)),0,VLOOKUP($A85,DD_Info!$A$1:$E$222,2,0))</f>
        <v>Patrick L Russek</v>
      </c>
    </row>
    <row r="86" spans="1:20">
      <c r="A86" s="81">
        <v>86</v>
      </c>
      <c r="B86" t="str">
        <f>IF(ISNA(VLOOKUP($A86,DD_Info!$A$1:$E$222,3,0)),0,VLOOKUP($A86,DD_Info!$A$1:$E$222,3,0))</f>
        <v>Galv/Hous</v>
      </c>
      <c r="C86">
        <f>SUMIF(Council_Data!$V$3:$V$838,$A86,Council_Data!$E$3:$E$838)</f>
        <v>614</v>
      </c>
      <c r="D86">
        <f>ROUND(SUMIF(Council_Data!$V$3:$V$838,$A86,Council_Data!$F$3:$F$838)*0.7,0)</f>
        <v>21</v>
      </c>
      <c r="E86">
        <f>SUMIF(Council_Data!$V$3:$V$838,$A86,Council_Data!$G$3:$G$838)</f>
        <v>0</v>
      </c>
      <c r="F86">
        <f>SUMIF(Council_Data!$V$3:$V$838,$A86,Council_Data!$H$3:$H$838)</f>
        <v>0</v>
      </c>
      <c r="G86">
        <f>SUMIF(Council_Data!$V$3:$V$838,$A86,Council_Data!$I$3:$I$838)</f>
        <v>0</v>
      </c>
      <c r="H86">
        <f>SUMIF(Council_Data!$V$3:$V$838,$A86,Council_Data!$J$3:$J$838)</f>
        <v>0</v>
      </c>
      <c r="I86">
        <f>SUMIF(Council_Data!$V$3:$V$838,$A86,Council_Data!$K$3:$K$838)</f>
        <v>0</v>
      </c>
      <c r="J86">
        <f>SUMIF(Council_Data!$V$3:$V$838,$A86,Council_Data!$L$3:$L$838)</f>
        <v>0</v>
      </c>
      <c r="K86" s="63">
        <f t="shared" si="8"/>
        <v>0</v>
      </c>
      <c r="L86">
        <f>ROUND(SUMIF(Council_Data!$V$3:$V$838,$A86,Council_Data!$N$3:$N$838)*0.7,0)</f>
        <v>0</v>
      </c>
      <c r="M86">
        <f>SUMIF(Council_Data!$V$3:$V$838,$A86,Council_Data!$O$3:$O$838)</f>
        <v>0</v>
      </c>
      <c r="N86">
        <f>SUMIF(Council_Data!$V$3:$V$838,$A86,Council_Data!$P$3:$P$838)</f>
        <v>6</v>
      </c>
      <c r="O86">
        <f>SUMIF(Council_Data!$V$3:$V$838,$A86,Council_Data!$Q$3:$Q$838)</f>
        <v>-6</v>
      </c>
      <c r="P86">
        <f>SUMIF(Council_Data!$V$3:$V$838,$A86,Council_Data!$R$3:$R$838)</f>
        <v>3</v>
      </c>
      <c r="Q86">
        <f>SUMIF(Council_Data!$V$3:$V$838,$A86,Council_Data!$S$3:$S$838)</f>
        <v>7</v>
      </c>
      <c r="R86">
        <f>SUMIF(Council_Data!$V$3:$V$838,$A86,Council_Data!$T$3:$T$838)</f>
        <v>-4</v>
      </c>
      <c r="S86" s="63">
        <f t="shared" si="9"/>
        <v>0</v>
      </c>
      <c r="T86" t="str">
        <f>IF(ISNA(VLOOKUP($A86,DD_Info!$A$1:$E$222,2,0)),0,VLOOKUP($A86,DD_Info!$A$1:$E$222,2,0))</f>
        <v>Clarence "CJ"  Hattier</v>
      </c>
    </row>
    <row r="87" spans="1:20">
      <c r="A87" s="81">
        <v>87</v>
      </c>
      <c r="B87" t="str">
        <f>IF(ISNA(VLOOKUP($A87,DD_Info!$A$1:$E$222,3,0)),0,VLOOKUP($A87,DD_Info!$A$1:$E$222,3,0))</f>
        <v>Galv/Hous</v>
      </c>
      <c r="C87">
        <f>SUMIF(Council_Data!$V$3:$V$838,$A87,Council_Data!$E$3:$E$838)</f>
        <v>583</v>
      </c>
      <c r="D87">
        <f>ROUND(SUMIF(Council_Data!$V$3:$V$838,$A87,Council_Data!$F$3:$F$838)*0.7,0)</f>
        <v>20</v>
      </c>
      <c r="E87">
        <f>SUMIF(Council_Data!$V$3:$V$838,$A87,Council_Data!$G$3:$G$838)</f>
        <v>3</v>
      </c>
      <c r="F87">
        <f>SUMIF(Council_Data!$V$3:$V$838,$A87,Council_Data!$H$3:$H$838)</f>
        <v>0</v>
      </c>
      <c r="G87">
        <f>SUMIF(Council_Data!$V$3:$V$838,$A87,Council_Data!$I$3:$I$838)</f>
        <v>3</v>
      </c>
      <c r="H87">
        <f>SUMIF(Council_Data!$V$3:$V$838,$A87,Council_Data!$J$3:$J$838)</f>
        <v>13</v>
      </c>
      <c r="I87">
        <f>SUMIF(Council_Data!$V$3:$V$838,$A87,Council_Data!$K$3:$K$838)</f>
        <v>0</v>
      </c>
      <c r="J87">
        <f>SUMIF(Council_Data!$V$3:$V$838,$A87,Council_Data!$L$3:$L$838)</f>
        <v>13</v>
      </c>
      <c r="K87" s="63">
        <f t="shared" si="8"/>
        <v>0.65</v>
      </c>
      <c r="L87">
        <f>ROUND(SUMIF(Council_Data!$V$3:$V$838,$A87,Council_Data!$N$3:$N$838)*0.7,0)</f>
        <v>0</v>
      </c>
      <c r="M87">
        <f>SUMIF(Council_Data!$V$3:$V$838,$A87,Council_Data!$O$3:$O$838)</f>
        <v>0</v>
      </c>
      <c r="N87">
        <f>SUMIF(Council_Data!$V$3:$V$838,$A87,Council_Data!$P$3:$P$838)</f>
        <v>0</v>
      </c>
      <c r="O87">
        <f>SUMIF(Council_Data!$V$3:$V$838,$A87,Council_Data!$Q$3:$Q$838)</f>
        <v>0</v>
      </c>
      <c r="P87">
        <f>SUMIF(Council_Data!$V$3:$V$838,$A87,Council_Data!$R$3:$R$838)</f>
        <v>1</v>
      </c>
      <c r="Q87">
        <f>SUMIF(Council_Data!$V$3:$V$838,$A87,Council_Data!$S$3:$S$838)</f>
        <v>1</v>
      </c>
      <c r="R87">
        <f>SUMIF(Council_Data!$V$3:$V$838,$A87,Council_Data!$T$3:$T$838)</f>
        <v>0</v>
      </c>
      <c r="S87" s="63">
        <f t="shared" si="9"/>
        <v>0</v>
      </c>
      <c r="T87" t="str">
        <f>IF(ISNA(VLOOKUP($A87,DD_Info!$A$1:$E$222,2,0)),0,VLOOKUP($A87,DD_Info!$A$1:$E$222,2,0))</f>
        <v>Juan A Perez</v>
      </c>
    </row>
    <row r="88" spans="1:20">
      <c r="A88" s="81">
        <v>88</v>
      </c>
      <c r="B88" t="str">
        <f>IF(ISNA(VLOOKUP($A88,DD_Info!$A$1:$E$222,3,0)),0,VLOOKUP($A88,DD_Info!$A$1:$E$222,3,0))</f>
        <v>Galv/Hous</v>
      </c>
      <c r="C88">
        <f>SUMIF(Council_Data!$V$3:$V$838,$A88,Council_Data!$E$3:$E$838)</f>
        <v>897</v>
      </c>
      <c r="D88">
        <f>ROUND(SUMIF(Council_Data!$V$3:$V$838,$A88,Council_Data!$F$3:$F$838)*0.7,0)</f>
        <v>28</v>
      </c>
      <c r="E88">
        <f>SUMIF(Council_Data!$V$3:$V$838,$A88,Council_Data!$G$3:$G$838)</f>
        <v>2</v>
      </c>
      <c r="F88">
        <f>SUMIF(Council_Data!$V$3:$V$838,$A88,Council_Data!$H$3:$H$838)</f>
        <v>0</v>
      </c>
      <c r="G88">
        <f>SUMIF(Council_Data!$V$3:$V$838,$A88,Council_Data!$I$3:$I$838)</f>
        <v>2</v>
      </c>
      <c r="H88">
        <f>SUMIF(Council_Data!$V$3:$V$838,$A88,Council_Data!$J$3:$J$838)</f>
        <v>9</v>
      </c>
      <c r="I88">
        <f>SUMIF(Council_Data!$V$3:$V$838,$A88,Council_Data!$K$3:$K$838)</f>
        <v>0</v>
      </c>
      <c r="J88">
        <f>SUMIF(Council_Data!$V$3:$V$838,$A88,Council_Data!$L$3:$L$838)</f>
        <v>9</v>
      </c>
      <c r="K88" s="63">
        <f t="shared" si="8"/>
        <v>0.32142857142857145</v>
      </c>
      <c r="L88">
        <f>ROUND(SUMIF(Council_Data!$V$3:$V$838,$A88,Council_Data!$N$3:$N$838)*0.7,0)</f>
        <v>0</v>
      </c>
      <c r="M88">
        <f>SUMIF(Council_Data!$V$3:$V$838,$A88,Council_Data!$O$3:$O$838)</f>
        <v>0</v>
      </c>
      <c r="N88">
        <f>SUMIF(Council_Data!$V$3:$V$838,$A88,Council_Data!$P$3:$P$838)</f>
        <v>4</v>
      </c>
      <c r="O88">
        <f>SUMIF(Council_Data!$V$3:$V$838,$A88,Council_Data!$Q$3:$Q$838)</f>
        <v>-4</v>
      </c>
      <c r="P88">
        <f>SUMIF(Council_Data!$V$3:$V$838,$A88,Council_Data!$R$3:$R$838)</f>
        <v>4</v>
      </c>
      <c r="Q88">
        <f>SUMIF(Council_Data!$V$3:$V$838,$A88,Council_Data!$S$3:$S$838)</f>
        <v>6</v>
      </c>
      <c r="R88">
        <f>SUMIF(Council_Data!$V$3:$V$838,$A88,Council_Data!$T$3:$T$838)</f>
        <v>-2</v>
      </c>
      <c r="S88" s="63">
        <f t="shared" si="9"/>
        <v>0</v>
      </c>
      <c r="T88" t="str">
        <f>IF(ISNA(VLOOKUP($A88,DD_Info!$A$1:$E$222,2,0)),0,VLOOKUP($A88,DD_Info!$A$1:$E$222,2,0))</f>
        <v>Larry  Ordaz</v>
      </c>
    </row>
    <row r="89" spans="1:20">
      <c r="A89" s="81">
        <v>89</v>
      </c>
      <c r="B89" t="str">
        <f>IF(ISNA(VLOOKUP($A89,DD_Info!$A$1:$E$222,3,0)),0,VLOOKUP($A89,DD_Info!$A$1:$E$222,3,0))</f>
        <v>Galv/Hous</v>
      </c>
      <c r="C89">
        <f>SUMIF(Council_Data!$V$3:$V$838,$A89,Council_Data!$E$3:$E$838)</f>
        <v>204</v>
      </c>
      <c r="D89">
        <f>ROUND(SUMIF(Council_Data!$V$3:$V$838,$A89,Council_Data!$F$3:$F$838)*0.7,0)</f>
        <v>8</v>
      </c>
      <c r="E89">
        <f>SUMIF(Council_Data!$V$3:$V$838,$A89,Council_Data!$G$3:$G$838)</f>
        <v>0</v>
      </c>
      <c r="F89">
        <f>SUMIF(Council_Data!$V$3:$V$838,$A89,Council_Data!$H$3:$H$838)</f>
        <v>0</v>
      </c>
      <c r="G89">
        <f>SUMIF(Council_Data!$V$3:$V$838,$A89,Council_Data!$I$3:$I$838)</f>
        <v>0</v>
      </c>
      <c r="H89">
        <f>SUMIF(Council_Data!$V$3:$V$838,$A89,Council_Data!$J$3:$J$838)</f>
        <v>2</v>
      </c>
      <c r="I89">
        <f>SUMIF(Council_Data!$V$3:$V$838,$A89,Council_Data!$K$3:$K$838)</f>
        <v>0</v>
      </c>
      <c r="J89">
        <f>SUMIF(Council_Data!$V$3:$V$838,$A89,Council_Data!$L$3:$L$838)</f>
        <v>2</v>
      </c>
      <c r="K89" s="63">
        <f t="shared" si="8"/>
        <v>0.25</v>
      </c>
      <c r="L89">
        <f>ROUND(SUMIF(Council_Data!$V$3:$V$838,$A89,Council_Data!$N$3:$N$838)*0.7,0)</f>
        <v>0</v>
      </c>
      <c r="M89">
        <f>SUMIF(Council_Data!$V$3:$V$838,$A89,Council_Data!$O$3:$O$838)</f>
        <v>1</v>
      </c>
      <c r="N89">
        <f>SUMIF(Council_Data!$V$3:$V$838,$A89,Council_Data!$P$3:$P$838)</f>
        <v>0</v>
      </c>
      <c r="O89">
        <f>SUMIF(Council_Data!$V$3:$V$838,$A89,Council_Data!$Q$3:$Q$838)</f>
        <v>1</v>
      </c>
      <c r="P89">
        <f>SUMIF(Council_Data!$V$3:$V$838,$A89,Council_Data!$R$3:$R$838)</f>
        <v>2</v>
      </c>
      <c r="Q89">
        <f>SUMIF(Council_Data!$V$3:$V$838,$A89,Council_Data!$S$3:$S$838)</f>
        <v>0</v>
      </c>
      <c r="R89">
        <f>SUMIF(Council_Data!$V$3:$V$838,$A89,Council_Data!$T$3:$T$838)</f>
        <v>2</v>
      </c>
      <c r="S89" s="63">
        <f t="shared" si="9"/>
        <v>0</v>
      </c>
      <c r="T89" t="str">
        <f>IF(ISNA(VLOOKUP($A89,DD_Info!$A$1:$E$222,2,0)),0,VLOOKUP($A89,DD_Info!$A$1:$E$222,2,0))</f>
        <v>Abner  Brown Jr</v>
      </c>
    </row>
    <row r="90" spans="1:20">
      <c r="A90" s="81">
        <v>90</v>
      </c>
      <c r="B90" t="str">
        <f>IF(ISNA(VLOOKUP($A90,DD_Info!$A$1:$E$222,3,0)),0,VLOOKUP($A90,DD_Info!$A$1:$E$222,3,0))</f>
        <v>Galv/Hous</v>
      </c>
      <c r="C90">
        <f>SUMIF(Council_Data!$V$3:$V$838,$A90,Council_Data!$E$3:$E$838)</f>
        <v>1236</v>
      </c>
      <c r="D90">
        <f>ROUND(SUMIF(Council_Data!$V$3:$V$838,$A90,Council_Data!$F$3:$F$838)*0.7,0)</f>
        <v>31</v>
      </c>
      <c r="E90">
        <f>SUMIF(Council_Data!$V$3:$V$838,$A90,Council_Data!$G$3:$G$838)</f>
        <v>1</v>
      </c>
      <c r="F90">
        <f>SUMIF(Council_Data!$V$3:$V$838,$A90,Council_Data!$H$3:$H$838)</f>
        <v>1</v>
      </c>
      <c r="G90">
        <f>SUMIF(Council_Data!$V$3:$V$838,$A90,Council_Data!$I$3:$I$838)</f>
        <v>0</v>
      </c>
      <c r="H90">
        <f>SUMIF(Council_Data!$V$3:$V$838,$A90,Council_Data!$J$3:$J$838)</f>
        <v>4</v>
      </c>
      <c r="I90">
        <f>SUMIF(Council_Data!$V$3:$V$838,$A90,Council_Data!$K$3:$K$838)</f>
        <v>2</v>
      </c>
      <c r="J90">
        <f>SUMIF(Council_Data!$V$3:$V$838,$A90,Council_Data!$L$3:$L$838)</f>
        <v>2</v>
      </c>
      <c r="K90" s="63">
        <f t="shared" si="8"/>
        <v>6.4516129032258063E-2</v>
      </c>
      <c r="L90">
        <f>ROUND(SUMIF(Council_Data!$V$3:$V$838,$A90,Council_Data!$N$3:$N$838)*0.7,0)</f>
        <v>0</v>
      </c>
      <c r="M90">
        <f>SUMIF(Council_Data!$V$3:$V$838,$A90,Council_Data!$O$3:$O$838)</f>
        <v>1</v>
      </c>
      <c r="N90">
        <f>SUMIF(Council_Data!$V$3:$V$838,$A90,Council_Data!$P$3:$P$838)</f>
        <v>2</v>
      </c>
      <c r="O90">
        <f>SUMIF(Council_Data!$V$3:$V$838,$A90,Council_Data!$Q$3:$Q$838)</f>
        <v>-1</v>
      </c>
      <c r="P90">
        <f>SUMIF(Council_Data!$V$3:$V$838,$A90,Council_Data!$R$3:$R$838)</f>
        <v>3</v>
      </c>
      <c r="Q90">
        <f>SUMIF(Council_Data!$V$3:$V$838,$A90,Council_Data!$S$3:$S$838)</f>
        <v>7</v>
      </c>
      <c r="R90">
        <f>SUMIF(Council_Data!$V$3:$V$838,$A90,Council_Data!$T$3:$T$838)</f>
        <v>-4</v>
      </c>
      <c r="S90" s="63">
        <f t="shared" si="9"/>
        <v>0</v>
      </c>
      <c r="T90" t="str">
        <f>IF(ISNA(VLOOKUP($A90,DD_Info!$A$1:$E$222,2,0)),0,VLOOKUP($A90,DD_Info!$A$1:$E$222,2,0))</f>
        <v>Reggie  Vasquez</v>
      </c>
    </row>
    <row r="91" spans="1:20">
      <c r="A91" s="81">
        <v>91</v>
      </c>
      <c r="B91" t="str">
        <f>IF(ISNA(VLOOKUP($A91,DD_Info!$A$1:$E$222,3,0)),0,VLOOKUP($A91,DD_Info!$A$1:$E$222,3,0))</f>
        <v>Galv/Hous</v>
      </c>
      <c r="C91">
        <f>SUMIF(Council_Data!$V$3:$V$838,$A91,Council_Data!$E$3:$E$838)</f>
        <v>694</v>
      </c>
      <c r="D91">
        <f>ROUND(SUMIF(Council_Data!$V$3:$V$838,$A91,Council_Data!$F$3:$F$838)*0.7,0)</f>
        <v>20</v>
      </c>
      <c r="E91">
        <f>SUMIF(Council_Data!$V$3:$V$838,$A91,Council_Data!$G$3:$G$838)</f>
        <v>0</v>
      </c>
      <c r="F91">
        <f>SUMIF(Council_Data!$V$3:$V$838,$A91,Council_Data!$H$3:$H$838)</f>
        <v>1</v>
      </c>
      <c r="G91">
        <f>SUMIF(Council_Data!$V$3:$V$838,$A91,Council_Data!$I$3:$I$838)</f>
        <v>-1</v>
      </c>
      <c r="H91">
        <f>SUMIF(Council_Data!$V$3:$V$838,$A91,Council_Data!$J$3:$J$838)</f>
        <v>6</v>
      </c>
      <c r="I91">
        <f>SUMIF(Council_Data!$V$3:$V$838,$A91,Council_Data!$K$3:$K$838)</f>
        <v>7</v>
      </c>
      <c r="J91">
        <f>SUMIF(Council_Data!$V$3:$V$838,$A91,Council_Data!$L$3:$L$838)</f>
        <v>-1</v>
      </c>
      <c r="K91" s="63">
        <f t="shared" si="8"/>
        <v>-0.05</v>
      </c>
      <c r="L91">
        <f>ROUND(SUMIF(Council_Data!$V$3:$V$838,$A91,Council_Data!$N$3:$N$838)*0.7,0)</f>
        <v>0</v>
      </c>
      <c r="M91">
        <f>SUMIF(Council_Data!$V$3:$V$838,$A91,Council_Data!$O$3:$O$838)</f>
        <v>1</v>
      </c>
      <c r="N91">
        <f>SUMIF(Council_Data!$V$3:$V$838,$A91,Council_Data!$P$3:$P$838)</f>
        <v>5</v>
      </c>
      <c r="O91">
        <f>SUMIF(Council_Data!$V$3:$V$838,$A91,Council_Data!$Q$3:$Q$838)</f>
        <v>-4</v>
      </c>
      <c r="P91">
        <f>SUMIF(Council_Data!$V$3:$V$838,$A91,Council_Data!$R$3:$R$838)</f>
        <v>7</v>
      </c>
      <c r="Q91">
        <f>SUMIF(Council_Data!$V$3:$V$838,$A91,Council_Data!$S$3:$S$838)</f>
        <v>15</v>
      </c>
      <c r="R91">
        <f>SUMIF(Council_Data!$V$3:$V$838,$A91,Council_Data!$T$3:$T$838)</f>
        <v>-8</v>
      </c>
      <c r="S91" s="63">
        <f t="shared" si="9"/>
        <v>0</v>
      </c>
      <c r="T91" t="str">
        <f>IF(ISNA(VLOOKUP($A91,DD_Info!$A$1:$E$222,2,0)),0,VLOOKUP($A91,DD_Info!$A$1:$E$222,2,0))</f>
        <v>John Anthony  Martinez</v>
      </c>
    </row>
    <row r="92" spans="1:20">
      <c r="A92" s="81">
        <v>92</v>
      </c>
      <c r="B92" t="str">
        <f>IF(ISNA(VLOOKUP($A92,DD_Info!$A$1:$E$222,3,0)),0,VLOOKUP($A92,DD_Info!$A$1:$E$222,3,0))</f>
        <v>Galv/Hous</v>
      </c>
      <c r="C92">
        <f>SUMIF(Council_Data!$V$3:$V$838,$A92,Council_Data!$E$3:$E$838)</f>
        <v>1159</v>
      </c>
      <c r="D92">
        <f>ROUND(SUMIF(Council_Data!$V$3:$V$838,$A92,Council_Data!$F$3:$F$838)*0.7,0)</f>
        <v>30</v>
      </c>
      <c r="E92">
        <f>SUMIF(Council_Data!$V$3:$V$838,$A92,Council_Data!$G$3:$G$838)</f>
        <v>2</v>
      </c>
      <c r="F92">
        <f>SUMIF(Council_Data!$V$3:$V$838,$A92,Council_Data!$H$3:$H$838)</f>
        <v>0</v>
      </c>
      <c r="G92">
        <f>SUMIF(Council_Data!$V$3:$V$838,$A92,Council_Data!$I$3:$I$838)</f>
        <v>2</v>
      </c>
      <c r="H92">
        <f>SUMIF(Council_Data!$V$3:$V$838,$A92,Council_Data!$J$3:$J$838)</f>
        <v>17</v>
      </c>
      <c r="I92">
        <f>SUMIF(Council_Data!$V$3:$V$838,$A92,Council_Data!$K$3:$K$838)</f>
        <v>0</v>
      </c>
      <c r="J92">
        <f>SUMIF(Council_Data!$V$3:$V$838,$A92,Council_Data!$L$3:$L$838)</f>
        <v>17</v>
      </c>
      <c r="K92" s="63">
        <f t="shared" si="8"/>
        <v>0.56666666666666665</v>
      </c>
      <c r="L92">
        <f>ROUND(SUMIF(Council_Data!$V$3:$V$838,$A92,Council_Data!$N$3:$N$838)*0.7,0)</f>
        <v>0</v>
      </c>
      <c r="M92">
        <f>SUMIF(Council_Data!$V$3:$V$838,$A92,Council_Data!$O$3:$O$838)</f>
        <v>1</v>
      </c>
      <c r="N92">
        <f>SUMIF(Council_Data!$V$3:$V$838,$A92,Council_Data!$P$3:$P$838)</f>
        <v>3</v>
      </c>
      <c r="O92">
        <f>SUMIF(Council_Data!$V$3:$V$838,$A92,Council_Data!$Q$3:$Q$838)</f>
        <v>-2</v>
      </c>
      <c r="P92">
        <f>SUMIF(Council_Data!$V$3:$V$838,$A92,Council_Data!$R$3:$R$838)</f>
        <v>4</v>
      </c>
      <c r="Q92">
        <f>SUMIF(Council_Data!$V$3:$V$838,$A92,Council_Data!$S$3:$S$838)</f>
        <v>5</v>
      </c>
      <c r="R92">
        <f>SUMIF(Council_Data!$V$3:$V$838,$A92,Council_Data!$T$3:$T$838)</f>
        <v>-1</v>
      </c>
      <c r="S92" s="63">
        <f t="shared" si="9"/>
        <v>0</v>
      </c>
      <c r="T92" t="str">
        <f>IF(ISNA(VLOOKUP($A92,DD_Info!$A$1:$E$222,2,0)),0,VLOOKUP($A92,DD_Info!$A$1:$E$222,2,0))</f>
        <v>Robert "Bob" H Schmidt</v>
      </c>
    </row>
    <row r="93" spans="1:20">
      <c r="A93" s="81">
        <v>93</v>
      </c>
      <c r="B93" t="str">
        <f>IF(ISNA(VLOOKUP($A93,DD_Info!$A$1:$E$222,3,0)),0,VLOOKUP($A93,DD_Info!$A$1:$E$222,3,0))</f>
        <v>Galv/Hous</v>
      </c>
      <c r="C93">
        <f>SUMIF(Council_Data!$V$3:$V$838,$A93,Council_Data!$E$3:$E$838)</f>
        <v>1121</v>
      </c>
      <c r="D93">
        <f>ROUND(SUMIF(Council_Data!$V$3:$V$838,$A93,Council_Data!$F$3:$F$838)*0.7,0)</f>
        <v>37</v>
      </c>
      <c r="E93">
        <f>SUMIF(Council_Data!$V$3:$V$838,$A93,Council_Data!$G$3:$G$838)</f>
        <v>2</v>
      </c>
      <c r="F93">
        <f>SUMIF(Council_Data!$V$3:$V$838,$A93,Council_Data!$H$3:$H$838)</f>
        <v>2</v>
      </c>
      <c r="G93">
        <f>SUMIF(Council_Data!$V$3:$V$838,$A93,Council_Data!$I$3:$I$838)</f>
        <v>0</v>
      </c>
      <c r="H93">
        <f>SUMIF(Council_Data!$V$3:$V$838,$A93,Council_Data!$J$3:$J$838)</f>
        <v>13</v>
      </c>
      <c r="I93">
        <f>SUMIF(Council_Data!$V$3:$V$838,$A93,Council_Data!$K$3:$K$838)</f>
        <v>2</v>
      </c>
      <c r="J93">
        <f>SUMIF(Council_Data!$V$3:$V$838,$A93,Council_Data!$L$3:$L$838)</f>
        <v>11</v>
      </c>
      <c r="K93" s="63">
        <f t="shared" si="8"/>
        <v>0.29729729729729731</v>
      </c>
      <c r="L93">
        <f>ROUND(SUMIF(Council_Data!$V$3:$V$838,$A93,Council_Data!$N$3:$N$838)*0.7,0)</f>
        <v>0</v>
      </c>
      <c r="M93">
        <f>SUMIF(Council_Data!$V$3:$V$838,$A93,Council_Data!$O$3:$O$838)</f>
        <v>1</v>
      </c>
      <c r="N93">
        <f>SUMIF(Council_Data!$V$3:$V$838,$A93,Council_Data!$P$3:$P$838)</f>
        <v>2</v>
      </c>
      <c r="O93">
        <f>SUMIF(Council_Data!$V$3:$V$838,$A93,Council_Data!$Q$3:$Q$838)</f>
        <v>-1</v>
      </c>
      <c r="P93">
        <f>SUMIF(Council_Data!$V$3:$V$838,$A93,Council_Data!$R$3:$R$838)</f>
        <v>6</v>
      </c>
      <c r="Q93">
        <f>SUMIF(Council_Data!$V$3:$V$838,$A93,Council_Data!$S$3:$S$838)</f>
        <v>5</v>
      </c>
      <c r="R93">
        <f>SUMIF(Council_Data!$V$3:$V$838,$A93,Council_Data!$T$3:$T$838)</f>
        <v>1</v>
      </c>
      <c r="S93" s="63">
        <f t="shared" si="9"/>
        <v>0</v>
      </c>
      <c r="T93" t="str">
        <f>IF(ISNA(VLOOKUP($A93,DD_Info!$A$1:$E$222,2,0)),0,VLOOKUP($A93,DD_Info!$A$1:$E$222,2,0))</f>
        <v>TBD</v>
      </c>
    </row>
    <row r="94" spans="1:20">
      <c r="A94" s="81">
        <v>94</v>
      </c>
      <c r="B94" t="str">
        <f>IF(ISNA(VLOOKUP($A94,DD_Info!$A$1:$E$222,3,0)),0,VLOOKUP($A94,DD_Info!$A$1:$E$222,3,0))</f>
        <v>Galv/Hous</v>
      </c>
      <c r="C94">
        <f>SUMIF(Council_Data!$V$3:$V$838,$A94,Council_Data!$E$3:$E$838)</f>
        <v>848</v>
      </c>
      <c r="D94">
        <f>ROUND(SUMIF(Council_Data!$V$3:$V$838,$A94,Council_Data!$F$3:$F$838)*0.7,0)</f>
        <v>27</v>
      </c>
      <c r="E94">
        <f>SUMIF(Council_Data!$V$3:$V$838,$A94,Council_Data!$G$3:$G$838)</f>
        <v>1</v>
      </c>
      <c r="F94">
        <f>SUMIF(Council_Data!$V$3:$V$838,$A94,Council_Data!$H$3:$H$838)</f>
        <v>0</v>
      </c>
      <c r="G94">
        <f>SUMIF(Council_Data!$V$3:$V$838,$A94,Council_Data!$I$3:$I$838)</f>
        <v>1</v>
      </c>
      <c r="H94">
        <f>SUMIF(Council_Data!$V$3:$V$838,$A94,Council_Data!$J$3:$J$838)</f>
        <v>5</v>
      </c>
      <c r="I94">
        <f>SUMIF(Council_Data!$V$3:$V$838,$A94,Council_Data!$K$3:$K$838)</f>
        <v>1</v>
      </c>
      <c r="J94">
        <f>SUMIF(Council_Data!$V$3:$V$838,$A94,Council_Data!$L$3:$L$838)</f>
        <v>4</v>
      </c>
      <c r="K94" s="63">
        <f t="shared" si="8"/>
        <v>0.14814814814814814</v>
      </c>
      <c r="L94">
        <f>ROUND(SUMIF(Council_Data!$V$3:$V$838,$A94,Council_Data!$N$3:$N$838)*0.7,0)</f>
        <v>0</v>
      </c>
      <c r="M94">
        <f>SUMIF(Council_Data!$V$3:$V$838,$A94,Council_Data!$O$3:$O$838)</f>
        <v>0</v>
      </c>
      <c r="N94">
        <f>SUMIF(Council_Data!$V$3:$V$838,$A94,Council_Data!$P$3:$P$838)</f>
        <v>3</v>
      </c>
      <c r="O94">
        <f>SUMIF(Council_Data!$V$3:$V$838,$A94,Council_Data!$Q$3:$Q$838)</f>
        <v>-3</v>
      </c>
      <c r="P94">
        <f>SUMIF(Council_Data!$V$3:$V$838,$A94,Council_Data!$R$3:$R$838)</f>
        <v>2</v>
      </c>
      <c r="Q94">
        <f>SUMIF(Council_Data!$V$3:$V$838,$A94,Council_Data!$S$3:$S$838)</f>
        <v>6</v>
      </c>
      <c r="R94">
        <f>SUMIF(Council_Data!$V$3:$V$838,$A94,Council_Data!$T$3:$T$838)</f>
        <v>-4</v>
      </c>
      <c r="S94" s="63">
        <f t="shared" si="9"/>
        <v>0</v>
      </c>
      <c r="T94" t="str">
        <f>IF(ISNA(VLOOKUP($A94,DD_Info!$A$1:$E$222,2,0)),0,VLOOKUP($A94,DD_Info!$A$1:$E$222,2,0))</f>
        <v>Larry  Pellerito</v>
      </c>
    </row>
    <row r="95" spans="1:20">
      <c r="A95" s="81">
        <v>95</v>
      </c>
      <c r="B95" t="str">
        <f>IF(ISNA(VLOOKUP($A95,DD_Info!$A$1:$E$222,3,0)),0,VLOOKUP($A95,DD_Info!$A$1:$E$222,3,0))</f>
        <v>Galv/Hous</v>
      </c>
      <c r="C95">
        <f>SUMIF(Council_Data!$V$3:$V$838,$A95,Council_Data!$E$3:$E$838)</f>
        <v>411</v>
      </c>
      <c r="D95">
        <f>ROUND(SUMIF(Council_Data!$V$3:$V$838,$A95,Council_Data!$F$3:$F$838)*0.7,0)</f>
        <v>15</v>
      </c>
      <c r="E95">
        <f>SUMIF(Council_Data!$V$3:$V$838,$A95,Council_Data!$G$3:$G$838)</f>
        <v>0</v>
      </c>
      <c r="F95">
        <f>SUMIF(Council_Data!$V$3:$V$838,$A95,Council_Data!$H$3:$H$838)</f>
        <v>0</v>
      </c>
      <c r="G95">
        <f>SUMIF(Council_Data!$V$3:$V$838,$A95,Council_Data!$I$3:$I$838)</f>
        <v>0</v>
      </c>
      <c r="H95">
        <f>SUMIF(Council_Data!$V$3:$V$838,$A95,Council_Data!$J$3:$J$838)</f>
        <v>1</v>
      </c>
      <c r="I95">
        <f>SUMIF(Council_Data!$V$3:$V$838,$A95,Council_Data!$K$3:$K$838)</f>
        <v>0</v>
      </c>
      <c r="J95">
        <f>SUMIF(Council_Data!$V$3:$V$838,$A95,Council_Data!$L$3:$L$838)</f>
        <v>1</v>
      </c>
      <c r="K95" s="63">
        <f t="shared" si="8"/>
        <v>6.6666666666666666E-2</v>
      </c>
      <c r="L95">
        <f>ROUND(SUMIF(Council_Data!$V$3:$V$838,$A95,Council_Data!$N$3:$N$838)*0.7,0)</f>
        <v>0</v>
      </c>
      <c r="M95">
        <f>SUMIF(Council_Data!$V$3:$V$838,$A95,Council_Data!$O$3:$O$838)</f>
        <v>0</v>
      </c>
      <c r="N95">
        <f>SUMIF(Council_Data!$V$3:$V$838,$A95,Council_Data!$P$3:$P$838)</f>
        <v>1</v>
      </c>
      <c r="O95">
        <f>SUMIF(Council_Data!$V$3:$V$838,$A95,Council_Data!$Q$3:$Q$838)</f>
        <v>-1</v>
      </c>
      <c r="P95">
        <f>SUMIF(Council_Data!$V$3:$V$838,$A95,Council_Data!$R$3:$R$838)</f>
        <v>2</v>
      </c>
      <c r="Q95">
        <f>SUMIF(Council_Data!$V$3:$V$838,$A95,Council_Data!$S$3:$S$838)</f>
        <v>2</v>
      </c>
      <c r="R95">
        <f>SUMIF(Council_Data!$V$3:$V$838,$A95,Council_Data!$T$3:$T$838)</f>
        <v>0</v>
      </c>
      <c r="S95" s="63">
        <f t="shared" si="9"/>
        <v>0</v>
      </c>
      <c r="T95" t="str">
        <f>IF(ISNA(VLOOKUP($A95,DD_Info!$A$1:$E$222,2,0)),0,VLOOKUP($A95,DD_Info!$A$1:$E$222,2,0))</f>
        <v>Joseph A Geiman</v>
      </c>
    </row>
    <row r="96" spans="1:20">
      <c r="A96" s="81">
        <v>96</v>
      </c>
      <c r="B96" t="str">
        <f>IF(ISNA(VLOOKUP($A96,DD_Info!$A$1:$E$222,3,0)),0,VLOOKUP($A96,DD_Info!$A$1:$E$222,3,0))</f>
        <v>Galv/Hous</v>
      </c>
      <c r="C96">
        <f>SUMIF(Council_Data!$V$3:$V$838,$A96,Council_Data!$E$3:$E$838)</f>
        <v>172</v>
      </c>
      <c r="D96">
        <f>ROUND(SUMIF(Council_Data!$V$3:$V$838,$A96,Council_Data!$F$3:$F$838)*0.7,0)</f>
        <v>6</v>
      </c>
      <c r="E96">
        <f>SUMIF(Council_Data!$V$3:$V$838,$A96,Council_Data!$G$3:$G$838)</f>
        <v>9</v>
      </c>
      <c r="F96">
        <f>SUMIF(Council_Data!$V$3:$V$838,$A96,Council_Data!$H$3:$H$838)</f>
        <v>0</v>
      </c>
      <c r="G96">
        <f>SUMIF(Council_Data!$V$3:$V$838,$A96,Council_Data!$I$3:$I$838)</f>
        <v>9</v>
      </c>
      <c r="H96">
        <f>SUMIF(Council_Data!$V$3:$V$838,$A96,Council_Data!$J$3:$J$838)</f>
        <v>32</v>
      </c>
      <c r="I96">
        <f>SUMIF(Council_Data!$V$3:$V$838,$A96,Council_Data!$K$3:$K$838)</f>
        <v>0</v>
      </c>
      <c r="J96">
        <f>SUMIF(Council_Data!$V$3:$V$838,$A96,Council_Data!$L$3:$L$838)</f>
        <v>32</v>
      </c>
      <c r="K96" s="63">
        <f t="shared" si="8"/>
        <v>5.333333333333333</v>
      </c>
      <c r="L96">
        <f>ROUND(SUMIF(Council_Data!$V$3:$V$838,$A96,Council_Data!$N$3:$N$838)*0.7,0)</f>
        <v>0</v>
      </c>
      <c r="M96">
        <f>SUMIF(Council_Data!$V$3:$V$838,$A96,Council_Data!$O$3:$O$838)</f>
        <v>1</v>
      </c>
      <c r="N96">
        <f>SUMIF(Council_Data!$V$3:$V$838,$A96,Council_Data!$P$3:$P$838)</f>
        <v>0</v>
      </c>
      <c r="O96">
        <f>SUMIF(Council_Data!$V$3:$V$838,$A96,Council_Data!$Q$3:$Q$838)</f>
        <v>1</v>
      </c>
      <c r="P96">
        <f>SUMIF(Council_Data!$V$3:$V$838,$A96,Council_Data!$R$3:$R$838)</f>
        <v>1</v>
      </c>
      <c r="Q96">
        <f>SUMIF(Council_Data!$V$3:$V$838,$A96,Council_Data!$S$3:$S$838)</f>
        <v>0</v>
      </c>
      <c r="R96">
        <f>SUMIF(Council_Data!$V$3:$V$838,$A96,Council_Data!$T$3:$T$838)</f>
        <v>1</v>
      </c>
      <c r="S96" s="63">
        <f t="shared" si="9"/>
        <v>0</v>
      </c>
      <c r="T96" t="str">
        <f>IF(ISNA(VLOOKUP($A96,DD_Info!$A$1:$E$222,2,0)),0,VLOOKUP($A96,DD_Info!$A$1:$E$222,2,0))</f>
        <v>John G Hinojosa</v>
      </c>
    </row>
    <row r="97" spans="1:20">
      <c r="A97" s="81">
        <v>97</v>
      </c>
      <c r="B97" t="str">
        <f>IF(ISNA(VLOOKUP($A97,DD_Info!$A$1:$E$222,3,0)),0,VLOOKUP($A97,DD_Info!$A$1:$E$222,3,0))</f>
        <v>Galv/Hous</v>
      </c>
      <c r="C97">
        <f>SUMIF(Council_Data!$V$3:$V$838,$A97,Council_Data!$E$3:$E$838)</f>
        <v>58</v>
      </c>
      <c r="D97">
        <f>ROUND(SUMIF(Council_Data!$V$3:$V$838,$A97,Council_Data!$F$3:$F$838)*0.7,0)</f>
        <v>5</v>
      </c>
      <c r="E97">
        <f>SUMIF(Council_Data!$V$3:$V$838,$A97,Council_Data!$G$3:$G$838)</f>
        <v>0</v>
      </c>
      <c r="F97">
        <f>SUMIF(Council_Data!$V$3:$V$838,$A97,Council_Data!$H$3:$H$838)</f>
        <v>0</v>
      </c>
      <c r="G97">
        <f>SUMIF(Council_Data!$V$3:$V$838,$A97,Council_Data!$I$3:$I$838)</f>
        <v>0</v>
      </c>
      <c r="H97">
        <f>SUMIF(Council_Data!$V$3:$V$838,$A97,Council_Data!$J$3:$J$838)</f>
        <v>0</v>
      </c>
      <c r="I97">
        <f>SUMIF(Council_Data!$V$3:$V$838,$A97,Council_Data!$K$3:$K$838)</f>
        <v>0</v>
      </c>
      <c r="J97">
        <f>SUMIF(Council_Data!$V$3:$V$838,$A97,Council_Data!$L$3:$L$838)</f>
        <v>0</v>
      </c>
      <c r="K97" s="63">
        <f t="shared" ref="K97" si="10">IFERROR(J97/D97,0)</f>
        <v>0</v>
      </c>
      <c r="L97">
        <f>ROUND(SUMIF(Council_Data!$V$3:$V$838,$A97,Council_Data!$N$3:$N$838)*0.7,0)</f>
        <v>0</v>
      </c>
      <c r="M97">
        <f>SUMIF(Council_Data!$V$3:$V$838,$A97,Council_Data!$O$3:$O$838)</f>
        <v>0</v>
      </c>
      <c r="N97">
        <f>SUMIF(Council_Data!$V$3:$V$838,$A97,Council_Data!$P$3:$P$838)</f>
        <v>0</v>
      </c>
      <c r="O97">
        <f>SUMIF(Council_Data!$V$3:$V$838,$A97,Council_Data!$Q$3:$Q$838)</f>
        <v>0</v>
      </c>
      <c r="P97">
        <f>SUMIF(Council_Data!$V$3:$V$838,$A97,Council_Data!$R$3:$R$838)</f>
        <v>0</v>
      </c>
      <c r="Q97">
        <f>SUMIF(Council_Data!$V$3:$V$838,$A97,Council_Data!$S$3:$S$838)</f>
        <v>0</v>
      </c>
      <c r="R97">
        <f>SUMIF(Council_Data!$V$3:$V$838,$A97,Council_Data!$T$3:$T$838)</f>
        <v>0</v>
      </c>
      <c r="S97" s="63">
        <f t="shared" ref="S97" si="11">IFERROR(R97/L97,0)</f>
        <v>0</v>
      </c>
      <c r="T97" t="str">
        <f>IF(ISNA(VLOOKUP($A97,DD_Info!$A$1:$E$222,2,0)),0,VLOOKUP($A97,DD_Info!$A$1:$E$222,2,0))</f>
        <v>James A Hatcher</v>
      </c>
    </row>
    <row r="98" spans="1:20">
      <c r="A98" s="81">
        <v>98</v>
      </c>
      <c r="B98" t="str">
        <f>IF(ISNA(VLOOKUP($A98,DD_Info!$A$1:$E$222,3,0)),0,VLOOKUP($A98,DD_Info!$A$1:$E$222,3,0))</f>
        <v>Galv/Hous</v>
      </c>
      <c r="C98">
        <f>SUMIF(Council_Data!$V$3:$V$838,$A98,Council_Data!$E$3:$E$838)</f>
        <v>273</v>
      </c>
      <c r="D98">
        <f>ROUND(SUMIF(Council_Data!$V$3:$V$838,$A98,Council_Data!$F$3:$F$838)*0.7,0)</f>
        <v>13</v>
      </c>
      <c r="E98">
        <f>SUMIF(Council_Data!$V$3:$V$838,$A98,Council_Data!$G$3:$G$838)</f>
        <v>0</v>
      </c>
      <c r="F98">
        <f>SUMIF(Council_Data!$V$3:$V$838,$A98,Council_Data!$H$3:$H$838)</f>
        <v>0</v>
      </c>
      <c r="G98">
        <f>SUMIF(Council_Data!$V$3:$V$838,$A98,Council_Data!$I$3:$I$838)</f>
        <v>0</v>
      </c>
      <c r="H98">
        <f>SUMIF(Council_Data!$V$3:$V$838,$A98,Council_Data!$J$3:$J$838)</f>
        <v>0</v>
      </c>
      <c r="I98">
        <f>SUMIF(Council_Data!$V$3:$V$838,$A98,Council_Data!$K$3:$K$838)</f>
        <v>0</v>
      </c>
      <c r="J98">
        <f>SUMIF(Council_Data!$V$3:$V$838,$A98,Council_Data!$L$3:$L$838)</f>
        <v>0</v>
      </c>
      <c r="K98" s="63">
        <f t="shared" si="8"/>
        <v>0</v>
      </c>
      <c r="L98">
        <f>ROUND(SUMIF(Council_Data!$V$3:$V$838,$A98,Council_Data!$N$3:$N$838)*0.7,0)</f>
        <v>0</v>
      </c>
      <c r="M98">
        <f>SUMIF(Council_Data!$V$3:$V$838,$A98,Council_Data!$O$3:$O$838)</f>
        <v>0</v>
      </c>
      <c r="N98">
        <f>SUMIF(Council_Data!$V$3:$V$838,$A98,Council_Data!$P$3:$P$838)</f>
        <v>1</v>
      </c>
      <c r="O98">
        <f>SUMIF(Council_Data!$V$3:$V$838,$A98,Council_Data!$Q$3:$Q$838)</f>
        <v>-1</v>
      </c>
      <c r="P98">
        <f>SUMIF(Council_Data!$V$3:$V$838,$A98,Council_Data!$R$3:$R$838)</f>
        <v>0</v>
      </c>
      <c r="Q98">
        <f>SUMIF(Council_Data!$V$3:$V$838,$A98,Council_Data!$S$3:$S$838)</f>
        <v>2</v>
      </c>
      <c r="R98">
        <f>SUMIF(Council_Data!$V$3:$V$838,$A98,Council_Data!$T$3:$T$838)</f>
        <v>-2</v>
      </c>
      <c r="S98" s="63">
        <f t="shared" si="9"/>
        <v>0</v>
      </c>
      <c r="T98" t="str">
        <f>IF(ISNA(VLOOKUP($A98,DD_Info!$A$1:$E$222,2,0)),0,VLOOKUP($A98,DD_Info!$A$1:$E$222,2,0))</f>
        <v>Ron  Frerich</v>
      </c>
    </row>
    <row r="99" spans="1:20">
      <c r="A99" s="81">
        <v>99</v>
      </c>
      <c r="B99" t="str">
        <f>IF(ISNA(VLOOKUP($A99,DD_Info!$A$1:$E$222,3,0)),0,VLOOKUP($A99,DD_Info!$A$1:$E$222,3,0))</f>
        <v>Galv/Hous</v>
      </c>
      <c r="C99">
        <f>SUMIF(Council_Data!$V$3:$V$838,$A99,Council_Data!$E$3:$E$838)</f>
        <v>637</v>
      </c>
      <c r="D99">
        <f>ROUND(SUMIF(Council_Data!$V$3:$V$838,$A99,Council_Data!$F$3:$F$838)*0.7,0)</f>
        <v>21</v>
      </c>
      <c r="E99">
        <f>SUMIF(Council_Data!$V$3:$V$838,$A99,Council_Data!$G$3:$G$838)</f>
        <v>1</v>
      </c>
      <c r="F99">
        <f>SUMIF(Council_Data!$V$3:$V$838,$A99,Council_Data!$H$3:$H$838)</f>
        <v>2</v>
      </c>
      <c r="G99">
        <f>SUMIF(Council_Data!$V$3:$V$838,$A99,Council_Data!$I$3:$I$838)</f>
        <v>-1</v>
      </c>
      <c r="H99">
        <f>SUMIF(Council_Data!$V$3:$V$838,$A99,Council_Data!$J$3:$J$838)</f>
        <v>11</v>
      </c>
      <c r="I99">
        <f>SUMIF(Council_Data!$V$3:$V$838,$A99,Council_Data!$K$3:$K$838)</f>
        <v>14</v>
      </c>
      <c r="J99">
        <f>SUMIF(Council_Data!$V$3:$V$838,$A99,Council_Data!$L$3:$L$838)</f>
        <v>-3</v>
      </c>
      <c r="K99" s="63">
        <f t="shared" si="8"/>
        <v>-0.14285714285714285</v>
      </c>
      <c r="L99">
        <f>ROUND(SUMIF(Council_Data!$V$3:$V$838,$A99,Council_Data!$N$3:$N$838)*0.7,0)</f>
        <v>0</v>
      </c>
      <c r="M99">
        <f>SUMIF(Council_Data!$V$3:$V$838,$A99,Council_Data!$O$3:$O$838)</f>
        <v>0</v>
      </c>
      <c r="N99">
        <f>SUMIF(Council_Data!$V$3:$V$838,$A99,Council_Data!$P$3:$P$838)</f>
        <v>2</v>
      </c>
      <c r="O99">
        <f>SUMIF(Council_Data!$V$3:$V$838,$A99,Council_Data!$Q$3:$Q$838)</f>
        <v>-2</v>
      </c>
      <c r="P99">
        <f>SUMIF(Council_Data!$V$3:$V$838,$A99,Council_Data!$R$3:$R$838)</f>
        <v>3</v>
      </c>
      <c r="Q99">
        <f>SUMIF(Council_Data!$V$3:$V$838,$A99,Council_Data!$S$3:$S$838)</f>
        <v>7</v>
      </c>
      <c r="R99">
        <f>SUMIF(Council_Data!$V$3:$V$838,$A99,Council_Data!$T$3:$T$838)</f>
        <v>-4</v>
      </c>
      <c r="S99" s="63">
        <f t="shared" si="9"/>
        <v>0</v>
      </c>
      <c r="T99" t="str">
        <f>IF(ISNA(VLOOKUP($A99,DD_Info!$A$1:$E$222,2,0)),0,VLOOKUP($A99,DD_Info!$A$1:$E$222,2,0))</f>
        <v>Mervin J Albert Jr</v>
      </c>
    </row>
    <row r="100" spans="1:20">
      <c r="A100" s="81">
        <v>101</v>
      </c>
      <c r="B100" t="str">
        <f>IF(ISNA(VLOOKUP($A100,DD_Info!$A$1:$E$222,3,0)),0,VLOOKUP($A100,DD_Info!$A$1:$E$222,3,0))</f>
        <v>Dallas</v>
      </c>
      <c r="C100">
        <f>SUMIF(Council_Data!$V$3:$V$838,$A100,Council_Data!$E$3:$E$838)</f>
        <v>458</v>
      </c>
      <c r="D100">
        <f>ROUND(SUMIF(Council_Data!$V$3:$V$838,$A100,Council_Data!$F$3:$F$838)*0.7,0)</f>
        <v>15</v>
      </c>
      <c r="E100">
        <f>SUMIF(Council_Data!$V$3:$V$838,$A100,Council_Data!$G$3:$G$838)</f>
        <v>1</v>
      </c>
      <c r="F100">
        <f>SUMIF(Council_Data!$V$3:$V$838,$A100,Council_Data!$H$3:$H$838)</f>
        <v>9</v>
      </c>
      <c r="G100">
        <f>SUMIF(Council_Data!$V$3:$V$838,$A100,Council_Data!$I$3:$I$838)</f>
        <v>-8</v>
      </c>
      <c r="H100">
        <f>SUMIF(Council_Data!$V$3:$V$838,$A100,Council_Data!$J$3:$J$838)</f>
        <v>7</v>
      </c>
      <c r="I100">
        <f>SUMIF(Council_Data!$V$3:$V$838,$A100,Council_Data!$K$3:$K$838)</f>
        <v>9</v>
      </c>
      <c r="J100">
        <f>SUMIF(Council_Data!$V$3:$V$838,$A100,Council_Data!$L$3:$L$838)</f>
        <v>-2</v>
      </c>
      <c r="K100" s="63">
        <f t="shared" si="8"/>
        <v>-0.13333333333333333</v>
      </c>
      <c r="L100">
        <f>ROUND(SUMIF(Council_Data!$V$3:$V$838,$A100,Council_Data!$N$3:$N$838)*0.7,0)</f>
        <v>0</v>
      </c>
      <c r="M100">
        <f>SUMIF(Council_Data!$V$3:$V$838,$A100,Council_Data!$O$3:$O$838)</f>
        <v>1</v>
      </c>
      <c r="N100">
        <f>SUMIF(Council_Data!$V$3:$V$838,$A100,Council_Data!$P$3:$P$838)</f>
        <v>3</v>
      </c>
      <c r="O100">
        <f>SUMIF(Council_Data!$V$3:$V$838,$A100,Council_Data!$Q$3:$Q$838)</f>
        <v>-2</v>
      </c>
      <c r="P100">
        <f>SUMIF(Council_Data!$V$3:$V$838,$A100,Council_Data!$R$3:$R$838)</f>
        <v>4</v>
      </c>
      <c r="Q100">
        <f>SUMIF(Council_Data!$V$3:$V$838,$A100,Council_Data!$S$3:$S$838)</f>
        <v>7</v>
      </c>
      <c r="R100">
        <f>SUMIF(Council_Data!$V$3:$V$838,$A100,Council_Data!$T$3:$T$838)</f>
        <v>-3</v>
      </c>
      <c r="S100" s="63">
        <f t="shared" si="9"/>
        <v>0</v>
      </c>
      <c r="T100" t="str">
        <f>IF(ISNA(VLOOKUP($A100,DD_Info!$A$1:$E$222,2,0)),0,VLOOKUP($A100,DD_Info!$A$1:$E$222,2,0))</f>
        <v>Gary L Walton</v>
      </c>
    </row>
    <row r="101" spans="1:20">
      <c r="A101" s="81">
        <v>102</v>
      </c>
      <c r="B101" t="str">
        <f>IF(ISNA(VLOOKUP($A101,DD_Info!$A$1:$E$222,3,0)),0,VLOOKUP($A101,DD_Info!$A$1:$E$222,3,0))</f>
        <v>Dallas</v>
      </c>
      <c r="C101">
        <f>SUMIF(Council_Data!$V$3:$V$838,$A101,Council_Data!$E$3:$E$838)</f>
        <v>767</v>
      </c>
      <c r="D101">
        <f>ROUND(SUMIF(Council_Data!$V$3:$V$838,$A101,Council_Data!$F$3:$F$838)*0.7,0)</f>
        <v>26</v>
      </c>
      <c r="E101">
        <f>SUMIF(Council_Data!$V$3:$V$838,$A101,Council_Data!$G$3:$G$838)</f>
        <v>1</v>
      </c>
      <c r="F101">
        <f>SUMIF(Council_Data!$V$3:$V$838,$A101,Council_Data!$H$3:$H$838)</f>
        <v>0</v>
      </c>
      <c r="G101">
        <f>SUMIF(Council_Data!$V$3:$V$838,$A101,Council_Data!$I$3:$I$838)</f>
        <v>1</v>
      </c>
      <c r="H101">
        <f>SUMIF(Council_Data!$V$3:$V$838,$A101,Council_Data!$J$3:$J$838)</f>
        <v>11</v>
      </c>
      <c r="I101">
        <f>SUMIF(Council_Data!$V$3:$V$838,$A101,Council_Data!$K$3:$K$838)</f>
        <v>4</v>
      </c>
      <c r="J101">
        <f>SUMIF(Council_Data!$V$3:$V$838,$A101,Council_Data!$L$3:$L$838)</f>
        <v>7</v>
      </c>
      <c r="K101" s="63">
        <f t="shared" si="8"/>
        <v>0.26923076923076922</v>
      </c>
      <c r="L101">
        <f>ROUND(SUMIF(Council_Data!$V$3:$V$838,$A101,Council_Data!$N$3:$N$838)*0.7,0)</f>
        <v>0</v>
      </c>
      <c r="M101">
        <f>SUMIF(Council_Data!$V$3:$V$838,$A101,Council_Data!$O$3:$O$838)</f>
        <v>1</v>
      </c>
      <c r="N101">
        <f>SUMIF(Council_Data!$V$3:$V$838,$A101,Council_Data!$P$3:$P$838)</f>
        <v>0</v>
      </c>
      <c r="O101">
        <f>SUMIF(Council_Data!$V$3:$V$838,$A101,Council_Data!$Q$3:$Q$838)</f>
        <v>1</v>
      </c>
      <c r="P101">
        <f>SUMIF(Council_Data!$V$3:$V$838,$A101,Council_Data!$R$3:$R$838)</f>
        <v>5</v>
      </c>
      <c r="Q101">
        <f>SUMIF(Council_Data!$V$3:$V$838,$A101,Council_Data!$S$3:$S$838)</f>
        <v>5</v>
      </c>
      <c r="R101">
        <f>SUMIF(Council_Data!$V$3:$V$838,$A101,Council_Data!$T$3:$T$838)</f>
        <v>0</v>
      </c>
      <c r="S101" s="63">
        <f t="shared" si="9"/>
        <v>0</v>
      </c>
      <c r="T101" t="str">
        <f>IF(ISNA(VLOOKUP($A101,DD_Info!$A$1:$E$222,2,0)),0,VLOOKUP($A101,DD_Info!$A$1:$E$222,2,0))</f>
        <v>Jose "John" J Casarez</v>
      </c>
    </row>
    <row r="102" spans="1:20">
      <c r="A102" s="81">
        <v>103</v>
      </c>
      <c r="B102" t="str">
        <f>IF(ISNA(VLOOKUP($A102,DD_Info!$A$1:$E$222,3,0)),0,VLOOKUP($A102,DD_Info!$A$1:$E$222,3,0))</f>
        <v>Dallas</v>
      </c>
      <c r="C102">
        <f>SUMIF(Council_Data!$V$3:$V$838,$A102,Council_Data!$E$3:$E$838)</f>
        <v>888</v>
      </c>
      <c r="D102">
        <f>ROUND(SUMIF(Council_Data!$V$3:$V$838,$A102,Council_Data!$F$3:$F$838)*0.7,0)</f>
        <v>31</v>
      </c>
      <c r="E102">
        <f>SUMIF(Council_Data!$V$3:$V$838,$A102,Council_Data!$G$3:$G$838)</f>
        <v>1</v>
      </c>
      <c r="F102">
        <f>SUMIF(Council_Data!$V$3:$V$838,$A102,Council_Data!$H$3:$H$838)</f>
        <v>0</v>
      </c>
      <c r="G102">
        <f>SUMIF(Council_Data!$V$3:$V$838,$A102,Council_Data!$I$3:$I$838)</f>
        <v>1</v>
      </c>
      <c r="H102">
        <f>SUMIF(Council_Data!$V$3:$V$838,$A102,Council_Data!$J$3:$J$838)</f>
        <v>10</v>
      </c>
      <c r="I102">
        <f>SUMIF(Council_Data!$V$3:$V$838,$A102,Council_Data!$K$3:$K$838)</f>
        <v>7</v>
      </c>
      <c r="J102">
        <f>SUMIF(Council_Data!$V$3:$V$838,$A102,Council_Data!$L$3:$L$838)</f>
        <v>3</v>
      </c>
      <c r="K102" s="63">
        <f t="shared" si="8"/>
        <v>9.6774193548387094E-2</v>
      </c>
      <c r="L102">
        <f>ROUND(SUMIF(Council_Data!$V$3:$V$838,$A102,Council_Data!$N$3:$N$838)*0.7,0)</f>
        <v>0</v>
      </c>
      <c r="M102">
        <f>SUMIF(Council_Data!$V$3:$V$838,$A102,Council_Data!$O$3:$O$838)</f>
        <v>0</v>
      </c>
      <c r="N102">
        <f>SUMIF(Council_Data!$V$3:$V$838,$A102,Council_Data!$P$3:$P$838)</f>
        <v>1</v>
      </c>
      <c r="O102">
        <f>SUMIF(Council_Data!$V$3:$V$838,$A102,Council_Data!$Q$3:$Q$838)</f>
        <v>-1</v>
      </c>
      <c r="P102">
        <f>SUMIF(Council_Data!$V$3:$V$838,$A102,Council_Data!$R$3:$R$838)</f>
        <v>6</v>
      </c>
      <c r="Q102">
        <f>SUMIF(Council_Data!$V$3:$V$838,$A102,Council_Data!$S$3:$S$838)</f>
        <v>7</v>
      </c>
      <c r="R102">
        <f>SUMIF(Council_Data!$V$3:$V$838,$A102,Council_Data!$T$3:$T$838)</f>
        <v>-1</v>
      </c>
      <c r="S102" s="63">
        <f t="shared" si="9"/>
        <v>0</v>
      </c>
      <c r="T102" t="str">
        <f>IF(ISNA(VLOOKUP($A102,DD_Info!$A$1:$E$222,2,0)),0,VLOOKUP($A102,DD_Info!$A$1:$E$222,2,0))</f>
        <v>Kevin  Quinn</v>
      </c>
    </row>
    <row r="103" spans="1:20">
      <c r="A103" s="81">
        <v>104</v>
      </c>
      <c r="B103" t="str">
        <f>IF(ISNA(VLOOKUP($A103,DD_Info!$A$1:$E$222,3,0)),0,VLOOKUP($A103,DD_Info!$A$1:$E$222,3,0))</f>
        <v>Dallas</v>
      </c>
      <c r="C103">
        <f>SUMIF(Council_Data!$V$3:$V$838,$A103,Council_Data!$E$3:$E$838)</f>
        <v>2177</v>
      </c>
      <c r="D103">
        <f>ROUND(SUMIF(Council_Data!$V$3:$V$838,$A103,Council_Data!$F$3:$F$838)*0.7,0)</f>
        <v>31</v>
      </c>
      <c r="E103">
        <f>SUMIF(Council_Data!$V$3:$V$838,$A103,Council_Data!$G$3:$G$838)</f>
        <v>1</v>
      </c>
      <c r="F103">
        <f>SUMIF(Council_Data!$V$3:$V$838,$A103,Council_Data!$H$3:$H$838)</f>
        <v>3</v>
      </c>
      <c r="G103">
        <f>SUMIF(Council_Data!$V$3:$V$838,$A103,Council_Data!$I$3:$I$838)</f>
        <v>-2</v>
      </c>
      <c r="H103">
        <f>SUMIF(Council_Data!$V$3:$V$838,$A103,Council_Data!$J$3:$J$838)</f>
        <v>6</v>
      </c>
      <c r="I103">
        <f>SUMIF(Council_Data!$V$3:$V$838,$A103,Council_Data!$K$3:$K$838)</f>
        <v>9</v>
      </c>
      <c r="J103">
        <f>SUMIF(Council_Data!$V$3:$V$838,$A103,Council_Data!$L$3:$L$838)</f>
        <v>-3</v>
      </c>
      <c r="K103" s="63">
        <f t="shared" si="8"/>
        <v>-9.6774193548387094E-2</v>
      </c>
      <c r="L103">
        <f>ROUND(SUMIF(Council_Data!$V$3:$V$838,$A103,Council_Data!$N$3:$N$838)*0.7,0)</f>
        <v>0</v>
      </c>
      <c r="M103">
        <f>SUMIF(Council_Data!$V$3:$V$838,$A103,Council_Data!$O$3:$O$838)</f>
        <v>0</v>
      </c>
      <c r="N103">
        <f>SUMIF(Council_Data!$V$3:$V$838,$A103,Council_Data!$P$3:$P$838)</f>
        <v>2</v>
      </c>
      <c r="O103">
        <f>SUMIF(Council_Data!$V$3:$V$838,$A103,Council_Data!$Q$3:$Q$838)</f>
        <v>-2</v>
      </c>
      <c r="P103">
        <f>SUMIF(Council_Data!$V$3:$V$838,$A103,Council_Data!$R$3:$R$838)</f>
        <v>3</v>
      </c>
      <c r="Q103">
        <f>SUMIF(Council_Data!$V$3:$V$838,$A103,Council_Data!$S$3:$S$838)</f>
        <v>7</v>
      </c>
      <c r="R103">
        <f>SUMIF(Council_Data!$V$3:$V$838,$A103,Council_Data!$T$3:$T$838)</f>
        <v>-4</v>
      </c>
      <c r="S103" s="63">
        <f t="shared" si="9"/>
        <v>0</v>
      </c>
      <c r="T103" t="str">
        <f>IF(ISNA(VLOOKUP($A103,DD_Info!$A$1:$E$222,2,0)),0,VLOOKUP($A103,DD_Info!$A$1:$E$222,2,0))</f>
        <v>Scott  Brkovich</v>
      </c>
    </row>
    <row r="104" spans="1:20">
      <c r="A104" s="81">
        <v>105</v>
      </c>
      <c r="B104" t="str">
        <f>IF(ISNA(VLOOKUP($A104,DD_Info!$A$1:$E$222,3,0)),0,VLOOKUP($A104,DD_Info!$A$1:$E$222,3,0))</f>
        <v>Dallas</v>
      </c>
      <c r="C104">
        <f>SUMIF(Council_Data!$V$3:$V$838,$A104,Council_Data!$E$3:$E$838)</f>
        <v>661</v>
      </c>
      <c r="D104">
        <f>ROUND(SUMIF(Council_Data!$V$3:$V$838,$A104,Council_Data!$F$3:$F$838)*0.7,0)</f>
        <v>22</v>
      </c>
      <c r="E104">
        <f>SUMIF(Council_Data!$V$3:$V$838,$A104,Council_Data!$G$3:$G$838)</f>
        <v>0</v>
      </c>
      <c r="F104">
        <f>SUMIF(Council_Data!$V$3:$V$838,$A104,Council_Data!$H$3:$H$838)</f>
        <v>0</v>
      </c>
      <c r="G104">
        <f>SUMIF(Council_Data!$V$3:$V$838,$A104,Council_Data!$I$3:$I$838)</f>
        <v>0</v>
      </c>
      <c r="H104">
        <f>SUMIF(Council_Data!$V$3:$V$838,$A104,Council_Data!$J$3:$J$838)</f>
        <v>1</v>
      </c>
      <c r="I104">
        <f>SUMIF(Council_Data!$V$3:$V$838,$A104,Council_Data!$K$3:$K$838)</f>
        <v>15</v>
      </c>
      <c r="J104">
        <f>SUMIF(Council_Data!$V$3:$V$838,$A104,Council_Data!$L$3:$L$838)</f>
        <v>-14</v>
      </c>
      <c r="K104" s="63">
        <f t="shared" si="8"/>
        <v>-0.63636363636363635</v>
      </c>
      <c r="L104">
        <f>ROUND(SUMIF(Council_Data!$V$3:$V$838,$A104,Council_Data!$N$3:$N$838)*0.7,0)</f>
        <v>0</v>
      </c>
      <c r="M104">
        <f>SUMIF(Council_Data!$V$3:$V$838,$A104,Council_Data!$O$3:$O$838)</f>
        <v>1</v>
      </c>
      <c r="N104">
        <f>SUMIF(Council_Data!$V$3:$V$838,$A104,Council_Data!$P$3:$P$838)</f>
        <v>0</v>
      </c>
      <c r="O104">
        <f>SUMIF(Council_Data!$V$3:$V$838,$A104,Council_Data!$Q$3:$Q$838)</f>
        <v>1</v>
      </c>
      <c r="P104">
        <f>SUMIF(Council_Data!$V$3:$V$838,$A104,Council_Data!$R$3:$R$838)</f>
        <v>4</v>
      </c>
      <c r="Q104">
        <f>SUMIF(Council_Data!$V$3:$V$838,$A104,Council_Data!$S$3:$S$838)</f>
        <v>4</v>
      </c>
      <c r="R104">
        <f>SUMIF(Council_Data!$V$3:$V$838,$A104,Council_Data!$T$3:$T$838)</f>
        <v>0</v>
      </c>
      <c r="S104" s="63">
        <f t="shared" si="9"/>
        <v>0</v>
      </c>
      <c r="T104" t="str">
        <f>IF(ISNA(VLOOKUP($A104,DD_Info!$A$1:$E$222,2,0)),0,VLOOKUP($A104,DD_Info!$A$1:$E$222,2,0))</f>
        <v>Royce G Cheek</v>
      </c>
    </row>
    <row r="105" spans="1:20">
      <c r="A105" s="81">
        <v>106</v>
      </c>
      <c r="B105" t="str">
        <f>IF(ISNA(VLOOKUP($A105,DD_Info!$A$1:$E$222,3,0)),0,VLOOKUP($A105,DD_Info!$A$1:$E$222,3,0))</f>
        <v>Dallas</v>
      </c>
      <c r="C105">
        <f>SUMIF(Council_Data!$V$3:$V$838,$A105,Council_Data!$E$3:$E$838)</f>
        <v>940</v>
      </c>
      <c r="D105">
        <f>ROUND(SUMIF(Council_Data!$V$3:$V$838,$A105,Council_Data!$F$3:$F$838)*0.7,0)</f>
        <v>31</v>
      </c>
      <c r="E105">
        <f>SUMIF(Council_Data!$V$3:$V$838,$A105,Council_Data!$G$3:$G$838)</f>
        <v>0</v>
      </c>
      <c r="F105">
        <f>SUMIF(Council_Data!$V$3:$V$838,$A105,Council_Data!$H$3:$H$838)</f>
        <v>0</v>
      </c>
      <c r="G105">
        <f>SUMIF(Council_Data!$V$3:$V$838,$A105,Council_Data!$I$3:$I$838)</f>
        <v>0</v>
      </c>
      <c r="H105">
        <f>SUMIF(Council_Data!$V$3:$V$838,$A105,Council_Data!$J$3:$J$838)</f>
        <v>11</v>
      </c>
      <c r="I105">
        <f>SUMIF(Council_Data!$V$3:$V$838,$A105,Council_Data!$K$3:$K$838)</f>
        <v>13</v>
      </c>
      <c r="J105">
        <f>SUMIF(Council_Data!$V$3:$V$838,$A105,Council_Data!$L$3:$L$838)</f>
        <v>-2</v>
      </c>
      <c r="K105" s="63">
        <f t="shared" si="8"/>
        <v>-6.4516129032258063E-2</v>
      </c>
      <c r="L105">
        <f>ROUND(SUMIF(Council_Data!$V$3:$V$838,$A105,Council_Data!$N$3:$N$838)*0.7,0)</f>
        <v>0</v>
      </c>
      <c r="M105">
        <f>SUMIF(Council_Data!$V$3:$V$838,$A105,Council_Data!$O$3:$O$838)</f>
        <v>1</v>
      </c>
      <c r="N105">
        <f>SUMIF(Council_Data!$V$3:$V$838,$A105,Council_Data!$P$3:$P$838)</f>
        <v>1</v>
      </c>
      <c r="O105">
        <f>SUMIF(Council_Data!$V$3:$V$838,$A105,Council_Data!$Q$3:$Q$838)</f>
        <v>0</v>
      </c>
      <c r="P105">
        <f>SUMIF(Council_Data!$V$3:$V$838,$A105,Council_Data!$R$3:$R$838)</f>
        <v>5</v>
      </c>
      <c r="Q105">
        <f>SUMIF(Council_Data!$V$3:$V$838,$A105,Council_Data!$S$3:$S$838)</f>
        <v>6</v>
      </c>
      <c r="R105">
        <f>SUMIF(Council_Data!$V$3:$V$838,$A105,Council_Data!$T$3:$T$838)</f>
        <v>-1</v>
      </c>
      <c r="S105" s="63">
        <f t="shared" si="9"/>
        <v>0</v>
      </c>
      <c r="T105" t="str">
        <f>IF(ISNA(VLOOKUP($A105,DD_Info!$A$1:$E$222,2,0)),0,VLOOKUP($A105,DD_Info!$A$1:$E$222,2,0))</f>
        <v>Dan  Stoffel</v>
      </c>
    </row>
    <row r="106" spans="1:20">
      <c r="A106" s="81">
        <v>107</v>
      </c>
      <c r="B106" t="str">
        <f>IF(ISNA(VLOOKUP($A106,DD_Info!$A$1:$E$222,3,0)),0,VLOOKUP($A106,DD_Info!$A$1:$E$222,3,0))</f>
        <v>Dallas</v>
      </c>
      <c r="C106">
        <f>SUMIF(Council_Data!$V$3:$V$838,$A106,Council_Data!$E$3:$E$838)</f>
        <v>459</v>
      </c>
      <c r="D106">
        <f>ROUND(SUMIF(Council_Data!$V$3:$V$838,$A106,Council_Data!$F$3:$F$838)*0.7,0)</f>
        <v>16</v>
      </c>
      <c r="E106">
        <f>SUMIF(Council_Data!$V$3:$V$838,$A106,Council_Data!$G$3:$G$838)</f>
        <v>0</v>
      </c>
      <c r="F106">
        <f>SUMIF(Council_Data!$V$3:$V$838,$A106,Council_Data!$H$3:$H$838)</f>
        <v>0</v>
      </c>
      <c r="G106">
        <f>SUMIF(Council_Data!$V$3:$V$838,$A106,Council_Data!$I$3:$I$838)</f>
        <v>0</v>
      </c>
      <c r="H106">
        <f>SUMIF(Council_Data!$V$3:$V$838,$A106,Council_Data!$J$3:$J$838)</f>
        <v>3</v>
      </c>
      <c r="I106">
        <f>SUMIF(Council_Data!$V$3:$V$838,$A106,Council_Data!$K$3:$K$838)</f>
        <v>0</v>
      </c>
      <c r="J106">
        <f>SUMIF(Council_Data!$V$3:$V$838,$A106,Council_Data!$L$3:$L$838)</f>
        <v>3</v>
      </c>
      <c r="K106" s="63">
        <f t="shared" si="8"/>
        <v>0.1875</v>
      </c>
      <c r="L106">
        <f>ROUND(SUMIF(Council_Data!$V$3:$V$838,$A106,Council_Data!$N$3:$N$838)*0.7,0)</f>
        <v>0</v>
      </c>
      <c r="M106">
        <f>SUMIF(Council_Data!$V$3:$V$838,$A106,Council_Data!$O$3:$O$838)</f>
        <v>0</v>
      </c>
      <c r="N106">
        <f>SUMIF(Council_Data!$V$3:$V$838,$A106,Council_Data!$P$3:$P$838)</f>
        <v>1</v>
      </c>
      <c r="O106">
        <f>SUMIF(Council_Data!$V$3:$V$838,$A106,Council_Data!$Q$3:$Q$838)</f>
        <v>-1</v>
      </c>
      <c r="P106">
        <f>SUMIF(Council_Data!$V$3:$V$838,$A106,Council_Data!$R$3:$R$838)</f>
        <v>2</v>
      </c>
      <c r="Q106">
        <f>SUMIF(Council_Data!$V$3:$V$838,$A106,Council_Data!$S$3:$S$838)</f>
        <v>2</v>
      </c>
      <c r="R106">
        <f>SUMIF(Council_Data!$V$3:$V$838,$A106,Council_Data!$T$3:$T$838)</f>
        <v>0</v>
      </c>
      <c r="S106" s="63">
        <f t="shared" si="9"/>
        <v>0</v>
      </c>
      <c r="T106" t="str">
        <f>IF(ISNA(VLOOKUP($A106,DD_Info!$A$1:$E$222,2,0)),0,VLOOKUP($A106,DD_Info!$A$1:$E$222,2,0))</f>
        <v>Robert M Repka Jr</v>
      </c>
    </row>
    <row r="107" spans="1:20">
      <c r="A107" s="81">
        <v>108</v>
      </c>
      <c r="B107" t="str">
        <f>IF(ISNA(VLOOKUP($A107,DD_Info!$A$1:$E$222,3,0)),0,VLOOKUP($A107,DD_Info!$A$1:$E$222,3,0))</f>
        <v>Dallas</v>
      </c>
      <c r="C107">
        <f>SUMIF(Council_Data!$V$3:$V$838,$A107,Council_Data!$E$3:$E$838)</f>
        <v>822</v>
      </c>
      <c r="D107">
        <f>ROUND(SUMIF(Council_Data!$V$3:$V$838,$A107,Council_Data!$F$3:$F$838)*0.7,0)</f>
        <v>28</v>
      </c>
      <c r="E107">
        <f>SUMIF(Council_Data!$V$3:$V$838,$A107,Council_Data!$G$3:$G$838)</f>
        <v>1</v>
      </c>
      <c r="F107">
        <f>SUMIF(Council_Data!$V$3:$V$838,$A107,Council_Data!$H$3:$H$838)</f>
        <v>0</v>
      </c>
      <c r="G107">
        <f>SUMIF(Council_Data!$V$3:$V$838,$A107,Council_Data!$I$3:$I$838)</f>
        <v>1</v>
      </c>
      <c r="H107">
        <f>SUMIF(Council_Data!$V$3:$V$838,$A107,Council_Data!$J$3:$J$838)</f>
        <v>4</v>
      </c>
      <c r="I107">
        <f>SUMIF(Council_Data!$V$3:$V$838,$A107,Council_Data!$K$3:$K$838)</f>
        <v>1</v>
      </c>
      <c r="J107">
        <f>SUMIF(Council_Data!$V$3:$V$838,$A107,Council_Data!$L$3:$L$838)</f>
        <v>3</v>
      </c>
      <c r="K107" s="63">
        <f t="shared" si="8"/>
        <v>0.10714285714285714</v>
      </c>
      <c r="L107">
        <f>ROUND(SUMIF(Council_Data!$V$3:$V$838,$A107,Council_Data!$N$3:$N$838)*0.7,0)</f>
        <v>0</v>
      </c>
      <c r="M107">
        <f>SUMIF(Council_Data!$V$3:$V$838,$A107,Council_Data!$O$3:$O$838)</f>
        <v>1</v>
      </c>
      <c r="N107">
        <f>SUMIF(Council_Data!$V$3:$V$838,$A107,Council_Data!$P$3:$P$838)</f>
        <v>1</v>
      </c>
      <c r="O107">
        <f>SUMIF(Council_Data!$V$3:$V$838,$A107,Council_Data!$Q$3:$Q$838)</f>
        <v>0</v>
      </c>
      <c r="P107">
        <f>SUMIF(Council_Data!$V$3:$V$838,$A107,Council_Data!$R$3:$R$838)</f>
        <v>7</v>
      </c>
      <c r="Q107">
        <f>SUMIF(Council_Data!$V$3:$V$838,$A107,Council_Data!$S$3:$S$838)</f>
        <v>3</v>
      </c>
      <c r="R107">
        <f>SUMIF(Council_Data!$V$3:$V$838,$A107,Council_Data!$T$3:$T$838)</f>
        <v>4</v>
      </c>
      <c r="S107" s="63">
        <f t="shared" si="9"/>
        <v>0</v>
      </c>
      <c r="T107" t="str">
        <f>IF(ISNA(VLOOKUP($A107,DD_Info!$A$1:$E$222,2,0)),0,VLOOKUP($A107,DD_Info!$A$1:$E$222,2,0))</f>
        <v>John "Jack" G Ayers</v>
      </c>
    </row>
    <row r="108" spans="1:20">
      <c r="A108" s="81">
        <v>109</v>
      </c>
      <c r="B108" t="str">
        <f>IF(ISNA(VLOOKUP($A108,DD_Info!$A$1:$E$222,3,0)),0,VLOOKUP($A108,DD_Info!$A$1:$E$222,3,0))</f>
        <v>Dallas</v>
      </c>
      <c r="C108">
        <f>SUMIF(Council_Data!$V$3:$V$838,$A108,Council_Data!$E$3:$E$838)</f>
        <v>482</v>
      </c>
      <c r="D108">
        <f>ROUND(SUMIF(Council_Data!$V$3:$V$838,$A108,Council_Data!$F$3:$F$838)*0.7,0)</f>
        <v>16</v>
      </c>
      <c r="E108">
        <f>SUMIF(Council_Data!$V$3:$V$838,$A108,Council_Data!$G$3:$G$838)</f>
        <v>0</v>
      </c>
      <c r="F108">
        <f>SUMIF(Council_Data!$V$3:$V$838,$A108,Council_Data!$H$3:$H$838)</f>
        <v>0</v>
      </c>
      <c r="G108">
        <f>SUMIF(Council_Data!$V$3:$V$838,$A108,Council_Data!$I$3:$I$838)</f>
        <v>0</v>
      </c>
      <c r="H108">
        <f>SUMIF(Council_Data!$V$3:$V$838,$A108,Council_Data!$J$3:$J$838)</f>
        <v>5</v>
      </c>
      <c r="I108">
        <f>SUMIF(Council_Data!$V$3:$V$838,$A108,Council_Data!$K$3:$K$838)</f>
        <v>0</v>
      </c>
      <c r="J108">
        <f>SUMIF(Council_Data!$V$3:$V$838,$A108,Council_Data!$L$3:$L$838)</f>
        <v>5</v>
      </c>
      <c r="K108" s="63">
        <f t="shared" si="8"/>
        <v>0.3125</v>
      </c>
      <c r="L108">
        <f>ROUND(SUMIF(Council_Data!$V$3:$V$838,$A108,Council_Data!$N$3:$N$838)*0.7,0)</f>
        <v>0</v>
      </c>
      <c r="M108">
        <f>SUMIF(Council_Data!$V$3:$V$838,$A108,Council_Data!$O$3:$O$838)</f>
        <v>0</v>
      </c>
      <c r="N108">
        <f>SUMIF(Council_Data!$V$3:$V$838,$A108,Council_Data!$P$3:$P$838)</f>
        <v>1</v>
      </c>
      <c r="O108">
        <f>SUMIF(Council_Data!$V$3:$V$838,$A108,Council_Data!$Q$3:$Q$838)</f>
        <v>-1</v>
      </c>
      <c r="P108">
        <f>SUMIF(Council_Data!$V$3:$V$838,$A108,Council_Data!$R$3:$R$838)</f>
        <v>1</v>
      </c>
      <c r="Q108">
        <f>SUMIF(Council_Data!$V$3:$V$838,$A108,Council_Data!$S$3:$S$838)</f>
        <v>6</v>
      </c>
      <c r="R108">
        <f>SUMIF(Council_Data!$V$3:$V$838,$A108,Council_Data!$T$3:$T$838)</f>
        <v>-5</v>
      </c>
      <c r="S108" s="63">
        <f t="shared" si="9"/>
        <v>0</v>
      </c>
      <c r="T108" t="str">
        <f>IF(ISNA(VLOOKUP($A108,DD_Info!$A$1:$E$222,2,0)),0,VLOOKUP($A108,DD_Info!$A$1:$E$222,2,0))</f>
        <v>Kebran W Alexander</v>
      </c>
    </row>
    <row r="109" spans="1:20">
      <c r="A109" s="81">
        <v>110</v>
      </c>
      <c r="B109" t="str">
        <f>IF(ISNA(VLOOKUP($A109,DD_Info!$A$1:$E$222,3,0)),0,VLOOKUP($A109,DD_Info!$A$1:$E$222,3,0))</f>
        <v>Dallas</v>
      </c>
      <c r="C109">
        <f>SUMIF(Council_Data!$V$3:$V$838,$A109,Council_Data!$E$3:$E$838)</f>
        <v>557</v>
      </c>
      <c r="D109">
        <f>ROUND(SUMIF(Council_Data!$V$3:$V$838,$A109,Council_Data!$F$3:$F$838)*0.7,0)</f>
        <v>20</v>
      </c>
      <c r="E109">
        <f>SUMIF(Council_Data!$V$3:$V$838,$A109,Council_Data!$G$3:$G$838)</f>
        <v>0</v>
      </c>
      <c r="F109">
        <f>SUMIF(Council_Data!$V$3:$V$838,$A109,Council_Data!$H$3:$H$838)</f>
        <v>0</v>
      </c>
      <c r="G109">
        <f>SUMIF(Council_Data!$V$3:$V$838,$A109,Council_Data!$I$3:$I$838)</f>
        <v>0</v>
      </c>
      <c r="H109">
        <f>SUMIF(Council_Data!$V$3:$V$838,$A109,Council_Data!$J$3:$J$838)</f>
        <v>7</v>
      </c>
      <c r="I109">
        <f>SUMIF(Council_Data!$V$3:$V$838,$A109,Council_Data!$K$3:$K$838)</f>
        <v>2</v>
      </c>
      <c r="J109">
        <f>SUMIF(Council_Data!$V$3:$V$838,$A109,Council_Data!$L$3:$L$838)</f>
        <v>5</v>
      </c>
      <c r="K109" s="63">
        <f t="shared" si="8"/>
        <v>0.25</v>
      </c>
      <c r="L109">
        <f>ROUND(SUMIF(Council_Data!$V$3:$V$838,$A109,Council_Data!$N$3:$N$838)*0.7,0)</f>
        <v>0</v>
      </c>
      <c r="M109">
        <f>SUMIF(Council_Data!$V$3:$V$838,$A109,Council_Data!$O$3:$O$838)</f>
        <v>0</v>
      </c>
      <c r="N109">
        <f>SUMIF(Council_Data!$V$3:$V$838,$A109,Council_Data!$P$3:$P$838)</f>
        <v>1</v>
      </c>
      <c r="O109">
        <f>SUMIF(Council_Data!$V$3:$V$838,$A109,Council_Data!$Q$3:$Q$838)</f>
        <v>-1</v>
      </c>
      <c r="P109">
        <f>SUMIF(Council_Data!$V$3:$V$838,$A109,Council_Data!$R$3:$R$838)</f>
        <v>3</v>
      </c>
      <c r="Q109">
        <f>SUMIF(Council_Data!$V$3:$V$838,$A109,Council_Data!$S$3:$S$838)</f>
        <v>2</v>
      </c>
      <c r="R109">
        <f>SUMIF(Council_Data!$V$3:$V$838,$A109,Council_Data!$T$3:$T$838)</f>
        <v>1</v>
      </c>
      <c r="S109" s="63">
        <f t="shared" si="9"/>
        <v>0</v>
      </c>
      <c r="T109" t="str">
        <f>IF(ISNA(VLOOKUP($A109,DD_Info!$A$1:$E$222,2,0)),0,VLOOKUP($A109,DD_Info!$A$1:$E$222,2,0))</f>
        <v>Richard C Frasco</v>
      </c>
    </row>
    <row r="110" spans="1:20">
      <c r="A110" s="81">
        <v>111</v>
      </c>
      <c r="B110" t="str">
        <f>IF(ISNA(VLOOKUP($A110,DD_Info!$A$1:$E$222,3,0)),0,VLOOKUP($A110,DD_Info!$A$1:$E$222,3,0))</f>
        <v>Dallas</v>
      </c>
      <c r="C110">
        <f>SUMIF(Council_Data!$V$3:$V$838,$A110,Council_Data!$E$3:$E$838)</f>
        <v>1531</v>
      </c>
      <c r="D110">
        <f>ROUND(SUMIF(Council_Data!$V$3:$V$838,$A110,Council_Data!$F$3:$F$838)*0.7,0)</f>
        <v>46</v>
      </c>
      <c r="E110">
        <f>SUMIF(Council_Data!$V$3:$V$838,$A110,Council_Data!$G$3:$G$838)</f>
        <v>0</v>
      </c>
      <c r="F110">
        <f>SUMIF(Council_Data!$V$3:$V$838,$A110,Council_Data!$H$3:$H$838)</f>
        <v>49</v>
      </c>
      <c r="G110">
        <f>SUMIF(Council_Data!$V$3:$V$838,$A110,Council_Data!$I$3:$I$838)</f>
        <v>-49</v>
      </c>
      <c r="H110">
        <f>SUMIF(Council_Data!$V$3:$V$838,$A110,Council_Data!$J$3:$J$838)</f>
        <v>17</v>
      </c>
      <c r="I110">
        <f>SUMIF(Council_Data!$V$3:$V$838,$A110,Council_Data!$K$3:$K$838)</f>
        <v>76</v>
      </c>
      <c r="J110">
        <f>SUMIF(Council_Data!$V$3:$V$838,$A110,Council_Data!$L$3:$L$838)</f>
        <v>-59</v>
      </c>
      <c r="K110" s="63">
        <f t="shared" si="8"/>
        <v>-1.2826086956521738</v>
      </c>
      <c r="L110">
        <f>ROUND(SUMIF(Council_Data!$V$3:$V$838,$A110,Council_Data!$N$3:$N$838)*0.7,0)</f>
        <v>0</v>
      </c>
      <c r="M110">
        <f>SUMIF(Council_Data!$V$3:$V$838,$A110,Council_Data!$O$3:$O$838)</f>
        <v>2</v>
      </c>
      <c r="N110">
        <f>SUMIF(Council_Data!$V$3:$V$838,$A110,Council_Data!$P$3:$P$838)</f>
        <v>5</v>
      </c>
      <c r="O110">
        <f>SUMIF(Council_Data!$V$3:$V$838,$A110,Council_Data!$Q$3:$Q$838)</f>
        <v>-3</v>
      </c>
      <c r="P110">
        <f>SUMIF(Council_Data!$V$3:$V$838,$A110,Council_Data!$R$3:$R$838)</f>
        <v>9</v>
      </c>
      <c r="Q110">
        <f>SUMIF(Council_Data!$V$3:$V$838,$A110,Council_Data!$S$3:$S$838)</f>
        <v>18</v>
      </c>
      <c r="R110">
        <f>SUMIF(Council_Data!$V$3:$V$838,$A110,Council_Data!$T$3:$T$838)</f>
        <v>-9</v>
      </c>
      <c r="S110" s="63">
        <f t="shared" si="9"/>
        <v>0</v>
      </c>
      <c r="T110" t="str">
        <f>IF(ISNA(VLOOKUP($A110,DD_Info!$A$1:$E$222,2,0)),0,VLOOKUP($A110,DD_Info!$A$1:$E$222,2,0))</f>
        <v>Edward J Stankunas</v>
      </c>
    </row>
    <row r="111" spans="1:20">
      <c r="A111" s="81">
        <v>112</v>
      </c>
      <c r="B111" t="str">
        <f>IF(ISNA(VLOOKUP($A111,DD_Info!$A$1:$E$222,3,0)),0,VLOOKUP($A111,DD_Info!$A$1:$E$222,3,0))</f>
        <v>Dallas</v>
      </c>
      <c r="C111">
        <f>SUMIF(Council_Data!$V$3:$V$838,$A111,Council_Data!$E$3:$E$838)</f>
        <v>266</v>
      </c>
      <c r="D111">
        <f>ROUND(SUMIF(Council_Data!$V$3:$V$838,$A111,Council_Data!$F$3:$F$838)*0.7,0)</f>
        <v>11</v>
      </c>
      <c r="E111">
        <f>SUMIF(Council_Data!$V$3:$V$838,$A111,Council_Data!$G$3:$G$838)</f>
        <v>1</v>
      </c>
      <c r="F111">
        <f>SUMIF(Council_Data!$V$3:$V$838,$A111,Council_Data!$H$3:$H$838)</f>
        <v>0</v>
      </c>
      <c r="G111">
        <f>SUMIF(Council_Data!$V$3:$V$838,$A111,Council_Data!$I$3:$I$838)</f>
        <v>1</v>
      </c>
      <c r="H111">
        <f>SUMIF(Council_Data!$V$3:$V$838,$A111,Council_Data!$J$3:$J$838)</f>
        <v>8</v>
      </c>
      <c r="I111">
        <f>SUMIF(Council_Data!$V$3:$V$838,$A111,Council_Data!$K$3:$K$838)</f>
        <v>0</v>
      </c>
      <c r="J111">
        <f>SUMIF(Council_Data!$V$3:$V$838,$A111,Council_Data!$L$3:$L$838)</f>
        <v>8</v>
      </c>
      <c r="K111" s="63">
        <f t="shared" si="8"/>
        <v>0.72727272727272729</v>
      </c>
      <c r="L111">
        <f>ROUND(SUMIF(Council_Data!$V$3:$V$838,$A111,Council_Data!$N$3:$N$838)*0.7,0)</f>
        <v>0</v>
      </c>
      <c r="M111">
        <f>SUMIF(Council_Data!$V$3:$V$838,$A111,Council_Data!$O$3:$O$838)</f>
        <v>0</v>
      </c>
      <c r="N111">
        <f>SUMIF(Council_Data!$V$3:$V$838,$A111,Council_Data!$P$3:$P$838)</f>
        <v>0</v>
      </c>
      <c r="O111">
        <f>SUMIF(Council_Data!$V$3:$V$838,$A111,Council_Data!$Q$3:$Q$838)</f>
        <v>0</v>
      </c>
      <c r="P111">
        <f>SUMIF(Council_Data!$V$3:$V$838,$A111,Council_Data!$R$3:$R$838)</f>
        <v>4</v>
      </c>
      <c r="Q111">
        <f>SUMIF(Council_Data!$V$3:$V$838,$A111,Council_Data!$S$3:$S$838)</f>
        <v>0</v>
      </c>
      <c r="R111">
        <f>SUMIF(Council_Data!$V$3:$V$838,$A111,Council_Data!$T$3:$T$838)</f>
        <v>4</v>
      </c>
      <c r="S111" s="63">
        <f t="shared" si="9"/>
        <v>0</v>
      </c>
      <c r="T111" t="str">
        <f>IF(ISNA(VLOOKUP($A111,DD_Info!$A$1:$E$222,2,0)),0,VLOOKUP($A111,DD_Info!$A$1:$E$222,2,0))</f>
        <v>Alberto  Castro</v>
      </c>
    </row>
    <row r="112" spans="1:20">
      <c r="A112" s="81">
        <v>113</v>
      </c>
      <c r="B112" t="str">
        <f>IF(ISNA(VLOOKUP($A112,DD_Info!$A$1:$E$222,3,0)),0,VLOOKUP($A112,DD_Info!$A$1:$E$222,3,0))</f>
        <v>Dallas</v>
      </c>
      <c r="C112">
        <f>SUMIF(Council_Data!$V$3:$V$838,$A112,Council_Data!$E$3:$E$838)</f>
        <v>369</v>
      </c>
      <c r="D112">
        <f>ROUND(SUMIF(Council_Data!$V$3:$V$838,$A112,Council_Data!$F$3:$F$838)*0.7,0)</f>
        <v>13</v>
      </c>
      <c r="E112">
        <f>SUMIF(Council_Data!$V$3:$V$838,$A112,Council_Data!$G$3:$G$838)</f>
        <v>0</v>
      </c>
      <c r="F112">
        <f>SUMIF(Council_Data!$V$3:$V$838,$A112,Council_Data!$H$3:$H$838)</f>
        <v>0</v>
      </c>
      <c r="G112">
        <f>SUMIF(Council_Data!$V$3:$V$838,$A112,Council_Data!$I$3:$I$838)</f>
        <v>0</v>
      </c>
      <c r="H112">
        <f>SUMIF(Council_Data!$V$3:$V$838,$A112,Council_Data!$J$3:$J$838)</f>
        <v>0</v>
      </c>
      <c r="I112">
        <f>SUMIF(Council_Data!$V$3:$V$838,$A112,Council_Data!$K$3:$K$838)</f>
        <v>0</v>
      </c>
      <c r="J112">
        <f>SUMIF(Council_Data!$V$3:$V$838,$A112,Council_Data!$L$3:$L$838)</f>
        <v>0</v>
      </c>
      <c r="K112" s="63">
        <f t="shared" si="8"/>
        <v>0</v>
      </c>
      <c r="L112">
        <f>ROUND(SUMIF(Council_Data!$V$3:$V$838,$A112,Council_Data!$N$3:$N$838)*0.7,0)</f>
        <v>0</v>
      </c>
      <c r="M112">
        <f>SUMIF(Council_Data!$V$3:$V$838,$A112,Council_Data!$O$3:$O$838)</f>
        <v>0</v>
      </c>
      <c r="N112">
        <f>SUMIF(Council_Data!$V$3:$V$838,$A112,Council_Data!$P$3:$P$838)</f>
        <v>0</v>
      </c>
      <c r="O112">
        <f>SUMIF(Council_Data!$V$3:$V$838,$A112,Council_Data!$Q$3:$Q$838)</f>
        <v>0</v>
      </c>
      <c r="P112">
        <f>SUMIF(Council_Data!$V$3:$V$838,$A112,Council_Data!$R$3:$R$838)</f>
        <v>3</v>
      </c>
      <c r="Q112">
        <f>SUMIF(Council_Data!$V$3:$V$838,$A112,Council_Data!$S$3:$S$838)</f>
        <v>1</v>
      </c>
      <c r="R112">
        <f>SUMIF(Council_Data!$V$3:$V$838,$A112,Council_Data!$T$3:$T$838)</f>
        <v>2</v>
      </c>
      <c r="S112" s="63">
        <f t="shared" si="9"/>
        <v>0</v>
      </c>
      <c r="T112" t="str">
        <f>IF(ISNA(VLOOKUP($A112,DD_Info!$A$1:$E$222,2,0)),0,VLOOKUP($A112,DD_Info!$A$1:$E$222,2,0))</f>
        <v>Nick  Flores</v>
      </c>
    </row>
    <row r="113" spans="1:20">
      <c r="A113" s="81">
        <v>114</v>
      </c>
      <c r="B113" t="str">
        <f>IF(ISNA(VLOOKUP($A113,DD_Info!$A$1:$E$222,3,0)),0,VLOOKUP($A113,DD_Info!$A$1:$E$222,3,0))</f>
        <v>Dallas</v>
      </c>
      <c r="C113">
        <f>SUMIF(Council_Data!$V$3:$V$838,$A113,Council_Data!$E$3:$E$838)</f>
        <v>1138</v>
      </c>
      <c r="D113">
        <f>ROUND(SUMIF(Council_Data!$V$3:$V$838,$A113,Council_Data!$F$3:$F$838)*0.7,0)</f>
        <v>36</v>
      </c>
      <c r="E113">
        <f>SUMIF(Council_Data!$V$3:$V$838,$A113,Council_Data!$G$3:$G$838)</f>
        <v>5</v>
      </c>
      <c r="F113">
        <f>SUMIF(Council_Data!$V$3:$V$838,$A113,Council_Data!$H$3:$H$838)</f>
        <v>5</v>
      </c>
      <c r="G113">
        <f>SUMIF(Council_Data!$V$3:$V$838,$A113,Council_Data!$I$3:$I$838)</f>
        <v>0</v>
      </c>
      <c r="H113">
        <f>SUMIF(Council_Data!$V$3:$V$838,$A113,Council_Data!$J$3:$J$838)</f>
        <v>10</v>
      </c>
      <c r="I113">
        <f>SUMIF(Council_Data!$V$3:$V$838,$A113,Council_Data!$K$3:$K$838)</f>
        <v>6</v>
      </c>
      <c r="J113">
        <f>SUMIF(Council_Data!$V$3:$V$838,$A113,Council_Data!$L$3:$L$838)</f>
        <v>4</v>
      </c>
      <c r="K113" s="63">
        <f t="shared" ref="K113" si="12">IFERROR(J113/D113,0)</f>
        <v>0.1111111111111111</v>
      </c>
      <c r="L113">
        <f>ROUND(SUMIF(Council_Data!$V$3:$V$838,$A113,Council_Data!$N$3:$N$838)*0.7,0)</f>
        <v>0</v>
      </c>
      <c r="M113">
        <f>SUMIF(Council_Data!$V$3:$V$838,$A113,Council_Data!$O$3:$O$838)</f>
        <v>1</v>
      </c>
      <c r="N113">
        <f>SUMIF(Council_Data!$V$3:$V$838,$A113,Council_Data!$P$3:$P$838)</f>
        <v>3</v>
      </c>
      <c r="O113">
        <f>SUMIF(Council_Data!$V$3:$V$838,$A113,Council_Data!$Q$3:$Q$838)</f>
        <v>-2</v>
      </c>
      <c r="P113">
        <f>SUMIF(Council_Data!$V$3:$V$838,$A113,Council_Data!$R$3:$R$838)</f>
        <v>2</v>
      </c>
      <c r="Q113">
        <f>SUMIF(Council_Data!$V$3:$V$838,$A113,Council_Data!$S$3:$S$838)</f>
        <v>9</v>
      </c>
      <c r="R113">
        <f>SUMIF(Council_Data!$V$3:$V$838,$A113,Council_Data!$T$3:$T$838)</f>
        <v>-7</v>
      </c>
      <c r="S113" s="63">
        <f t="shared" ref="S113" si="13">IFERROR(R113/L113,0)</f>
        <v>0</v>
      </c>
      <c r="T113" t="str">
        <f>IF(ISNA(VLOOKUP($A113,DD_Info!$A$1:$E$222,2,0)),0,VLOOKUP($A113,DD_Info!$A$1:$E$222,2,0))</f>
        <v>Michael  Steffens</v>
      </c>
    </row>
    <row r="114" spans="1:20">
      <c r="A114" s="81">
        <v>115</v>
      </c>
      <c r="B114" t="str">
        <f>IF(ISNA(VLOOKUP($A114,DD_Info!$A$1:$E$222,3,0)),0,VLOOKUP($A114,DD_Info!$A$1:$E$222,3,0))</f>
        <v>Dallas</v>
      </c>
      <c r="C114">
        <f>SUMIF(Council_Data!$V$3:$V$838,$A114,Council_Data!$E$3:$E$838)</f>
        <v>462</v>
      </c>
      <c r="D114">
        <f>ROUND(SUMIF(Council_Data!$V$3:$V$838,$A114,Council_Data!$F$3:$F$838)*0.7,0)</f>
        <v>17</v>
      </c>
      <c r="E114">
        <f>SUMIF(Council_Data!$V$3:$V$838,$A114,Council_Data!$G$3:$G$838)</f>
        <v>0</v>
      </c>
      <c r="F114">
        <f>SUMIF(Council_Data!$V$3:$V$838,$A114,Council_Data!$H$3:$H$838)</f>
        <v>0</v>
      </c>
      <c r="G114">
        <f>SUMIF(Council_Data!$V$3:$V$838,$A114,Council_Data!$I$3:$I$838)</f>
        <v>0</v>
      </c>
      <c r="H114">
        <f>SUMIF(Council_Data!$V$3:$V$838,$A114,Council_Data!$J$3:$J$838)</f>
        <v>9</v>
      </c>
      <c r="I114">
        <f>SUMIF(Council_Data!$V$3:$V$838,$A114,Council_Data!$K$3:$K$838)</f>
        <v>38</v>
      </c>
      <c r="J114">
        <f>SUMIF(Council_Data!$V$3:$V$838,$A114,Council_Data!$L$3:$L$838)</f>
        <v>-29</v>
      </c>
      <c r="K114" s="63">
        <f t="shared" si="8"/>
        <v>-1.7058823529411764</v>
      </c>
      <c r="L114">
        <f>ROUND(SUMIF(Council_Data!$V$3:$V$838,$A114,Council_Data!$N$3:$N$838)*0.7,0)</f>
        <v>0</v>
      </c>
      <c r="M114">
        <f>SUMIF(Council_Data!$V$3:$V$838,$A114,Council_Data!$O$3:$O$838)</f>
        <v>0</v>
      </c>
      <c r="N114">
        <f>SUMIF(Council_Data!$V$3:$V$838,$A114,Council_Data!$P$3:$P$838)</f>
        <v>1</v>
      </c>
      <c r="O114">
        <f>SUMIF(Council_Data!$V$3:$V$838,$A114,Council_Data!$Q$3:$Q$838)</f>
        <v>-1</v>
      </c>
      <c r="P114">
        <f>SUMIF(Council_Data!$V$3:$V$838,$A114,Council_Data!$R$3:$R$838)</f>
        <v>4</v>
      </c>
      <c r="Q114">
        <f>SUMIF(Council_Data!$V$3:$V$838,$A114,Council_Data!$S$3:$S$838)</f>
        <v>10</v>
      </c>
      <c r="R114">
        <f>SUMIF(Council_Data!$V$3:$V$838,$A114,Council_Data!$T$3:$T$838)</f>
        <v>-6</v>
      </c>
      <c r="S114" s="63">
        <f t="shared" si="9"/>
        <v>0</v>
      </c>
      <c r="T114" t="str">
        <f>IF(ISNA(VLOOKUP($A114,DD_Info!$A$1:$E$222,2,0)),0,VLOOKUP($A114,DD_Info!$A$1:$E$222,2,0))</f>
        <v>Ed  Romack</v>
      </c>
    </row>
    <row r="115" spans="1:20">
      <c r="A115" s="81">
        <v>116</v>
      </c>
      <c r="B115" t="str">
        <f>IF(ISNA(VLOOKUP($A115,DD_Info!$A$1:$E$222,3,0)),0,VLOOKUP($A115,DD_Info!$A$1:$E$222,3,0))</f>
        <v>Dallas</v>
      </c>
      <c r="C115">
        <f>SUMIF(Council_Data!$V$3:$V$838,$A115,Council_Data!$E$3:$E$838)</f>
        <v>171</v>
      </c>
      <c r="D115">
        <f>ROUND(SUMIF(Council_Data!$V$3:$V$838,$A115,Council_Data!$F$3:$F$838)*0.7,0)</f>
        <v>8</v>
      </c>
      <c r="E115">
        <f>SUMIF(Council_Data!$V$3:$V$838,$A115,Council_Data!$G$3:$G$838)</f>
        <v>0</v>
      </c>
      <c r="F115">
        <f>SUMIF(Council_Data!$V$3:$V$838,$A115,Council_Data!$H$3:$H$838)</f>
        <v>0</v>
      </c>
      <c r="G115">
        <f>SUMIF(Council_Data!$V$3:$V$838,$A115,Council_Data!$I$3:$I$838)</f>
        <v>0</v>
      </c>
      <c r="H115">
        <f>SUMIF(Council_Data!$V$3:$V$838,$A115,Council_Data!$J$3:$J$838)</f>
        <v>0</v>
      </c>
      <c r="I115">
        <f>SUMIF(Council_Data!$V$3:$V$838,$A115,Council_Data!$K$3:$K$838)</f>
        <v>0</v>
      </c>
      <c r="J115">
        <f>SUMIF(Council_Data!$V$3:$V$838,$A115,Council_Data!$L$3:$L$838)</f>
        <v>0</v>
      </c>
      <c r="K115" s="63">
        <f t="shared" si="8"/>
        <v>0</v>
      </c>
      <c r="L115">
        <f>ROUND(SUMIF(Council_Data!$V$3:$V$838,$A115,Council_Data!$N$3:$N$838)*0.7,0)</f>
        <v>0</v>
      </c>
      <c r="M115">
        <f>SUMIF(Council_Data!$V$3:$V$838,$A115,Council_Data!$O$3:$O$838)</f>
        <v>0</v>
      </c>
      <c r="N115">
        <f>SUMIF(Council_Data!$V$3:$V$838,$A115,Council_Data!$P$3:$P$838)</f>
        <v>0</v>
      </c>
      <c r="O115">
        <f>SUMIF(Council_Data!$V$3:$V$838,$A115,Council_Data!$Q$3:$Q$838)</f>
        <v>0</v>
      </c>
      <c r="P115">
        <f>SUMIF(Council_Data!$V$3:$V$838,$A115,Council_Data!$R$3:$R$838)</f>
        <v>1</v>
      </c>
      <c r="Q115">
        <f>SUMIF(Council_Data!$V$3:$V$838,$A115,Council_Data!$S$3:$S$838)</f>
        <v>0</v>
      </c>
      <c r="R115">
        <f>SUMIF(Council_Data!$V$3:$V$838,$A115,Council_Data!$T$3:$T$838)</f>
        <v>1</v>
      </c>
      <c r="S115" s="63">
        <f t="shared" si="9"/>
        <v>0</v>
      </c>
      <c r="T115" t="str">
        <f>IF(ISNA(VLOOKUP($A115,DD_Info!$A$1:$E$222,2,0)),0,VLOOKUP($A115,DD_Info!$A$1:$E$222,2,0))</f>
        <v>Mike  Courtney</v>
      </c>
    </row>
    <row r="116" spans="1:20">
      <c r="A116" s="81">
        <v>121</v>
      </c>
      <c r="B116" t="str">
        <f>IF(ISNA(VLOOKUP($A116,DD_Info!$A$1:$E$222,3,0)),0,VLOOKUP($A116,DD_Info!$A$1:$E$222,3,0))</f>
        <v>Beaumont</v>
      </c>
      <c r="C116">
        <f>SUMIF(Council_Data!$V$3:$V$838,$A116,Council_Data!$E$3:$E$838)</f>
        <v>418</v>
      </c>
      <c r="D116">
        <f>ROUND(SUMIF(Council_Data!$V$3:$V$838,$A116,Council_Data!$F$3:$F$838)*0.7,0)</f>
        <v>15</v>
      </c>
      <c r="E116">
        <f>SUMIF(Council_Data!$V$3:$V$838,$A116,Council_Data!$G$3:$G$838)</f>
        <v>0</v>
      </c>
      <c r="F116">
        <f>SUMIF(Council_Data!$V$3:$V$838,$A116,Council_Data!$H$3:$H$838)</f>
        <v>1</v>
      </c>
      <c r="G116">
        <f>SUMIF(Council_Data!$V$3:$V$838,$A116,Council_Data!$I$3:$I$838)</f>
        <v>-1</v>
      </c>
      <c r="H116">
        <f>SUMIF(Council_Data!$V$3:$V$838,$A116,Council_Data!$J$3:$J$838)</f>
        <v>6</v>
      </c>
      <c r="I116">
        <f>SUMIF(Council_Data!$V$3:$V$838,$A116,Council_Data!$K$3:$K$838)</f>
        <v>6</v>
      </c>
      <c r="J116">
        <f>SUMIF(Council_Data!$V$3:$V$838,$A116,Council_Data!$L$3:$L$838)</f>
        <v>0</v>
      </c>
      <c r="K116" s="63">
        <f t="shared" si="8"/>
        <v>0</v>
      </c>
      <c r="L116">
        <f>ROUND(SUMIF(Council_Data!$V$3:$V$838,$A116,Council_Data!$N$3:$N$838)*0.7,0)</f>
        <v>0</v>
      </c>
      <c r="M116">
        <f>SUMIF(Council_Data!$V$3:$V$838,$A116,Council_Data!$O$3:$O$838)</f>
        <v>0</v>
      </c>
      <c r="N116">
        <f>SUMIF(Council_Data!$V$3:$V$838,$A116,Council_Data!$P$3:$P$838)</f>
        <v>2</v>
      </c>
      <c r="O116">
        <f>SUMIF(Council_Data!$V$3:$V$838,$A116,Council_Data!$Q$3:$Q$838)</f>
        <v>-2</v>
      </c>
      <c r="P116">
        <f>SUMIF(Council_Data!$V$3:$V$838,$A116,Council_Data!$R$3:$R$838)</f>
        <v>0</v>
      </c>
      <c r="Q116">
        <f>SUMIF(Council_Data!$V$3:$V$838,$A116,Council_Data!$S$3:$S$838)</f>
        <v>5</v>
      </c>
      <c r="R116">
        <f>SUMIF(Council_Data!$V$3:$V$838,$A116,Council_Data!$T$3:$T$838)</f>
        <v>-5</v>
      </c>
      <c r="S116" s="63">
        <f t="shared" si="9"/>
        <v>0</v>
      </c>
      <c r="T116" t="str">
        <f>IF(ISNA(VLOOKUP($A116,DD_Info!$A$1:$E$222,2,0)),0,VLOOKUP($A116,DD_Info!$A$1:$E$222,2,0))</f>
        <v>Philip  Chauvin</v>
      </c>
    </row>
    <row r="117" spans="1:20">
      <c r="A117" s="81">
        <v>122</v>
      </c>
      <c r="B117" t="str">
        <f>IF(ISNA(VLOOKUP($A117,DD_Info!$A$1:$E$222,3,0)),0,VLOOKUP($A117,DD_Info!$A$1:$E$222,3,0))</f>
        <v>Beaumont</v>
      </c>
      <c r="C117">
        <f>SUMIF(Council_Data!$V$3:$V$838,$A117,Council_Data!$E$3:$E$838)</f>
        <v>988</v>
      </c>
      <c r="D117">
        <f>ROUND(SUMIF(Council_Data!$V$3:$V$838,$A117,Council_Data!$F$3:$F$838)*0.7,0)</f>
        <v>33</v>
      </c>
      <c r="E117">
        <f>SUMIF(Council_Data!$V$3:$V$838,$A117,Council_Data!$G$3:$G$838)</f>
        <v>1</v>
      </c>
      <c r="F117">
        <f>SUMIF(Council_Data!$V$3:$V$838,$A117,Council_Data!$H$3:$H$838)</f>
        <v>0</v>
      </c>
      <c r="G117">
        <f>SUMIF(Council_Data!$V$3:$V$838,$A117,Council_Data!$I$3:$I$838)</f>
        <v>1</v>
      </c>
      <c r="H117">
        <f>SUMIF(Council_Data!$V$3:$V$838,$A117,Council_Data!$J$3:$J$838)</f>
        <v>15</v>
      </c>
      <c r="I117">
        <f>SUMIF(Council_Data!$V$3:$V$838,$A117,Council_Data!$K$3:$K$838)</f>
        <v>2</v>
      </c>
      <c r="J117">
        <f>SUMIF(Council_Data!$V$3:$V$838,$A117,Council_Data!$L$3:$L$838)</f>
        <v>13</v>
      </c>
      <c r="K117" s="63">
        <f t="shared" si="8"/>
        <v>0.39393939393939392</v>
      </c>
      <c r="L117">
        <f>ROUND(SUMIF(Council_Data!$V$3:$V$838,$A117,Council_Data!$N$3:$N$838)*0.7,0)</f>
        <v>0</v>
      </c>
      <c r="M117">
        <f>SUMIF(Council_Data!$V$3:$V$838,$A117,Council_Data!$O$3:$O$838)</f>
        <v>2</v>
      </c>
      <c r="N117">
        <f>SUMIF(Council_Data!$V$3:$V$838,$A117,Council_Data!$P$3:$P$838)</f>
        <v>3</v>
      </c>
      <c r="O117">
        <f>SUMIF(Council_Data!$V$3:$V$838,$A117,Council_Data!$Q$3:$Q$838)</f>
        <v>-1</v>
      </c>
      <c r="P117">
        <f>SUMIF(Council_Data!$V$3:$V$838,$A117,Council_Data!$R$3:$R$838)</f>
        <v>2</v>
      </c>
      <c r="Q117">
        <f>SUMIF(Council_Data!$V$3:$V$838,$A117,Council_Data!$S$3:$S$838)</f>
        <v>6</v>
      </c>
      <c r="R117">
        <f>SUMIF(Council_Data!$V$3:$V$838,$A117,Council_Data!$T$3:$T$838)</f>
        <v>-4</v>
      </c>
      <c r="S117" s="63">
        <f t="shared" si="9"/>
        <v>0</v>
      </c>
      <c r="T117" t="str">
        <f>IF(ISNA(VLOOKUP($A117,DD_Info!$A$1:$E$222,2,0)),0,VLOOKUP($A117,DD_Info!$A$1:$E$222,2,0))</f>
        <v>Jason L Kelley</v>
      </c>
    </row>
    <row r="118" spans="1:20">
      <c r="A118" s="81">
        <v>123</v>
      </c>
      <c r="B118" t="str">
        <f>IF(ISNA(VLOOKUP($A118,DD_Info!$A$1:$E$222,3,0)),0,VLOOKUP($A118,DD_Info!$A$1:$E$222,3,0))</f>
        <v>Beaumont</v>
      </c>
      <c r="C118">
        <f>SUMIF(Council_Data!$V$3:$V$838,$A118,Council_Data!$E$3:$E$838)</f>
        <v>260</v>
      </c>
      <c r="D118">
        <f>ROUND(SUMIF(Council_Data!$V$3:$V$838,$A118,Council_Data!$F$3:$F$838)*0.7,0)</f>
        <v>9</v>
      </c>
      <c r="E118">
        <f>SUMIF(Council_Data!$V$3:$V$838,$A118,Council_Data!$G$3:$G$838)</f>
        <v>0</v>
      </c>
      <c r="F118">
        <f>SUMIF(Council_Data!$V$3:$V$838,$A118,Council_Data!$H$3:$H$838)</f>
        <v>0</v>
      </c>
      <c r="G118">
        <f>SUMIF(Council_Data!$V$3:$V$838,$A118,Council_Data!$I$3:$I$838)</f>
        <v>0</v>
      </c>
      <c r="H118">
        <f>SUMIF(Council_Data!$V$3:$V$838,$A118,Council_Data!$J$3:$J$838)</f>
        <v>1</v>
      </c>
      <c r="I118">
        <f>SUMIF(Council_Data!$V$3:$V$838,$A118,Council_Data!$K$3:$K$838)</f>
        <v>0</v>
      </c>
      <c r="J118">
        <f>SUMIF(Council_Data!$V$3:$V$838,$A118,Council_Data!$L$3:$L$838)</f>
        <v>1</v>
      </c>
      <c r="K118" s="63">
        <f t="shared" si="8"/>
        <v>0.1111111111111111</v>
      </c>
      <c r="L118">
        <f>ROUND(SUMIF(Council_Data!$V$3:$V$838,$A118,Council_Data!$N$3:$N$838)*0.7,0)</f>
        <v>0</v>
      </c>
      <c r="M118">
        <f>SUMIF(Council_Data!$V$3:$V$838,$A118,Council_Data!$O$3:$O$838)</f>
        <v>0</v>
      </c>
      <c r="N118">
        <f>SUMIF(Council_Data!$V$3:$V$838,$A118,Council_Data!$P$3:$P$838)</f>
        <v>0</v>
      </c>
      <c r="O118">
        <f>SUMIF(Council_Data!$V$3:$V$838,$A118,Council_Data!$Q$3:$Q$838)</f>
        <v>0</v>
      </c>
      <c r="P118">
        <f>SUMIF(Council_Data!$V$3:$V$838,$A118,Council_Data!$R$3:$R$838)</f>
        <v>0</v>
      </c>
      <c r="Q118">
        <f>SUMIF(Council_Data!$V$3:$V$838,$A118,Council_Data!$S$3:$S$838)</f>
        <v>0</v>
      </c>
      <c r="R118">
        <f>SUMIF(Council_Data!$V$3:$V$838,$A118,Council_Data!$T$3:$T$838)</f>
        <v>0</v>
      </c>
      <c r="S118" s="63">
        <f t="shared" si="9"/>
        <v>0</v>
      </c>
      <c r="T118" t="str">
        <f>IF(ISNA(VLOOKUP($A118,DD_Info!$A$1:$E$222,2,0)),0,VLOOKUP($A118,DD_Info!$A$1:$E$222,2,0))</f>
        <v>Robert "Bobby"  Wilson</v>
      </c>
    </row>
    <row r="119" spans="1:20">
      <c r="A119" s="81">
        <v>124</v>
      </c>
      <c r="B119" t="str">
        <f>IF(ISNA(VLOOKUP($A119,DD_Info!$A$1:$E$222,3,0)),0,VLOOKUP($A119,DD_Info!$A$1:$E$222,3,0))</f>
        <v>Beaumont</v>
      </c>
      <c r="C119">
        <f>SUMIF(Council_Data!$V$3:$V$838,$A119,Council_Data!$E$3:$E$838)</f>
        <v>456</v>
      </c>
      <c r="D119">
        <f>ROUND(SUMIF(Council_Data!$V$3:$V$838,$A119,Council_Data!$F$3:$F$838)*0.7,0)</f>
        <v>21</v>
      </c>
      <c r="E119">
        <f>SUMIF(Council_Data!$V$3:$V$838,$A119,Council_Data!$G$3:$G$838)</f>
        <v>0</v>
      </c>
      <c r="F119">
        <f>SUMIF(Council_Data!$V$3:$V$838,$A119,Council_Data!$H$3:$H$838)</f>
        <v>1</v>
      </c>
      <c r="G119">
        <f>SUMIF(Council_Data!$V$3:$V$838,$A119,Council_Data!$I$3:$I$838)</f>
        <v>-1</v>
      </c>
      <c r="H119">
        <f>SUMIF(Council_Data!$V$3:$V$838,$A119,Council_Data!$J$3:$J$838)</f>
        <v>0</v>
      </c>
      <c r="I119">
        <f>SUMIF(Council_Data!$V$3:$V$838,$A119,Council_Data!$K$3:$K$838)</f>
        <v>2</v>
      </c>
      <c r="J119">
        <f>SUMIF(Council_Data!$V$3:$V$838,$A119,Council_Data!$L$3:$L$838)</f>
        <v>-2</v>
      </c>
      <c r="K119" s="63">
        <f t="shared" si="8"/>
        <v>-9.5238095238095233E-2</v>
      </c>
      <c r="L119">
        <f>ROUND(SUMIF(Council_Data!$V$3:$V$838,$A119,Council_Data!$N$3:$N$838)*0.7,0)</f>
        <v>0</v>
      </c>
      <c r="M119">
        <f>SUMIF(Council_Data!$V$3:$V$838,$A119,Council_Data!$O$3:$O$838)</f>
        <v>0</v>
      </c>
      <c r="N119">
        <f>SUMIF(Council_Data!$V$3:$V$838,$A119,Council_Data!$P$3:$P$838)</f>
        <v>1</v>
      </c>
      <c r="O119">
        <f>SUMIF(Council_Data!$V$3:$V$838,$A119,Council_Data!$Q$3:$Q$838)</f>
        <v>-1</v>
      </c>
      <c r="P119">
        <f>SUMIF(Council_Data!$V$3:$V$838,$A119,Council_Data!$R$3:$R$838)</f>
        <v>0</v>
      </c>
      <c r="Q119">
        <f>SUMIF(Council_Data!$V$3:$V$838,$A119,Council_Data!$S$3:$S$838)</f>
        <v>5</v>
      </c>
      <c r="R119">
        <f>SUMIF(Council_Data!$V$3:$V$838,$A119,Council_Data!$T$3:$T$838)</f>
        <v>-5</v>
      </c>
      <c r="S119" s="63">
        <f t="shared" si="9"/>
        <v>0</v>
      </c>
      <c r="T119" t="str">
        <f>IF(ISNA(VLOOKUP($A119,DD_Info!$A$1:$E$222,2,0)),0,VLOOKUP($A119,DD_Info!$A$1:$E$222,2,0))</f>
        <v>John  Badeaux Sr</v>
      </c>
    </row>
    <row r="120" spans="1:20">
      <c r="A120" s="81">
        <v>125</v>
      </c>
      <c r="B120" t="str">
        <f>IF(ISNA(VLOOKUP($A120,DD_Info!$A$1:$E$222,3,0)),0,VLOOKUP($A120,DD_Info!$A$1:$E$222,3,0))</f>
        <v>Beaumont</v>
      </c>
      <c r="C120">
        <f>SUMIF(Council_Data!$V$3:$V$838,$A120,Council_Data!$E$3:$E$838)</f>
        <v>595</v>
      </c>
      <c r="D120">
        <f>ROUND(SUMIF(Council_Data!$V$3:$V$838,$A120,Council_Data!$F$3:$F$838)*0.7,0)</f>
        <v>19</v>
      </c>
      <c r="E120">
        <f>SUMIF(Council_Data!$V$3:$V$838,$A120,Council_Data!$G$3:$G$838)</f>
        <v>0</v>
      </c>
      <c r="F120">
        <f>SUMIF(Council_Data!$V$3:$V$838,$A120,Council_Data!$H$3:$H$838)</f>
        <v>0</v>
      </c>
      <c r="G120">
        <f>SUMIF(Council_Data!$V$3:$V$838,$A120,Council_Data!$I$3:$I$838)</f>
        <v>0</v>
      </c>
      <c r="H120">
        <f>SUMIF(Council_Data!$V$3:$V$838,$A120,Council_Data!$J$3:$J$838)</f>
        <v>1</v>
      </c>
      <c r="I120">
        <f>SUMIF(Council_Data!$V$3:$V$838,$A120,Council_Data!$K$3:$K$838)</f>
        <v>0</v>
      </c>
      <c r="J120">
        <f>SUMIF(Council_Data!$V$3:$V$838,$A120,Council_Data!$L$3:$L$838)</f>
        <v>1</v>
      </c>
      <c r="K120" s="63">
        <f t="shared" si="8"/>
        <v>5.2631578947368418E-2</v>
      </c>
      <c r="L120">
        <f>ROUND(SUMIF(Council_Data!$V$3:$V$838,$A120,Council_Data!$N$3:$N$838)*0.7,0)</f>
        <v>0</v>
      </c>
      <c r="M120">
        <f>SUMIF(Council_Data!$V$3:$V$838,$A120,Council_Data!$O$3:$O$838)</f>
        <v>0</v>
      </c>
      <c r="N120">
        <f>SUMIF(Council_Data!$V$3:$V$838,$A120,Council_Data!$P$3:$P$838)</f>
        <v>2</v>
      </c>
      <c r="O120">
        <f>SUMIF(Council_Data!$V$3:$V$838,$A120,Council_Data!$Q$3:$Q$838)</f>
        <v>-2</v>
      </c>
      <c r="P120">
        <f>SUMIF(Council_Data!$V$3:$V$838,$A120,Council_Data!$R$3:$R$838)</f>
        <v>1</v>
      </c>
      <c r="Q120">
        <f>SUMIF(Council_Data!$V$3:$V$838,$A120,Council_Data!$S$3:$S$838)</f>
        <v>3</v>
      </c>
      <c r="R120">
        <f>SUMIF(Council_Data!$V$3:$V$838,$A120,Council_Data!$T$3:$T$838)</f>
        <v>-2</v>
      </c>
      <c r="S120" s="63">
        <f t="shared" si="9"/>
        <v>0</v>
      </c>
      <c r="T120" t="str">
        <f>IF(ISNA(VLOOKUP($A120,DD_Info!$A$1:$E$222,2,0)),0,VLOOKUP($A120,DD_Info!$A$1:$E$222,2,0))</f>
        <v>Marcus A James</v>
      </c>
    </row>
    <row r="121" spans="1:20">
      <c r="A121" s="81">
        <v>126</v>
      </c>
      <c r="B121" t="str">
        <f>IF(ISNA(VLOOKUP($A121,DD_Info!$A$1:$E$222,3,0)),0,VLOOKUP($A121,DD_Info!$A$1:$E$222,3,0))</f>
        <v>Beaumont</v>
      </c>
      <c r="C121">
        <f>SUMIF(Council_Data!$V$3:$V$838,$A121,Council_Data!$E$3:$E$838)</f>
        <v>410</v>
      </c>
      <c r="D121">
        <f>ROUND(SUMIF(Council_Data!$V$3:$V$838,$A121,Council_Data!$F$3:$F$838)*0.7,0)</f>
        <v>15</v>
      </c>
      <c r="E121">
        <f>SUMIF(Council_Data!$V$3:$V$838,$A121,Council_Data!$G$3:$G$838)</f>
        <v>0</v>
      </c>
      <c r="F121">
        <f>SUMIF(Council_Data!$V$3:$V$838,$A121,Council_Data!$H$3:$H$838)</f>
        <v>0</v>
      </c>
      <c r="G121">
        <f>SUMIF(Council_Data!$V$3:$V$838,$A121,Council_Data!$I$3:$I$838)</f>
        <v>0</v>
      </c>
      <c r="H121">
        <f>SUMIF(Council_Data!$V$3:$V$838,$A121,Council_Data!$J$3:$J$838)</f>
        <v>5</v>
      </c>
      <c r="I121">
        <f>SUMIF(Council_Data!$V$3:$V$838,$A121,Council_Data!$K$3:$K$838)</f>
        <v>0</v>
      </c>
      <c r="J121">
        <f>SUMIF(Council_Data!$V$3:$V$838,$A121,Council_Data!$L$3:$L$838)</f>
        <v>5</v>
      </c>
      <c r="K121" s="63">
        <f t="shared" si="8"/>
        <v>0.33333333333333331</v>
      </c>
      <c r="L121">
        <f>ROUND(SUMIF(Council_Data!$V$3:$V$838,$A121,Council_Data!$N$3:$N$838)*0.7,0)</f>
        <v>0</v>
      </c>
      <c r="M121">
        <f>SUMIF(Council_Data!$V$3:$V$838,$A121,Council_Data!$O$3:$O$838)</f>
        <v>1</v>
      </c>
      <c r="N121">
        <f>SUMIF(Council_Data!$V$3:$V$838,$A121,Council_Data!$P$3:$P$838)</f>
        <v>1</v>
      </c>
      <c r="O121">
        <f>SUMIF(Council_Data!$V$3:$V$838,$A121,Council_Data!$Q$3:$Q$838)</f>
        <v>0</v>
      </c>
      <c r="P121">
        <f>SUMIF(Council_Data!$V$3:$V$838,$A121,Council_Data!$R$3:$R$838)</f>
        <v>2</v>
      </c>
      <c r="Q121">
        <f>SUMIF(Council_Data!$V$3:$V$838,$A121,Council_Data!$S$3:$S$838)</f>
        <v>2</v>
      </c>
      <c r="R121">
        <f>SUMIF(Council_Data!$V$3:$V$838,$A121,Council_Data!$T$3:$T$838)</f>
        <v>0</v>
      </c>
      <c r="S121" s="63">
        <f t="shared" si="9"/>
        <v>0</v>
      </c>
      <c r="T121" t="str">
        <f>IF(ISNA(VLOOKUP($A121,DD_Info!$A$1:$E$222,2,0)),0,VLOOKUP($A121,DD_Info!$A$1:$E$222,2,0))</f>
        <v>James M Langford</v>
      </c>
    </row>
    <row r="122" spans="1:20">
      <c r="A122" s="81">
        <v>127</v>
      </c>
      <c r="B122" t="str">
        <f>IF(ISNA(VLOOKUP($A122,DD_Info!$A$1:$E$222,3,0)),0,VLOOKUP($A122,DD_Info!$A$1:$E$222,3,0))</f>
        <v>Beaumont</v>
      </c>
      <c r="C122">
        <f>SUMIF(Council_Data!$V$3:$V$838,$A122,Council_Data!$E$3:$E$838)</f>
        <v>37</v>
      </c>
      <c r="D122">
        <f>ROUND(SUMIF(Council_Data!$V$3:$V$838,$A122,Council_Data!$F$3:$F$838)*0.7,0)</f>
        <v>10</v>
      </c>
      <c r="E122">
        <f>SUMIF(Council_Data!$V$3:$V$838,$A122,Council_Data!$G$3:$G$838)</f>
        <v>0</v>
      </c>
      <c r="F122">
        <f>SUMIF(Council_Data!$V$3:$V$838,$A122,Council_Data!$H$3:$H$838)</f>
        <v>0</v>
      </c>
      <c r="G122">
        <f>SUMIF(Council_Data!$V$3:$V$838,$A122,Council_Data!$I$3:$I$838)</f>
        <v>0</v>
      </c>
      <c r="H122">
        <f>SUMIF(Council_Data!$V$3:$V$838,$A122,Council_Data!$J$3:$J$838)</f>
        <v>0</v>
      </c>
      <c r="I122">
        <f>SUMIF(Council_Data!$V$3:$V$838,$A122,Council_Data!$K$3:$K$838)</f>
        <v>0</v>
      </c>
      <c r="J122">
        <f>SUMIF(Council_Data!$V$3:$V$838,$A122,Council_Data!$L$3:$L$838)</f>
        <v>0</v>
      </c>
      <c r="K122" s="63">
        <f t="shared" si="8"/>
        <v>0</v>
      </c>
      <c r="L122">
        <f>ROUND(SUMIF(Council_Data!$V$3:$V$838,$A122,Council_Data!$N$3:$N$838)*0.7,0)</f>
        <v>0</v>
      </c>
      <c r="M122">
        <f>SUMIF(Council_Data!$V$3:$V$838,$A122,Council_Data!$O$3:$O$838)</f>
        <v>0</v>
      </c>
      <c r="N122">
        <f>SUMIF(Council_Data!$V$3:$V$838,$A122,Council_Data!$P$3:$P$838)</f>
        <v>0</v>
      </c>
      <c r="O122">
        <f>SUMIF(Council_Data!$V$3:$V$838,$A122,Council_Data!$Q$3:$Q$838)</f>
        <v>0</v>
      </c>
      <c r="P122">
        <f>SUMIF(Council_Data!$V$3:$V$838,$A122,Council_Data!$R$3:$R$838)</f>
        <v>0</v>
      </c>
      <c r="Q122">
        <f>SUMIF(Council_Data!$V$3:$V$838,$A122,Council_Data!$S$3:$S$838)</f>
        <v>0</v>
      </c>
      <c r="R122">
        <f>SUMIF(Council_Data!$V$3:$V$838,$A122,Council_Data!$T$3:$T$838)</f>
        <v>0</v>
      </c>
      <c r="S122" s="63">
        <f t="shared" si="9"/>
        <v>0</v>
      </c>
      <c r="T122" t="str">
        <f>IF(ISNA(VLOOKUP($A122,DD_Info!$A$1:$E$222,2,0)),0,VLOOKUP($A122,DD_Info!$A$1:$E$222,2,0))</f>
        <v>Charles D Trahan</v>
      </c>
    </row>
    <row r="123" spans="1:20">
      <c r="A123" s="81">
        <v>131</v>
      </c>
      <c r="B123" t="str">
        <f>IF(ISNA(VLOOKUP($A123,DD_Info!$A$1:$E$222,3,0)),0,VLOOKUP($A123,DD_Info!$A$1:$E$222,3,0))</f>
        <v>Tyler</v>
      </c>
      <c r="C123">
        <f>SUMIF(Council_Data!$V$3:$V$838,$A123,Council_Data!$E$3:$E$838)</f>
        <v>265</v>
      </c>
      <c r="D123">
        <f>ROUND(SUMIF(Council_Data!$V$3:$V$838,$A123,Council_Data!$F$3:$F$838)*0.7,0)</f>
        <v>10</v>
      </c>
      <c r="E123">
        <f>SUMIF(Council_Data!$V$3:$V$838,$A123,Council_Data!$G$3:$G$838)</f>
        <v>0</v>
      </c>
      <c r="F123">
        <f>SUMIF(Council_Data!$V$3:$V$838,$A123,Council_Data!$H$3:$H$838)</f>
        <v>0</v>
      </c>
      <c r="G123">
        <f>SUMIF(Council_Data!$V$3:$V$838,$A123,Council_Data!$I$3:$I$838)</f>
        <v>0</v>
      </c>
      <c r="H123">
        <f>SUMIF(Council_Data!$V$3:$V$838,$A123,Council_Data!$J$3:$J$838)</f>
        <v>7</v>
      </c>
      <c r="I123">
        <f>SUMIF(Council_Data!$V$3:$V$838,$A123,Council_Data!$K$3:$K$838)</f>
        <v>2</v>
      </c>
      <c r="J123">
        <f>SUMIF(Council_Data!$V$3:$V$838,$A123,Council_Data!$L$3:$L$838)</f>
        <v>5</v>
      </c>
      <c r="K123" s="63">
        <f t="shared" si="8"/>
        <v>0.5</v>
      </c>
      <c r="L123">
        <f>ROUND(SUMIF(Council_Data!$V$3:$V$838,$A123,Council_Data!$N$3:$N$838)*0.7,0)</f>
        <v>0</v>
      </c>
      <c r="M123">
        <f>SUMIF(Council_Data!$V$3:$V$838,$A123,Council_Data!$O$3:$O$838)</f>
        <v>0</v>
      </c>
      <c r="N123">
        <f>SUMIF(Council_Data!$V$3:$V$838,$A123,Council_Data!$P$3:$P$838)</f>
        <v>0</v>
      </c>
      <c r="O123">
        <f>SUMIF(Council_Data!$V$3:$V$838,$A123,Council_Data!$Q$3:$Q$838)</f>
        <v>0</v>
      </c>
      <c r="P123">
        <f>SUMIF(Council_Data!$V$3:$V$838,$A123,Council_Data!$R$3:$R$838)</f>
        <v>1</v>
      </c>
      <c r="Q123">
        <f>SUMIF(Council_Data!$V$3:$V$838,$A123,Council_Data!$S$3:$S$838)</f>
        <v>0</v>
      </c>
      <c r="R123">
        <f>SUMIF(Council_Data!$V$3:$V$838,$A123,Council_Data!$T$3:$T$838)</f>
        <v>1</v>
      </c>
      <c r="S123" s="63">
        <f t="shared" si="9"/>
        <v>0</v>
      </c>
      <c r="T123" t="str">
        <f>IF(ISNA(VLOOKUP($A123,DD_Info!$A$1:$E$222,2,0)),0,VLOOKUP($A123,DD_Info!$A$1:$E$222,2,0))</f>
        <v>Lawrence E Pfeifer</v>
      </c>
    </row>
    <row r="124" spans="1:20">
      <c r="A124" s="81">
        <v>132</v>
      </c>
      <c r="B124" t="str">
        <f>IF(ISNA(VLOOKUP($A124,DD_Info!$A$1:$E$222,3,0)),0,VLOOKUP($A124,DD_Info!$A$1:$E$222,3,0))</f>
        <v>Tyler</v>
      </c>
      <c r="C124">
        <f>SUMIF(Council_Data!$V$3:$V$838,$A124,Council_Data!$E$3:$E$838)</f>
        <v>254</v>
      </c>
      <c r="D124">
        <f>ROUND(SUMIF(Council_Data!$V$3:$V$838,$A124,Council_Data!$F$3:$F$838)*0.7,0)</f>
        <v>9</v>
      </c>
      <c r="E124">
        <f>SUMIF(Council_Data!$V$3:$V$838,$A124,Council_Data!$G$3:$G$838)</f>
        <v>2</v>
      </c>
      <c r="F124">
        <f>SUMIF(Council_Data!$V$3:$V$838,$A124,Council_Data!$H$3:$H$838)</f>
        <v>0</v>
      </c>
      <c r="G124">
        <f>SUMIF(Council_Data!$V$3:$V$838,$A124,Council_Data!$I$3:$I$838)</f>
        <v>2</v>
      </c>
      <c r="H124">
        <f>SUMIF(Council_Data!$V$3:$V$838,$A124,Council_Data!$J$3:$J$838)</f>
        <v>7</v>
      </c>
      <c r="I124">
        <f>SUMIF(Council_Data!$V$3:$V$838,$A124,Council_Data!$K$3:$K$838)</f>
        <v>3</v>
      </c>
      <c r="J124">
        <f>SUMIF(Council_Data!$V$3:$V$838,$A124,Council_Data!$L$3:$L$838)</f>
        <v>4</v>
      </c>
      <c r="K124" s="63">
        <f t="shared" si="8"/>
        <v>0.44444444444444442</v>
      </c>
      <c r="L124">
        <f>ROUND(SUMIF(Council_Data!$V$3:$V$838,$A124,Council_Data!$N$3:$N$838)*0.7,0)</f>
        <v>0</v>
      </c>
      <c r="M124">
        <f>SUMIF(Council_Data!$V$3:$V$838,$A124,Council_Data!$O$3:$O$838)</f>
        <v>1</v>
      </c>
      <c r="N124">
        <f>SUMIF(Council_Data!$V$3:$V$838,$A124,Council_Data!$P$3:$P$838)</f>
        <v>0</v>
      </c>
      <c r="O124">
        <f>SUMIF(Council_Data!$V$3:$V$838,$A124,Council_Data!$Q$3:$Q$838)</f>
        <v>1</v>
      </c>
      <c r="P124">
        <f>SUMIF(Council_Data!$V$3:$V$838,$A124,Council_Data!$R$3:$R$838)</f>
        <v>2</v>
      </c>
      <c r="Q124">
        <f>SUMIF(Council_Data!$V$3:$V$838,$A124,Council_Data!$S$3:$S$838)</f>
        <v>2</v>
      </c>
      <c r="R124">
        <f>SUMIF(Council_Data!$V$3:$V$838,$A124,Council_Data!$T$3:$T$838)</f>
        <v>0</v>
      </c>
      <c r="S124" s="63">
        <f t="shared" si="9"/>
        <v>0</v>
      </c>
      <c r="T124" t="str">
        <f>IF(ISNA(VLOOKUP($A124,DD_Info!$A$1:$E$222,2,0)),0,VLOOKUP($A124,DD_Info!$A$1:$E$222,2,0))</f>
        <v>Mark J Freund</v>
      </c>
    </row>
    <row r="125" spans="1:20">
      <c r="A125" s="81">
        <v>133</v>
      </c>
      <c r="B125" t="str">
        <f>IF(ISNA(VLOOKUP($A125,DD_Info!$A$1:$E$222,3,0)),0,VLOOKUP($A125,DD_Info!$A$1:$E$222,3,0))</f>
        <v>Tyler</v>
      </c>
      <c r="C125">
        <f>SUMIF(Council_Data!$V$3:$V$838,$A125,Council_Data!$E$3:$E$838)</f>
        <v>655</v>
      </c>
      <c r="D125">
        <f>ROUND(SUMIF(Council_Data!$V$3:$V$838,$A125,Council_Data!$F$3:$F$838)*0.7,0)</f>
        <v>23</v>
      </c>
      <c r="E125">
        <f>SUMIF(Council_Data!$V$3:$V$838,$A125,Council_Data!$G$3:$G$838)</f>
        <v>0</v>
      </c>
      <c r="F125">
        <f>SUMIF(Council_Data!$V$3:$V$838,$A125,Council_Data!$H$3:$H$838)</f>
        <v>1</v>
      </c>
      <c r="G125">
        <f>SUMIF(Council_Data!$V$3:$V$838,$A125,Council_Data!$I$3:$I$838)</f>
        <v>-1</v>
      </c>
      <c r="H125">
        <f>SUMIF(Council_Data!$V$3:$V$838,$A125,Council_Data!$J$3:$J$838)</f>
        <v>12</v>
      </c>
      <c r="I125">
        <f>SUMIF(Council_Data!$V$3:$V$838,$A125,Council_Data!$K$3:$K$838)</f>
        <v>1</v>
      </c>
      <c r="J125">
        <f>SUMIF(Council_Data!$V$3:$V$838,$A125,Council_Data!$L$3:$L$838)</f>
        <v>11</v>
      </c>
      <c r="K125" s="63">
        <f t="shared" si="8"/>
        <v>0.47826086956521741</v>
      </c>
      <c r="L125">
        <f>ROUND(SUMIF(Council_Data!$V$3:$V$838,$A125,Council_Data!$N$3:$N$838)*0.7,0)</f>
        <v>0</v>
      </c>
      <c r="M125">
        <f>SUMIF(Council_Data!$V$3:$V$838,$A125,Council_Data!$O$3:$O$838)</f>
        <v>0</v>
      </c>
      <c r="N125">
        <f>SUMIF(Council_Data!$V$3:$V$838,$A125,Council_Data!$P$3:$P$838)</f>
        <v>1</v>
      </c>
      <c r="O125">
        <f>SUMIF(Council_Data!$V$3:$V$838,$A125,Council_Data!$Q$3:$Q$838)</f>
        <v>-1</v>
      </c>
      <c r="P125">
        <f>SUMIF(Council_Data!$V$3:$V$838,$A125,Council_Data!$R$3:$R$838)</f>
        <v>1</v>
      </c>
      <c r="Q125">
        <f>SUMIF(Council_Data!$V$3:$V$838,$A125,Council_Data!$S$3:$S$838)</f>
        <v>1</v>
      </c>
      <c r="R125">
        <f>SUMIF(Council_Data!$V$3:$V$838,$A125,Council_Data!$T$3:$T$838)</f>
        <v>0</v>
      </c>
      <c r="S125" s="63">
        <f t="shared" si="9"/>
        <v>0</v>
      </c>
      <c r="T125" t="str">
        <f>IF(ISNA(VLOOKUP($A125,DD_Info!$A$1:$E$222,2,0)),0,VLOOKUP($A125,DD_Info!$A$1:$E$222,2,0))</f>
        <v>John S Evans</v>
      </c>
    </row>
    <row r="126" spans="1:20">
      <c r="A126" s="81">
        <v>134</v>
      </c>
      <c r="B126" t="str">
        <f>IF(ISNA(VLOOKUP($A126,DD_Info!$A$1:$E$222,3,0)),0,VLOOKUP($A126,DD_Info!$A$1:$E$222,3,0))</f>
        <v>Tyler</v>
      </c>
      <c r="C126">
        <f>SUMIF(Council_Data!$V$3:$V$838,$A126,Council_Data!$E$3:$E$838)</f>
        <v>433</v>
      </c>
      <c r="D126">
        <f>ROUND(SUMIF(Council_Data!$V$3:$V$838,$A126,Council_Data!$F$3:$F$838)*0.7,0)</f>
        <v>16</v>
      </c>
      <c r="E126">
        <f>SUMIF(Council_Data!$V$3:$V$838,$A126,Council_Data!$G$3:$G$838)</f>
        <v>0</v>
      </c>
      <c r="F126">
        <f>SUMIF(Council_Data!$V$3:$V$838,$A126,Council_Data!$H$3:$H$838)</f>
        <v>0</v>
      </c>
      <c r="G126">
        <f>SUMIF(Council_Data!$V$3:$V$838,$A126,Council_Data!$I$3:$I$838)</f>
        <v>0</v>
      </c>
      <c r="H126">
        <f>SUMIF(Council_Data!$V$3:$V$838,$A126,Council_Data!$J$3:$J$838)</f>
        <v>9</v>
      </c>
      <c r="I126">
        <f>SUMIF(Council_Data!$V$3:$V$838,$A126,Council_Data!$K$3:$K$838)</f>
        <v>42</v>
      </c>
      <c r="J126">
        <f>SUMIF(Council_Data!$V$3:$V$838,$A126,Council_Data!$L$3:$L$838)</f>
        <v>-33</v>
      </c>
      <c r="K126" s="63">
        <f t="shared" si="8"/>
        <v>-2.0625</v>
      </c>
      <c r="L126">
        <f>ROUND(SUMIF(Council_Data!$V$3:$V$838,$A126,Council_Data!$N$3:$N$838)*0.7,0)</f>
        <v>0</v>
      </c>
      <c r="M126">
        <f>SUMIF(Council_Data!$V$3:$V$838,$A126,Council_Data!$O$3:$O$838)</f>
        <v>0</v>
      </c>
      <c r="N126">
        <f>SUMIF(Council_Data!$V$3:$V$838,$A126,Council_Data!$P$3:$P$838)</f>
        <v>1</v>
      </c>
      <c r="O126">
        <f>SUMIF(Council_Data!$V$3:$V$838,$A126,Council_Data!$Q$3:$Q$838)</f>
        <v>-1</v>
      </c>
      <c r="P126">
        <f>SUMIF(Council_Data!$V$3:$V$838,$A126,Council_Data!$R$3:$R$838)</f>
        <v>2</v>
      </c>
      <c r="Q126">
        <f>SUMIF(Council_Data!$V$3:$V$838,$A126,Council_Data!$S$3:$S$838)</f>
        <v>3</v>
      </c>
      <c r="R126">
        <f>SUMIF(Council_Data!$V$3:$V$838,$A126,Council_Data!$T$3:$T$838)</f>
        <v>-1</v>
      </c>
      <c r="S126" s="63">
        <f t="shared" si="9"/>
        <v>0</v>
      </c>
      <c r="T126" t="str">
        <f>IF(ISNA(VLOOKUP($A126,DD_Info!$A$1:$E$222,2,0)),0,VLOOKUP($A126,DD_Info!$A$1:$E$222,2,0))</f>
        <v>Damian Christopher  Oldmixon</v>
      </c>
    </row>
    <row r="127" spans="1:20">
      <c r="A127" s="81">
        <v>135</v>
      </c>
      <c r="B127" t="str">
        <f>IF(ISNA(VLOOKUP($A127,DD_Info!$A$1:$E$222,3,0)),0,VLOOKUP($A127,DD_Info!$A$1:$E$222,3,0))</f>
        <v>Tyler</v>
      </c>
      <c r="C127">
        <f>SUMIF(Council_Data!$V$3:$V$838,$A127,Council_Data!$E$3:$E$838)</f>
        <v>292</v>
      </c>
      <c r="D127">
        <f>ROUND(SUMIF(Council_Data!$V$3:$V$838,$A127,Council_Data!$F$3:$F$838)*0.7,0)</f>
        <v>11</v>
      </c>
      <c r="E127">
        <f>SUMIF(Council_Data!$V$3:$V$838,$A127,Council_Data!$G$3:$G$838)</f>
        <v>0</v>
      </c>
      <c r="F127">
        <f>SUMIF(Council_Data!$V$3:$V$838,$A127,Council_Data!$H$3:$H$838)</f>
        <v>3</v>
      </c>
      <c r="G127">
        <f>SUMIF(Council_Data!$V$3:$V$838,$A127,Council_Data!$I$3:$I$838)</f>
        <v>-3</v>
      </c>
      <c r="H127">
        <f>SUMIF(Council_Data!$V$3:$V$838,$A127,Council_Data!$J$3:$J$838)</f>
        <v>2</v>
      </c>
      <c r="I127">
        <f>SUMIF(Council_Data!$V$3:$V$838,$A127,Council_Data!$K$3:$K$838)</f>
        <v>24</v>
      </c>
      <c r="J127">
        <f>SUMIF(Council_Data!$V$3:$V$838,$A127,Council_Data!$L$3:$L$838)</f>
        <v>-22</v>
      </c>
      <c r="K127" s="63">
        <f t="shared" si="8"/>
        <v>-2</v>
      </c>
      <c r="L127">
        <f>ROUND(SUMIF(Council_Data!$V$3:$V$838,$A127,Council_Data!$N$3:$N$838)*0.7,0)</f>
        <v>0</v>
      </c>
      <c r="M127">
        <f>SUMIF(Council_Data!$V$3:$V$838,$A127,Council_Data!$O$3:$O$838)</f>
        <v>0</v>
      </c>
      <c r="N127">
        <f>SUMIF(Council_Data!$V$3:$V$838,$A127,Council_Data!$P$3:$P$838)</f>
        <v>1</v>
      </c>
      <c r="O127">
        <f>SUMIF(Council_Data!$V$3:$V$838,$A127,Council_Data!$Q$3:$Q$838)</f>
        <v>-1</v>
      </c>
      <c r="P127">
        <f>SUMIF(Council_Data!$V$3:$V$838,$A127,Council_Data!$R$3:$R$838)</f>
        <v>2</v>
      </c>
      <c r="Q127">
        <f>SUMIF(Council_Data!$V$3:$V$838,$A127,Council_Data!$S$3:$S$838)</f>
        <v>3</v>
      </c>
      <c r="R127">
        <f>SUMIF(Council_Data!$V$3:$V$838,$A127,Council_Data!$T$3:$T$838)</f>
        <v>-1</v>
      </c>
      <c r="S127" s="63">
        <f t="shared" si="9"/>
        <v>0</v>
      </c>
      <c r="T127" t="str">
        <f>IF(ISNA(VLOOKUP($A127,DD_Info!$A$1:$E$222,2,0)),0,VLOOKUP($A127,DD_Info!$A$1:$E$222,2,0))</f>
        <v>James  Kennerly</v>
      </c>
    </row>
    <row r="128" spans="1:20">
      <c r="A128" s="81">
        <v>136</v>
      </c>
      <c r="B128" t="str">
        <f>IF(ISNA(VLOOKUP($A128,DD_Info!$A$1:$E$222,3,0)),0,VLOOKUP($A128,DD_Info!$A$1:$E$222,3,0))</f>
        <v>Tyler</v>
      </c>
      <c r="C128">
        <f>SUMIF(Council_Data!$V$3:$V$838,$A128,Council_Data!$E$3:$E$838)</f>
        <v>288</v>
      </c>
      <c r="D128">
        <f>ROUND(SUMIF(Council_Data!$V$3:$V$838,$A128,Council_Data!$F$3:$F$838)*0.7,0)</f>
        <v>11</v>
      </c>
      <c r="E128">
        <f>SUMIF(Council_Data!$V$3:$V$838,$A128,Council_Data!$G$3:$G$838)</f>
        <v>0</v>
      </c>
      <c r="F128">
        <f>SUMIF(Council_Data!$V$3:$V$838,$A128,Council_Data!$H$3:$H$838)</f>
        <v>1</v>
      </c>
      <c r="G128">
        <f>SUMIF(Council_Data!$V$3:$V$838,$A128,Council_Data!$I$3:$I$838)</f>
        <v>-1</v>
      </c>
      <c r="H128">
        <f>SUMIF(Council_Data!$V$3:$V$838,$A128,Council_Data!$J$3:$J$838)</f>
        <v>1</v>
      </c>
      <c r="I128">
        <f>SUMIF(Council_Data!$V$3:$V$838,$A128,Council_Data!$K$3:$K$838)</f>
        <v>1</v>
      </c>
      <c r="J128">
        <f>SUMIF(Council_Data!$V$3:$V$838,$A128,Council_Data!$L$3:$L$838)</f>
        <v>0</v>
      </c>
      <c r="K128" s="63">
        <f t="shared" si="8"/>
        <v>0</v>
      </c>
      <c r="L128">
        <f>ROUND(SUMIF(Council_Data!$V$3:$V$838,$A128,Council_Data!$N$3:$N$838)*0.7,0)</f>
        <v>0</v>
      </c>
      <c r="M128">
        <f>SUMIF(Council_Data!$V$3:$V$838,$A128,Council_Data!$O$3:$O$838)</f>
        <v>0</v>
      </c>
      <c r="N128">
        <f>SUMIF(Council_Data!$V$3:$V$838,$A128,Council_Data!$P$3:$P$838)</f>
        <v>2</v>
      </c>
      <c r="O128">
        <f>SUMIF(Council_Data!$V$3:$V$838,$A128,Council_Data!$Q$3:$Q$838)</f>
        <v>-2</v>
      </c>
      <c r="P128">
        <f>SUMIF(Council_Data!$V$3:$V$838,$A128,Council_Data!$R$3:$R$838)</f>
        <v>1</v>
      </c>
      <c r="Q128">
        <f>SUMIF(Council_Data!$V$3:$V$838,$A128,Council_Data!$S$3:$S$838)</f>
        <v>3</v>
      </c>
      <c r="R128">
        <f>SUMIF(Council_Data!$V$3:$V$838,$A128,Council_Data!$T$3:$T$838)</f>
        <v>-2</v>
      </c>
      <c r="S128" s="63">
        <f t="shared" si="9"/>
        <v>0</v>
      </c>
      <c r="T128" t="str">
        <f>IF(ISNA(VLOOKUP($A128,DD_Info!$A$1:$E$222,2,0)),0,VLOOKUP($A128,DD_Info!$A$1:$E$222,2,0))</f>
        <v>Travis  Desjarlais</v>
      </c>
    </row>
    <row r="129" spans="1:20">
      <c r="A129" s="81">
        <v>137</v>
      </c>
      <c r="B129" t="str">
        <f>IF(ISNA(VLOOKUP($A129,DD_Info!$A$1:$E$222,3,0)),0,VLOOKUP($A129,DD_Info!$A$1:$E$222,3,0))</f>
        <v>Tyler</v>
      </c>
      <c r="C129">
        <f>SUMIF(Council_Data!$V$3:$V$838,$A129,Council_Data!$E$3:$E$838)</f>
        <v>314</v>
      </c>
      <c r="D129">
        <f>ROUND(SUMIF(Council_Data!$V$3:$V$838,$A129,Council_Data!$F$3:$F$838)*0.7,0)</f>
        <v>11</v>
      </c>
      <c r="E129">
        <f>SUMIF(Council_Data!$V$3:$V$838,$A129,Council_Data!$G$3:$G$838)</f>
        <v>0</v>
      </c>
      <c r="F129">
        <f>SUMIF(Council_Data!$V$3:$V$838,$A129,Council_Data!$H$3:$H$838)</f>
        <v>7</v>
      </c>
      <c r="G129">
        <f>SUMIF(Council_Data!$V$3:$V$838,$A129,Council_Data!$I$3:$I$838)</f>
        <v>-7</v>
      </c>
      <c r="H129">
        <f>SUMIF(Council_Data!$V$3:$V$838,$A129,Council_Data!$J$3:$J$838)</f>
        <v>6</v>
      </c>
      <c r="I129">
        <f>SUMIF(Council_Data!$V$3:$V$838,$A129,Council_Data!$K$3:$K$838)</f>
        <v>7</v>
      </c>
      <c r="J129">
        <f>SUMIF(Council_Data!$V$3:$V$838,$A129,Council_Data!$L$3:$L$838)</f>
        <v>-1</v>
      </c>
      <c r="K129" s="63">
        <f t="shared" si="8"/>
        <v>-9.0909090909090912E-2</v>
      </c>
      <c r="L129">
        <f>ROUND(SUMIF(Council_Data!$V$3:$V$838,$A129,Council_Data!$N$3:$N$838)*0.7,0)</f>
        <v>0</v>
      </c>
      <c r="M129">
        <f>SUMIF(Council_Data!$V$3:$V$838,$A129,Council_Data!$O$3:$O$838)</f>
        <v>0</v>
      </c>
      <c r="N129">
        <f>SUMIF(Council_Data!$V$3:$V$838,$A129,Council_Data!$P$3:$P$838)</f>
        <v>0</v>
      </c>
      <c r="O129">
        <f>SUMIF(Council_Data!$V$3:$V$838,$A129,Council_Data!$Q$3:$Q$838)</f>
        <v>0</v>
      </c>
      <c r="P129">
        <f>SUMIF(Council_Data!$V$3:$V$838,$A129,Council_Data!$R$3:$R$838)</f>
        <v>1</v>
      </c>
      <c r="Q129">
        <f>SUMIF(Council_Data!$V$3:$V$838,$A129,Council_Data!$S$3:$S$838)</f>
        <v>1</v>
      </c>
      <c r="R129">
        <f>SUMIF(Council_Data!$V$3:$V$838,$A129,Council_Data!$T$3:$T$838)</f>
        <v>0</v>
      </c>
      <c r="S129" s="63">
        <f t="shared" si="9"/>
        <v>0</v>
      </c>
      <c r="T129" t="str">
        <f>IF(ISNA(VLOOKUP($A129,DD_Info!$A$1:$E$222,2,0)),0,VLOOKUP($A129,DD_Info!$A$1:$E$222,2,0))</f>
        <v>Jeffrey  Allen</v>
      </c>
    </row>
    <row r="130" spans="1:20">
      <c r="A130" s="81">
        <v>138</v>
      </c>
      <c r="B130" t="str">
        <f>IF(ISNA(VLOOKUP($A130,DD_Info!$A$1:$E$222,3,0)),0,VLOOKUP($A130,DD_Info!$A$1:$E$222,3,0))</f>
        <v>Tyler</v>
      </c>
      <c r="C130">
        <f>SUMIF(Council_Data!$V$3:$V$838,$A130,Council_Data!$E$3:$E$838)</f>
        <v>159</v>
      </c>
      <c r="D130">
        <f>ROUND(SUMIF(Council_Data!$V$3:$V$838,$A130,Council_Data!$F$3:$F$838)*0.7,0)</f>
        <v>8</v>
      </c>
      <c r="E130">
        <f>SUMIF(Council_Data!$V$3:$V$838,$A130,Council_Data!$G$3:$G$838)</f>
        <v>0</v>
      </c>
      <c r="F130">
        <f>SUMIF(Council_Data!$V$3:$V$838,$A130,Council_Data!$H$3:$H$838)</f>
        <v>0</v>
      </c>
      <c r="G130">
        <f>SUMIF(Council_Data!$V$3:$V$838,$A130,Council_Data!$I$3:$I$838)</f>
        <v>0</v>
      </c>
      <c r="H130">
        <f>SUMIF(Council_Data!$V$3:$V$838,$A130,Council_Data!$J$3:$J$838)</f>
        <v>1</v>
      </c>
      <c r="I130">
        <f>SUMIF(Council_Data!$V$3:$V$838,$A130,Council_Data!$K$3:$K$838)</f>
        <v>3</v>
      </c>
      <c r="J130">
        <f>SUMIF(Council_Data!$V$3:$V$838,$A130,Council_Data!$L$3:$L$838)</f>
        <v>-2</v>
      </c>
      <c r="K130" s="63">
        <f t="shared" si="8"/>
        <v>-0.25</v>
      </c>
      <c r="L130">
        <f>ROUND(SUMIF(Council_Data!$V$3:$V$838,$A130,Council_Data!$N$3:$N$838)*0.7,0)</f>
        <v>0</v>
      </c>
      <c r="M130">
        <f>SUMIF(Council_Data!$V$3:$V$838,$A130,Council_Data!$O$3:$O$838)</f>
        <v>0</v>
      </c>
      <c r="N130">
        <f>SUMIF(Council_Data!$V$3:$V$838,$A130,Council_Data!$P$3:$P$838)</f>
        <v>0</v>
      </c>
      <c r="O130">
        <f>SUMIF(Council_Data!$V$3:$V$838,$A130,Council_Data!$Q$3:$Q$838)</f>
        <v>0</v>
      </c>
      <c r="P130">
        <f>SUMIF(Council_Data!$V$3:$V$838,$A130,Council_Data!$R$3:$R$838)</f>
        <v>0</v>
      </c>
      <c r="Q130">
        <f>SUMIF(Council_Data!$V$3:$V$838,$A130,Council_Data!$S$3:$S$838)</f>
        <v>0</v>
      </c>
      <c r="R130">
        <f>SUMIF(Council_Data!$V$3:$V$838,$A130,Council_Data!$T$3:$T$838)</f>
        <v>0</v>
      </c>
      <c r="S130" s="63">
        <f t="shared" si="9"/>
        <v>0</v>
      </c>
      <c r="T130" t="str">
        <f>IF(ISNA(VLOOKUP($A130,DD_Info!$A$1:$E$222,2,0)),0,VLOOKUP($A130,DD_Info!$A$1:$E$222,2,0))</f>
        <v>Alan  Mebes</v>
      </c>
    </row>
    <row r="131" spans="1:20">
      <c r="A131" s="81">
        <v>141</v>
      </c>
      <c r="B131" t="str">
        <f>IF(ISNA(VLOOKUP($A131,DD_Info!$A$1:$E$222,3,0)),0,VLOOKUP($A131,DD_Info!$A$1:$E$222,3,0))</f>
        <v>Austin</v>
      </c>
      <c r="C131">
        <f>SUMIF(Council_Data!$V$3:$V$838,$A131,Council_Data!$E$3:$E$838)</f>
        <v>1017</v>
      </c>
      <c r="D131">
        <f>ROUND(SUMIF(Council_Data!$V$3:$V$838,$A131,Council_Data!$F$3:$F$838)*0.7,0)</f>
        <v>31</v>
      </c>
      <c r="E131">
        <f>SUMIF(Council_Data!$V$3:$V$838,$A131,Council_Data!$G$3:$G$838)</f>
        <v>0</v>
      </c>
      <c r="F131">
        <f>SUMIF(Council_Data!$V$3:$V$838,$A131,Council_Data!$H$3:$H$838)</f>
        <v>0</v>
      </c>
      <c r="G131">
        <f>SUMIF(Council_Data!$V$3:$V$838,$A131,Council_Data!$I$3:$I$838)</f>
        <v>0</v>
      </c>
      <c r="H131">
        <f>SUMIF(Council_Data!$V$3:$V$838,$A131,Council_Data!$J$3:$J$838)</f>
        <v>4</v>
      </c>
      <c r="I131">
        <f>SUMIF(Council_Data!$V$3:$V$838,$A131,Council_Data!$K$3:$K$838)</f>
        <v>1</v>
      </c>
      <c r="J131">
        <f>SUMIF(Council_Data!$V$3:$V$838,$A131,Council_Data!$L$3:$L$838)</f>
        <v>3</v>
      </c>
      <c r="K131" s="63">
        <f t="shared" si="8"/>
        <v>9.6774193548387094E-2</v>
      </c>
      <c r="L131">
        <f>ROUND(SUMIF(Council_Data!$V$3:$V$838,$A131,Council_Data!$N$3:$N$838)*0.7,0)</f>
        <v>0</v>
      </c>
      <c r="M131">
        <f>SUMIF(Council_Data!$V$3:$V$838,$A131,Council_Data!$O$3:$O$838)</f>
        <v>0</v>
      </c>
      <c r="N131">
        <f>SUMIF(Council_Data!$V$3:$V$838,$A131,Council_Data!$P$3:$P$838)</f>
        <v>1</v>
      </c>
      <c r="O131">
        <f>SUMIF(Council_Data!$V$3:$V$838,$A131,Council_Data!$Q$3:$Q$838)</f>
        <v>-1</v>
      </c>
      <c r="P131">
        <f>SUMIF(Council_Data!$V$3:$V$838,$A131,Council_Data!$R$3:$R$838)</f>
        <v>4</v>
      </c>
      <c r="Q131">
        <f>SUMIF(Council_Data!$V$3:$V$838,$A131,Council_Data!$S$3:$S$838)</f>
        <v>1</v>
      </c>
      <c r="R131">
        <f>SUMIF(Council_Data!$V$3:$V$838,$A131,Council_Data!$T$3:$T$838)</f>
        <v>3</v>
      </c>
      <c r="S131" s="63">
        <f t="shared" si="9"/>
        <v>0</v>
      </c>
      <c r="T131" t="str">
        <f>IF(ISNA(VLOOKUP($A131,DD_Info!$A$1:$E$222,2,0)),0,VLOOKUP($A131,DD_Info!$A$1:$E$222,2,0))</f>
        <v>Kenneth  Ratajczak</v>
      </c>
    </row>
    <row r="132" spans="1:20">
      <c r="A132" s="81">
        <v>142</v>
      </c>
      <c r="B132" t="str">
        <f>IF(ISNA(VLOOKUP($A132,DD_Info!$A$1:$E$222,3,0)),0,VLOOKUP($A132,DD_Info!$A$1:$E$222,3,0))</f>
        <v>Austin</v>
      </c>
      <c r="C132">
        <f>SUMIF(Council_Data!$V$3:$V$838,$A132,Council_Data!$E$3:$E$838)</f>
        <v>368</v>
      </c>
      <c r="D132">
        <f>ROUND(SUMIF(Council_Data!$V$3:$V$838,$A132,Council_Data!$F$3:$F$838)*0.7,0)</f>
        <v>14</v>
      </c>
      <c r="E132">
        <f>SUMIF(Council_Data!$V$3:$V$838,$A132,Council_Data!$G$3:$G$838)</f>
        <v>0</v>
      </c>
      <c r="F132">
        <f>SUMIF(Council_Data!$V$3:$V$838,$A132,Council_Data!$H$3:$H$838)</f>
        <v>0</v>
      </c>
      <c r="G132">
        <f>SUMIF(Council_Data!$V$3:$V$838,$A132,Council_Data!$I$3:$I$838)</f>
        <v>0</v>
      </c>
      <c r="H132">
        <f>SUMIF(Council_Data!$V$3:$V$838,$A132,Council_Data!$J$3:$J$838)</f>
        <v>8</v>
      </c>
      <c r="I132">
        <f>SUMIF(Council_Data!$V$3:$V$838,$A132,Council_Data!$K$3:$K$838)</f>
        <v>4</v>
      </c>
      <c r="J132">
        <f>SUMIF(Council_Data!$V$3:$V$838,$A132,Council_Data!$L$3:$L$838)</f>
        <v>4</v>
      </c>
      <c r="K132" s="63">
        <f t="shared" si="8"/>
        <v>0.2857142857142857</v>
      </c>
      <c r="L132">
        <f>ROUND(SUMIF(Council_Data!$V$3:$V$838,$A132,Council_Data!$N$3:$N$838)*0.7,0)</f>
        <v>0</v>
      </c>
      <c r="M132">
        <f>SUMIF(Council_Data!$V$3:$V$838,$A132,Council_Data!$O$3:$O$838)</f>
        <v>0</v>
      </c>
      <c r="N132">
        <f>SUMIF(Council_Data!$V$3:$V$838,$A132,Council_Data!$P$3:$P$838)</f>
        <v>1</v>
      </c>
      <c r="O132">
        <f>SUMIF(Council_Data!$V$3:$V$838,$A132,Council_Data!$Q$3:$Q$838)</f>
        <v>-1</v>
      </c>
      <c r="P132">
        <f>SUMIF(Council_Data!$V$3:$V$838,$A132,Council_Data!$R$3:$R$838)</f>
        <v>8</v>
      </c>
      <c r="Q132">
        <f>SUMIF(Council_Data!$V$3:$V$838,$A132,Council_Data!$S$3:$S$838)</f>
        <v>4</v>
      </c>
      <c r="R132">
        <f>SUMIF(Council_Data!$V$3:$V$838,$A132,Council_Data!$T$3:$T$838)</f>
        <v>4</v>
      </c>
      <c r="S132" s="63">
        <f t="shared" si="9"/>
        <v>0</v>
      </c>
      <c r="T132" t="str">
        <f>IF(ISNA(VLOOKUP($A132,DD_Info!$A$1:$E$222,2,0)),0,VLOOKUP($A132,DD_Info!$A$1:$E$222,2,0))</f>
        <v>Bernard F Ott Jr</v>
      </c>
    </row>
    <row r="133" spans="1:20">
      <c r="A133" s="81">
        <v>143</v>
      </c>
      <c r="B133" t="str">
        <f>IF(ISNA(VLOOKUP($A133,DD_Info!$A$1:$E$222,3,0)),0,VLOOKUP($A133,DD_Info!$A$1:$E$222,3,0))</f>
        <v>Austin</v>
      </c>
      <c r="C133">
        <f>SUMIF(Council_Data!$V$3:$V$838,$A133,Council_Data!$E$3:$E$838)</f>
        <v>743</v>
      </c>
      <c r="D133">
        <f>ROUND(SUMIF(Council_Data!$V$3:$V$838,$A133,Council_Data!$F$3:$F$838)*0.7,0)</f>
        <v>25</v>
      </c>
      <c r="E133">
        <f>SUMIF(Council_Data!$V$3:$V$838,$A133,Council_Data!$G$3:$G$838)</f>
        <v>1</v>
      </c>
      <c r="F133">
        <f>SUMIF(Council_Data!$V$3:$V$838,$A133,Council_Data!$H$3:$H$838)</f>
        <v>0</v>
      </c>
      <c r="G133">
        <f>SUMIF(Council_Data!$V$3:$V$838,$A133,Council_Data!$I$3:$I$838)</f>
        <v>1</v>
      </c>
      <c r="H133">
        <f>SUMIF(Council_Data!$V$3:$V$838,$A133,Council_Data!$J$3:$J$838)</f>
        <v>10</v>
      </c>
      <c r="I133">
        <f>SUMIF(Council_Data!$V$3:$V$838,$A133,Council_Data!$K$3:$K$838)</f>
        <v>0</v>
      </c>
      <c r="J133">
        <f>SUMIF(Council_Data!$V$3:$V$838,$A133,Council_Data!$L$3:$L$838)</f>
        <v>10</v>
      </c>
      <c r="K133" s="63">
        <f t="shared" ref="K133:K199" si="14">IFERROR(J133/D133,0)</f>
        <v>0.4</v>
      </c>
      <c r="L133">
        <f>ROUND(SUMIF(Council_Data!$V$3:$V$838,$A133,Council_Data!$N$3:$N$838)*0.7,0)</f>
        <v>0</v>
      </c>
      <c r="M133">
        <f>SUMIF(Council_Data!$V$3:$V$838,$A133,Council_Data!$O$3:$O$838)</f>
        <v>0</v>
      </c>
      <c r="N133">
        <f>SUMIF(Council_Data!$V$3:$V$838,$A133,Council_Data!$P$3:$P$838)</f>
        <v>0</v>
      </c>
      <c r="O133">
        <f>SUMIF(Council_Data!$V$3:$V$838,$A133,Council_Data!$Q$3:$Q$838)</f>
        <v>0</v>
      </c>
      <c r="P133">
        <f>SUMIF(Council_Data!$V$3:$V$838,$A133,Council_Data!$R$3:$R$838)</f>
        <v>2</v>
      </c>
      <c r="Q133">
        <f>SUMIF(Council_Data!$V$3:$V$838,$A133,Council_Data!$S$3:$S$838)</f>
        <v>3</v>
      </c>
      <c r="R133">
        <f>SUMIF(Council_Data!$V$3:$V$838,$A133,Council_Data!$T$3:$T$838)</f>
        <v>-1</v>
      </c>
      <c r="S133" s="63">
        <f t="shared" ref="S133:S199" si="15">IFERROR(R133/L133,0)</f>
        <v>0</v>
      </c>
      <c r="T133" t="str">
        <f>IF(ISNA(VLOOKUP($A133,DD_Info!$A$1:$E$222,2,0)),0,VLOOKUP($A133,DD_Info!$A$1:$E$222,2,0))</f>
        <v>Eugene  Presta</v>
      </c>
    </row>
    <row r="134" spans="1:20">
      <c r="A134" s="81">
        <v>144</v>
      </c>
      <c r="B134" t="str">
        <f>IF(ISNA(VLOOKUP($A134,DD_Info!$A$1:$E$222,3,0)),0,VLOOKUP($A134,DD_Info!$A$1:$E$222,3,0))</f>
        <v>Austin</v>
      </c>
      <c r="C134">
        <f>SUMIF(Council_Data!$V$3:$V$838,$A134,Council_Data!$E$3:$E$838)</f>
        <v>299</v>
      </c>
      <c r="D134">
        <f>ROUND(SUMIF(Council_Data!$V$3:$V$838,$A134,Council_Data!$F$3:$F$838)*0.7,0)</f>
        <v>11</v>
      </c>
      <c r="E134">
        <f>SUMIF(Council_Data!$V$3:$V$838,$A134,Council_Data!$G$3:$G$838)</f>
        <v>2</v>
      </c>
      <c r="F134">
        <f>SUMIF(Council_Data!$V$3:$V$838,$A134,Council_Data!$H$3:$H$838)</f>
        <v>0</v>
      </c>
      <c r="G134">
        <f>SUMIF(Council_Data!$V$3:$V$838,$A134,Council_Data!$I$3:$I$838)</f>
        <v>2</v>
      </c>
      <c r="H134">
        <f>SUMIF(Council_Data!$V$3:$V$838,$A134,Council_Data!$J$3:$J$838)</f>
        <v>2</v>
      </c>
      <c r="I134">
        <f>SUMIF(Council_Data!$V$3:$V$838,$A134,Council_Data!$K$3:$K$838)</f>
        <v>0</v>
      </c>
      <c r="J134">
        <f>SUMIF(Council_Data!$V$3:$V$838,$A134,Council_Data!$L$3:$L$838)</f>
        <v>2</v>
      </c>
      <c r="K134" s="63">
        <f t="shared" si="14"/>
        <v>0.18181818181818182</v>
      </c>
      <c r="L134">
        <f>ROUND(SUMIF(Council_Data!$V$3:$V$838,$A134,Council_Data!$N$3:$N$838)*0.7,0)</f>
        <v>0</v>
      </c>
      <c r="M134">
        <f>SUMIF(Council_Data!$V$3:$V$838,$A134,Council_Data!$O$3:$O$838)</f>
        <v>0</v>
      </c>
      <c r="N134">
        <f>SUMIF(Council_Data!$V$3:$V$838,$A134,Council_Data!$P$3:$P$838)</f>
        <v>0</v>
      </c>
      <c r="O134">
        <f>SUMIF(Council_Data!$V$3:$V$838,$A134,Council_Data!$Q$3:$Q$838)</f>
        <v>0</v>
      </c>
      <c r="P134">
        <f>SUMIF(Council_Data!$V$3:$V$838,$A134,Council_Data!$R$3:$R$838)</f>
        <v>0</v>
      </c>
      <c r="Q134">
        <f>SUMIF(Council_Data!$V$3:$V$838,$A134,Council_Data!$S$3:$S$838)</f>
        <v>0</v>
      </c>
      <c r="R134">
        <f>SUMIF(Council_Data!$V$3:$V$838,$A134,Council_Data!$T$3:$T$838)</f>
        <v>0</v>
      </c>
      <c r="S134" s="63">
        <f t="shared" si="15"/>
        <v>0</v>
      </c>
      <c r="T134" t="str">
        <f>IF(ISNA(VLOOKUP($A134,DD_Info!$A$1:$E$222,2,0)),0,VLOOKUP($A134,DD_Info!$A$1:$E$222,2,0))</f>
        <v>TO BE APPOINTED</v>
      </c>
    </row>
    <row r="135" spans="1:20">
      <c r="A135" s="81">
        <v>145</v>
      </c>
      <c r="B135" t="str">
        <f>IF(ISNA(VLOOKUP($A135,DD_Info!$A$1:$E$222,3,0)),0,VLOOKUP($A135,DD_Info!$A$1:$E$222,3,0))</f>
        <v>Austin</v>
      </c>
      <c r="C135">
        <f>SUMIF(Council_Data!$V$3:$V$838,$A135,Council_Data!$E$3:$E$838)</f>
        <v>80</v>
      </c>
      <c r="D135">
        <f>ROUND(SUMIF(Council_Data!$V$3:$V$838,$A135,Council_Data!$F$3:$F$838)*0.7,0)</f>
        <v>4</v>
      </c>
      <c r="E135">
        <f>SUMIF(Council_Data!$V$3:$V$838,$A135,Council_Data!$G$3:$G$838)</f>
        <v>0</v>
      </c>
      <c r="F135">
        <f>SUMIF(Council_Data!$V$3:$V$838,$A135,Council_Data!$H$3:$H$838)</f>
        <v>0</v>
      </c>
      <c r="G135">
        <f>SUMIF(Council_Data!$V$3:$V$838,$A135,Council_Data!$I$3:$I$838)</f>
        <v>0</v>
      </c>
      <c r="H135">
        <f>SUMIF(Council_Data!$V$3:$V$838,$A135,Council_Data!$J$3:$J$838)</f>
        <v>0</v>
      </c>
      <c r="I135">
        <f>SUMIF(Council_Data!$V$3:$V$838,$A135,Council_Data!$K$3:$K$838)</f>
        <v>0</v>
      </c>
      <c r="J135">
        <f>SUMIF(Council_Data!$V$3:$V$838,$A135,Council_Data!$L$3:$L$838)</f>
        <v>0</v>
      </c>
      <c r="K135" s="63">
        <f t="shared" si="14"/>
        <v>0</v>
      </c>
      <c r="L135">
        <f>ROUND(SUMIF(Council_Data!$V$3:$V$838,$A135,Council_Data!$N$3:$N$838)*0.7,0)</f>
        <v>0</v>
      </c>
      <c r="M135">
        <f>SUMIF(Council_Data!$V$3:$V$838,$A135,Council_Data!$O$3:$O$838)</f>
        <v>0</v>
      </c>
      <c r="N135">
        <f>SUMIF(Council_Data!$V$3:$V$838,$A135,Council_Data!$P$3:$P$838)</f>
        <v>0</v>
      </c>
      <c r="O135">
        <f>SUMIF(Council_Data!$V$3:$V$838,$A135,Council_Data!$Q$3:$Q$838)</f>
        <v>0</v>
      </c>
      <c r="P135">
        <f>SUMIF(Council_Data!$V$3:$V$838,$A135,Council_Data!$R$3:$R$838)</f>
        <v>0</v>
      </c>
      <c r="Q135">
        <f>SUMIF(Council_Data!$V$3:$V$838,$A135,Council_Data!$S$3:$S$838)</f>
        <v>1</v>
      </c>
      <c r="R135">
        <f>SUMIF(Council_Data!$V$3:$V$838,$A135,Council_Data!$T$3:$T$838)</f>
        <v>-1</v>
      </c>
      <c r="S135" s="63">
        <f t="shared" si="15"/>
        <v>0</v>
      </c>
      <c r="T135" t="str">
        <f>IF(ISNA(VLOOKUP($A135,DD_Info!$A$1:$E$222,2,0)),0,VLOOKUP($A135,DD_Info!$A$1:$E$222,2,0))</f>
        <v>Wayne  McCart</v>
      </c>
    </row>
    <row r="136" spans="1:20">
      <c r="A136" s="81">
        <v>146</v>
      </c>
      <c r="B136" t="str">
        <f>IF(ISNA(VLOOKUP($A136,DD_Info!$A$1:$E$222,3,0)),0,VLOOKUP($A136,DD_Info!$A$1:$E$222,3,0))</f>
        <v>Austin</v>
      </c>
      <c r="C136">
        <f>SUMIF(Council_Data!$V$3:$V$838,$A136,Council_Data!$E$3:$E$838)</f>
        <v>1148</v>
      </c>
      <c r="D136">
        <f>ROUND(SUMIF(Council_Data!$V$3:$V$838,$A136,Council_Data!$F$3:$F$838)*0.7,0)</f>
        <v>37</v>
      </c>
      <c r="E136">
        <f>SUMIF(Council_Data!$V$3:$V$838,$A136,Council_Data!$G$3:$G$838)</f>
        <v>0</v>
      </c>
      <c r="F136">
        <f>SUMIF(Council_Data!$V$3:$V$838,$A136,Council_Data!$H$3:$H$838)</f>
        <v>1</v>
      </c>
      <c r="G136">
        <f>SUMIF(Council_Data!$V$3:$V$838,$A136,Council_Data!$I$3:$I$838)</f>
        <v>-1</v>
      </c>
      <c r="H136">
        <f>SUMIF(Council_Data!$V$3:$V$838,$A136,Council_Data!$J$3:$J$838)</f>
        <v>37</v>
      </c>
      <c r="I136">
        <f>SUMIF(Council_Data!$V$3:$V$838,$A136,Council_Data!$K$3:$K$838)</f>
        <v>4</v>
      </c>
      <c r="J136">
        <f>SUMIF(Council_Data!$V$3:$V$838,$A136,Council_Data!$L$3:$L$838)</f>
        <v>33</v>
      </c>
      <c r="K136" s="63">
        <f t="shared" si="14"/>
        <v>0.89189189189189189</v>
      </c>
      <c r="L136">
        <f>ROUND(SUMIF(Council_Data!$V$3:$V$838,$A136,Council_Data!$N$3:$N$838)*0.7,0)</f>
        <v>0</v>
      </c>
      <c r="M136">
        <f>SUMIF(Council_Data!$V$3:$V$838,$A136,Council_Data!$O$3:$O$838)</f>
        <v>0</v>
      </c>
      <c r="N136">
        <f>SUMIF(Council_Data!$V$3:$V$838,$A136,Council_Data!$P$3:$P$838)</f>
        <v>2</v>
      </c>
      <c r="O136">
        <f>SUMIF(Council_Data!$V$3:$V$838,$A136,Council_Data!$Q$3:$Q$838)</f>
        <v>-2</v>
      </c>
      <c r="P136">
        <f>SUMIF(Council_Data!$V$3:$V$838,$A136,Council_Data!$R$3:$R$838)</f>
        <v>3</v>
      </c>
      <c r="Q136">
        <f>SUMIF(Council_Data!$V$3:$V$838,$A136,Council_Data!$S$3:$S$838)</f>
        <v>7</v>
      </c>
      <c r="R136">
        <f>SUMIF(Council_Data!$V$3:$V$838,$A136,Council_Data!$T$3:$T$838)</f>
        <v>-4</v>
      </c>
      <c r="S136" s="63">
        <f t="shared" si="15"/>
        <v>0</v>
      </c>
      <c r="T136" t="str">
        <f>IF(ISNA(VLOOKUP($A136,DD_Info!$A$1:$E$222,2,0)),0,VLOOKUP($A136,DD_Info!$A$1:$E$222,2,0))</f>
        <v>David  Lamme</v>
      </c>
    </row>
    <row r="137" spans="1:20">
      <c r="A137" s="81">
        <v>147</v>
      </c>
      <c r="B137" t="str">
        <f>IF(ISNA(VLOOKUP($A137,DD_Info!$A$1:$E$222,3,0)),0,VLOOKUP($A137,DD_Info!$A$1:$E$222,3,0))</f>
        <v>Austin</v>
      </c>
      <c r="C137">
        <f>SUMIF(Council_Data!$V$3:$V$838,$A137,Council_Data!$E$3:$E$838)</f>
        <v>700</v>
      </c>
      <c r="D137">
        <f>ROUND(SUMIF(Council_Data!$V$3:$V$838,$A137,Council_Data!$F$3:$F$838)*0.7,0)</f>
        <v>23</v>
      </c>
      <c r="E137">
        <f>SUMIF(Council_Data!$V$3:$V$838,$A137,Council_Data!$G$3:$G$838)</f>
        <v>0</v>
      </c>
      <c r="F137">
        <f>SUMIF(Council_Data!$V$3:$V$838,$A137,Council_Data!$H$3:$H$838)</f>
        <v>1</v>
      </c>
      <c r="G137">
        <f>SUMIF(Council_Data!$V$3:$V$838,$A137,Council_Data!$I$3:$I$838)</f>
        <v>-1</v>
      </c>
      <c r="H137">
        <f>SUMIF(Council_Data!$V$3:$V$838,$A137,Council_Data!$J$3:$J$838)</f>
        <v>2</v>
      </c>
      <c r="I137">
        <f>SUMIF(Council_Data!$V$3:$V$838,$A137,Council_Data!$K$3:$K$838)</f>
        <v>8</v>
      </c>
      <c r="J137">
        <f>SUMIF(Council_Data!$V$3:$V$838,$A137,Council_Data!$L$3:$L$838)</f>
        <v>-6</v>
      </c>
      <c r="K137" s="63">
        <f t="shared" si="14"/>
        <v>-0.2608695652173913</v>
      </c>
      <c r="L137">
        <f>ROUND(SUMIF(Council_Data!$V$3:$V$838,$A137,Council_Data!$N$3:$N$838)*0.7,0)</f>
        <v>0</v>
      </c>
      <c r="M137">
        <f>SUMIF(Council_Data!$V$3:$V$838,$A137,Council_Data!$O$3:$O$838)</f>
        <v>0</v>
      </c>
      <c r="N137">
        <f>SUMIF(Council_Data!$V$3:$V$838,$A137,Council_Data!$P$3:$P$838)</f>
        <v>1</v>
      </c>
      <c r="O137">
        <f>SUMIF(Council_Data!$V$3:$V$838,$A137,Council_Data!$Q$3:$Q$838)</f>
        <v>-1</v>
      </c>
      <c r="P137">
        <f>SUMIF(Council_Data!$V$3:$V$838,$A137,Council_Data!$R$3:$R$838)</f>
        <v>2</v>
      </c>
      <c r="Q137">
        <f>SUMIF(Council_Data!$V$3:$V$838,$A137,Council_Data!$S$3:$S$838)</f>
        <v>9</v>
      </c>
      <c r="R137">
        <f>SUMIF(Council_Data!$V$3:$V$838,$A137,Council_Data!$T$3:$T$838)</f>
        <v>-7</v>
      </c>
      <c r="S137" s="63">
        <f t="shared" si="15"/>
        <v>0</v>
      </c>
      <c r="T137" t="str">
        <f>IF(ISNA(VLOOKUP($A137,DD_Info!$A$1:$E$222,2,0)),0,VLOOKUP($A137,DD_Info!$A$1:$E$222,2,0))</f>
        <v>Clarence  Troy</v>
      </c>
    </row>
    <row r="138" spans="1:20">
      <c r="A138" s="81">
        <v>148</v>
      </c>
      <c r="B138" t="str">
        <f>IF(ISNA(VLOOKUP($A138,DD_Info!$A$1:$E$222,3,0)),0,VLOOKUP($A138,DD_Info!$A$1:$E$222,3,0))</f>
        <v>Austin</v>
      </c>
      <c r="C138">
        <f>SUMIF(Council_Data!$V$3:$V$838,$A138,Council_Data!$E$3:$E$838)</f>
        <v>575</v>
      </c>
      <c r="D138">
        <f>ROUND(SUMIF(Council_Data!$V$3:$V$838,$A138,Council_Data!$F$3:$F$838)*0.7,0)</f>
        <v>20</v>
      </c>
      <c r="E138">
        <f>SUMIF(Council_Data!$V$3:$V$838,$A138,Council_Data!$G$3:$G$838)</f>
        <v>0</v>
      </c>
      <c r="F138">
        <f>SUMIF(Council_Data!$V$3:$V$838,$A138,Council_Data!$H$3:$H$838)</f>
        <v>0</v>
      </c>
      <c r="G138">
        <f>SUMIF(Council_Data!$V$3:$V$838,$A138,Council_Data!$I$3:$I$838)</f>
        <v>0</v>
      </c>
      <c r="H138">
        <f>SUMIF(Council_Data!$V$3:$V$838,$A138,Council_Data!$J$3:$J$838)</f>
        <v>0</v>
      </c>
      <c r="I138">
        <f>SUMIF(Council_Data!$V$3:$V$838,$A138,Council_Data!$K$3:$K$838)</f>
        <v>0</v>
      </c>
      <c r="J138">
        <f>SUMIF(Council_Data!$V$3:$V$838,$A138,Council_Data!$L$3:$L$838)</f>
        <v>0</v>
      </c>
      <c r="K138" s="63">
        <f t="shared" si="14"/>
        <v>0</v>
      </c>
      <c r="L138">
        <f>ROUND(SUMIF(Council_Data!$V$3:$V$838,$A138,Council_Data!$N$3:$N$838)*0.7,0)</f>
        <v>0</v>
      </c>
      <c r="M138">
        <f>SUMIF(Council_Data!$V$3:$V$838,$A138,Council_Data!$O$3:$O$838)</f>
        <v>0</v>
      </c>
      <c r="N138">
        <f>SUMIF(Council_Data!$V$3:$V$838,$A138,Council_Data!$P$3:$P$838)</f>
        <v>0</v>
      </c>
      <c r="O138">
        <f>SUMIF(Council_Data!$V$3:$V$838,$A138,Council_Data!$Q$3:$Q$838)</f>
        <v>0</v>
      </c>
      <c r="P138">
        <f>SUMIF(Council_Data!$V$3:$V$838,$A138,Council_Data!$R$3:$R$838)</f>
        <v>0</v>
      </c>
      <c r="Q138">
        <f>SUMIF(Council_Data!$V$3:$V$838,$A138,Council_Data!$S$3:$S$838)</f>
        <v>1</v>
      </c>
      <c r="R138">
        <f>SUMIF(Council_Data!$V$3:$V$838,$A138,Council_Data!$T$3:$T$838)</f>
        <v>-1</v>
      </c>
      <c r="S138" s="63">
        <f t="shared" si="15"/>
        <v>0</v>
      </c>
      <c r="T138" t="str">
        <f>IF(ISNA(VLOOKUP($A138,DD_Info!$A$1:$E$222,2,0)),0,VLOOKUP($A138,DD_Info!$A$1:$E$222,2,0))</f>
        <v>Maurice  Jurena</v>
      </c>
    </row>
    <row r="139" spans="1:20">
      <c r="A139" s="81">
        <v>149</v>
      </c>
      <c r="B139" t="str">
        <f>IF(ISNA(VLOOKUP($A139,DD_Info!$A$1:$E$222,3,0)),0,VLOOKUP($A139,DD_Info!$A$1:$E$222,3,0))</f>
        <v>Austin</v>
      </c>
      <c r="C139">
        <f>SUMIF(Council_Data!$V$3:$V$838,$A139,Council_Data!$E$3:$E$838)</f>
        <v>683</v>
      </c>
      <c r="D139">
        <f>ROUND(SUMIF(Council_Data!$V$3:$V$838,$A139,Council_Data!$F$3:$F$838)*0.7,0)</f>
        <v>25</v>
      </c>
      <c r="E139">
        <f>SUMIF(Council_Data!$V$3:$V$838,$A139,Council_Data!$G$3:$G$838)</f>
        <v>0</v>
      </c>
      <c r="F139">
        <f>SUMIF(Council_Data!$V$3:$V$838,$A139,Council_Data!$H$3:$H$838)</f>
        <v>0</v>
      </c>
      <c r="G139">
        <f>SUMIF(Council_Data!$V$3:$V$838,$A139,Council_Data!$I$3:$I$838)</f>
        <v>0</v>
      </c>
      <c r="H139">
        <f>SUMIF(Council_Data!$V$3:$V$838,$A139,Council_Data!$J$3:$J$838)</f>
        <v>4</v>
      </c>
      <c r="I139">
        <f>SUMIF(Council_Data!$V$3:$V$838,$A139,Council_Data!$K$3:$K$838)</f>
        <v>0</v>
      </c>
      <c r="J139">
        <f>SUMIF(Council_Data!$V$3:$V$838,$A139,Council_Data!$L$3:$L$838)</f>
        <v>4</v>
      </c>
      <c r="K139" s="63">
        <f t="shared" si="14"/>
        <v>0.16</v>
      </c>
      <c r="L139">
        <f>ROUND(SUMIF(Council_Data!$V$3:$V$838,$A139,Council_Data!$N$3:$N$838)*0.7,0)</f>
        <v>0</v>
      </c>
      <c r="M139">
        <f>SUMIF(Council_Data!$V$3:$V$838,$A139,Council_Data!$O$3:$O$838)</f>
        <v>0</v>
      </c>
      <c r="N139">
        <f>SUMIF(Council_Data!$V$3:$V$838,$A139,Council_Data!$P$3:$P$838)</f>
        <v>0</v>
      </c>
      <c r="O139">
        <f>SUMIF(Council_Data!$V$3:$V$838,$A139,Council_Data!$Q$3:$Q$838)</f>
        <v>0</v>
      </c>
      <c r="P139">
        <f>SUMIF(Council_Data!$V$3:$V$838,$A139,Council_Data!$R$3:$R$838)</f>
        <v>2</v>
      </c>
      <c r="Q139">
        <f>SUMIF(Council_Data!$V$3:$V$838,$A139,Council_Data!$S$3:$S$838)</f>
        <v>0</v>
      </c>
      <c r="R139">
        <f>SUMIF(Council_Data!$V$3:$V$838,$A139,Council_Data!$T$3:$T$838)</f>
        <v>2</v>
      </c>
      <c r="S139" s="63">
        <f t="shared" si="15"/>
        <v>0</v>
      </c>
      <c r="T139" t="str">
        <f>IF(ISNA(VLOOKUP($A139,DD_Info!$A$1:$E$222,2,0)),0,VLOOKUP($A139,DD_Info!$A$1:$E$222,2,0))</f>
        <v>Vince  Verdicchio</v>
      </c>
    </row>
    <row r="140" spans="1:20">
      <c r="A140" s="81">
        <v>150</v>
      </c>
      <c r="B140" t="str">
        <f>IF(ISNA(VLOOKUP($A140,DD_Info!$A$1:$E$222,3,0)),0,VLOOKUP($A140,DD_Info!$A$1:$E$222,3,0))</f>
        <v>Austin</v>
      </c>
      <c r="C140">
        <f>SUMIF(Council_Data!$V$3:$V$838,$A140,Council_Data!$E$3:$E$838)</f>
        <v>837</v>
      </c>
      <c r="D140">
        <f>ROUND(SUMIF(Council_Data!$V$3:$V$838,$A140,Council_Data!$F$3:$F$838)*0.7,0)</f>
        <v>29</v>
      </c>
      <c r="E140">
        <f>SUMIF(Council_Data!$V$3:$V$838,$A140,Council_Data!$G$3:$G$838)</f>
        <v>2</v>
      </c>
      <c r="F140">
        <f>SUMIF(Council_Data!$V$3:$V$838,$A140,Council_Data!$H$3:$H$838)</f>
        <v>0</v>
      </c>
      <c r="G140">
        <f>SUMIF(Council_Data!$V$3:$V$838,$A140,Council_Data!$I$3:$I$838)</f>
        <v>2</v>
      </c>
      <c r="H140">
        <f>SUMIF(Council_Data!$V$3:$V$838,$A140,Council_Data!$J$3:$J$838)</f>
        <v>10</v>
      </c>
      <c r="I140">
        <f>SUMIF(Council_Data!$V$3:$V$838,$A140,Council_Data!$K$3:$K$838)</f>
        <v>0</v>
      </c>
      <c r="J140">
        <f>SUMIF(Council_Data!$V$3:$V$838,$A140,Council_Data!$L$3:$L$838)</f>
        <v>10</v>
      </c>
      <c r="K140" s="63">
        <f t="shared" si="14"/>
        <v>0.34482758620689657</v>
      </c>
      <c r="L140">
        <f>ROUND(SUMIF(Council_Data!$V$3:$V$838,$A140,Council_Data!$N$3:$N$838)*0.7,0)</f>
        <v>0</v>
      </c>
      <c r="M140">
        <f>SUMIF(Council_Data!$V$3:$V$838,$A140,Council_Data!$O$3:$O$838)</f>
        <v>1</v>
      </c>
      <c r="N140">
        <f>SUMIF(Council_Data!$V$3:$V$838,$A140,Council_Data!$P$3:$P$838)</f>
        <v>3</v>
      </c>
      <c r="O140">
        <f>SUMIF(Council_Data!$V$3:$V$838,$A140,Council_Data!$Q$3:$Q$838)</f>
        <v>-2</v>
      </c>
      <c r="P140">
        <f>SUMIF(Council_Data!$V$3:$V$838,$A140,Council_Data!$R$3:$R$838)</f>
        <v>3</v>
      </c>
      <c r="Q140">
        <f>SUMIF(Council_Data!$V$3:$V$838,$A140,Council_Data!$S$3:$S$838)</f>
        <v>3</v>
      </c>
      <c r="R140">
        <f>SUMIF(Council_Data!$V$3:$V$838,$A140,Council_Data!$T$3:$T$838)</f>
        <v>0</v>
      </c>
      <c r="S140" s="63">
        <f t="shared" si="15"/>
        <v>0</v>
      </c>
      <c r="T140" t="str">
        <f>IF(ISNA(VLOOKUP($A140,DD_Info!$A$1:$E$222,2,0)),0,VLOOKUP($A140,DD_Info!$A$1:$E$222,2,0))</f>
        <v>Michael  Barnett</v>
      </c>
    </row>
    <row r="141" spans="1:20">
      <c r="A141" s="81">
        <v>151</v>
      </c>
      <c r="B141" t="str">
        <f>IF(ISNA(VLOOKUP($A141,DD_Info!$A$1:$E$222,3,0)),0,VLOOKUP($A141,DD_Info!$A$1:$E$222,3,0))</f>
        <v>Austin</v>
      </c>
      <c r="C141">
        <f>SUMIF(Council_Data!$V$3:$V$838,$A141,Council_Data!$E$3:$E$838)</f>
        <v>673</v>
      </c>
      <c r="D141">
        <f>ROUND(SUMIF(Council_Data!$V$3:$V$838,$A141,Council_Data!$F$3:$F$838)*0.7,0)</f>
        <v>23</v>
      </c>
      <c r="E141">
        <f>SUMIF(Council_Data!$V$3:$V$838,$A141,Council_Data!$G$3:$G$838)</f>
        <v>1</v>
      </c>
      <c r="F141">
        <f>SUMIF(Council_Data!$V$3:$V$838,$A141,Council_Data!$H$3:$H$838)</f>
        <v>0</v>
      </c>
      <c r="G141">
        <f>SUMIF(Council_Data!$V$3:$V$838,$A141,Council_Data!$I$3:$I$838)</f>
        <v>1</v>
      </c>
      <c r="H141">
        <f>SUMIF(Council_Data!$V$3:$V$838,$A141,Council_Data!$J$3:$J$838)</f>
        <v>18</v>
      </c>
      <c r="I141">
        <f>SUMIF(Council_Data!$V$3:$V$838,$A141,Council_Data!$K$3:$K$838)</f>
        <v>3</v>
      </c>
      <c r="J141">
        <f>SUMIF(Council_Data!$V$3:$V$838,$A141,Council_Data!$L$3:$L$838)</f>
        <v>15</v>
      </c>
      <c r="K141" s="63">
        <f t="shared" si="14"/>
        <v>0.65217391304347827</v>
      </c>
      <c r="L141">
        <f>ROUND(SUMIF(Council_Data!$V$3:$V$838,$A141,Council_Data!$N$3:$N$838)*0.7,0)</f>
        <v>0</v>
      </c>
      <c r="M141">
        <f>SUMIF(Council_Data!$V$3:$V$838,$A141,Council_Data!$O$3:$O$838)</f>
        <v>1</v>
      </c>
      <c r="N141">
        <f>SUMIF(Council_Data!$V$3:$V$838,$A141,Council_Data!$P$3:$P$838)</f>
        <v>0</v>
      </c>
      <c r="O141">
        <f>SUMIF(Council_Data!$V$3:$V$838,$A141,Council_Data!$Q$3:$Q$838)</f>
        <v>1</v>
      </c>
      <c r="P141">
        <f>SUMIF(Council_Data!$V$3:$V$838,$A141,Council_Data!$R$3:$R$838)</f>
        <v>6</v>
      </c>
      <c r="Q141">
        <f>SUMIF(Council_Data!$V$3:$V$838,$A141,Council_Data!$S$3:$S$838)</f>
        <v>5</v>
      </c>
      <c r="R141">
        <f>SUMIF(Council_Data!$V$3:$V$838,$A141,Council_Data!$T$3:$T$838)</f>
        <v>1</v>
      </c>
      <c r="S141" s="63">
        <f t="shared" si="15"/>
        <v>0</v>
      </c>
      <c r="T141" t="str">
        <f>IF(ISNA(VLOOKUP($A141,DD_Info!$A$1:$E$222,2,0)),0,VLOOKUP($A141,DD_Info!$A$1:$E$222,2,0))</f>
        <v>John W Hicks</v>
      </c>
    </row>
    <row r="142" spans="1:20">
      <c r="A142" s="81">
        <v>152</v>
      </c>
      <c r="B142" t="str">
        <f>IF(ISNA(VLOOKUP($A142,DD_Info!$A$1:$E$222,3,0)),0,VLOOKUP($A142,DD_Info!$A$1:$E$222,3,0))</f>
        <v>Austin</v>
      </c>
      <c r="C142">
        <f>SUMIF(Council_Data!$V$3:$V$838,$A142,Council_Data!$E$3:$E$838)</f>
        <v>486</v>
      </c>
      <c r="D142">
        <f>ROUND(SUMIF(Council_Data!$V$3:$V$838,$A142,Council_Data!$F$3:$F$838)*0.7,0)</f>
        <v>16</v>
      </c>
      <c r="E142">
        <f>SUMIF(Council_Data!$V$3:$V$838,$A142,Council_Data!$G$3:$G$838)</f>
        <v>0</v>
      </c>
      <c r="F142">
        <f>SUMIF(Council_Data!$V$3:$V$838,$A142,Council_Data!$H$3:$H$838)</f>
        <v>0</v>
      </c>
      <c r="G142">
        <f>SUMIF(Council_Data!$V$3:$V$838,$A142,Council_Data!$I$3:$I$838)</f>
        <v>0</v>
      </c>
      <c r="H142">
        <f>SUMIF(Council_Data!$V$3:$V$838,$A142,Council_Data!$J$3:$J$838)</f>
        <v>5</v>
      </c>
      <c r="I142">
        <f>SUMIF(Council_Data!$V$3:$V$838,$A142,Council_Data!$K$3:$K$838)</f>
        <v>0</v>
      </c>
      <c r="J142">
        <f>SUMIF(Council_Data!$V$3:$V$838,$A142,Council_Data!$L$3:$L$838)</f>
        <v>5</v>
      </c>
      <c r="K142" s="63">
        <f t="shared" si="14"/>
        <v>0.3125</v>
      </c>
      <c r="L142">
        <f>ROUND(SUMIF(Council_Data!$V$3:$V$838,$A142,Council_Data!$N$3:$N$838)*0.7,0)</f>
        <v>0</v>
      </c>
      <c r="M142">
        <f>SUMIF(Council_Data!$V$3:$V$838,$A142,Council_Data!$O$3:$O$838)</f>
        <v>0</v>
      </c>
      <c r="N142">
        <f>SUMIF(Council_Data!$V$3:$V$838,$A142,Council_Data!$P$3:$P$838)</f>
        <v>4</v>
      </c>
      <c r="O142">
        <f>SUMIF(Council_Data!$V$3:$V$838,$A142,Council_Data!$Q$3:$Q$838)</f>
        <v>-4</v>
      </c>
      <c r="P142">
        <f>SUMIF(Council_Data!$V$3:$V$838,$A142,Council_Data!$R$3:$R$838)</f>
        <v>1</v>
      </c>
      <c r="Q142">
        <f>SUMIF(Council_Data!$V$3:$V$838,$A142,Council_Data!$S$3:$S$838)</f>
        <v>6</v>
      </c>
      <c r="R142">
        <f>SUMIF(Council_Data!$V$3:$V$838,$A142,Council_Data!$T$3:$T$838)</f>
        <v>-5</v>
      </c>
      <c r="S142" s="63">
        <f t="shared" si="15"/>
        <v>0</v>
      </c>
      <c r="T142" t="str">
        <f>IF(ISNA(VLOOKUP($A142,DD_Info!$A$1:$E$222,2,0)),0,VLOOKUP($A142,DD_Info!$A$1:$E$222,2,0))</f>
        <v>Michael  D'Antonio</v>
      </c>
    </row>
    <row r="143" spans="1:20">
      <c r="A143" s="81">
        <v>153</v>
      </c>
      <c r="B143" t="str">
        <f>IF(ISNA(VLOOKUP($A143,DD_Info!$A$1:$E$222,3,0)),0,VLOOKUP($A143,DD_Info!$A$1:$E$222,3,0))</f>
        <v>Austin</v>
      </c>
      <c r="C143">
        <f>SUMIF(Council_Data!$V$3:$V$838,$A143,Council_Data!$E$3:$E$838)</f>
        <v>325</v>
      </c>
      <c r="D143">
        <f>ROUND(SUMIF(Council_Data!$V$3:$V$838,$A143,Council_Data!$F$3:$F$838)*0.7,0)</f>
        <v>11</v>
      </c>
      <c r="E143">
        <f>SUMIF(Council_Data!$V$3:$V$838,$A143,Council_Data!$G$3:$G$838)</f>
        <v>0</v>
      </c>
      <c r="F143">
        <f>SUMIF(Council_Data!$V$3:$V$838,$A143,Council_Data!$H$3:$H$838)</f>
        <v>0</v>
      </c>
      <c r="G143">
        <f>SUMIF(Council_Data!$V$3:$V$838,$A143,Council_Data!$I$3:$I$838)</f>
        <v>0</v>
      </c>
      <c r="H143">
        <f>SUMIF(Council_Data!$V$3:$V$838,$A143,Council_Data!$J$3:$J$838)</f>
        <v>5</v>
      </c>
      <c r="I143">
        <f>SUMIF(Council_Data!$V$3:$V$838,$A143,Council_Data!$K$3:$K$838)</f>
        <v>0</v>
      </c>
      <c r="J143">
        <f>SUMIF(Council_Data!$V$3:$V$838,$A143,Council_Data!$L$3:$L$838)</f>
        <v>5</v>
      </c>
      <c r="K143" s="63">
        <f t="shared" si="14"/>
        <v>0.45454545454545453</v>
      </c>
      <c r="L143">
        <f>ROUND(SUMIF(Council_Data!$V$3:$V$838,$A143,Council_Data!$N$3:$N$838)*0.7,0)</f>
        <v>0</v>
      </c>
      <c r="M143">
        <f>SUMIF(Council_Data!$V$3:$V$838,$A143,Council_Data!$O$3:$O$838)</f>
        <v>0</v>
      </c>
      <c r="N143">
        <f>SUMIF(Council_Data!$V$3:$V$838,$A143,Council_Data!$P$3:$P$838)</f>
        <v>1</v>
      </c>
      <c r="O143">
        <f>SUMIF(Council_Data!$V$3:$V$838,$A143,Council_Data!$Q$3:$Q$838)</f>
        <v>-1</v>
      </c>
      <c r="P143">
        <f>SUMIF(Council_Data!$V$3:$V$838,$A143,Council_Data!$R$3:$R$838)</f>
        <v>1</v>
      </c>
      <c r="Q143">
        <f>SUMIF(Council_Data!$V$3:$V$838,$A143,Council_Data!$S$3:$S$838)</f>
        <v>2</v>
      </c>
      <c r="R143">
        <f>SUMIF(Council_Data!$V$3:$V$838,$A143,Council_Data!$T$3:$T$838)</f>
        <v>-1</v>
      </c>
      <c r="S143" s="63">
        <f t="shared" si="15"/>
        <v>0</v>
      </c>
      <c r="T143" t="str">
        <f>IF(ISNA(VLOOKUP($A143,DD_Info!$A$1:$E$222,2,0)),0,VLOOKUP($A143,DD_Info!$A$1:$E$222,2,0))</f>
        <v>Alex  Martinez</v>
      </c>
    </row>
    <row r="144" spans="1:20">
      <c r="A144" s="81">
        <v>154</v>
      </c>
      <c r="B144" t="str">
        <f>IF(ISNA(VLOOKUP($A144,DD_Info!$A$1:$E$222,3,0)),0,VLOOKUP($A144,DD_Info!$A$1:$E$222,3,0))</f>
        <v>Austin</v>
      </c>
      <c r="C144">
        <f>SUMIF(Council_Data!$V$3:$V$838,$A144,Council_Data!$E$3:$E$838)</f>
        <v>855</v>
      </c>
      <c r="D144">
        <f>ROUND(SUMIF(Council_Data!$V$3:$V$838,$A144,Council_Data!$F$3:$F$838)*0.7,0)</f>
        <v>22</v>
      </c>
      <c r="E144">
        <f>SUMIF(Council_Data!$V$3:$V$838,$A144,Council_Data!$G$3:$G$838)</f>
        <v>1</v>
      </c>
      <c r="F144">
        <f>SUMIF(Council_Data!$V$3:$V$838,$A144,Council_Data!$H$3:$H$838)</f>
        <v>0</v>
      </c>
      <c r="G144">
        <f>SUMIF(Council_Data!$V$3:$V$838,$A144,Council_Data!$I$3:$I$838)</f>
        <v>1</v>
      </c>
      <c r="H144">
        <f>SUMIF(Council_Data!$V$3:$V$838,$A144,Council_Data!$J$3:$J$838)</f>
        <v>13</v>
      </c>
      <c r="I144">
        <f>SUMIF(Council_Data!$V$3:$V$838,$A144,Council_Data!$K$3:$K$838)</f>
        <v>0</v>
      </c>
      <c r="J144">
        <f>SUMIF(Council_Data!$V$3:$V$838,$A144,Council_Data!$L$3:$L$838)</f>
        <v>13</v>
      </c>
      <c r="K144" s="63">
        <f t="shared" si="14"/>
        <v>0.59090909090909094</v>
      </c>
      <c r="L144">
        <f>ROUND(SUMIF(Council_Data!$V$3:$V$838,$A144,Council_Data!$N$3:$N$838)*0.7,0)</f>
        <v>0</v>
      </c>
      <c r="M144">
        <f>SUMIF(Council_Data!$V$3:$V$838,$A144,Council_Data!$O$3:$O$838)</f>
        <v>1</v>
      </c>
      <c r="N144">
        <f>SUMIF(Council_Data!$V$3:$V$838,$A144,Council_Data!$P$3:$P$838)</f>
        <v>2</v>
      </c>
      <c r="O144">
        <f>SUMIF(Council_Data!$V$3:$V$838,$A144,Council_Data!$Q$3:$Q$838)</f>
        <v>-1</v>
      </c>
      <c r="P144">
        <f>SUMIF(Council_Data!$V$3:$V$838,$A144,Council_Data!$R$3:$R$838)</f>
        <v>9</v>
      </c>
      <c r="Q144">
        <f>SUMIF(Council_Data!$V$3:$V$838,$A144,Council_Data!$S$3:$S$838)</f>
        <v>3</v>
      </c>
      <c r="R144">
        <f>SUMIF(Council_Data!$V$3:$V$838,$A144,Council_Data!$T$3:$T$838)</f>
        <v>6</v>
      </c>
      <c r="S144" s="63">
        <f t="shared" si="15"/>
        <v>0</v>
      </c>
      <c r="T144" t="str">
        <f>IF(ISNA(VLOOKUP($A144,DD_Info!$A$1:$E$222,2,0)),0,VLOOKUP($A144,DD_Info!$A$1:$E$222,2,0))</f>
        <v>Darris  Chapple</v>
      </c>
    </row>
    <row r="145" spans="1:20">
      <c r="A145" s="81">
        <v>155</v>
      </c>
      <c r="B145" t="str">
        <f>IF(ISNA(VLOOKUP($A145,DD_Info!$A$1:$E$222,3,0)),0,VLOOKUP($A145,DD_Info!$A$1:$E$222,3,0))</f>
        <v>Austin</v>
      </c>
      <c r="C145">
        <f>SUMIF(Council_Data!$V$3:$V$838,$A145,Council_Data!$E$3:$E$838)</f>
        <v>677</v>
      </c>
      <c r="D145">
        <f>ROUND(SUMIF(Council_Data!$V$3:$V$838,$A145,Council_Data!$F$3:$F$838)*0.7,0)</f>
        <v>25</v>
      </c>
      <c r="E145">
        <f>SUMIF(Council_Data!$V$3:$V$838,$A145,Council_Data!$G$3:$G$838)</f>
        <v>1</v>
      </c>
      <c r="F145">
        <f>SUMIF(Council_Data!$V$3:$V$838,$A145,Council_Data!$H$3:$H$838)</f>
        <v>0</v>
      </c>
      <c r="G145">
        <f>SUMIF(Council_Data!$V$3:$V$838,$A145,Council_Data!$I$3:$I$838)</f>
        <v>1</v>
      </c>
      <c r="H145">
        <f>SUMIF(Council_Data!$V$3:$V$838,$A145,Council_Data!$J$3:$J$838)</f>
        <v>3</v>
      </c>
      <c r="I145">
        <f>SUMIF(Council_Data!$V$3:$V$838,$A145,Council_Data!$K$3:$K$838)</f>
        <v>1</v>
      </c>
      <c r="J145">
        <f>SUMIF(Council_Data!$V$3:$V$838,$A145,Council_Data!$L$3:$L$838)</f>
        <v>2</v>
      </c>
      <c r="K145" s="63">
        <f t="shared" si="14"/>
        <v>0.08</v>
      </c>
      <c r="L145">
        <f>ROUND(SUMIF(Council_Data!$V$3:$V$838,$A145,Council_Data!$N$3:$N$838)*0.7,0)</f>
        <v>0</v>
      </c>
      <c r="M145">
        <f>SUMIF(Council_Data!$V$3:$V$838,$A145,Council_Data!$O$3:$O$838)</f>
        <v>0</v>
      </c>
      <c r="N145">
        <f>SUMIF(Council_Data!$V$3:$V$838,$A145,Council_Data!$P$3:$P$838)</f>
        <v>0</v>
      </c>
      <c r="O145">
        <f>SUMIF(Council_Data!$V$3:$V$838,$A145,Council_Data!$Q$3:$Q$838)</f>
        <v>0</v>
      </c>
      <c r="P145">
        <f>SUMIF(Council_Data!$V$3:$V$838,$A145,Council_Data!$R$3:$R$838)</f>
        <v>2</v>
      </c>
      <c r="Q145">
        <f>SUMIF(Council_Data!$V$3:$V$838,$A145,Council_Data!$S$3:$S$838)</f>
        <v>2</v>
      </c>
      <c r="R145">
        <f>SUMIF(Council_Data!$V$3:$V$838,$A145,Council_Data!$T$3:$T$838)</f>
        <v>0</v>
      </c>
      <c r="S145" s="63">
        <f t="shared" si="15"/>
        <v>0</v>
      </c>
      <c r="T145" t="str">
        <f>IF(ISNA(VLOOKUP($A145,DD_Info!$A$1:$E$222,2,0)),0,VLOOKUP($A145,DD_Info!$A$1:$E$222,2,0))</f>
        <v>Joseph "Pat" P Ortiz</v>
      </c>
    </row>
    <row r="146" spans="1:20">
      <c r="A146" s="81">
        <v>156</v>
      </c>
      <c r="B146" t="str">
        <f>IF(ISNA(VLOOKUP($A146,DD_Info!$A$1:$E$222,3,0)),0,VLOOKUP($A146,DD_Info!$A$1:$E$222,3,0))</f>
        <v>Austin</v>
      </c>
      <c r="C146">
        <f>SUMIF(Council_Data!$V$3:$V$838,$A146,Council_Data!$E$3:$E$838)</f>
        <v>662</v>
      </c>
      <c r="D146">
        <f>ROUND(SUMIF(Council_Data!$V$3:$V$838,$A146,Council_Data!$F$3:$F$838)*0.7,0)</f>
        <v>22</v>
      </c>
      <c r="E146">
        <f>SUMIF(Council_Data!$V$3:$V$838,$A146,Council_Data!$G$3:$G$838)</f>
        <v>7</v>
      </c>
      <c r="F146">
        <f>SUMIF(Council_Data!$V$3:$V$838,$A146,Council_Data!$H$3:$H$838)</f>
        <v>1</v>
      </c>
      <c r="G146">
        <f>SUMIF(Council_Data!$V$3:$V$838,$A146,Council_Data!$I$3:$I$838)</f>
        <v>6</v>
      </c>
      <c r="H146">
        <f>SUMIF(Council_Data!$V$3:$V$838,$A146,Council_Data!$J$3:$J$838)</f>
        <v>25</v>
      </c>
      <c r="I146">
        <f>SUMIF(Council_Data!$V$3:$V$838,$A146,Council_Data!$K$3:$K$838)</f>
        <v>4</v>
      </c>
      <c r="J146">
        <f>SUMIF(Council_Data!$V$3:$V$838,$A146,Council_Data!$L$3:$L$838)</f>
        <v>21</v>
      </c>
      <c r="K146" s="63">
        <f t="shared" si="14"/>
        <v>0.95454545454545459</v>
      </c>
      <c r="L146">
        <f>ROUND(SUMIF(Council_Data!$V$3:$V$838,$A146,Council_Data!$N$3:$N$838)*0.7,0)</f>
        <v>0</v>
      </c>
      <c r="M146">
        <f>SUMIF(Council_Data!$V$3:$V$838,$A146,Council_Data!$O$3:$O$838)</f>
        <v>0</v>
      </c>
      <c r="N146">
        <f>SUMIF(Council_Data!$V$3:$V$838,$A146,Council_Data!$P$3:$P$838)</f>
        <v>0</v>
      </c>
      <c r="O146">
        <f>SUMIF(Council_Data!$V$3:$V$838,$A146,Council_Data!$Q$3:$Q$838)</f>
        <v>0</v>
      </c>
      <c r="P146">
        <f>SUMIF(Council_Data!$V$3:$V$838,$A146,Council_Data!$R$3:$R$838)</f>
        <v>3</v>
      </c>
      <c r="Q146">
        <f>SUMIF(Council_Data!$V$3:$V$838,$A146,Council_Data!$S$3:$S$838)</f>
        <v>4</v>
      </c>
      <c r="R146">
        <f>SUMIF(Council_Data!$V$3:$V$838,$A146,Council_Data!$T$3:$T$838)</f>
        <v>-1</v>
      </c>
      <c r="S146" s="63">
        <f t="shared" si="15"/>
        <v>0</v>
      </c>
      <c r="T146" t="str">
        <f>IF(ISNA(VLOOKUP($A146,DD_Info!$A$1:$E$222,2,0)),0,VLOOKUP($A146,DD_Info!$A$1:$E$222,2,0))</f>
        <v>George G Scott</v>
      </c>
    </row>
    <row r="147" spans="1:20">
      <c r="A147" s="81">
        <v>157</v>
      </c>
      <c r="B147" t="str">
        <f>IF(ISNA(VLOOKUP($A147,DD_Info!$A$1:$E$222,3,0)),0,VLOOKUP($A147,DD_Info!$A$1:$E$222,3,0))</f>
        <v>Austin</v>
      </c>
      <c r="C147">
        <f>SUMIF(Council_Data!$V$3:$V$838,$A147,Council_Data!$E$3:$E$838)</f>
        <v>381</v>
      </c>
      <c r="D147">
        <f>ROUND(SUMIF(Council_Data!$V$3:$V$838,$A147,Council_Data!$F$3:$F$838)*0.7,0)</f>
        <v>13</v>
      </c>
      <c r="E147">
        <f>SUMIF(Council_Data!$V$3:$V$838,$A147,Council_Data!$G$3:$G$838)</f>
        <v>0</v>
      </c>
      <c r="F147">
        <f>SUMIF(Council_Data!$V$3:$V$838,$A147,Council_Data!$H$3:$H$838)</f>
        <v>0</v>
      </c>
      <c r="G147">
        <f>SUMIF(Council_Data!$V$3:$V$838,$A147,Council_Data!$I$3:$I$838)</f>
        <v>0</v>
      </c>
      <c r="H147">
        <f>SUMIF(Council_Data!$V$3:$V$838,$A147,Council_Data!$J$3:$J$838)</f>
        <v>0</v>
      </c>
      <c r="I147">
        <f>SUMIF(Council_Data!$V$3:$V$838,$A147,Council_Data!$K$3:$K$838)</f>
        <v>0</v>
      </c>
      <c r="J147">
        <f>SUMIF(Council_Data!$V$3:$V$838,$A147,Council_Data!$L$3:$L$838)</f>
        <v>0</v>
      </c>
      <c r="K147" s="63">
        <f t="shared" si="14"/>
        <v>0</v>
      </c>
      <c r="L147">
        <f>ROUND(SUMIF(Council_Data!$V$3:$V$838,$A147,Council_Data!$N$3:$N$838)*0.7,0)</f>
        <v>0</v>
      </c>
      <c r="M147">
        <f>SUMIF(Council_Data!$V$3:$V$838,$A147,Council_Data!$O$3:$O$838)</f>
        <v>0</v>
      </c>
      <c r="N147">
        <f>SUMIF(Council_Data!$V$3:$V$838,$A147,Council_Data!$P$3:$P$838)</f>
        <v>2</v>
      </c>
      <c r="O147">
        <f>SUMIF(Council_Data!$V$3:$V$838,$A147,Council_Data!$Q$3:$Q$838)</f>
        <v>-2</v>
      </c>
      <c r="P147">
        <f>SUMIF(Council_Data!$V$3:$V$838,$A147,Council_Data!$R$3:$R$838)</f>
        <v>0</v>
      </c>
      <c r="Q147">
        <f>SUMIF(Council_Data!$V$3:$V$838,$A147,Council_Data!$S$3:$S$838)</f>
        <v>2</v>
      </c>
      <c r="R147">
        <f>SUMIF(Council_Data!$V$3:$V$838,$A147,Council_Data!$T$3:$T$838)</f>
        <v>-2</v>
      </c>
      <c r="S147" s="63">
        <f t="shared" si="15"/>
        <v>0</v>
      </c>
      <c r="T147" t="str">
        <f>IF(ISNA(VLOOKUP($A147,DD_Info!$A$1:$E$222,2,0)),0,VLOOKUP($A147,DD_Info!$A$1:$E$222,2,0))</f>
        <v>TO BE APPOINTED</v>
      </c>
    </row>
    <row r="148" spans="1:20">
      <c r="A148" s="81">
        <v>158</v>
      </c>
      <c r="B148" t="str">
        <f>IF(ISNA(VLOOKUP($A148,DD_Info!$A$1:$E$222,3,0)),0,VLOOKUP($A148,DD_Info!$A$1:$E$222,3,0))</f>
        <v>Austin</v>
      </c>
      <c r="C148">
        <f>SUMIF(Council_Data!$V$3:$V$838,$A148,Council_Data!$E$3:$E$838)</f>
        <v>767</v>
      </c>
      <c r="D148">
        <f>ROUND(SUMIF(Council_Data!$V$3:$V$838,$A148,Council_Data!$F$3:$F$838)*0.7,0)</f>
        <v>26</v>
      </c>
      <c r="E148">
        <f>SUMIF(Council_Data!$V$3:$V$838,$A148,Council_Data!$G$3:$G$838)</f>
        <v>0</v>
      </c>
      <c r="F148">
        <f>SUMIF(Council_Data!$V$3:$V$838,$A148,Council_Data!$H$3:$H$838)</f>
        <v>1</v>
      </c>
      <c r="G148">
        <f>SUMIF(Council_Data!$V$3:$V$838,$A148,Council_Data!$I$3:$I$838)</f>
        <v>-1</v>
      </c>
      <c r="H148">
        <f>SUMIF(Council_Data!$V$3:$V$838,$A148,Council_Data!$J$3:$J$838)</f>
        <v>0</v>
      </c>
      <c r="I148">
        <f>SUMIF(Council_Data!$V$3:$V$838,$A148,Council_Data!$K$3:$K$838)</f>
        <v>1</v>
      </c>
      <c r="J148">
        <f>SUMIF(Council_Data!$V$3:$V$838,$A148,Council_Data!$L$3:$L$838)</f>
        <v>-1</v>
      </c>
      <c r="K148" s="63">
        <f t="shared" si="14"/>
        <v>-3.8461538461538464E-2</v>
      </c>
      <c r="L148">
        <f>ROUND(SUMIF(Council_Data!$V$3:$V$838,$A148,Council_Data!$N$3:$N$838)*0.7,0)</f>
        <v>0</v>
      </c>
      <c r="M148">
        <f>SUMIF(Council_Data!$V$3:$V$838,$A148,Council_Data!$O$3:$O$838)</f>
        <v>0</v>
      </c>
      <c r="N148">
        <f>SUMIF(Council_Data!$V$3:$V$838,$A148,Council_Data!$P$3:$P$838)</f>
        <v>0</v>
      </c>
      <c r="O148">
        <f>SUMIF(Council_Data!$V$3:$V$838,$A148,Council_Data!$Q$3:$Q$838)</f>
        <v>0</v>
      </c>
      <c r="P148">
        <f>SUMIF(Council_Data!$V$3:$V$838,$A148,Council_Data!$R$3:$R$838)</f>
        <v>0</v>
      </c>
      <c r="Q148">
        <f>SUMIF(Council_Data!$V$3:$V$838,$A148,Council_Data!$S$3:$S$838)</f>
        <v>6</v>
      </c>
      <c r="R148">
        <f>SUMIF(Council_Data!$V$3:$V$838,$A148,Council_Data!$T$3:$T$838)</f>
        <v>-6</v>
      </c>
      <c r="S148" s="63">
        <f t="shared" si="15"/>
        <v>0</v>
      </c>
      <c r="T148" t="str">
        <f>IF(ISNA(VLOOKUP($A148,DD_Info!$A$1:$E$222,2,0)),0,VLOOKUP($A148,DD_Info!$A$1:$E$222,2,0))</f>
        <v>Kevin  Russell</v>
      </c>
    </row>
    <row r="149" spans="1:20">
      <c r="A149" s="81">
        <v>159</v>
      </c>
      <c r="B149" t="str">
        <f>IF(ISNA(VLOOKUP($A149,DD_Info!$A$1:$E$222,3,0)),0,VLOOKUP($A149,DD_Info!$A$1:$E$222,3,0))</f>
        <v>Austin</v>
      </c>
      <c r="C149">
        <f>SUMIF(Council_Data!$V$3:$V$838,$A149,Council_Data!$E$3:$E$838)</f>
        <v>573</v>
      </c>
      <c r="D149">
        <f>ROUND(SUMIF(Council_Data!$V$3:$V$838,$A149,Council_Data!$F$3:$F$838)*0.7,0)</f>
        <v>20</v>
      </c>
      <c r="E149">
        <f>SUMIF(Council_Data!$V$3:$V$838,$A149,Council_Data!$G$3:$G$838)</f>
        <v>0</v>
      </c>
      <c r="F149">
        <f>SUMIF(Council_Data!$V$3:$V$838,$A149,Council_Data!$H$3:$H$838)</f>
        <v>0</v>
      </c>
      <c r="G149">
        <f>SUMIF(Council_Data!$V$3:$V$838,$A149,Council_Data!$I$3:$I$838)</f>
        <v>0</v>
      </c>
      <c r="H149">
        <f>SUMIF(Council_Data!$V$3:$V$838,$A149,Council_Data!$J$3:$J$838)</f>
        <v>8</v>
      </c>
      <c r="I149">
        <f>SUMIF(Council_Data!$V$3:$V$838,$A149,Council_Data!$K$3:$K$838)</f>
        <v>3</v>
      </c>
      <c r="J149">
        <f>SUMIF(Council_Data!$V$3:$V$838,$A149,Council_Data!$L$3:$L$838)</f>
        <v>5</v>
      </c>
      <c r="K149" s="63">
        <f t="shared" si="14"/>
        <v>0.25</v>
      </c>
      <c r="L149">
        <f>ROUND(SUMIF(Council_Data!$V$3:$V$838,$A149,Council_Data!$N$3:$N$838)*0.7,0)</f>
        <v>0</v>
      </c>
      <c r="M149">
        <f>SUMIF(Council_Data!$V$3:$V$838,$A149,Council_Data!$O$3:$O$838)</f>
        <v>0</v>
      </c>
      <c r="N149">
        <f>SUMIF(Council_Data!$V$3:$V$838,$A149,Council_Data!$P$3:$P$838)</f>
        <v>1</v>
      </c>
      <c r="O149">
        <f>SUMIF(Council_Data!$V$3:$V$838,$A149,Council_Data!$Q$3:$Q$838)</f>
        <v>-1</v>
      </c>
      <c r="P149">
        <f>SUMIF(Council_Data!$V$3:$V$838,$A149,Council_Data!$R$3:$R$838)</f>
        <v>3</v>
      </c>
      <c r="Q149">
        <f>SUMIF(Council_Data!$V$3:$V$838,$A149,Council_Data!$S$3:$S$838)</f>
        <v>2</v>
      </c>
      <c r="R149">
        <f>SUMIF(Council_Data!$V$3:$V$838,$A149,Council_Data!$T$3:$T$838)</f>
        <v>1</v>
      </c>
      <c r="S149" s="63">
        <f t="shared" si="15"/>
        <v>0</v>
      </c>
      <c r="T149" t="str">
        <f>IF(ISNA(VLOOKUP($A149,DD_Info!$A$1:$E$222,2,0)),0,VLOOKUP($A149,DD_Info!$A$1:$E$222,2,0))</f>
        <v>Tony  Grandinetti</v>
      </c>
    </row>
    <row r="150" spans="1:20">
      <c r="A150" s="81">
        <v>160</v>
      </c>
      <c r="B150" t="str">
        <f>IF(ISNA(VLOOKUP($A150,DD_Info!$A$1:$E$222,3,0)),0,VLOOKUP($A150,DD_Info!$A$1:$E$222,3,0))</f>
        <v>Austin</v>
      </c>
      <c r="C150">
        <f>SUMIF(Council_Data!$V$3:$V$838,$A150,Council_Data!$E$3:$E$838)</f>
        <v>300</v>
      </c>
      <c r="D150">
        <f>ROUND(SUMIF(Council_Data!$V$3:$V$838,$A150,Council_Data!$F$3:$F$838)*0.7,0)</f>
        <v>11</v>
      </c>
      <c r="E150">
        <f>SUMIF(Council_Data!$V$3:$V$838,$A150,Council_Data!$G$3:$G$838)</f>
        <v>0</v>
      </c>
      <c r="F150">
        <f>SUMIF(Council_Data!$V$3:$V$838,$A150,Council_Data!$H$3:$H$838)</f>
        <v>0</v>
      </c>
      <c r="G150">
        <f>SUMIF(Council_Data!$V$3:$V$838,$A150,Council_Data!$I$3:$I$838)</f>
        <v>0</v>
      </c>
      <c r="H150">
        <f>SUMIF(Council_Data!$V$3:$V$838,$A150,Council_Data!$J$3:$J$838)</f>
        <v>1</v>
      </c>
      <c r="I150">
        <f>SUMIF(Council_Data!$V$3:$V$838,$A150,Council_Data!$K$3:$K$838)</f>
        <v>1</v>
      </c>
      <c r="J150">
        <f>SUMIF(Council_Data!$V$3:$V$838,$A150,Council_Data!$L$3:$L$838)</f>
        <v>0</v>
      </c>
      <c r="K150" s="63">
        <f t="shared" si="14"/>
        <v>0</v>
      </c>
      <c r="L150">
        <f>ROUND(SUMIF(Council_Data!$V$3:$V$838,$A150,Council_Data!$N$3:$N$838)*0.7,0)</f>
        <v>0</v>
      </c>
      <c r="M150">
        <f>SUMIF(Council_Data!$V$3:$V$838,$A150,Council_Data!$O$3:$O$838)</f>
        <v>0</v>
      </c>
      <c r="N150">
        <f>SUMIF(Council_Data!$V$3:$V$838,$A150,Council_Data!$P$3:$P$838)</f>
        <v>1</v>
      </c>
      <c r="O150">
        <f>SUMIF(Council_Data!$V$3:$V$838,$A150,Council_Data!$Q$3:$Q$838)</f>
        <v>-1</v>
      </c>
      <c r="P150">
        <f>SUMIF(Council_Data!$V$3:$V$838,$A150,Council_Data!$R$3:$R$838)</f>
        <v>1</v>
      </c>
      <c r="Q150">
        <f>SUMIF(Council_Data!$V$3:$V$838,$A150,Council_Data!$S$3:$S$838)</f>
        <v>2</v>
      </c>
      <c r="R150">
        <f>SUMIF(Council_Data!$V$3:$V$838,$A150,Council_Data!$T$3:$T$838)</f>
        <v>-1</v>
      </c>
      <c r="S150" s="63">
        <f t="shared" si="15"/>
        <v>0</v>
      </c>
      <c r="T150" t="str">
        <f>IF(ISNA(VLOOKUP($A150,DD_Info!$A$1:$E$222,2,0)),0,VLOOKUP($A150,DD_Info!$A$1:$E$222,2,0))</f>
        <v>Patrick J Quinlan</v>
      </c>
    </row>
    <row r="151" spans="1:20">
      <c r="A151" s="81">
        <v>161</v>
      </c>
      <c r="B151" t="str">
        <f>IF(ISNA(VLOOKUP($A151,DD_Info!$A$1:$E$222,3,0)),0,VLOOKUP($A151,DD_Info!$A$1:$E$222,3,0))</f>
        <v>Austin</v>
      </c>
      <c r="C151">
        <f>SUMIF(Council_Data!$V$3:$V$838,$A151,Council_Data!$E$3:$E$838)</f>
        <v>242</v>
      </c>
      <c r="D151">
        <f>ROUND(SUMIF(Council_Data!$V$3:$V$838,$A151,Council_Data!$F$3:$F$838)*0.7,0)</f>
        <v>11</v>
      </c>
      <c r="E151">
        <f>SUMIF(Council_Data!$V$3:$V$838,$A151,Council_Data!$G$3:$G$838)</f>
        <v>0</v>
      </c>
      <c r="F151">
        <f>SUMIF(Council_Data!$V$3:$V$838,$A151,Council_Data!$H$3:$H$838)</f>
        <v>1</v>
      </c>
      <c r="G151">
        <f>SUMIF(Council_Data!$V$3:$V$838,$A151,Council_Data!$I$3:$I$838)</f>
        <v>-1</v>
      </c>
      <c r="H151">
        <f>SUMIF(Council_Data!$V$3:$V$838,$A151,Council_Data!$J$3:$J$838)</f>
        <v>2</v>
      </c>
      <c r="I151">
        <f>SUMIF(Council_Data!$V$3:$V$838,$A151,Council_Data!$K$3:$K$838)</f>
        <v>1</v>
      </c>
      <c r="J151">
        <f>SUMIF(Council_Data!$V$3:$V$838,$A151,Council_Data!$L$3:$L$838)</f>
        <v>1</v>
      </c>
      <c r="K151" s="63">
        <f t="shared" ref="K151" si="16">IFERROR(J151/D151,0)</f>
        <v>9.0909090909090912E-2</v>
      </c>
      <c r="L151">
        <f>ROUND(SUMIF(Council_Data!$V$3:$V$838,$A151,Council_Data!$N$3:$N$838)*0.7,0)</f>
        <v>0</v>
      </c>
      <c r="M151">
        <f>SUMIF(Council_Data!$V$3:$V$838,$A151,Council_Data!$O$3:$O$838)</f>
        <v>0</v>
      </c>
      <c r="N151">
        <f>SUMIF(Council_Data!$V$3:$V$838,$A151,Council_Data!$P$3:$P$838)</f>
        <v>1</v>
      </c>
      <c r="O151">
        <f>SUMIF(Council_Data!$V$3:$V$838,$A151,Council_Data!$Q$3:$Q$838)</f>
        <v>-1</v>
      </c>
      <c r="P151">
        <f>SUMIF(Council_Data!$V$3:$V$838,$A151,Council_Data!$R$3:$R$838)</f>
        <v>0</v>
      </c>
      <c r="Q151">
        <f>SUMIF(Council_Data!$V$3:$V$838,$A151,Council_Data!$S$3:$S$838)</f>
        <v>2</v>
      </c>
      <c r="R151">
        <f>SUMIF(Council_Data!$V$3:$V$838,$A151,Council_Data!$T$3:$T$838)</f>
        <v>-2</v>
      </c>
      <c r="S151" s="63">
        <f t="shared" ref="S151" si="17">IFERROR(R151/L151,0)</f>
        <v>0</v>
      </c>
      <c r="T151" t="str">
        <f>IF(ISNA(VLOOKUP($A151,DD_Info!$A$1:$E$222,2,0)),0,VLOOKUP($A151,DD_Info!$A$1:$E$222,2,0))</f>
        <v>Armando  Montes Jr</v>
      </c>
    </row>
    <row r="152" spans="1:20">
      <c r="A152" s="81">
        <v>162</v>
      </c>
      <c r="B152" t="str">
        <f>IF(ISNA(VLOOKUP($A152,DD_Info!$A$1:$E$222,3,0)),0,VLOOKUP($A152,DD_Info!$A$1:$E$222,3,0))</f>
        <v>Austin</v>
      </c>
      <c r="C152">
        <f>SUMIF(Council_Data!$V$3:$V$838,$A152,Council_Data!$E$3:$E$838)</f>
        <v>72</v>
      </c>
      <c r="D152">
        <f>ROUND(SUMIF(Council_Data!$V$3:$V$838,$A152,Council_Data!$F$3:$F$838)*0.7,0)</f>
        <v>3</v>
      </c>
      <c r="E152">
        <f>SUMIF(Council_Data!$V$3:$V$838,$A152,Council_Data!$G$3:$G$838)</f>
        <v>0</v>
      </c>
      <c r="F152">
        <f>SUMIF(Council_Data!$V$3:$V$838,$A152,Council_Data!$H$3:$H$838)</f>
        <v>0</v>
      </c>
      <c r="G152">
        <f>SUMIF(Council_Data!$V$3:$V$838,$A152,Council_Data!$I$3:$I$838)</f>
        <v>0</v>
      </c>
      <c r="H152">
        <f>SUMIF(Council_Data!$V$3:$V$838,$A152,Council_Data!$J$3:$J$838)</f>
        <v>0</v>
      </c>
      <c r="I152">
        <f>SUMIF(Council_Data!$V$3:$V$838,$A152,Council_Data!$K$3:$K$838)</f>
        <v>0</v>
      </c>
      <c r="J152">
        <f>SUMIF(Council_Data!$V$3:$V$838,$A152,Council_Data!$L$3:$L$838)</f>
        <v>0</v>
      </c>
      <c r="K152" s="63">
        <f t="shared" si="14"/>
        <v>0</v>
      </c>
      <c r="L152">
        <f>ROUND(SUMIF(Council_Data!$V$3:$V$838,$A152,Council_Data!$N$3:$N$838)*0.7,0)</f>
        <v>0</v>
      </c>
      <c r="M152">
        <f>SUMIF(Council_Data!$V$3:$V$838,$A152,Council_Data!$O$3:$O$838)</f>
        <v>0</v>
      </c>
      <c r="N152">
        <f>SUMIF(Council_Data!$V$3:$V$838,$A152,Council_Data!$P$3:$P$838)</f>
        <v>0</v>
      </c>
      <c r="O152">
        <f>SUMIF(Council_Data!$V$3:$V$838,$A152,Council_Data!$Q$3:$Q$838)</f>
        <v>0</v>
      </c>
      <c r="P152">
        <f>SUMIF(Council_Data!$V$3:$V$838,$A152,Council_Data!$R$3:$R$838)</f>
        <v>0</v>
      </c>
      <c r="Q152">
        <f>SUMIF(Council_Data!$V$3:$V$838,$A152,Council_Data!$S$3:$S$838)</f>
        <v>0</v>
      </c>
      <c r="R152">
        <f>SUMIF(Council_Data!$V$3:$V$838,$A152,Council_Data!$T$3:$T$838)</f>
        <v>0</v>
      </c>
      <c r="S152" s="63">
        <f t="shared" si="15"/>
        <v>0</v>
      </c>
      <c r="T152" t="str">
        <f>IF(ISNA(VLOOKUP($A152,DD_Info!$A$1:$E$222,2,0)),0,VLOOKUP($A152,DD_Info!$A$1:$E$222,2,0))</f>
        <v>Edward  Tydings</v>
      </c>
    </row>
    <row r="153" spans="1:20">
      <c r="A153" s="81">
        <v>163</v>
      </c>
      <c r="B153" t="str">
        <f>IF(ISNA(VLOOKUP($A153,DD_Info!$A$1:$E$222,3,0)),0,VLOOKUP($A153,DD_Info!$A$1:$E$222,3,0))</f>
        <v>Austin</v>
      </c>
      <c r="C153">
        <f>SUMIF(Council_Data!$V$3:$V$838,$A153,Council_Data!$E$3:$E$838)</f>
        <v>388</v>
      </c>
      <c r="D153">
        <f>ROUND(SUMIF(Council_Data!$V$3:$V$838,$A153,Council_Data!$F$3:$F$838)*0.7,0)</f>
        <v>13</v>
      </c>
      <c r="E153">
        <f>SUMIF(Council_Data!$V$3:$V$838,$A153,Council_Data!$G$3:$G$838)</f>
        <v>0</v>
      </c>
      <c r="F153">
        <f>SUMIF(Council_Data!$V$3:$V$838,$A153,Council_Data!$H$3:$H$838)</f>
        <v>0</v>
      </c>
      <c r="G153">
        <f>SUMIF(Council_Data!$V$3:$V$838,$A153,Council_Data!$I$3:$I$838)</f>
        <v>0</v>
      </c>
      <c r="H153">
        <f>SUMIF(Council_Data!$V$3:$V$838,$A153,Council_Data!$J$3:$J$838)</f>
        <v>3</v>
      </c>
      <c r="I153">
        <f>SUMIF(Council_Data!$V$3:$V$838,$A153,Council_Data!$K$3:$K$838)</f>
        <v>1</v>
      </c>
      <c r="J153">
        <f>SUMIF(Council_Data!$V$3:$V$838,$A153,Council_Data!$L$3:$L$838)</f>
        <v>2</v>
      </c>
      <c r="K153" s="63">
        <f t="shared" si="14"/>
        <v>0.15384615384615385</v>
      </c>
      <c r="L153">
        <f>ROUND(SUMIF(Council_Data!$V$3:$V$838,$A153,Council_Data!$N$3:$N$838)*0.7,0)</f>
        <v>0</v>
      </c>
      <c r="M153">
        <f>SUMIF(Council_Data!$V$3:$V$838,$A153,Council_Data!$O$3:$O$838)</f>
        <v>0</v>
      </c>
      <c r="N153">
        <f>SUMIF(Council_Data!$V$3:$V$838,$A153,Council_Data!$P$3:$P$838)</f>
        <v>1</v>
      </c>
      <c r="O153">
        <f>SUMIF(Council_Data!$V$3:$V$838,$A153,Council_Data!$Q$3:$Q$838)</f>
        <v>-1</v>
      </c>
      <c r="P153">
        <f>SUMIF(Council_Data!$V$3:$V$838,$A153,Council_Data!$R$3:$R$838)</f>
        <v>0</v>
      </c>
      <c r="Q153">
        <f>SUMIF(Council_Data!$V$3:$V$838,$A153,Council_Data!$S$3:$S$838)</f>
        <v>2</v>
      </c>
      <c r="R153">
        <f>SUMIF(Council_Data!$V$3:$V$838,$A153,Council_Data!$T$3:$T$838)</f>
        <v>-2</v>
      </c>
      <c r="S153" s="63">
        <f t="shared" si="15"/>
        <v>0</v>
      </c>
      <c r="T153" t="str">
        <f>IF(ISNA(VLOOKUP($A153,DD_Info!$A$1:$E$222,2,0)),0,VLOOKUP($A153,DD_Info!$A$1:$E$222,2,0))</f>
        <v>Michael J Gasper</v>
      </c>
    </row>
    <row r="154" spans="1:20">
      <c r="A154" s="81">
        <v>166</v>
      </c>
      <c r="B154" t="str">
        <f>IF(ISNA(VLOOKUP($A154,DD_Info!$A$1:$E$222,3,0)),0,VLOOKUP($A154,DD_Info!$A$1:$E$222,3,0))</f>
        <v>Corpus Christi</v>
      </c>
      <c r="C154">
        <f>SUMIF(Council_Data!$V$3:$V$838,$A154,Council_Data!$E$3:$E$838)</f>
        <v>223</v>
      </c>
      <c r="D154">
        <f>ROUND(SUMIF(Council_Data!$V$3:$V$838,$A154,Council_Data!$F$3:$F$838)*0.7,0)</f>
        <v>10</v>
      </c>
      <c r="E154">
        <f>SUMIF(Council_Data!$V$3:$V$838,$A154,Council_Data!$G$3:$G$838)</f>
        <v>0</v>
      </c>
      <c r="F154">
        <f>SUMIF(Council_Data!$V$3:$V$838,$A154,Council_Data!$H$3:$H$838)</f>
        <v>0</v>
      </c>
      <c r="G154">
        <f>SUMIF(Council_Data!$V$3:$V$838,$A154,Council_Data!$I$3:$I$838)</f>
        <v>0</v>
      </c>
      <c r="H154">
        <f>SUMIF(Council_Data!$V$3:$V$838,$A154,Council_Data!$J$3:$J$838)</f>
        <v>0</v>
      </c>
      <c r="I154">
        <f>SUMIF(Council_Data!$V$3:$V$838,$A154,Council_Data!$K$3:$K$838)</f>
        <v>0</v>
      </c>
      <c r="J154">
        <f>SUMIF(Council_Data!$V$3:$V$838,$A154,Council_Data!$L$3:$L$838)</f>
        <v>0</v>
      </c>
      <c r="K154" s="63">
        <f t="shared" si="14"/>
        <v>0</v>
      </c>
      <c r="L154">
        <f>ROUND(SUMIF(Council_Data!$V$3:$V$838,$A154,Council_Data!$N$3:$N$838)*0.7,0)</f>
        <v>0</v>
      </c>
      <c r="M154">
        <f>SUMIF(Council_Data!$V$3:$V$838,$A154,Council_Data!$O$3:$O$838)</f>
        <v>0</v>
      </c>
      <c r="N154">
        <f>SUMIF(Council_Data!$V$3:$V$838,$A154,Council_Data!$P$3:$P$838)</f>
        <v>0</v>
      </c>
      <c r="O154">
        <f>SUMIF(Council_Data!$V$3:$V$838,$A154,Council_Data!$Q$3:$Q$838)</f>
        <v>0</v>
      </c>
      <c r="P154">
        <f>SUMIF(Council_Data!$V$3:$V$838,$A154,Council_Data!$R$3:$R$838)</f>
        <v>0</v>
      </c>
      <c r="Q154">
        <f>SUMIF(Council_Data!$V$3:$V$838,$A154,Council_Data!$S$3:$S$838)</f>
        <v>0</v>
      </c>
      <c r="R154">
        <f>SUMIF(Council_Data!$V$3:$V$838,$A154,Council_Data!$T$3:$T$838)</f>
        <v>0</v>
      </c>
      <c r="S154" s="63">
        <f t="shared" si="15"/>
        <v>0</v>
      </c>
      <c r="T154" t="str">
        <f>IF(ISNA(VLOOKUP($A154,DD_Info!$A$1:$E$222,2,0)),0,VLOOKUP($A154,DD_Info!$A$1:$E$222,2,0))</f>
        <v>TO BE APPOINETED</v>
      </c>
    </row>
    <row r="155" spans="1:20">
      <c r="A155" s="81">
        <v>167</v>
      </c>
      <c r="B155" t="str">
        <f>IF(ISNA(VLOOKUP($A155,DD_Info!$A$1:$E$222,3,0)),0,VLOOKUP($A155,DD_Info!$A$1:$E$222,3,0))</f>
        <v>Corpus Christi</v>
      </c>
      <c r="C155">
        <f>SUMIF(Council_Data!$V$3:$V$838,$A155,Council_Data!$E$3:$E$838)</f>
        <v>508</v>
      </c>
      <c r="D155">
        <f>ROUND(SUMIF(Council_Data!$V$3:$V$838,$A155,Council_Data!$F$3:$F$838)*0.7,0)</f>
        <v>18</v>
      </c>
      <c r="E155">
        <f>SUMIF(Council_Data!$V$3:$V$838,$A155,Council_Data!$G$3:$G$838)</f>
        <v>0</v>
      </c>
      <c r="F155">
        <f>SUMIF(Council_Data!$V$3:$V$838,$A155,Council_Data!$H$3:$H$838)</f>
        <v>1</v>
      </c>
      <c r="G155">
        <f>SUMIF(Council_Data!$V$3:$V$838,$A155,Council_Data!$I$3:$I$838)</f>
        <v>-1</v>
      </c>
      <c r="H155">
        <f>SUMIF(Council_Data!$V$3:$V$838,$A155,Council_Data!$J$3:$J$838)</f>
        <v>12</v>
      </c>
      <c r="I155">
        <f>SUMIF(Council_Data!$V$3:$V$838,$A155,Council_Data!$K$3:$K$838)</f>
        <v>1</v>
      </c>
      <c r="J155">
        <f>SUMIF(Council_Data!$V$3:$V$838,$A155,Council_Data!$L$3:$L$838)</f>
        <v>11</v>
      </c>
      <c r="K155" s="63">
        <f t="shared" si="14"/>
        <v>0.61111111111111116</v>
      </c>
      <c r="L155">
        <f>ROUND(SUMIF(Council_Data!$V$3:$V$838,$A155,Council_Data!$N$3:$N$838)*0.7,0)</f>
        <v>0</v>
      </c>
      <c r="M155">
        <f>SUMIF(Council_Data!$V$3:$V$838,$A155,Council_Data!$O$3:$O$838)</f>
        <v>0</v>
      </c>
      <c r="N155">
        <f>SUMIF(Council_Data!$V$3:$V$838,$A155,Council_Data!$P$3:$P$838)</f>
        <v>2</v>
      </c>
      <c r="O155">
        <f>SUMIF(Council_Data!$V$3:$V$838,$A155,Council_Data!$Q$3:$Q$838)</f>
        <v>-2</v>
      </c>
      <c r="P155">
        <f>SUMIF(Council_Data!$V$3:$V$838,$A155,Council_Data!$R$3:$R$838)</f>
        <v>0</v>
      </c>
      <c r="Q155">
        <f>SUMIF(Council_Data!$V$3:$V$838,$A155,Council_Data!$S$3:$S$838)</f>
        <v>2</v>
      </c>
      <c r="R155">
        <f>SUMIF(Council_Data!$V$3:$V$838,$A155,Council_Data!$T$3:$T$838)</f>
        <v>-2</v>
      </c>
      <c r="S155" s="63">
        <f t="shared" si="15"/>
        <v>0</v>
      </c>
      <c r="T155" t="str">
        <f>IF(ISNA(VLOOKUP($A155,DD_Info!$A$1:$E$222,2,0)),0,VLOOKUP($A155,DD_Info!$A$1:$E$222,2,0))</f>
        <v>Joseph  Naderer</v>
      </c>
    </row>
    <row r="156" spans="1:20">
      <c r="A156" s="81">
        <v>168</v>
      </c>
      <c r="B156" t="str">
        <f>IF(ISNA(VLOOKUP($A156,DD_Info!$A$1:$E$222,3,0)),0,VLOOKUP($A156,DD_Info!$A$1:$E$222,3,0))</f>
        <v>Corpus Christi</v>
      </c>
      <c r="C156">
        <f>SUMIF(Council_Data!$V$3:$V$838,$A156,Council_Data!$E$3:$E$838)</f>
        <v>314</v>
      </c>
      <c r="D156">
        <f>ROUND(SUMIF(Council_Data!$V$3:$V$838,$A156,Council_Data!$F$3:$F$838)*0.7,0)</f>
        <v>12</v>
      </c>
      <c r="E156">
        <f>SUMIF(Council_Data!$V$3:$V$838,$A156,Council_Data!$G$3:$G$838)</f>
        <v>0</v>
      </c>
      <c r="F156">
        <f>SUMIF(Council_Data!$V$3:$V$838,$A156,Council_Data!$H$3:$H$838)</f>
        <v>0</v>
      </c>
      <c r="G156">
        <f>SUMIF(Council_Data!$V$3:$V$838,$A156,Council_Data!$I$3:$I$838)</f>
        <v>0</v>
      </c>
      <c r="H156">
        <f>SUMIF(Council_Data!$V$3:$V$838,$A156,Council_Data!$J$3:$J$838)</f>
        <v>3</v>
      </c>
      <c r="I156">
        <f>SUMIF(Council_Data!$V$3:$V$838,$A156,Council_Data!$K$3:$K$838)</f>
        <v>0</v>
      </c>
      <c r="J156">
        <f>SUMIF(Council_Data!$V$3:$V$838,$A156,Council_Data!$L$3:$L$838)</f>
        <v>3</v>
      </c>
      <c r="K156" s="63">
        <f t="shared" si="14"/>
        <v>0.25</v>
      </c>
      <c r="L156">
        <f>ROUND(SUMIF(Council_Data!$V$3:$V$838,$A156,Council_Data!$N$3:$N$838)*0.7,0)</f>
        <v>0</v>
      </c>
      <c r="M156">
        <f>SUMIF(Council_Data!$V$3:$V$838,$A156,Council_Data!$O$3:$O$838)</f>
        <v>1</v>
      </c>
      <c r="N156">
        <f>SUMIF(Council_Data!$V$3:$V$838,$A156,Council_Data!$P$3:$P$838)</f>
        <v>1</v>
      </c>
      <c r="O156">
        <f>SUMIF(Council_Data!$V$3:$V$838,$A156,Council_Data!$Q$3:$Q$838)</f>
        <v>0</v>
      </c>
      <c r="P156">
        <f>SUMIF(Council_Data!$V$3:$V$838,$A156,Council_Data!$R$3:$R$838)</f>
        <v>1</v>
      </c>
      <c r="Q156">
        <f>SUMIF(Council_Data!$V$3:$V$838,$A156,Council_Data!$S$3:$S$838)</f>
        <v>1</v>
      </c>
      <c r="R156">
        <f>SUMIF(Council_Data!$V$3:$V$838,$A156,Council_Data!$T$3:$T$838)</f>
        <v>0</v>
      </c>
      <c r="S156" s="63">
        <f t="shared" si="15"/>
        <v>0</v>
      </c>
      <c r="T156" t="str">
        <f>IF(ISNA(VLOOKUP($A156,DD_Info!$A$1:$E$222,2,0)),0,VLOOKUP($A156,DD_Info!$A$1:$E$222,2,0))</f>
        <v>Paul  Hickey</v>
      </c>
    </row>
    <row r="157" spans="1:20">
      <c r="A157" s="81">
        <v>169</v>
      </c>
      <c r="B157" t="str">
        <f>IF(ISNA(VLOOKUP($A157,DD_Info!$A$1:$E$222,3,0)),0,VLOOKUP($A157,DD_Info!$A$1:$E$222,3,0))</f>
        <v>Corpus Christi</v>
      </c>
      <c r="C157">
        <f>SUMIF(Council_Data!$V$3:$V$838,$A157,Council_Data!$E$3:$E$838)</f>
        <v>235</v>
      </c>
      <c r="D157">
        <f>ROUND(SUMIF(Council_Data!$V$3:$V$838,$A157,Council_Data!$F$3:$F$838)*0.7,0)</f>
        <v>8</v>
      </c>
      <c r="E157">
        <f>SUMIF(Council_Data!$V$3:$V$838,$A157,Council_Data!$G$3:$G$838)</f>
        <v>0</v>
      </c>
      <c r="F157">
        <f>SUMIF(Council_Data!$V$3:$V$838,$A157,Council_Data!$H$3:$H$838)</f>
        <v>0</v>
      </c>
      <c r="G157">
        <f>SUMIF(Council_Data!$V$3:$V$838,$A157,Council_Data!$I$3:$I$838)</f>
        <v>0</v>
      </c>
      <c r="H157">
        <f>SUMIF(Council_Data!$V$3:$V$838,$A157,Council_Data!$J$3:$J$838)</f>
        <v>3</v>
      </c>
      <c r="I157">
        <f>SUMIF(Council_Data!$V$3:$V$838,$A157,Council_Data!$K$3:$K$838)</f>
        <v>0</v>
      </c>
      <c r="J157">
        <f>SUMIF(Council_Data!$V$3:$V$838,$A157,Council_Data!$L$3:$L$838)</f>
        <v>3</v>
      </c>
      <c r="K157" s="63">
        <f t="shared" si="14"/>
        <v>0.375</v>
      </c>
      <c r="L157">
        <f>ROUND(SUMIF(Council_Data!$V$3:$V$838,$A157,Council_Data!$N$3:$N$838)*0.7,0)</f>
        <v>0</v>
      </c>
      <c r="M157">
        <f>SUMIF(Council_Data!$V$3:$V$838,$A157,Council_Data!$O$3:$O$838)</f>
        <v>0</v>
      </c>
      <c r="N157">
        <f>SUMIF(Council_Data!$V$3:$V$838,$A157,Council_Data!$P$3:$P$838)</f>
        <v>1</v>
      </c>
      <c r="O157">
        <f>SUMIF(Council_Data!$V$3:$V$838,$A157,Council_Data!$Q$3:$Q$838)</f>
        <v>-1</v>
      </c>
      <c r="P157">
        <f>SUMIF(Council_Data!$V$3:$V$838,$A157,Council_Data!$R$3:$R$838)</f>
        <v>0</v>
      </c>
      <c r="Q157">
        <f>SUMIF(Council_Data!$V$3:$V$838,$A157,Council_Data!$S$3:$S$838)</f>
        <v>2</v>
      </c>
      <c r="R157">
        <f>SUMIF(Council_Data!$V$3:$V$838,$A157,Council_Data!$T$3:$T$838)</f>
        <v>-2</v>
      </c>
      <c r="S157" s="63">
        <f t="shared" si="15"/>
        <v>0</v>
      </c>
      <c r="T157" t="str">
        <f>IF(ISNA(VLOOKUP($A157,DD_Info!$A$1:$E$222,2,0)),0,VLOOKUP($A157,DD_Info!$A$1:$E$222,2,0))</f>
        <v>Luis M Cadena</v>
      </c>
    </row>
    <row r="158" spans="1:20">
      <c r="A158" s="81">
        <v>170</v>
      </c>
      <c r="B158" t="str">
        <f>IF(ISNA(VLOOKUP($A158,DD_Info!$A$1:$E$222,3,0)),0,VLOOKUP($A158,DD_Info!$A$1:$E$222,3,0))</f>
        <v>Corpus Christi</v>
      </c>
      <c r="C158">
        <f>SUMIF(Council_Data!$V$3:$V$838,$A158,Council_Data!$E$3:$E$838)</f>
        <v>275</v>
      </c>
      <c r="D158">
        <f>ROUND(SUMIF(Council_Data!$V$3:$V$838,$A158,Council_Data!$F$3:$F$838)*0.7,0)</f>
        <v>10</v>
      </c>
      <c r="E158">
        <f>SUMIF(Council_Data!$V$3:$V$838,$A158,Council_Data!$G$3:$G$838)</f>
        <v>0</v>
      </c>
      <c r="F158">
        <f>SUMIF(Council_Data!$V$3:$V$838,$A158,Council_Data!$H$3:$H$838)</f>
        <v>0</v>
      </c>
      <c r="G158">
        <f>SUMIF(Council_Data!$V$3:$V$838,$A158,Council_Data!$I$3:$I$838)</f>
        <v>0</v>
      </c>
      <c r="H158">
        <f>SUMIF(Council_Data!$V$3:$V$838,$A158,Council_Data!$J$3:$J$838)</f>
        <v>5</v>
      </c>
      <c r="I158">
        <f>SUMIF(Council_Data!$V$3:$V$838,$A158,Council_Data!$K$3:$K$838)</f>
        <v>0</v>
      </c>
      <c r="J158">
        <f>SUMIF(Council_Data!$V$3:$V$838,$A158,Council_Data!$L$3:$L$838)</f>
        <v>5</v>
      </c>
      <c r="K158" s="63">
        <f t="shared" si="14"/>
        <v>0.5</v>
      </c>
      <c r="L158">
        <f>ROUND(SUMIF(Council_Data!$V$3:$V$838,$A158,Council_Data!$N$3:$N$838)*0.7,0)</f>
        <v>0</v>
      </c>
      <c r="M158">
        <f>SUMIF(Council_Data!$V$3:$V$838,$A158,Council_Data!$O$3:$O$838)</f>
        <v>0</v>
      </c>
      <c r="N158">
        <f>SUMIF(Council_Data!$V$3:$V$838,$A158,Council_Data!$P$3:$P$838)</f>
        <v>2</v>
      </c>
      <c r="O158">
        <f>SUMIF(Council_Data!$V$3:$V$838,$A158,Council_Data!$Q$3:$Q$838)</f>
        <v>-2</v>
      </c>
      <c r="P158">
        <f>SUMIF(Council_Data!$V$3:$V$838,$A158,Council_Data!$R$3:$R$838)</f>
        <v>0</v>
      </c>
      <c r="Q158">
        <f>SUMIF(Council_Data!$V$3:$V$838,$A158,Council_Data!$S$3:$S$838)</f>
        <v>2</v>
      </c>
      <c r="R158">
        <f>SUMIF(Council_Data!$V$3:$V$838,$A158,Council_Data!$T$3:$T$838)</f>
        <v>-2</v>
      </c>
      <c r="S158" s="63">
        <f t="shared" si="15"/>
        <v>0</v>
      </c>
      <c r="T158" t="str">
        <f>IF(ISNA(VLOOKUP($A158,DD_Info!$A$1:$E$222,2,0)),0,VLOOKUP($A158,DD_Info!$A$1:$E$222,2,0))</f>
        <v>Alfredo  Torres</v>
      </c>
    </row>
    <row r="159" spans="1:20">
      <c r="A159" s="81">
        <v>171</v>
      </c>
      <c r="B159" t="str">
        <f>IF(ISNA(VLOOKUP($A159,DD_Info!$A$1:$E$222,3,0)),0,VLOOKUP($A159,DD_Info!$A$1:$E$222,3,0))</f>
        <v>Corpus Christi</v>
      </c>
      <c r="C159">
        <f>SUMIF(Council_Data!$V$3:$V$838,$A159,Council_Data!$E$3:$E$838)</f>
        <v>444</v>
      </c>
      <c r="D159">
        <f>ROUND(SUMIF(Council_Data!$V$3:$V$838,$A159,Council_Data!$F$3:$F$838)*0.7,0)</f>
        <v>16</v>
      </c>
      <c r="E159">
        <f>SUMIF(Council_Data!$V$3:$V$838,$A159,Council_Data!$G$3:$G$838)</f>
        <v>1</v>
      </c>
      <c r="F159">
        <f>SUMIF(Council_Data!$V$3:$V$838,$A159,Council_Data!$H$3:$H$838)</f>
        <v>0</v>
      </c>
      <c r="G159">
        <f>SUMIF(Council_Data!$V$3:$V$838,$A159,Council_Data!$I$3:$I$838)</f>
        <v>1</v>
      </c>
      <c r="H159">
        <f>SUMIF(Council_Data!$V$3:$V$838,$A159,Council_Data!$J$3:$J$838)</f>
        <v>10</v>
      </c>
      <c r="I159">
        <f>SUMIF(Council_Data!$V$3:$V$838,$A159,Council_Data!$K$3:$K$838)</f>
        <v>0</v>
      </c>
      <c r="J159">
        <f>SUMIF(Council_Data!$V$3:$V$838,$A159,Council_Data!$L$3:$L$838)</f>
        <v>10</v>
      </c>
      <c r="K159" s="63">
        <f t="shared" si="14"/>
        <v>0.625</v>
      </c>
      <c r="L159">
        <f>ROUND(SUMIF(Council_Data!$V$3:$V$838,$A159,Council_Data!$N$3:$N$838)*0.7,0)</f>
        <v>0</v>
      </c>
      <c r="M159">
        <f>SUMIF(Council_Data!$V$3:$V$838,$A159,Council_Data!$O$3:$O$838)</f>
        <v>0</v>
      </c>
      <c r="N159">
        <f>SUMIF(Council_Data!$V$3:$V$838,$A159,Council_Data!$P$3:$P$838)</f>
        <v>1</v>
      </c>
      <c r="O159">
        <f>SUMIF(Council_Data!$V$3:$V$838,$A159,Council_Data!$Q$3:$Q$838)</f>
        <v>-1</v>
      </c>
      <c r="P159">
        <f>SUMIF(Council_Data!$V$3:$V$838,$A159,Council_Data!$R$3:$R$838)</f>
        <v>2</v>
      </c>
      <c r="Q159">
        <f>SUMIF(Council_Data!$V$3:$V$838,$A159,Council_Data!$S$3:$S$838)</f>
        <v>4</v>
      </c>
      <c r="R159">
        <f>SUMIF(Council_Data!$V$3:$V$838,$A159,Council_Data!$T$3:$T$838)</f>
        <v>-2</v>
      </c>
      <c r="S159" s="63">
        <f t="shared" si="15"/>
        <v>0</v>
      </c>
      <c r="T159" t="str">
        <f>IF(ISNA(VLOOKUP($A159,DD_Info!$A$1:$E$222,2,0)),0,VLOOKUP($A159,DD_Info!$A$1:$E$222,2,0))</f>
        <v>William G Archambeault</v>
      </c>
    </row>
    <row r="160" spans="1:20">
      <c r="A160" s="81">
        <v>172</v>
      </c>
      <c r="B160" t="str">
        <f>IF(ISNA(VLOOKUP($A160,DD_Info!$A$1:$E$222,3,0)),0,VLOOKUP($A160,DD_Info!$A$1:$E$222,3,0))</f>
        <v>Corpus Christi</v>
      </c>
      <c r="C160">
        <f>SUMIF(Council_Data!$V$3:$V$838,$A160,Council_Data!$E$3:$E$838)</f>
        <v>472</v>
      </c>
      <c r="D160">
        <f>ROUND(SUMIF(Council_Data!$V$3:$V$838,$A160,Council_Data!$F$3:$F$838)*0.7,0)</f>
        <v>15</v>
      </c>
      <c r="E160">
        <f>SUMIF(Council_Data!$V$3:$V$838,$A160,Council_Data!$G$3:$G$838)</f>
        <v>0</v>
      </c>
      <c r="F160">
        <f>SUMIF(Council_Data!$V$3:$V$838,$A160,Council_Data!$H$3:$H$838)</f>
        <v>0</v>
      </c>
      <c r="G160">
        <f>SUMIF(Council_Data!$V$3:$V$838,$A160,Council_Data!$I$3:$I$838)</f>
        <v>0</v>
      </c>
      <c r="H160">
        <f>SUMIF(Council_Data!$V$3:$V$838,$A160,Council_Data!$J$3:$J$838)</f>
        <v>0</v>
      </c>
      <c r="I160">
        <f>SUMIF(Council_Data!$V$3:$V$838,$A160,Council_Data!$K$3:$K$838)</f>
        <v>0</v>
      </c>
      <c r="J160">
        <f>SUMIF(Council_Data!$V$3:$V$838,$A160,Council_Data!$L$3:$L$838)</f>
        <v>0</v>
      </c>
      <c r="K160" s="63">
        <f t="shared" si="14"/>
        <v>0</v>
      </c>
      <c r="L160">
        <f>ROUND(SUMIF(Council_Data!$V$3:$V$838,$A160,Council_Data!$N$3:$N$838)*0.7,0)</f>
        <v>0</v>
      </c>
      <c r="M160">
        <f>SUMIF(Council_Data!$V$3:$V$838,$A160,Council_Data!$O$3:$O$838)</f>
        <v>0</v>
      </c>
      <c r="N160">
        <f>SUMIF(Council_Data!$V$3:$V$838,$A160,Council_Data!$P$3:$P$838)</f>
        <v>1</v>
      </c>
      <c r="O160">
        <f>SUMIF(Council_Data!$V$3:$V$838,$A160,Council_Data!$Q$3:$Q$838)</f>
        <v>-1</v>
      </c>
      <c r="P160">
        <f>SUMIF(Council_Data!$V$3:$V$838,$A160,Council_Data!$R$3:$R$838)</f>
        <v>0</v>
      </c>
      <c r="Q160">
        <f>SUMIF(Council_Data!$V$3:$V$838,$A160,Council_Data!$S$3:$S$838)</f>
        <v>2</v>
      </c>
      <c r="R160">
        <f>SUMIF(Council_Data!$V$3:$V$838,$A160,Council_Data!$T$3:$T$838)</f>
        <v>-2</v>
      </c>
      <c r="S160" s="63">
        <f t="shared" si="15"/>
        <v>0</v>
      </c>
      <c r="T160" t="str">
        <f>IF(ISNA(VLOOKUP($A160,DD_Info!$A$1:$E$222,2,0)),0,VLOOKUP($A160,DD_Info!$A$1:$E$222,2,0))</f>
        <v>TO BE APPOINTED</v>
      </c>
    </row>
    <row r="161" spans="1:20">
      <c r="A161" s="81">
        <v>173</v>
      </c>
      <c r="B161" t="str">
        <f>IF(ISNA(VLOOKUP($A161,DD_Info!$A$1:$E$222,3,0)),0,VLOOKUP($A161,DD_Info!$A$1:$E$222,3,0))</f>
        <v>Corpus Christi</v>
      </c>
      <c r="C161">
        <f>SUMIF(Council_Data!$V$3:$V$838,$A161,Council_Data!$E$3:$E$838)</f>
        <v>517</v>
      </c>
      <c r="D161">
        <f>ROUND(SUMIF(Council_Data!$V$3:$V$838,$A161,Council_Data!$F$3:$F$838)*0.7,0)</f>
        <v>19</v>
      </c>
      <c r="E161">
        <f>SUMIF(Council_Data!$V$3:$V$838,$A161,Council_Data!$G$3:$G$838)</f>
        <v>0</v>
      </c>
      <c r="F161">
        <f>SUMIF(Council_Data!$V$3:$V$838,$A161,Council_Data!$H$3:$H$838)</f>
        <v>0</v>
      </c>
      <c r="G161">
        <f>SUMIF(Council_Data!$V$3:$V$838,$A161,Council_Data!$I$3:$I$838)</f>
        <v>0</v>
      </c>
      <c r="H161">
        <f>SUMIF(Council_Data!$V$3:$V$838,$A161,Council_Data!$J$3:$J$838)</f>
        <v>5</v>
      </c>
      <c r="I161">
        <f>SUMIF(Council_Data!$V$3:$V$838,$A161,Council_Data!$K$3:$K$838)</f>
        <v>0</v>
      </c>
      <c r="J161">
        <f>SUMIF(Council_Data!$V$3:$V$838,$A161,Council_Data!$L$3:$L$838)</f>
        <v>5</v>
      </c>
      <c r="K161" s="63">
        <f t="shared" si="14"/>
        <v>0.26315789473684209</v>
      </c>
      <c r="L161">
        <f>ROUND(SUMIF(Council_Data!$V$3:$V$838,$A161,Council_Data!$N$3:$N$838)*0.7,0)</f>
        <v>0</v>
      </c>
      <c r="M161">
        <f>SUMIF(Council_Data!$V$3:$V$838,$A161,Council_Data!$O$3:$O$838)</f>
        <v>0</v>
      </c>
      <c r="N161">
        <f>SUMIF(Council_Data!$V$3:$V$838,$A161,Council_Data!$P$3:$P$838)</f>
        <v>2</v>
      </c>
      <c r="O161">
        <f>SUMIF(Council_Data!$V$3:$V$838,$A161,Council_Data!$Q$3:$Q$838)</f>
        <v>-2</v>
      </c>
      <c r="P161">
        <f>SUMIF(Council_Data!$V$3:$V$838,$A161,Council_Data!$R$3:$R$838)</f>
        <v>1</v>
      </c>
      <c r="Q161">
        <f>SUMIF(Council_Data!$V$3:$V$838,$A161,Council_Data!$S$3:$S$838)</f>
        <v>3</v>
      </c>
      <c r="R161">
        <f>SUMIF(Council_Data!$V$3:$V$838,$A161,Council_Data!$T$3:$T$838)</f>
        <v>-2</v>
      </c>
      <c r="S161" s="63">
        <f t="shared" si="15"/>
        <v>0</v>
      </c>
      <c r="T161" t="str">
        <f>IF(ISNA(VLOOKUP($A161,DD_Info!$A$1:$E$222,2,0)),0,VLOOKUP($A161,DD_Info!$A$1:$E$222,2,0))</f>
        <v>Pedro  Gonzalez</v>
      </c>
    </row>
    <row r="162" spans="1:20">
      <c r="A162" s="81">
        <v>174</v>
      </c>
      <c r="B162" t="str">
        <f>IF(ISNA(VLOOKUP($A162,DD_Info!$A$1:$E$222,3,0)),0,VLOOKUP($A162,DD_Info!$A$1:$E$222,3,0))</f>
        <v>Corpus Christi</v>
      </c>
      <c r="C162">
        <f>SUMIF(Council_Data!$V$3:$V$838,$A162,Council_Data!$E$3:$E$838)</f>
        <v>281</v>
      </c>
      <c r="D162">
        <f>ROUND(SUMIF(Council_Data!$V$3:$V$838,$A162,Council_Data!$F$3:$F$838)*0.7,0)</f>
        <v>11</v>
      </c>
      <c r="E162">
        <f>SUMIF(Council_Data!$V$3:$V$838,$A162,Council_Data!$G$3:$G$838)</f>
        <v>0</v>
      </c>
      <c r="F162">
        <f>SUMIF(Council_Data!$V$3:$V$838,$A162,Council_Data!$H$3:$H$838)</f>
        <v>2</v>
      </c>
      <c r="G162">
        <f>SUMIF(Council_Data!$V$3:$V$838,$A162,Council_Data!$I$3:$I$838)</f>
        <v>-2</v>
      </c>
      <c r="H162">
        <f>SUMIF(Council_Data!$V$3:$V$838,$A162,Council_Data!$J$3:$J$838)</f>
        <v>4</v>
      </c>
      <c r="I162">
        <f>SUMIF(Council_Data!$V$3:$V$838,$A162,Council_Data!$K$3:$K$838)</f>
        <v>2</v>
      </c>
      <c r="J162">
        <f>SUMIF(Council_Data!$V$3:$V$838,$A162,Council_Data!$L$3:$L$838)</f>
        <v>2</v>
      </c>
      <c r="K162" s="63">
        <f t="shared" si="14"/>
        <v>0.18181818181818182</v>
      </c>
      <c r="L162">
        <f>ROUND(SUMIF(Council_Data!$V$3:$V$838,$A162,Council_Data!$N$3:$N$838)*0.7,0)</f>
        <v>0</v>
      </c>
      <c r="M162">
        <f>SUMIF(Council_Data!$V$3:$V$838,$A162,Council_Data!$O$3:$O$838)</f>
        <v>0</v>
      </c>
      <c r="N162">
        <f>SUMIF(Council_Data!$V$3:$V$838,$A162,Council_Data!$P$3:$P$838)</f>
        <v>0</v>
      </c>
      <c r="O162">
        <f>SUMIF(Council_Data!$V$3:$V$838,$A162,Council_Data!$Q$3:$Q$838)</f>
        <v>0</v>
      </c>
      <c r="P162">
        <f>SUMIF(Council_Data!$V$3:$V$838,$A162,Council_Data!$R$3:$R$838)</f>
        <v>0</v>
      </c>
      <c r="Q162">
        <f>SUMIF(Council_Data!$V$3:$V$838,$A162,Council_Data!$S$3:$S$838)</f>
        <v>2</v>
      </c>
      <c r="R162">
        <f>SUMIF(Council_Data!$V$3:$V$838,$A162,Council_Data!$T$3:$T$838)</f>
        <v>-2</v>
      </c>
      <c r="S162" s="63">
        <f t="shared" si="15"/>
        <v>0</v>
      </c>
      <c r="T162" t="str">
        <f>IF(ISNA(VLOOKUP($A162,DD_Info!$A$1:$E$222,2,0)),0,VLOOKUP($A162,DD_Info!$A$1:$E$222,2,0))</f>
        <v>Christopher  Hernandez</v>
      </c>
    </row>
    <row r="163" spans="1:20">
      <c r="A163" s="81">
        <v>175</v>
      </c>
      <c r="B163" t="str">
        <f>IF(ISNA(VLOOKUP($A163,DD_Info!$A$1:$E$222,3,0)),0,VLOOKUP($A163,DD_Info!$A$1:$E$222,3,0))</f>
        <v>Corpus Christi</v>
      </c>
      <c r="C163">
        <f>SUMIF(Council_Data!$V$3:$V$838,$A163,Council_Data!$E$3:$E$838)</f>
        <v>225</v>
      </c>
      <c r="D163">
        <f>ROUND(SUMIF(Council_Data!$V$3:$V$838,$A163,Council_Data!$F$3:$F$838)*0.7,0)</f>
        <v>9</v>
      </c>
      <c r="E163">
        <f>SUMIF(Council_Data!$V$3:$V$838,$A163,Council_Data!$G$3:$G$838)</f>
        <v>0</v>
      </c>
      <c r="F163">
        <f>SUMIF(Council_Data!$V$3:$V$838,$A163,Council_Data!$H$3:$H$838)</f>
        <v>1</v>
      </c>
      <c r="G163">
        <f>SUMIF(Council_Data!$V$3:$V$838,$A163,Council_Data!$I$3:$I$838)</f>
        <v>-1</v>
      </c>
      <c r="H163">
        <f>SUMIF(Council_Data!$V$3:$V$838,$A163,Council_Data!$J$3:$J$838)</f>
        <v>0</v>
      </c>
      <c r="I163">
        <f>SUMIF(Council_Data!$V$3:$V$838,$A163,Council_Data!$K$3:$K$838)</f>
        <v>1</v>
      </c>
      <c r="J163">
        <f>SUMIF(Council_Data!$V$3:$V$838,$A163,Council_Data!$L$3:$L$838)</f>
        <v>-1</v>
      </c>
      <c r="K163" s="63">
        <f t="shared" si="14"/>
        <v>-0.1111111111111111</v>
      </c>
      <c r="L163">
        <f>ROUND(SUMIF(Council_Data!$V$3:$V$838,$A163,Council_Data!$N$3:$N$838)*0.7,0)</f>
        <v>0</v>
      </c>
      <c r="M163">
        <f>SUMIF(Council_Data!$V$3:$V$838,$A163,Council_Data!$O$3:$O$838)</f>
        <v>0</v>
      </c>
      <c r="N163">
        <f>SUMIF(Council_Data!$V$3:$V$838,$A163,Council_Data!$P$3:$P$838)</f>
        <v>0</v>
      </c>
      <c r="O163">
        <f>SUMIF(Council_Data!$V$3:$V$838,$A163,Council_Data!$Q$3:$Q$838)</f>
        <v>0</v>
      </c>
      <c r="P163">
        <f>SUMIF(Council_Data!$V$3:$V$838,$A163,Council_Data!$R$3:$R$838)</f>
        <v>0</v>
      </c>
      <c r="Q163">
        <f>SUMIF(Council_Data!$V$3:$V$838,$A163,Council_Data!$S$3:$S$838)</f>
        <v>2</v>
      </c>
      <c r="R163">
        <f>SUMIF(Council_Data!$V$3:$V$838,$A163,Council_Data!$T$3:$T$838)</f>
        <v>-2</v>
      </c>
      <c r="S163" s="63">
        <f t="shared" si="15"/>
        <v>0</v>
      </c>
      <c r="T163" t="str">
        <f>IF(ISNA(VLOOKUP($A163,DD_Info!$A$1:$E$222,2,0)),0,VLOOKUP($A163,DD_Info!$A$1:$E$222,2,0))</f>
        <v>Abel  Gutierrez</v>
      </c>
    </row>
    <row r="164" spans="1:20">
      <c r="A164" s="81">
        <v>176</v>
      </c>
      <c r="B164" t="str">
        <f>IF(ISNA(VLOOKUP($A164,DD_Info!$A$1:$E$222,3,0)),0,VLOOKUP($A164,DD_Info!$A$1:$E$222,3,0))</f>
        <v>Corpus Christi</v>
      </c>
      <c r="C164">
        <f>SUMIF(Council_Data!$V$3:$V$838,$A164,Council_Data!$E$3:$E$838)</f>
        <v>246</v>
      </c>
      <c r="D164">
        <f>ROUND(SUMIF(Council_Data!$V$3:$V$838,$A164,Council_Data!$F$3:$F$838)*0.7,0)</f>
        <v>10</v>
      </c>
      <c r="E164">
        <f>SUMIF(Council_Data!$V$3:$V$838,$A164,Council_Data!$G$3:$G$838)</f>
        <v>0</v>
      </c>
      <c r="F164">
        <f>SUMIF(Council_Data!$V$3:$V$838,$A164,Council_Data!$H$3:$H$838)</f>
        <v>0</v>
      </c>
      <c r="G164">
        <f>SUMIF(Council_Data!$V$3:$V$838,$A164,Council_Data!$I$3:$I$838)</f>
        <v>0</v>
      </c>
      <c r="H164">
        <f>SUMIF(Council_Data!$V$3:$V$838,$A164,Council_Data!$J$3:$J$838)</f>
        <v>10</v>
      </c>
      <c r="I164">
        <f>SUMIF(Council_Data!$V$3:$V$838,$A164,Council_Data!$K$3:$K$838)</f>
        <v>0</v>
      </c>
      <c r="J164">
        <f>SUMIF(Council_Data!$V$3:$V$838,$A164,Council_Data!$L$3:$L$838)</f>
        <v>10</v>
      </c>
      <c r="K164" s="63">
        <f t="shared" si="14"/>
        <v>1</v>
      </c>
      <c r="L164">
        <f>ROUND(SUMIF(Council_Data!$V$3:$V$838,$A164,Council_Data!$N$3:$N$838)*0.7,0)</f>
        <v>0</v>
      </c>
      <c r="M164">
        <f>SUMIF(Council_Data!$V$3:$V$838,$A164,Council_Data!$O$3:$O$838)</f>
        <v>0</v>
      </c>
      <c r="N164">
        <f>SUMIF(Council_Data!$V$3:$V$838,$A164,Council_Data!$P$3:$P$838)</f>
        <v>0</v>
      </c>
      <c r="O164">
        <f>SUMIF(Council_Data!$V$3:$V$838,$A164,Council_Data!$Q$3:$Q$838)</f>
        <v>0</v>
      </c>
      <c r="P164">
        <f>SUMIF(Council_Data!$V$3:$V$838,$A164,Council_Data!$R$3:$R$838)</f>
        <v>0</v>
      </c>
      <c r="Q164">
        <f>SUMIF(Council_Data!$V$3:$V$838,$A164,Council_Data!$S$3:$S$838)</f>
        <v>0</v>
      </c>
      <c r="R164">
        <f>SUMIF(Council_Data!$V$3:$V$838,$A164,Council_Data!$T$3:$T$838)</f>
        <v>0</v>
      </c>
      <c r="S164" s="63">
        <f t="shared" si="15"/>
        <v>0</v>
      </c>
      <c r="T164" t="str">
        <f>IF(ISNA(VLOOKUP($A164,DD_Info!$A$1:$E$222,2,0)),0,VLOOKUP($A164,DD_Info!$A$1:$E$222,2,0))</f>
        <v>Gilbert  Perez Sr</v>
      </c>
    </row>
    <row r="165" spans="1:20">
      <c r="A165" s="81">
        <v>177</v>
      </c>
      <c r="B165" t="str">
        <f>IF(ISNA(VLOOKUP($A165,DD_Info!$A$1:$E$222,3,0)),0,VLOOKUP($A165,DD_Info!$A$1:$E$222,3,0))</f>
        <v>Corpus Christi</v>
      </c>
      <c r="C165">
        <f>SUMIF(Council_Data!$V$3:$V$838,$A165,Council_Data!$E$3:$E$838)</f>
        <v>379</v>
      </c>
      <c r="D165">
        <f>ROUND(SUMIF(Council_Data!$V$3:$V$838,$A165,Council_Data!$F$3:$F$838)*0.7,0)</f>
        <v>13</v>
      </c>
      <c r="E165">
        <f>SUMIF(Council_Data!$V$3:$V$838,$A165,Council_Data!$G$3:$G$838)</f>
        <v>0</v>
      </c>
      <c r="F165">
        <f>SUMIF(Council_Data!$V$3:$V$838,$A165,Council_Data!$H$3:$H$838)</f>
        <v>0</v>
      </c>
      <c r="G165">
        <f>SUMIF(Council_Data!$V$3:$V$838,$A165,Council_Data!$I$3:$I$838)</f>
        <v>0</v>
      </c>
      <c r="H165">
        <f>SUMIF(Council_Data!$V$3:$V$838,$A165,Council_Data!$J$3:$J$838)</f>
        <v>0</v>
      </c>
      <c r="I165">
        <f>SUMIF(Council_Data!$V$3:$V$838,$A165,Council_Data!$K$3:$K$838)</f>
        <v>0</v>
      </c>
      <c r="J165">
        <f>SUMIF(Council_Data!$V$3:$V$838,$A165,Council_Data!$L$3:$L$838)</f>
        <v>0</v>
      </c>
      <c r="K165" s="63">
        <f t="shared" si="14"/>
        <v>0</v>
      </c>
      <c r="L165">
        <f>ROUND(SUMIF(Council_Data!$V$3:$V$838,$A165,Council_Data!$N$3:$N$838)*0.7,0)</f>
        <v>0</v>
      </c>
      <c r="M165">
        <f>SUMIF(Council_Data!$V$3:$V$838,$A165,Council_Data!$O$3:$O$838)</f>
        <v>0</v>
      </c>
      <c r="N165">
        <f>SUMIF(Council_Data!$V$3:$V$838,$A165,Council_Data!$P$3:$P$838)</f>
        <v>2</v>
      </c>
      <c r="O165">
        <f>SUMIF(Council_Data!$V$3:$V$838,$A165,Council_Data!$Q$3:$Q$838)</f>
        <v>-2</v>
      </c>
      <c r="P165">
        <f>SUMIF(Council_Data!$V$3:$V$838,$A165,Council_Data!$R$3:$R$838)</f>
        <v>0</v>
      </c>
      <c r="Q165">
        <f>SUMIF(Council_Data!$V$3:$V$838,$A165,Council_Data!$S$3:$S$838)</f>
        <v>3</v>
      </c>
      <c r="R165">
        <f>SUMIF(Council_Data!$V$3:$V$838,$A165,Council_Data!$T$3:$T$838)</f>
        <v>-3</v>
      </c>
      <c r="S165" s="63">
        <f t="shared" si="15"/>
        <v>0</v>
      </c>
      <c r="T165" t="str">
        <f>IF(ISNA(VLOOKUP($A165,DD_Info!$A$1:$E$222,2,0)),0,VLOOKUP($A165,DD_Info!$A$1:$E$222,2,0))</f>
        <v>Juan M Hernandez</v>
      </c>
    </row>
    <row r="166" spans="1:20">
      <c r="A166" s="81">
        <v>178</v>
      </c>
      <c r="B166" t="str">
        <f>IF(ISNA(VLOOKUP($A166,DD_Info!$A$1:$E$222,3,0)),0,VLOOKUP($A166,DD_Info!$A$1:$E$222,3,0))</f>
        <v>Corpus Christi</v>
      </c>
      <c r="C166">
        <f>SUMIF(Council_Data!$V$3:$V$838,$A166,Council_Data!$E$3:$E$838)</f>
        <v>287</v>
      </c>
      <c r="D166">
        <f>ROUND(SUMIF(Council_Data!$V$3:$V$838,$A166,Council_Data!$F$3:$F$838)*0.7,0)</f>
        <v>11</v>
      </c>
      <c r="E166">
        <f>SUMIF(Council_Data!$V$3:$V$838,$A166,Council_Data!$G$3:$G$838)</f>
        <v>0</v>
      </c>
      <c r="F166">
        <f>SUMIF(Council_Data!$V$3:$V$838,$A166,Council_Data!$H$3:$H$838)</f>
        <v>0</v>
      </c>
      <c r="G166">
        <f>SUMIF(Council_Data!$V$3:$V$838,$A166,Council_Data!$I$3:$I$838)</f>
        <v>0</v>
      </c>
      <c r="H166">
        <f>SUMIF(Council_Data!$V$3:$V$838,$A166,Council_Data!$J$3:$J$838)</f>
        <v>0</v>
      </c>
      <c r="I166">
        <f>SUMIF(Council_Data!$V$3:$V$838,$A166,Council_Data!$K$3:$K$838)</f>
        <v>0</v>
      </c>
      <c r="J166">
        <f>SUMIF(Council_Data!$V$3:$V$838,$A166,Council_Data!$L$3:$L$838)</f>
        <v>0</v>
      </c>
      <c r="K166" s="63">
        <f t="shared" si="14"/>
        <v>0</v>
      </c>
      <c r="L166">
        <f>ROUND(SUMIF(Council_Data!$V$3:$V$838,$A166,Council_Data!$N$3:$N$838)*0.7,0)</f>
        <v>0</v>
      </c>
      <c r="M166">
        <f>SUMIF(Council_Data!$V$3:$V$838,$A166,Council_Data!$O$3:$O$838)</f>
        <v>0</v>
      </c>
      <c r="N166">
        <f>SUMIF(Council_Data!$V$3:$V$838,$A166,Council_Data!$P$3:$P$838)</f>
        <v>2</v>
      </c>
      <c r="O166">
        <f>SUMIF(Council_Data!$V$3:$V$838,$A166,Council_Data!$Q$3:$Q$838)</f>
        <v>-2</v>
      </c>
      <c r="P166">
        <f>SUMIF(Council_Data!$V$3:$V$838,$A166,Council_Data!$R$3:$R$838)</f>
        <v>0</v>
      </c>
      <c r="Q166">
        <f>SUMIF(Council_Data!$V$3:$V$838,$A166,Council_Data!$S$3:$S$838)</f>
        <v>2</v>
      </c>
      <c r="R166">
        <f>SUMIF(Council_Data!$V$3:$V$838,$A166,Council_Data!$T$3:$T$838)</f>
        <v>-2</v>
      </c>
      <c r="S166" s="63">
        <f t="shared" si="15"/>
        <v>0</v>
      </c>
      <c r="T166" t="str">
        <f>IF(ISNA(VLOOKUP($A166,DD_Info!$A$1:$E$222,2,0)),0,VLOOKUP($A166,DD_Info!$A$1:$E$222,2,0))</f>
        <v>Ervey  Martinez</v>
      </c>
    </row>
    <row r="167" spans="1:20">
      <c r="A167" s="81">
        <v>179</v>
      </c>
      <c r="B167" t="str">
        <f>IF(ISNA(VLOOKUP($A167,DD_Info!$A$1:$E$222,3,0)),0,VLOOKUP($A167,DD_Info!$A$1:$E$222,3,0))</f>
        <v>Corpus Christi</v>
      </c>
      <c r="C167">
        <f>SUMIF(Council_Data!$V$3:$V$838,$A167,Council_Data!$E$3:$E$838)</f>
        <v>318</v>
      </c>
      <c r="D167">
        <f>ROUND(SUMIF(Council_Data!$V$3:$V$838,$A167,Council_Data!$F$3:$F$838)*0.7,0)</f>
        <v>12</v>
      </c>
      <c r="E167">
        <f>SUMIF(Council_Data!$V$3:$V$838,$A167,Council_Data!$G$3:$G$838)</f>
        <v>0</v>
      </c>
      <c r="F167">
        <f>SUMIF(Council_Data!$V$3:$V$838,$A167,Council_Data!$H$3:$H$838)</f>
        <v>0</v>
      </c>
      <c r="G167">
        <f>SUMIF(Council_Data!$V$3:$V$838,$A167,Council_Data!$I$3:$I$838)</f>
        <v>0</v>
      </c>
      <c r="H167">
        <f>SUMIF(Council_Data!$V$3:$V$838,$A167,Council_Data!$J$3:$J$838)</f>
        <v>16</v>
      </c>
      <c r="I167">
        <f>SUMIF(Council_Data!$V$3:$V$838,$A167,Council_Data!$K$3:$K$838)</f>
        <v>0</v>
      </c>
      <c r="J167">
        <f>SUMIF(Council_Data!$V$3:$V$838,$A167,Council_Data!$L$3:$L$838)</f>
        <v>16</v>
      </c>
      <c r="K167" s="63">
        <f t="shared" si="14"/>
        <v>1.3333333333333333</v>
      </c>
      <c r="L167">
        <f>ROUND(SUMIF(Council_Data!$V$3:$V$838,$A167,Council_Data!$N$3:$N$838)*0.7,0)</f>
        <v>0</v>
      </c>
      <c r="M167">
        <f>SUMIF(Council_Data!$V$3:$V$838,$A167,Council_Data!$O$3:$O$838)</f>
        <v>0</v>
      </c>
      <c r="N167">
        <f>SUMIF(Council_Data!$V$3:$V$838,$A167,Council_Data!$P$3:$P$838)</f>
        <v>1</v>
      </c>
      <c r="O167">
        <f>SUMIF(Council_Data!$V$3:$V$838,$A167,Council_Data!$Q$3:$Q$838)</f>
        <v>-1</v>
      </c>
      <c r="P167">
        <f>SUMIF(Council_Data!$V$3:$V$838,$A167,Council_Data!$R$3:$R$838)</f>
        <v>0</v>
      </c>
      <c r="Q167">
        <f>SUMIF(Council_Data!$V$3:$V$838,$A167,Council_Data!$S$3:$S$838)</f>
        <v>1</v>
      </c>
      <c r="R167">
        <f>SUMIF(Council_Data!$V$3:$V$838,$A167,Council_Data!$T$3:$T$838)</f>
        <v>-1</v>
      </c>
      <c r="S167" s="63">
        <f t="shared" si="15"/>
        <v>0</v>
      </c>
      <c r="T167" t="str">
        <f>IF(ISNA(VLOOKUP($A167,DD_Info!$A$1:$E$222,2,0)),0,VLOOKUP($A167,DD_Info!$A$1:$E$222,2,0))</f>
        <v>Jesse Q Garcia</v>
      </c>
    </row>
    <row r="168" spans="1:20">
      <c r="A168" s="81">
        <v>180</v>
      </c>
      <c r="B168" t="str">
        <f>IF(ISNA(VLOOKUP($A168,DD_Info!$A$1:$E$222,3,0)),0,VLOOKUP($A168,DD_Info!$A$1:$E$222,3,0))</f>
        <v>Corpus Christi</v>
      </c>
      <c r="C168">
        <f>SUMIF(Council_Data!$V$3:$V$838,$A168,Council_Data!$E$3:$E$838)</f>
        <v>170</v>
      </c>
      <c r="D168">
        <f>ROUND(SUMIF(Council_Data!$V$3:$V$838,$A168,Council_Data!$F$3:$F$838)*0.7,0)</f>
        <v>8</v>
      </c>
      <c r="E168">
        <f>SUMIF(Council_Data!$V$3:$V$838,$A168,Council_Data!$G$3:$G$838)</f>
        <v>0</v>
      </c>
      <c r="F168">
        <f>SUMIF(Council_Data!$V$3:$V$838,$A168,Council_Data!$H$3:$H$838)</f>
        <v>0</v>
      </c>
      <c r="G168">
        <f>SUMIF(Council_Data!$V$3:$V$838,$A168,Council_Data!$I$3:$I$838)</f>
        <v>0</v>
      </c>
      <c r="H168">
        <f>SUMIF(Council_Data!$V$3:$V$838,$A168,Council_Data!$J$3:$J$838)</f>
        <v>0</v>
      </c>
      <c r="I168">
        <f>SUMIF(Council_Data!$V$3:$V$838,$A168,Council_Data!$K$3:$K$838)</f>
        <v>0</v>
      </c>
      <c r="J168">
        <f>SUMIF(Council_Data!$V$3:$V$838,$A168,Council_Data!$L$3:$L$838)</f>
        <v>0</v>
      </c>
      <c r="K168" s="63">
        <f t="shared" si="14"/>
        <v>0</v>
      </c>
      <c r="L168">
        <f>ROUND(SUMIF(Council_Data!$V$3:$V$838,$A168,Council_Data!$N$3:$N$838)*0.7,0)</f>
        <v>0</v>
      </c>
      <c r="M168">
        <f>SUMIF(Council_Data!$V$3:$V$838,$A168,Council_Data!$O$3:$O$838)</f>
        <v>0</v>
      </c>
      <c r="N168">
        <f>SUMIF(Council_Data!$V$3:$V$838,$A168,Council_Data!$P$3:$P$838)</f>
        <v>0</v>
      </c>
      <c r="O168">
        <f>SUMIF(Council_Data!$V$3:$V$838,$A168,Council_Data!$Q$3:$Q$838)</f>
        <v>0</v>
      </c>
      <c r="P168">
        <f>SUMIF(Council_Data!$V$3:$V$838,$A168,Council_Data!$R$3:$R$838)</f>
        <v>0</v>
      </c>
      <c r="Q168">
        <f>SUMIF(Council_Data!$V$3:$V$838,$A168,Council_Data!$S$3:$S$838)</f>
        <v>0</v>
      </c>
      <c r="R168">
        <f>SUMIF(Council_Data!$V$3:$V$838,$A168,Council_Data!$T$3:$T$838)</f>
        <v>0</v>
      </c>
      <c r="S168" s="63">
        <f t="shared" si="15"/>
        <v>0</v>
      </c>
      <c r="T168" t="str">
        <f>IF(ISNA(VLOOKUP($A168,DD_Info!$A$1:$E$222,2,0)),0,VLOOKUP($A168,DD_Info!$A$1:$E$222,2,0))</f>
        <v>Rudy  Ortiz</v>
      </c>
    </row>
    <row r="169" spans="1:20">
      <c r="A169" s="81">
        <v>186</v>
      </c>
      <c r="B169" t="str">
        <f>IF(ISNA(VLOOKUP($A169,DD_Info!$A$1:$E$222,3,0)),0,VLOOKUP($A169,DD_Info!$A$1:$E$222,3,0))</f>
        <v>Victoria</v>
      </c>
      <c r="C169">
        <f>SUMIF(Council_Data!$V$3:$V$838,$A169,Council_Data!$E$3:$E$838)</f>
        <v>510</v>
      </c>
      <c r="D169">
        <f>ROUND(SUMIF(Council_Data!$V$3:$V$838,$A169,Council_Data!$F$3:$F$838)*0.7,0)</f>
        <v>18</v>
      </c>
      <c r="E169">
        <f>SUMIF(Council_Data!$V$3:$V$838,$A169,Council_Data!$G$3:$G$838)</f>
        <v>0</v>
      </c>
      <c r="F169">
        <f>SUMIF(Council_Data!$V$3:$V$838,$A169,Council_Data!$H$3:$H$838)</f>
        <v>0</v>
      </c>
      <c r="G169">
        <f>SUMIF(Council_Data!$V$3:$V$838,$A169,Council_Data!$I$3:$I$838)</f>
        <v>0</v>
      </c>
      <c r="H169">
        <f>SUMIF(Council_Data!$V$3:$V$838,$A169,Council_Data!$J$3:$J$838)</f>
        <v>14</v>
      </c>
      <c r="I169">
        <f>SUMIF(Council_Data!$V$3:$V$838,$A169,Council_Data!$K$3:$K$838)</f>
        <v>0</v>
      </c>
      <c r="J169">
        <f>SUMIF(Council_Data!$V$3:$V$838,$A169,Council_Data!$L$3:$L$838)</f>
        <v>14</v>
      </c>
      <c r="K169" s="63">
        <f t="shared" si="14"/>
        <v>0.77777777777777779</v>
      </c>
      <c r="L169">
        <f>ROUND(SUMIF(Council_Data!$V$3:$V$838,$A169,Council_Data!$N$3:$N$838)*0.7,0)</f>
        <v>0</v>
      </c>
      <c r="M169">
        <f>SUMIF(Council_Data!$V$3:$V$838,$A169,Council_Data!$O$3:$O$838)</f>
        <v>0</v>
      </c>
      <c r="N169">
        <f>SUMIF(Council_Data!$V$3:$V$838,$A169,Council_Data!$P$3:$P$838)</f>
        <v>2</v>
      </c>
      <c r="O169">
        <f>SUMIF(Council_Data!$V$3:$V$838,$A169,Council_Data!$Q$3:$Q$838)</f>
        <v>-2</v>
      </c>
      <c r="P169">
        <f>SUMIF(Council_Data!$V$3:$V$838,$A169,Council_Data!$R$3:$R$838)</f>
        <v>4</v>
      </c>
      <c r="Q169">
        <f>SUMIF(Council_Data!$V$3:$V$838,$A169,Council_Data!$S$3:$S$838)</f>
        <v>3</v>
      </c>
      <c r="R169">
        <f>SUMIF(Council_Data!$V$3:$V$838,$A169,Council_Data!$T$3:$T$838)</f>
        <v>1</v>
      </c>
      <c r="S169" s="63">
        <f t="shared" si="15"/>
        <v>0</v>
      </c>
      <c r="T169" t="str">
        <f>IF(ISNA(VLOOKUP($A169,DD_Info!$A$1:$E$222,2,0)),0,VLOOKUP($A169,DD_Info!$A$1:$E$222,2,0))</f>
        <v>Robert  Landry</v>
      </c>
    </row>
    <row r="170" spans="1:20">
      <c r="A170" s="81">
        <v>187</v>
      </c>
      <c r="B170" t="str">
        <f>IF(ISNA(VLOOKUP($A170,DD_Info!$A$1:$E$222,3,0)),0,VLOOKUP($A170,DD_Info!$A$1:$E$222,3,0))</f>
        <v>Victoria</v>
      </c>
      <c r="C170">
        <f>SUMIF(Council_Data!$V$3:$V$838,$A170,Council_Data!$E$3:$E$838)</f>
        <v>369</v>
      </c>
      <c r="D170">
        <f>ROUND(SUMIF(Council_Data!$V$3:$V$838,$A170,Council_Data!$F$3:$F$838)*0.7,0)</f>
        <v>13</v>
      </c>
      <c r="E170">
        <f>SUMIF(Council_Data!$V$3:$V$838,$A170,Council_Data!$G$3:$G$838)</f>
        <v>0</v>
      </c>
      <c r="F170">
        <f>SUMIF(Council_Data!$V$3:$V$838,$A170,Council_Data!$H$3:$H$838)</f>
        <v>0</v>
      </c>
      <c r="G170">
        <f>SUMIF(Council_Data!$V$3:$V$838,$A170,Council_Data!$I$3:$I$838)</f>
        <v>0</v>
      </c>
      <c r="H170">
        <f>SUMIF(Council_Data!$V$3:$V$838,$A170,Council_Data!$J$3:$J$838)</f>
        <v>6</v>
      </c>
      <c r="I170">
        <f>SUMIF(Council_Data!$V$3:$V$838,$A170,Council_Data!$K$3:$K$838)</f>
        <v>0</v>
      </c>
      <c r="J170">
        <f>SUMIF(Council_Data!$V$3:$V$838,$A170,Council_Data!$L$3:$L$838)</f>
        <v>6</v>
      </c>
      <c r="K170" s="63">
        <f t="shared" si="14"/>
        <v>0.46153846153846156</v>
      </c>
      <c r="L170">
        <f>ROUND(SUMIF(Council_Data!$V$3:$V$838,$A170,Council_Data!$N$3:$N$838)*0.7,0)</f>
        <v>0</v>
      </c>
      <c r="M170">
        <f>SUMIF(Council_Data!$V$3:$V$838,$A170,Council_Data!$O$3:$O$838)</f>
        <v>0</v>
      </c>
      <c r="N170">
        <f>SUMIF(Council_Data!$V$3:$V$838,$A170,Council_Data!$P$3:$P$838)</f>
        <v>0</v>
      </c>
      <c r="O170">
        <f>SUMIF(Council_Data!$V$3:$V$838,$A170,Council_Data!$Q$3:$Q$838)</f>
        <v>0</v>
      </c>
      <c r="P170">
        <f>SUMIF(Council_Data!$V$3:$V$838,$A170,Council_Data!$R$3:$R$838)</f>
        <v>1</v>
      </c>
      <c r="Q170">
        <f>SUMIF(Council_Data!$V$3:$V$838,$A170,Council_Data!$S$3:$S$838)</f>
        <v>0</v>
      </c>
      <c r="R170">
        <f>SUMIF(Council_Data!$V$3:$V$838,$A170,Council_Data!$T$3:$T$838)</f>
        <v>1</v>
      </c>
      <c r="S170" s="63">
        <f t="shared" si="15"/>
        <v>0</v>
      </c>
      <c r="T170" t="str">
        <f>IF(ISNA(VLOOKUP($A170,DD_Info!$A$1:$E$222,2,0)),0,VLOOKUP($A170,DD_Info!$A$1:$E$222,2,0))</f>
        <v>Harry A Isenberger</v>
      </c>
    </row>
    <row r="171" spans="1:20">
      <c r="A171" s="81">
        <v>188</v>
      </c>
      <c r="B171" t="str">
        <f>IF(ISNA(VLOOKUP($A171,DD_Info!$A$1:$E$222,3,0)),0,VLOOKUP($A171,DD_Info!$A$1:$E$222,3,0))</f>
        <v>Victoria</v>
      </c>
      <c r="C171">
        <f>SUMIF(Council_Data!$V$3:$V$838,$A171,Council_Data!$E$3:$E$838)</f>
        <v>1069</v>
      </c>
      <c r="D171">
        <f>ROUND(SUMIF(Council_Data!$V$3:$V$838,$A171,Council_Data!$F$3:$F$838)*0.7,0)</f>
        <v>34</v>
      </c>
      <c r="E171">
        <f>SUMIF(Council_Data!$V$3:$V$838,$A171,Council_Data!$G$3:$G$838)</f>
        <v>0</v>
      </c>
      <c r="F171">
        <f>SUMIF(Council_Data!$V$3:$V$838,$A171,Council_Data!$H$3:$H$838)</f>
        <v>0</v>
      </c>
      <c r="G171">
        <f>SUMIF(Council_Data!$V$3:$V$838,$A171,Council_Data!$I$3:$I$838)</f>
        <v>0</v>
      </c>
      <c r="H171">
        <f>SUMIF(Council_Data!$V$3:$V$838,$A171,Council_Data!$J$3:$J$838)</f>
        <v>0</v>
      </c>
      <c r="I171">
        <f>SUMIF(Council_Data!$V$3:$V$838,$A171,Council_Data!$K$3:$K$838)</f>
        <v>2</v>
      </c>
      <c r="J171">
        <f>SUMIF(Council_Data!$V$3:$V$838,$A171,Council_Data!$L$3:$L$838)</f>
        <v>-2</v>
      </c>
      <c r="K171" s="63">
        <f t="shared" si="14"/>
        <v>-5.8823529411764705E-2</v>
      </c>
      <c r="L171">
        <f>ROUND(SUMIF(Council_Data!$V$3:$V$838,$A171,Council_Data!$N$3:$N$838)*0.7,0)</f>
        <v>0</v>
      </c>
      <c r="M171">
        <f>SUMIF(Council_Data!$V$3:$V$838,$A171,Council_Data!$O$3:$O$838)</f>
        <v>0</v>
      </c>
      <c r="N171">
        <f>SUMIF(Council_Data!$V$3:$V$838,$A171,Council_Data!$P$3:$P$838)</f>
        <v>5</v>
      </c>
      <c r="O171">
        <f>SUMIF(Council_Data!$V$3:$V$838,$A171,Council_Data!$Q$3:$Q$838)</f>
        <v>-5</v>
      </c>
      <c r="P171">
        <f>SUMIF(Council_Data!$V$3:$V$838,$A171,Council_Data!$R$3:$R$838)</f>
        <v>3</v>
      </c>
      <c r="Q171">
        <f>SUMIF(Council_Data!$V$3:$V$838,$A171,Council_Data!$S$3:$S$838)</f>
        <v>7</v>
      </c>
      <c r="R171">
        <f>SUMIF(Council_Data!$V$3:$V$838,$A171,Council_Data!$T$3:$T$838)</f>
        <v>-4</v>
      </c>
      <c r="S171" s="63">
        <f t="shared" si="15"/>
        <v>0</v>
      </c>
      <c r="T171" t="str">
        <f>IF(ISNA(VLOOKUP($A171,DD_Info!$A$1:$E$222,2,0)),0,VLOOKUP($A171,DD_Info!$A$1:$E$222,2,0))</f>
        <v>James A Kocurek</v>
      </c>
    </row>
    <row r="172" spans="1:20">
      <c r="A172" s="81">
        <v>189</v>
      </c>
      <c r="B172" t="str">
        <f>IF(ISNA(VLOOKUP($A172,DD_Info!$A$1:$E$222,3,0)),0,VLOOKUP($A172,DD_Info!$A$1:$E$222,3,0))</f>
        <v>Victoria</v>
      </c>
      <c r="C172">
        <f>SUMIF(Council_Data!$V$3:$V$838,$A172,Council_Data!$E$3:$E$838)</f>
        <v>796</v>
      </c>
      <c r="D172">
        <f>ROUND(SUMIF(Council_Data!$V$3:$V$838,$A172,Council_Data!$F$3:$F$838)*0.7,0)</f>
        <v>27</v>
      </c>
      <c r="E172">
        <f>SUMIF(Council_Data!$V$3:$V$838,$A172,Council_Data!$G$3:$G$838)</f>
        <v>1</v>
      </c>
      <c r="F172">
        <f>SUMIF(Council_Data!$V$3:$V$838,$A172,Council_Data!$H$3:$H$838)</f>
        <v>0</v>
      </c>
      <c r="G172">
        <f>SUMIF(Council_Data!$V$3:$V$838,$A172,Council_Data!$I$3:$I$838)</f>
        <v>1</v>
      </c>
      <c r="H172">
        <f>SUMIF(Council_Data!$V$3:$V$838,$A172,Council_Data!$J$3:$J$838)</f>
        <v>4</v>
      </c>
      <c r="I172">
        <f>SUMIF(Council_Data!$V$3:$V$838,$A172,Council_Data!$K$3:$K$838)</f>
        <v>1</v>
      </c>
      <c r="J172">
        <f>SUMIF(Council_Data!$V$3:$V$838,$A172,Council_Data!$L$3:$L$838)</f>
        <v>3</v>
      </c>
      <c r="K172" s="63">
        <f t="shared" si="14"/>
        <v>0.1111111111111111</v>
      </c>
      <c r="L172">
        <f>ROUND(SUMIF(Council_Data!$V$3:$V$838,$A172,Council_Data!$N$3:$N$838)*0.7,0)</f>
        <v>0</v>
      </c>
      <c r="M172">
        <f>SUMIF(Council_Data!$V$3:$V$838,$A172,Council_Data!$O$3:$O$838)</f>
        <v>1</v>
      </c>
      <c r="N172">
        <f>SUMIF(Council_Data!$V$3:$V$838,$A172,Council_Data!$P$3:$P$838)</f>
        <v>2</v>
      </c>
      <c r="O172">
        <f>SUMIF(Council_Data!$V$3:$V$838,$A172,Council_Data!$Q$3:$Q$838)</f>
        <v>-1</v>
      </c>
      <c r="P172">
        <f>SUMIF(Council_Data!$V$3:$V$838,$A172,Council_Data!$R$3:$R$838)</f>
        <v>3</v>
      </c>
      <c r="Q172">
        <f>SUMIF(Council_Data!$V$3:$V$838,$A172,Council_Data!$S$3:$S$838)</f>
        <v>5</v>
      </c>
      <c r="R172">
        <f>SUMIF(Council_Data!$V$3:$V$838,$A172,Council_Data!$T$3:$T$838)</f>
        <v>-2</v>
      </c>
      <c r="S172" s="63">
        <f t="shared" si="15"/>
        <v>0</v>
      </c>
      <c r="T172" t="str">
        <f>IF(ISNA(VLOOKUP($A172,DD_Info!$A$1:$E$222,2,0)),0,VLOOKUP($A172,DD_Info!$A$1:$E$222,2,0))</f>
        <v>Jeff  Popp</v>
      </c>
    </row>
    <row r="173" spans="1:20">
      <c r="A173" s="81">
        <v>190</v>
      </c>
      <c r="B173" t="str">
        <f>IF(ISNA(VLOOKUP($A173,DD_Info!$A$1:$E$222,3,0)),0,VLOOKUP($A173,DD_Info!$A$1:$E$222,3,0))</f>
        <v>Victoria</v>
      </c>
      <c r="C173">
        <f>SUMIF(Council_Data!$V$3:$V$838,$A173,Council_Data!$E$3:$E$838)</f>
        <v>841</v>
      </c>
      <c r="D173">
        <f>ROUND(SUMIF(Council_Data!$V$3:$V$838,$A173,Council_Data!$F$3:$F$838)*0.7,0)</f>
        <v>29</v>
      </c>
      <c r="E173">
        <f>SUMIF(Council_Data!$V$3:$V$838,$A173,Council_Data!$G$3:$G$838)</f>
        <v>1</v>
      </c>
      <c r="F173">
        <f>SUMIF(Council_Data!$V$3:$V$838,$A173,Council_Data!$H$3:$H$838)</f>
        <v>0</v>
      </c>
      <c r="G173">
        <f>SUMIF(Council_Data!$V$3:$V$838,$A173,Council_Data!$I$3:$I$838)</f>
        <v>1</v>
      </c>
      <c r="H173">
        <f>SUMIF(Council_Data!$V$3:$V$838,$A173,Council_Data!$J$3:$J$838)</f>
        <v>4</v>
      </c>
      <c r="I173">
        <f>SUMIF(Council_Data!$V$3:$V$838,$A173,Council_Data!$K$3:$K$838)</f>
        <v>10</v>
      </c>
      <c r="J173">
        <f>SUMIF(Council_Data!$V$3:$V$838,$A173,Council_Data!$L$3:$L$838)</f>
        <v>-6</v>
      </c>
      <c r="K173" s="63">
        <f t="shared" si="14"/>
        <v>-0.20689655172413793</v>
      </c>
      <c r="L173">
        <f>ROUND(SUMIF(Council_Data!$V$3:$V$838,$A173,Council_Data!$N$3:$N$838)*0.7,0)</f>
        <v>0</v>
      </c>
      <c r="M173">
        <f>SUMIF(Council_Data!$V$3:$V$838,$A173,Council_Data!$O$3:$O$838)</f>
        <v>1</v>
      </c>
      <c r="N173">
        <f>SUMIF(Council_Data!$V$3:$V$838,$A173,Council_Data!$P$3:$P$838)</f>
        <v>1</v>
      </c>
      <c r="O173">
        <f>SUMIF(Council_Data!$V$3:$V$838,$A173,Council_Data!$Q$3:$Q$838)</f>
        <v>0</v>
      </c>
      <c r="P173">
        <f>SUMIF(Council_Data!$V$3:$V$838,$A173,Council_Data!$R$3:$R$838)</f>
        <v>5</v>
      </c>
      <c r="Q173">
        <f>SUMIF(Council_Data!$V$3:$V$838,$A173,Council_Data!$S$3:$S$838)</f>
        <v>3</v>
      </c>
      <c r="R173">
        <f>SUMIF(Council_Data!$V$3:$V$838,$A173,Council_Data!$T$3:$T$838)</f>
        <v>2</v>
      </c>
      <c r="S173" s="63">
        <f t="shared" si="15"/>
        <v>0</v>
      </c>
      <c r="T173" t="str">
        <f>IF(ISNA(VLOOKUP($A173,DD_Info!$A$1:$E$222,2,0)),0,VLOOKUP($A173,DD_Info!$A$1:$E$222,2,0))</f>
        <v>William  Schuette</v>
      </c>
    </row>
    <row r="174" spans="1:20">
      <c r="A174" s="81">
        <v>191</v>
      </c>
      <c r="B174" t="str">
        <f>IF(ISNA(VLOOKUP($A174,DD_Info!$A$1:$E$222,3,0)),0,VLOOKUP($A174,DD_Info!$A$1:$E$222,3,0))</f>
        <v>Victoria</v>
      </c>
      <c r="C174">
        <f>SUMIF(Council_Data!$V$3:$V$838,$A174,Council_Data!$E$3:$E$838)</f>
        <v>1302</v>
      </c>
      <c r="D174">
        <f>ROUND(SUMIF(Council_Data!$V$3:$V$838,$A174,Council_Data!$F$3:$F$838)*0.7,0)</f>
        <v>36</v>
      </c>
      <c r="E174">
        <f>SUMIF(Council_Data!$V$3:$V$838,$A174,Council_Data!$G$3:$G$838)</f>
        <v>1</v>
      </c>
      <c r="F174">
        <f>SUMIF(Council_Data!$V$3:$V$838,$A174,Council_Data!$H$3:$H$838)</f>
        <v>1</v>
      </c>
      <c r="G174">
        <f>SUMIF(Council_Data!$V$3:$V$838,$A174,Council_Data!$I$3:$I$838)</f>
        <v>0</v>
      </c>
      <c r="H174">
        <f>SUMIF(Council_Data!$V$3:$V$838,$A174,Council_Data!$J$3:$J$838)</f>
        <v>5</v>
      </c>
      <c r="I174">
        <f>SUMIF(Council_Data!$V$3:$V$838,$A174,Council_Data!$K$3:$K$838)</f>
        <v>2</v>
      </c>
      <c r="J174">
        <f>SUMIF(Council_Data!$V$3:$V$838,$A174,Council_Data!$L$3:$L$838)</f>
        <v>3</v>
      </c>
      <c r="K174" s="63">
        <f t="shared" si="14"/>
        <v>8.3333333333333329E-2</v>
      </c>
      <c r="L174">
        <f>ROUND(SUMIF(Council_Data!$V$3:$V$838,$A174,Council_Data!$N$3:$N$838)*0.7,0)</f>
        <v>0</v>
      </c>
      <c r="M174">
        <f>SUMIF(Council_Data!$V$3:$V$838,$A174,Council_Data!$O$3:$O$838)</f>
        <v>0</v>
      </c>
      <c r="N174">
        <f>SUMIF(Council_Data!$V$3:$V$838,$A174,Council_Data!$P$3:$P$838)</f>
        <v>1</v>
      </c>
      <c r="O174">
        <f>SUMIF(Council_Data!$V$3:$V$838,$A174,Council_Data!$Q$3:$Q$838)</f>
        <v>-1</v>
      </c>
      <c r="P174">
        <f>SUMIF(Council_Data!$V$3:$V$838,$A174,Council_Data!$R$3:$R$838)</f>
        <v>4</v>
      </c>
      <c r="Q174">
        <f>SUMIF(Council_Data!$V$3:$V$838,$A174,Council_Data!$S$3:$S$838)</f>
        <v>5</v>
      </c>
      <c r="R174">
        <f>SUMIF(Council_Data!$V$3:$V$838,$A174,Council_Data!$T$3:$T$838)</f>
        <v>-1</v>
      </c>
      <c r="S174" s="63">
        <f t="shared" si="15"/>
        <v>0</v>
      </c>
      <c r="T174" t="str">
        <f>IF(ISNA(VLOOKUP($A174,DD_Info!$A$1:$E$222,2,0)),0,VLOOKUP($A174,DD_Info!$A$1:$E$222,2,0))</f>
        <v>Andrew  Pesek</v>
      </c>
    </row>
    <row r="175" spans="1:20">
      <c r="A175" s="81">
        <v>192</v>
      </c>
      <c r="B175" t="str">
        <f>IF(ISNA(VLOOKUP($A175,DD_Info!$A$1:$E$222,3,0)),0,VLOOKUP($A175,DD_Info!$A$1:$E$222,3,0))</f>
        <v>Victoria</v>
      </c>
      <c r="C175">
        <f>SUMIF(Council_Data!$V$3:$V$838,$A175,Council_Data!$E$3:$E$838)</f>
        <v>524</v>
      </c>
      <c r="D175">
        <f>ROUND(SUMIF(Council_Data!$V$3:$V$838,$A175,Council_Data!$F$3:$F$838)*0.7,0)</f>
        <v>19</v>
      </c>
      <c r="E175">
        <f>SUMIF(Council_Data!$V$3:$V$838,$A175,Council_Data!$G$3:$G$838)</f>
        <v>0</v>
      </c>
      <c r="F175">
        <f>SUMIF(Council_Data!$V$3:$V$838,$A175,Council_Data!$H$3:$H$838)</f>
        <v>0</v>
      </c>
      <c r="G175">
        <f>SUMIF(Council_Data!$V$3:$V$838,$A175,Council_Data!$I$3:$I$838)</f>
        <v>0</v>
      </c>
      <c r="H175">
        <f>SUMIF(Council_Data!$V$3:$V$838,$A175,Council_Data!$J$3:$J$838)</f>
        <v>0</v>
      </c>
      <c r="I175">
        <f>SUMIF(Council_Data!$V$3:$V$838,$A175,Council_Data!$K$3:$K$838)</f>
        <v>1</v>
      </c>
      <c r="J175">
        <f>SUMIF(Council_Data!$V$3:$V$838,$A175,Council_Data!$L$3:$L$838)</f>
        <v>-1</v>
      </c>
      <c r="K175" s="63">
        <f t="shared" si="14"/>
        <v>-5.2631578947368418E-2</v>
      </c>
      <c r="L175">
        <f>ROUND(SUMIF(Council_Data!$V$3:$V$838,$A175,Council_Data!$N$3:$N$838)*0.7,0)</f>
        <v>0</v>
      </c>
      <c r="M175">
        <f>SUMIF(Council_Data!$V$3:$V$838,$A175,Council_Data!$O$3:$O$838)</f>
        <v>0</v>
      </c>
      <c r="N175">
        <f>SUMIF(Council_Data!$V$3:$V$838,$A175,Council_Data!$P$3:$P$838)</f>
        <v>0</v>
      </c>
      <c r="O175">
        <f>SUMIF(Council_Data!$V$3:$V$838,$A175,Council_Data!$Q$3:$Q$838)</f>
        <v>0</v>
      </c>
      <c r="P175">
        <f>SUMIF(Council_Data!$V$3:$V$838,$A175,Council_Data!$R$3:$R$838)</f>
        <v>1</v>
      </c>
      <c r="Q175">
        <f>SUMIF(Council_Data!$V$3:$V$838,$A175,Council_Data!$S$3:$S$838)</f>
        <v>3</v>
      </c>
      <c r="R175">
        <f>SUMIF(Council_Data!$V$3:$V$838,$A175,Council_Data!$T$3:$T$838)</f>
        <v>-2</v>
      </c>
      <c r="S175" s="63">
        <f t="shared" si="15"/>
        <v>0</v>
      </c>
      <c r="T175" t="str">
        <f>IF(ISNA(VLOOKUP($A175,DD_Info!$A$1:$E$222,2,0)),0,VLOOKUP($A175,DD_Info!$A$1:$E$222,2,0))</f>
        <v>Lukas F Janak Jr</v>
      </c>
    </row>
    <row r="176" spans="1:20">
      <c r="A176" s="81">
        <v>193</v>
      </c>
      <c r="B176" t="str">
        <f>IF(ISNA(VLOOKUP($A176,DD_Info!$A$1:$E$222,3,0)),0,VLOOKUP($A176,DD_Info!$A$1:$E$222,3,0))</f>
        <v>Victoria</v>
      </c>
      <c r="C176">
        <f>SUMIF(Council_Data!$V$3:$V$838,$A176,Council_Data!$E$3:$E$838)</f>
        <v>1215</v>
      </c>
      <c r="D176">
        <f>ROUND(SUMIF(Council_Data!$V$3:$V$838,$A176,Council_Data!$F$3:$F$838)*0.7,0)</f>
        <v>38</v>
      </c>
      <c r="E176">
        <f>SUMIF(Council_Data!$V$3:$V$838,$A176,Council_Data!$G$3:$G$838)</f>
        <v>0</v>
      </c>
      <c r="F176">
        <f>SUMIF(Council_Data!$V$3:$V$838,$A176,Council_Data!$H$3:$H$838)</f>
        <v>3</v>
      </c>
      <c r="G176">
        <f>SUMIF(Council_Data!$V$3:$V$838,$A176,Council_Data!$I$3:$I$838)</f>
        <v>-3</v>
      </c>
      <c r="H176">
        <f>SUMIF(Council_Data!$V$3:$V$838,$A176,Council_Data!$J$3:$J$838)</f>
        <v>6</v>
      </c>
      <c r="I176">
        <f>SUMIF(Council_Data!$V$3:$V$838,$A176,Council_Data!$K$3:$K$838)</f>
        <v>3</v>
      </c>
      <c r="J176">
        <f>SUMIF(Council_Data!$V$3:$V$838,$A176,Council_Data!$L$3:$L$838)</f>
        <v>3</v>
      </c>
      <c r="K176" s="63">
        <f t="shared" si="14"/>
        <v>7.8947368421052627E-2</v>
      </c>
      <c r="L176">
        <f>ROUND(SUMIF(Council_Data!$V$3:$V$838,$A176,Council_Data!$N$3:$N$838)*0.7,0)</f>
        <v>0</v>
      </c>
      <c r="M176">
        <f>SUMIF(Council_Data!$V$3:$V$838,$A176,Council_Data!$O$3:$O$838)</f>
        <v>0</v>
      </c>
      <c r="N176">
        <f>SUMIF(Council_Data!$V$3:$V$838,$A176,Council_Data!$P$3:$P$838)</f>
        <v>3</v>
      </c>
      <c r="O176">
        <f>SUMIF(Council_Data!$V$3:$V$838,$A176,Council_Data!$Q$3:$Q$838)</f>
        <v>-3</v>
      </c>
      <c r="P176">
        <f>SUMIF(Council_Data!$V$3:$V$838,$A176,Council_Data!$R$3:$R$838)</f>
        <v>5</v>
      </c>
      <c r="Q176">
        <f>SUMIF(Council_Data!$V$3:$V$838,$A176,Council_Data!$S$3:$S$838)</f>
        <v>8</v>
      </c>
      <c r="R176">
        <f>SUMIF(Council_Data!$V$3:$V$838,$A176,Council_Data!$T$3:$T$838)</f>
        <v>-3</v>
      </c>
      <c r="S176" s="63">
        <f t="shared" si="15"/>
        <v>0</v>
      </c>
      <c r="T176" t="str">
        <f>IF(ISNA(VLOOKUP($A176,DD_Info!$A$1:$E$222,2,0)),0,VLOOKUP($A176,DD_Info!$A$1:$E$222,2,0))</f>
        <v>Manuel  Gonzales III</v>
      </c>
    </row>
    <row r="177" spans="1:20">
      <c r="A177" s="81">
        <v>196</v>
      </c>
      <c r="B177" t="str">
        <f>IF(ISNA(VLOOKUP($A177,DD_Info!$A$1:$E$222,3,0)),0,VLOOKUP($A177,DD_Info!$A$1:$E$222,3,0))</f>
        <v>Amarillo</v>
      </c>
      <c r="C177">
        <f>SUMIF(Council_Data!$V$3:$V$838,$A177,Council_Data!$E$3:$E$838)</f>
        <v>585</v>
      </c>
      <c r="D177">
        <f>ROUND(SUMIF(Council_Data!$V$3:$V$838,$A177,Council_Data!$F$3:$F$838)*0.7,0)</f>
        <v>19</v>
      </c>
      <c r="E177">
        <f>SUMIF(Council_Data!$V$3:$V$838,$A177,Council_Data!$G$3:$G$838)</f>
        <v>1</v>
      </c>
      <c r="F177">
        <f>SUMIF(Council_Data!$V$3:$V$838,$A177,Council_Data!$H$3:$H$838)</f>
        <v>1</v>
      </c>
      <c r="G177">
        <f>SUMIF(Council_Data!$V$3:$V$838,$A177,Council_Data!$I$3:$I$838)</f>
        <v>0</v>
      </c>
      <c r="H177">
        <f>SUMIF(Council_Data!$V$3:$V$838,$A177,Council_Data!$J$3:$J$838)</f>
        <v>2</v>
      </c>
      <c r="I177">
        <f>SUMIF(Council_Data!$V$3:$V$838,$A177,Council_Data!$K$3:$K$838)</f>
        <v>1</v>
      </c>
      <c r="J177">
        <f>SUMIF(Council_Data!$V$3:$V$838,$A177,Council_Data!$L$3:$L$838)</f>
        <v>1</v>
      </c>
      <c r="K177" s="63">
        <f t="shared" si="14"/>
        <v>5.2631578947368418E-2</v>
      </c>
      <c r="L177">
        <f>ROUND(SUMIF(Council_Data!$V$3:$V$838,$A177,Council_Data!$N$3:$N$838)*0.7,0)</f>
        <v>0</v>
      </c>
      <c r="M177">
        <f>SUMIF(Council_Data!$V$3:$V$838,$A177,Council_Data!$O$3:$O$838)</f>
        <v>0</v>
      </c>
      <c r="N177">
        <f>SUMIF(Council_Data!$V$3:$V$838,$A177,Council_Data!$P$3:$P$838)</f>
        <v>2</v>
      </c>
      <c r="O177">
        <f>SUMIF(Council_Data!$V$3:$V$838,$A177,Council_Data!$Q$3:$Q$838)</f>
        <v>-2</v>
      </c>
      <c r="P177">
        <f>SUMIF(Council_Data!$V$3:$V$838,$A177,Council_Data!$R$3:$R$838)</f>
        <v>2</v>
      </c>
      <c r="Q177">
        <f>SUMIF(Council_Data!$V$3:$V$838,$A177,Council_Data!$S$3:$S$838)</f>
        <v>3</v>
      </c>
      <c r="R177">
        <f>SUMIF(Council_Data!$V$3:$V$838,$A177,Council_Data!$T$3:$T$838)</f>
        <v>-1</v>
      </c>
      <c r="S177" s="63">
        <f t="shared" si="15"/>
        <v>0</v>
      </c>
      <c r="T177" t="str">
        <f>IF(ISNA(VLOOKUP($A177,DD_Info!$A$1:$E$222,2,0)),0,VLOOKUP($A177,DD_Info!$A$1:$E$222,2,0))</f>
        <v>Ron  Railsback</v>
      </c>
    </row>
    <row r="178" spans="1:20">
      <c r="A178" s="81">
        <v>197</v>
      </c>
      <c r="B178" t="str">
        <f>IF(ISNA(VLOOKUP($A178,DD_Info!$A$1:$E$222,3,0)),0,VLOOKUP($A178,DD_Info!$A$1:$E$222,3,0))</f>
        <v>Amarillo</v>
      </c>
      <c r="C178">
        <f>SUMIF(Council_Data!$V$3:$V$838,$A178,Council_Data!$E$3:$E$838)</f>
        <v>292</v>
      </c>
      <c r="D178">
        <f>ROUND(SUMIF(Council_Data!$V$3:$V$838,$A178,Council_Data!$F$3:$F$838)*0.7,0)</f>
        <v>11</v>
      </c>
      <c r="E178">
        <f>SUMIF(Council_Data!$V$3:$V$838,$A178,Council_Data!$G$3:$G$838)</f>
        <v>0</v>
      </c>
      <c r="F178">
        <f>SUMIF(Council_Data!$V$3:$V$838,$A178,Council_Data!$H$3:$H$838)</f>
        <v>0</v>
      </c>
      <c r="G178">
        <f>SUMIF(Council_Data!$V$3:$V$838,$A178,Council_Data!$I$3:$I$838)</f>
        <v>0</v>
      </c>
      <c r="H178">
        <f>SUMIF(Council_Data!$V$3:$V$838,$A178,Council_Data!$J$3:$J$838)</f>
        <v>0</v>
      </c>
      <c r="I178">
        <f>SUMIF(Council_Data!$V$3:$V$838,$A178,Council_Data!$K$3:$K$838)</f>
        <v>0</v>
      </c>
      <c r="J178">
        <f>SUMIF(Council_Data!$V$3:$V$838,$A178,Council_Data!$L$3:$L$838)</f>
        <v>0</v>
      </c>
      <c r="K178" s="63">
        <f t="shared" si="14"/>
        <v>0</v>
      </c>
      <c r="L178">
        <f>ROUND(SUMIF(Council_Data!$V$3:$V$838,$A178,Council_Data!$N$3:$N$838)*0.7,0)</f>
        <v>0</v>
      </c>
      <c r="M178">
        <f>SUMIF(Council_Data!$V$3:$V$838,$A178,Council_Data!$O$3:$O$838)</f>
        <v>0</v>
      </c>
      <c r="N178">
        <f>SUMIF(Council_Data!$V$3:$V$838,$A178,Council_Data!$P$3:$P$838)</f>
        <v>0</v>
      </c>
      <c r="O178">
        <f>SUMIF(Council_Data!$V$3:$V$838,$A178,Council_Data!$Q$3:$Q$838)</f>
        <v>0</v>
      </c>
      <c r="P178">
        <f>SUMIF(Council_Data!$V$3:$V$838,$A178,Council_Data!$R$3:$R$838)</f>
        <v>0</v>
      </c>
      <c r="Q178">
        <f>SUMIF(Council_Data!$V$3:$V$838,$A178,Council_Data!$S$3:$S$838)</f>
        <v>2</v>
      </c>
      <c r="R178">
        <f>SUMIF(Council_Data!$V$3:$V$838,$A178,Council_Data!$T$3:$T$838)</f>
        <v>-2</v>
      </c>
      <c r="S178" s="63">
        <f t="shared" si="15"/>
        <v>0</v>
      </c>
      <c r="T178" t="str">
        <f>IF(ISNA(VLOOKUP($A178,DD_Info!$A$1:$E$222,2,0)),0,VLOOKUP($A178,DD_Info!$A$1:$E$222,2,0))</f>
        <v>James C Stark II</v>
      </c>
    </row>
    <row r="179" spans="1:20">
      <c r="A179" s="81">
        <v>198</v>
      </c>
      <c r="B179" t="str">
        <f>IF(ISNA(VLOOKUP($A179,DD_Info!$A$1:$E$222,3,0)),0,VLOOKUP($A179,DD_Info!$A$1:$E$222,3,0))</f>
        <v>Amarillo</v>
      </c>
      <c r="C179">
        <f>SUMIF(Council_Data!$V$3:$V$838,$A179,Council_Data!$E$3:$E$838)</f>
        <v>330</v>
      </c>
      <c r="D179">
        <f>ROUND(SUMIF(Council_Data!$V$3:$V$838,$A179,Council_Data!$F$3:$F$838)*0.7,0)</f>
        <v>12</v>
      </c>
      <c r="E179">
        <f>SUMIF(Council_Data!$V$3:$V$838,$A179,Council_Data!$G$3:$G$838)</f>
        <v>0</v>
      </c>
      <c r="F179">
        <f>SUMIF(Council_Data!$V$3:$V$838,$A179,Council_Data!$H$3:$H$838)</f>
        <v>0</v>
      </c>
      <c r="G179">
        <f>SUMIF(Council_Data!$V$3:$V$838,$A179,Council_Data!$I$3:$I$838)</f>
        <v>0</v>
      </c>
      <c r="H179">
        <f>SUMIF(Council_Data!$V$3:$V$838,$A179,Council_Data!$J$3:$J$838)</f>
        <v>0</v>
      </c>
      <c r="I179">
        <f>SUMIF(Council_Data!$V$3:$V$838,$A179,Council_Data!$K$3:$K$838)</f>
        <v>0</v>
      </c>
      <c r="J179">
        <f>SUMIF(Council_Data!$V$3:$V$838,$A179,Council_Data!$L$3:$L$838)</f>
        <v>0</v>
      </c>
      <c r="K179" s="63">
        <f t="shared" si="14"/>
        <v>0</v>
      </c>
      <c r="L179">
        <f>ROUND(SUMIF(Council_Data!$V$3:$V$838,$A179,Council_Data!$N$3:$N$838)*0.7,0)</f>
        <v>0</v>
      </c>
      <c r="M179">
        <f>SUMIF(Council_Data!$V$3:$V$838,$A179,Council_Data!$O$3:$O$838)</f>
        <v>0</v>
      </c>
      <c r="N179">
        <f>SUMIF(Council_Data!$V$3:$V$838,$A179,Council_Data!$P$3:$P$838)</f>
        <v>0</v>
      </c>
      <c r="O179">
        <f>SUMIF(Council_Data!$V$3:$V$838,$A179,Council_Data!$Q$3:$Q$838)</f>
        <v>0</v>
      </c>
      <c r="P179">
        <f>SUMIF(Council_Data!$V$3:$V$838,$A179,Council_Data!$R$3:$R$838)</f>
        <v>1</v>
      </c>
      <c r="Q179">
        <f>SUMIF(Council_Data!$V$3:$V$838,$A179,Council_Data!$S$3:$S$838)</f>
        <v>5</v>
      </c>
      <c r="R179">
        <f>SUMIF(Council_Data!$V$3:$V$838,$A179,Council_Data!$T$3:$T$838)</f>
        <v>-4</v>
      </c>
      <c r="S179" s="63">
        <f t="shared" si="15"/>
        <v>0</v>
      </c>
      <c r="T179" t="str">
        <f>IF(ISNA(VLOOKUP($A179,DD_Info!$A$1:$E$222,2,0)),0,VLOOKUP($A179,DD_Info!$A$1:$E$222,2,0))</f>
        <v>Ignacio "Richard"  Romero</v>
      </c>
    </row>
    <row r="180" spans="1:20">
      <c r="A180" s="81">
        <v>199</v>
      </c>
      <c r="B180" t="str">
        <f>IF(ISNA(VLOOKUP($A180,DD_Info!$A$1:$E$222,3,0)),0,VLOOKUP($A180,DD_Info!$A$1:$E$222,3,0))</f>
        <v>Amarillo</v>
      </c>
      <c r="C180">
        <f>SUMIF(Council_Data!$V$3:$V$838,$A180,Council_Data!$E$3:$E$838)</f>
        <v>356</v>
      </c>
      <c r="D180">
        <f>ROUND(SUMIF(Council_Data!$V$3:$V$838,$A180,Council_Data!$F$3:$F$838)*0.7,0)</f>
        <v>13</v>
      </c>
      <c r="E180">
        <f>SUMIF(Council_Data!$V$3:$V$838,$A180,Council_Data!$G$3:$G$838)</f>
        <v>0</v>
      </c>
      <c r="F180">
        <f>SUMIF(Council_Data!$V$3:$V$838,$A180,Council_Data!$H$3:$H$838)</f>
        <v>0</v>
      </c>
      <c r="G180">
        <f>SUMIF(Council_Data!$V$3:$V$838,$A180,Council_Data!$I$3:$I$838)</f>
        <v>0</v>
      </c>
      <c r="H180">
        <f>SUMIF(Council_Data!$V$3:$V$838,$A180,Council_Data!$J$3:$J$838)</f>
        <v>9</v>
      </c>
      <c r="I180">
        <f>SUMIF(Council_Data!$V$3:$V$838,$A180,Council_Data!$K$3:$K$838)</f>
        <v>4</v>
      </c>
      <c r="J180">
        <f>SUMIF(Council_Data!$V$3:$V$838,$A180,Council_Data!$L$3:$L$838)</f>
        <v>5</v>
      </c>
      <c r="K180" s="63">
        <f t="shared" ref="K180:K181" si="18">IFERROR(J180/D180,0)</f>
        <v>0.38461538461538464</v>
      </c>
      <c r="L180">
        <f>ROUND(SUMIF(Council_Data!$V$3:$V$838,$A180,Council_Data!$N$3:$N$838)*0.7,0)</f>
        <v>0</v>
      </c>
      <c r="M180">
        <f>SUMIF(Council_Data!$V$3:$V$838,$A180,Council_Data!$O$3:$O$838)</f>
        <v>0</v>
      </c>
      <c r="N180">
        <f>SUMIF(Council_Data!$V$3:$V$838,$A180,Council_Data!$P$3:$P$838)</f>
        <v>0</v>
      </c>
      <c r="O180">
        <f>SUMIF(Council_Data!$V$3:$V$838,$A180,Council_Data!$Q$3:$Q$838)</f>
        <v>0</v>
      </c>
      <c r="P180">
        <f>SUMIF(Council_Data!$V$3:$V$838,$A180,Council_Data!$R$3:$R$838)</f>
        <v>2</v>
      </c>
      <c r="Q180">
        <f>SUMIF(Council_Data!$V$3:$V$838,$A180,Council_Data!$S$3:$S$838)</f>
        <v>5</v>
      </c>
      <c r="R180">
        <f>SUMIF(Council_Data!$V$3:$V$838,$A180,Council_Data!$T$3:$T$838)</f>
        <v>-3</v>
      </c>
      <c r="S180" s="63">
        <f t="shared" ref="S180:S181" si="19">IFERROR(R180/L180,0)</f>
        <v>0</v>
      </c>
      <c r="T180" t="str">
        <f>IF(ISNA(VLOOKUP($A180,DD_Info!$A$1:$E$222,2,0)),0,VLOOKUP($A180,DD_Info!$A$1:$E$222,2,0))</f>
        <v>Ray G Sistos</v>
      </c>
    </row>
    <row r="181" spans="1:20">
      <c r="A181" s="81">
        <v>200</v>
      </c>
      <c r="B181" t="str">
        <f>IF(ISNA(VLOOKUP($A181,DD_Info!$A$1:$E$222,3,0)),0,VLOOKUP($A181,DD_Info!$A$1:$E$222,3,0))</f>
        <v>Amarillo</v>
      </c>
      <c r="C181">
        <f>SUMIF(Council_Data!$V$3:$V$838,$A181,Council_Data!$E$3:$E$838)</f>
        <v>324</v>
      </c>
      <c r="D181">
        <f>ROUND(SUMIF(Council_Data!$V$3:$V$838,$A181,Council_Data!$F$3:$F$838)*0.7,0)</f>
        <v>12</v>
      </c>
      <c r="E181">
        <f>SUMIF(Council_Data!$V$3:$V$838,$A181,Council_Data!$G$3:$G$838)</f>
        <v>0</v>
      </c>
      <c r="F181">
        <f>SUMIF(Council_Data!$V$3:$V$838,$A181,Council_Data!$H$3:$H$838)</f>
        <v>0</v>
      </c>
      <c r="G181">
        <f>SUMIF(Council_Data!$V$3:$V$838,$A181,Council_Data!$I$3:$I$838)</f>
        <v>0</v>
      </c>
      <c r="H181">
        <f>SUMIF(Council_Data!$V$3:$V$838,$A181,Council_Data!$J$3:$J$838)</f>
        <v>0</v>
      </c>
      <c r="I181">
        <f>SUMIF(Council_Data!$V$3:$V$838,$A181,Council_Data!$K$3:$K$838)</f>
        <v>0</v>
      </c>
      <c r="J181">
        <f>SUMIF(Council_Data!$V$3:$V$838,$A181,Council_Data!$L$3:$L$838)</f>
        <v>0</v>
      </c>
      <c r="K181" s="63">
        <f t="shared" si="18"/>
        <v>0</v>
      </c>
      <c r="L181">
        <f>ROUND(SUMIF(Council_Data!$V$3:$V$838,$A181,Council_Data!$N$3:$N$838)*0.7,0)</f>
        <v>0</v>
      </c>
      <c r="M181">
        <f>SUMIF(Council_Data!$V$3:$V$838,$A181,Council_Data!$O$3:$O$838)</f>
        <v>1</v>
      </c>
      <c r="N181">
        <f>SUMIF(Council_Data!$V$3:$V$838,$A181,Council_Data!$P$3:$P$838)</f>
        <v>0</v>
      </c>
      <c r="O181">
        <f>SUMIF(Council_Data!$V$3:$V$838,$A181,Council_Data!$Q$3:$Q$838)</f>
        <v>1</v>
      </c>
      <c r="P181">
        <f>SUMIF(Council_Data!$V$3:$V$838,$A181,Council_Data!$R$3:$R$838)</f>
        <v>2</v>
      </c>
      <c r="Q181">
        <f>SUMIF(Council_Data!$V$3:$V$838,$A181,Council_Data!$S$3:$S$838)</f>
        <v>0</v>
      </c>
      <c r="R181">
        <f>SUMIF(Council_Data!$V$3:$V$838,$A181,Council_Data!$T$3:$T$838)</f>
        <v>2</v>
      </c>
      <c r="S181" s="63">
        <f t="shared" si="19"/>
        <v>0</v>
      </c>
      <c r="T181" t="str">
        <f>IF(ISNA(VLOOKUP($A181,DD_Info!$A$1:$E$222,2,0)),0,VLOOKUP($A181,DD_Info!$A$1:$E$222,2,0))</f>
        <v>Heath  Henderson</v>
      </c>
    </row>
    <row r="182" spans="1:20">
      <c r="A182" s="81">
        <v>201</v>
      </c>
      <c r="B182" t="str">
        <f>IF(ISNA(VLOOKUP($A182,DD_Info!$A$1:$E$222,3,0)),0,VLOOKUP($A182,DD_Info!$A$1:$E$222,3,0))</f>
        <v>Amarillo</v>
      </c>
      <c r="C182">
        <f>SUMIF(Council_Data!$V$3:$V$838,$A182,Council_Data!$E$3:$E$838)</f>
        <v>289</v>
      </c>
      <c r="D182">
        <f>ROUND(SUMIF(Council_Data!$V$3:$V$838,$A182,Council_Data!$F$3:$F$838)*0.7,0)</f>
        <v>11</v>
      </c>
      <c r="E182">
        <f>SUMIF(Council_Data!$V$3:$V$838,$A182,Council_Data!$G$3:$G$838)</f>
        <v>0</v>
      </c>
      <c r="F182">
        <f>SUMIF(Council_Data!$V$3:$V$838,$A182,Council_Data!$H$3:$H$838)</f>
        <v>0</v>
      </c>
      <c r="G182">
        <f>SUMIF(Council_Data!$V$3:$V$838,$A182,Council_Data!$I$3:$I$838)</f>
        <v>0</v>
      </c>
      <c r="H182">
        <f>SUMIF(Council_Data!$V$3:$V$838,$A182,Council_Data!$J$3:$J$838)</f>
        <v>1</v>
      </c>
      <c r="I182">
        <f>SUMIF(Council_Data!$V$3:$V$838,$A182,Council_Data!$K$3:$K$838)</f>
        <v>0</v>
      </c>
      <c r="J182">
        <f>SUMIF(Council_Data!$V$3:$V$838,$A182,Council_Data!$L$3:$L$838)</f>
        <v>1</v>
      </c>
      <c r="K182" s="63">
        <f t="shared" si="14"/>
        <v>9.0909090909090912E-2</v>
      </c>
      <c r="L182">
        <f>ROUND(SUMIF(Council_Data!$V$3:$V$838,$A182,Council_Data!$N$3:$N$838)*0.7,0)</f>
        <v>0</v>
      </c>
      <c r="M182">
        <f>SUMIF(Council_Data!$V$3:$V$838,$A182,Council_Data!$O$3:$O$838)</f>
        <v>0</v>
      </c>
      <c r="N182">
        <f>SUMIF(Council_Data!$V$3:$V$838,$A182,Council_Data!$P$3:$P$838)</f>
        <v>0</v>
      </c>
      <c r="O182">
        <f>SUMIF(Council_Data!$V$3:$V$838,$A182,Council_Data!$Q$3:$Q$838)</f>
        <v>0</v>
      </c>
      <c r="P182">
        <f>SUMIF(Council_Data!$V$3:$V$838,$A182,Council_Data!$R$3:$R$838)</f>
        <v>0</v>
      </c>
      <c r="Q182">
        <f>SUMIF(Council_Data!$V$3:$V$838,$A182,Council_Data!$S$3:$S$838)</f>
        <v>1</v>
      </c>
      <c r="R182">
        <f>SUMIF(Council_Data!$V$3:$V$838,$A182,Council_Data!$T$3:$T$838)</f>
        <v>-1</v>
      </c>
      <c r="S182" s="63">
        <f t="shared" si="15"/>
        <v>0</v>
      </c>
      <c r="T182" t="str">
        <f>IF(ISNA(VLOOKUP($A182,DD_Info!$A$1:$E$222,2,0)),0,VLOOKUP($A182,DD_Info!$A$1:$E$222,2,0))</f>
        <v>TO BE APPOINTED</v>
      </c>
    </row>
    <row r="183" spans="1:20">
      <c r="A183" s="81">
        <v>202</v>
      </c>
      <c r="B183" t="str">
        <f>IF(ISNA(VLOOKUP($A183,DD_Info!$A$1:$E$222,3,0)),0,VLOOKUP($A183,DD_Info!$A$1:$E$222,3,0))</f>
        <v>Amarillo</v>
      </c>
      <c r="C183">
        <f>SUMIF(Council_Data!$V$3:$V$838,$A183,Council_Data!$E$3:$E$838)</f>
        <v>84</v>
      </c>
      <c r="D183">
        <f>ROUND(SUMIF(Council_Data!$V$3:$V$838,$A183,Council_Data!$F$3:$F$838)*0.7,0)</f>
        <v>3</v>
      </c>
      <c r="E183">
        <f>SUMIF(Council_Data!$V$3:$V$838,$A183,Council_Data!$G$3:$G$838)</f>
        <v>0</v>
      </c>
      <c r="F183">
        <f>SUMIF(Council_Data!$V$3:$V$838,$A183,Council_Data!$H$3:$H$838)</f>
        <v>0</v>
      </c>
      <c r="G183">
        <f>SUMIF(Council_Data!$V$3:$V$838,$A183,Council_Data!$I$3:$I$838)</f>
        <v>0</v>
      </c>
      <c r="H183">
        <f>SUMIF(Council_Data!$V$3:$V$838,$A183,Council_Data!$J$3:$J$838)</f>
        <v>0</v>
      </c>
      <c r="I183">
        <f>SUMIF(Council_Data!$V$3:$V$838,$A183,Council_Data!$K$3:$K$838)</f>
        <v>0</v>
      </c>
      <c r="J183">
        <f>SUMIF(Council_Data!$V$3:$V$838,$A183,Council_Data!$L$3:$L$838)</f>
        <v>0</v>
      </c>
      <c r="K183" s="63">
        <f t="shared" si="14"/>
        <v>0</v>
      </c>
      <c r="L183">
        <f>ROUND(SUMIF(Council_Data!$V$3:$V$838,$A183,Council_Data!$N$3:$N$838)*0.7,0)</f>
        <v>0</v>
      </c>
      <c r="M183">
        <f>SUMIF(Council_Data!$V$3:$V$838,$A183,Council_Data!$O$3:$O$838)</f>
        <v>0</v>
      </c>
      <c r="N183">
        <f>SUMIF(Council_Data!$V$3:$V$838,$A183,Council_Data!$P$3:$P$838)</f>
        <v>0</v>
      </c>
      <c r="O183">
        <f>SUMIF(Council_Data!$V$3:$V$838,$A183,Council_Data!$Q$3:$Q$838)</f>
        <v>0</v>
      </c>
      <c r="P183">
        <f>SUMIF(Council_Data!$V$3:$V$838,$A183,Council_Data!$R$3:$R$838)</f>
        <v>0</v>
      </c>
      <c r="Q183">
        <f>SUMIF(Council_Data!$V$3:$V$838,$A183,Council_Data!$S$3:$S$838)</f>
        <v>0</v>
      </c>
      <c r="R183">
        <f>SUMIF(Council_Data!$V$3:$V$838,$A183,Council_Data!$T$3:$T$838)</f>
        <v>0</v>
      </c>
      <c r="S183" s="63">
        <f t="shared" si="15"/>
        <v>0</v>
      </c>
      <c r="T183" t="str">
        <f>IF(ISNA(VLOOKUP($A183,DD_Info!$A$1:$E$222,2,0)),0,VLOOKUP($A183,DD_Info!$A$1:$E$222,2,0))</f>
        <v>Christopher A Johnson</v>
      </c>
    </row>
    <row r="184" spans="1:20">
      <c r="A184" s="81">
        <v>206</v>
      </c>
      <c r="B184" t="str">
        <f>IF(ISNA(VLOOKUP($A184,DD_Info!$A$1:$E$222,3,0)),0,VLOOKUP($A184,DD_Info!$A$1:$E$222,3,0))</f>
        <v>Brownsville</v>
      </c>
      <c r="C184">
        <f>SUMIF(Council_Data!$V$3:$V$838,$A184,Council_Data!$E$3:$E$838)</f>
        <v>183</v>
      </c>
      <c r="D184">
        <f>ROUND(SUMIF(Council_Data!$V$3:$V$838,$A184,Council_Data!$F$3:$F$838)*0.7,0)</f>
        <v>8</v>
      </c>
      <c r="E184">
        <f>SUMIF(Council_Data!$V$3:$V$838,$A184,Council_Data!$G$3:$G$838)</f>
        <v>0</v>
      </c>
      <c r="F184">
        <f>SUMIF(Council_Data!$V$3:$V$838,$A184,Council_Data!$H$3:$H$838)</f>
        <v>0</v>
      </c>
      <c r="G184">
        <f>SUMIF(Council_Data!$V$3:$V$838,$A184,Council_Data!$I$3:$I$838)</f>
        <v>0</v>
      </c>
      <c r="H184">
        <f>SUMIF(Council_Data!$V$3:$V$838,$A184,Council_Data!$J$3:$J$838)</f>
        <v>0</v>
      </c>
      <c r="I184">
        <f>SUMIF(Council_Data!$V$3:$V$838,$A184,Council_Data!$K$3:$K$838)</f>
        <v>0</v>
      </c>
      <c r="J184">
        <f>SUMIF(Council_Data!$V$3:$V$838,$A184,Council_Data!$L$3:$L$838)</f>
        <v>0</v>
      </c>
      <c r="K184" s="63">
        <f t="shared" si="14"/>
        <v>0</v>
      </c>
      <c r="L184">
        <f>ROUND(SUMIF(Council_Data!$V$3:$V$838,$A184,Council_Data!$N$3:$N$838)*0.7,0)</f>
        <v>0</v>
      </c>
      <c r="M184">
        <f>SUMIF(Council_Data!$V$3:$V$838,$A184,Council_Data!$O$3:$O$838)</f>
        <v>0</v>
      </c>
      <c r="N184">
        <f>SUMIF(Council_Data!$V$3:$V$838,$A184,Council_Data!$P$3:$P$838)</f>
        <v>0</v>
      </c>
      <c r="O184">
        <f>SUMIF(Council_Data!$V$3:$V$838,$A184,Council_Data!$Q$3:$Q$838)</f>
        <v>0</v>
      </c>
      <c r="P184">
        <f>SUMIF(Council_Data!$V$3:$V$838,$A184,Council_Data!$R$3:$R$838)</f>
        <v>0</v>
      </c>
      <c r="Q184">
        <f>SUMIF(Council_Data!$V$3:$V$838,$A184,Council_Data!$S$3:$S$838)</f>
        <v>1</v>
      </c>
      <c r="R184">
        <f>SUMIF(Council_Data!$V$3:$V$838,$A184,Council_Data!$T$3:$T$838)</f>
        <v>-1</v>
      </c>
      <c r="S184" s="63">
        <f t="shared" si="15"/>
        <v>0</v>
      </c>
      <c r="T184" t="str">
        <f>IF(ISNA(VLOOKUP($A184,DD_Info!$A$1:$E$222,2,0)),0,VLOOKUP($A184,DD_Info!$A$1:$E$222,2,0))</f>
        <v>Jose  Garza Jr</v>
      </c>
    </row>
    <row r="185" spans="1:20">
      <c r="A185" s="81">
        <v>207</v>
      </c>
      <c r="B185" t="str">
        <f>IF(ISNA(VLOOKUP($A185,DD_Info!$A$1:$E$222,3,0)),0,VLOOKUP($A185,DD_Info!$A$1:$E$222,3,0))</f>
        <v>Brownsville</v>
      </c>
      <c r="C185">
        <f>SUMIF(Council_Data!$V$3:$V$838,$A185,Council_Data!$E$3:$E$838)</f>
        <v>718</v>
      </c>
      <c r="D185">
        <f>ROUND(SUMIF(Council_Data!$V$3:$V$838,$A185,Council_Data!$F$3:$F$838)*0.7,0)</f>
        <v>25</v>
      </c>
      <c r="E185">
        <f>SUMIF(Council_Data!$V$3:$V$838,$A185,Council_Data!$G$3:$G$838)</f>
        <v>0</v>
      </c>
      <c r="F185">
        <f>SUMIF(Council_Data!$V$3:$V$838,$A185,Council_Data!$H$3:$H$838)</f>
        <v>0</v>
      </c>
      <c r="G185">
        <f>SUMIF(Council_Data!$V$3:$V$838,$A185,Council_Data!$I$3:$I$838)</f>
        <v>0</v>
      </c>
      <c r="H185">
        <f>SUMIF(Council_Data!$V$3:$V$838,$A185,Council_Data!$J$3:$J$838)</f>
        <v>8</v>
      </c>
      <c r="I185">
        <f>SUMIF(Council_Data!$V$3:$V$838,$A185,Council_Data!$K$3:$K$838)</f>
        <v>1</v>
      </c>
      <c r="J185">
        <f>SUMIF(Council_Data!$V$3:$V$838,$A185,Council_Data!$L$3:$L$838)</f>
        <v>7</v>
      </c>
      <c r="K185" s="63">
        <f t="shared" si="14"/>
        <v>0.28000000000000003</v>
      </c>
      <c r="L185">
        <f>ROUND(SUMIF(Council_Data!$V$3:$V$838,$A185,Council_Data!$N$3:$N$838)*0.7,0)</f>
        <v>0</v>
      </c>
      <c r="M185">
        <f>SUMIF(Council_Data!$V$3:$V$838,$A185,Council_Data!$O$3:$O$838)</f>
        <v>1</v>
      </c>
      <c r="N185">
        <f>SUMIF(Council_Data!$V$3:$V$838,$A185,Council_Data!$P$3:$P$838)</f>
        <v>0</v>
      </c>
      <c r="O185">
        <f>SUMIF(Council_Data!$V$3:$V$838,$A185,Council_Data!$Q$3:$Q$838)</f>
        <v>1</v>
      </c>
      <c r="P185">
        <f>SUMIF(Council_Data!$V$3:$V$838,$A185,Council_Data!$R$3:$R$838)</f>
        <v>2</v>
      </c>
      <c r="Q185">
        <f>SUMIF(Council_Data!$V$3:$V$838,$A185,Council_Data!$S$3:$S$838)</f>
        <v>3</v>
      </c>
      <c r="R185">
        <f>SUMIF(Council_Data!$V$3:$V$838,$A185,Council_Data!$T$3:$T$838)</f>
        <v>-1</v>
      </c>
      <c r="S185" s="63">
        <f t="shared" si="15"/>
        <v>0</v>
      </c>
      <c r="T185" t="str">
        <f>IF(ISNA(VLOOKUP($A185,DD_Info!$A$1:$E$222,2,0)),0,VLOOKUP($A185,DD_Info!$A$1:$E$222,2,0))</f>
        <v>Juan A Lopez</v>
      </c>
    </row>
    <row r="186" spans="1:20">
      <c r="A186" s="81">
        <v>208</v>
      </c>
      <c r="B186" t="str">
        <f>IF(ISNA(VLOOKUP($A186,DD_Info!$A$1:$E$222,3,0)),0,VLOOKUP($A186,DD_Info!$A$1:$E$222,3,0))</f>
        <v>Brownsville</v>
      </c>
      <c r="C186">
        <f>SUMIF(Council_Data!$V$3:$V$838,$A186,Council_Data!$E$3:$E$838)</f>
        <v>512</v>
      </c>
      <c r="D186">
        <f>ROUND(SUMIF(Council_Data!$V$3:$V$838,$A186,Council_Data!$F$3:$F$838)*0.7,0)</f>
        <v>18</v>
      </c>
      <c r="E186">
        <f>SUMIF(Council_Data!$V$3:$V$838,$A186,Council_Data!$G$3:$G$838)</f>
        <v>0</v>
      </c>
      <c r="F186">
        <f>SUMIF(Council_Data!$V$3:$V$838,$A186,Council_Data!$H$3:$H$838)</f>
        <v>0</v>
      </c>
      <c r="G186">
        <f>SUMIF(Council_Data!$V$3:$V$838,$A186,Council_Data!$I$3:$I$838)</f>
        <v>0</v>
      </c>
      <c r="H186">
        <f>SUMIF(Council_Data!$V$3:$V$838,$A186,Council_Data!$J$3:$J$838)</f>
        <v>2</v>
      </c>
      <c r="I186">
        <f>SUMIF(Council_Data!$V$3:$V$838,$A186,Council_Data!$K$3:$K$838)</f>
        <v>0</v>
      </c>
      <c r="J186">
        <f>SUMIF(Council_Data!$V$3:$V$838,$A186,Council_Data!$L$3:$L$838)</f>
        <v>2</v>
      </c>
      <c r="K186" s="63">
        <f t="shared" si="14"/>
        <v>0.1111111111111111</v>
      </c>
      <c r="L186">
        <f>ROUND(SUMIF(Council_Data!$V$3:$V$838,$A186,Council_Data!$N$3:$N$838)*0.7,0)</f>
        <v>0</v>
      </c>
      <c r="M186">
        <f>SUMIF(Council_Data!$V$3:$V$838,$A186,Council_Data!$O$3:$O$838)</f>
        <v>0</v>
      </c>
      <c r="N186">
        <f>SUMIF(Council_Data!$V$3:$V$838,$A186,Council_Data!$P$3:$P$838)</f>
        <v>1</v>
      </c>
      <c r="O186">
        <f>SUMIF(Council_Data!$V$3:$V$838,$A186,Council_Data!$Q$3:$Q$838)</f>
        <v>-1</v>
      </c>
      <c r="P186">
        <f>SUMIF(Council_Data!$V$3:$V$838,$A186,Council_Data!$R$3:$R$838)</f>
        <v>2</v>
      </c>
      <c r="Q186">
        <f>SUMIF(Council_Data!$V$3:$V$838,$A186,Council_Data!$S$3:$S$838)</f>
        <v>2</v>
      </c>
      <c r="R186">
        <f>SUMIF(Council_Data!$V$3:$V$838,$A186,Council_Data!$T$3:$T$838)</f>
        <v>0</v>
      </c>
      <c r="S186" s="63">
        <f t="shared" si="15"/>
        <v>0</v>
      </c>
      <c r="T186" t="str">
        <f>IF(ISNA(VLOOKUP($A186,DD_Info!$A$1:$E$222,2,0)),0,VLOOKUP($A186,DD_Info!$A$1:$E$222,2,0))</f>
        <v>Albert  Esparza</v>
      </c>
    </row>
    <row r="187" spans="1:20">
      <c r="A187" s="81">
        <v>209</v>
      </c>
      <c r="B187" t="str">
        <f>IF(ISNA(VLOOKUP($A187,DD_Info!$A$1:$E$222,3,0)),0,VLOOKUP($A187,DD_Info!$A$1:$E$222,3,0))</f>
        <v>Brownsville</v>
      </c>
      <c r="C187">
        <f>SUMIF(Council_Data!$V$3:$V$838,$A187,Council_Data!$E$3:$E$838)</f>
        <v>435</v>
      </c>
      <c r="D187">
        <f>ROUND(SUMIF(Council_Data!$V$3:$V$838,$A187,Council_Data!$F$3:$F$838)*0.7,0)</f>
        <v>15</v>
      </c>
      <c r="E187">
        <f>SUMIF(Council_Data!$V$3:$V$838,$A187,Council_Data!$G$3:$G$838)</f>
        <v>1</v>
      </c>
      <c r="F187">
        <f>SUMIF(Council_Data!$V$3:$V$838,$A187,Council_Data!$H$3:$H$838)</f>
        <v>0</v>
      </c>
      <c r="G187">
        <f>SUMIF(Council_Data!$V$3:$V$838,$A187,Council_Data!$I$3:$I$838)</f>
        <v>1</v>
      </c>
      <c r="H187">
        <f>SUMIF(Council_Data!$V$3:$V$838,$A187,Council_Data!$J$3:$J$838)</f>
        <v>6</v>
      </c>
      <c r="I187">
        <f>SUMIF(Council_Data!$V$3:$V$838,$A187,Council_Data!$K$3:$K$838)</f>
        <v>6</v>
      </c>
      <c r="J187">
        <f>SUMIF(Council_Data!$V$3:$V$838,$A187,Council_Data!$L$3:$L$838)</f>
        <v>0</v>
      </c>
      <c r="K187" s="63">
        <f t="shared" si="14"/>
        <v>0</v>
      </c>
      <c r="L187">
        <f>ROUND(SUMIF(Council_Data!$V$3:$V$838,$A187,Council_Data!$N$3:$N$838)*0.7,0)</f>
        <v>0</v>
      </c>
      <c r="M187">
        <f>SUMIF(Council_Data!$V$3:$V$838,$A187,Council_Data!$O$3:$O$838)</f>
        <v>0</v>
      </c>
      <c r="N187">
        <f>SUMIF(Council_Data!$V$3:$V$838,$A187,Council_Data!$P$3:$P$838)</f>
        <v>0</v>
      </c>
      <c r="O187">
        <f>SUMIF(Council_Data!$V$3:$V$838,$A187,Council_Data!$Q$3:$Q$838)</f>
        <v>0</v>
      </c>
      <c r="P187">
        <f>SUMIF(Council_Data!$V$3:$V$838,$A187,Council_Data!$R$3:$R$838)</f>
        <v>0</v>
      </c>
      <c r="Q187">
        <f>SUMIF(Council_Data!$V$3:$V$838,$A187,Council_Data!$S$3:$S$838)</f>
        <v>1</v>
      </c>
      <c r="R187">
        <f>SUMIF(Council_Data!$V$3:$V$838,$A187,Council_Data!$T$3:$T$838)</f>
        <v>-1</v>
      </c>
      <c r="S187" s="63">
        <f t="shared" si="15"/>
        <v>0</v>
      </c>
      <c r="T187" t="str">
        <f>IF(ISNA(VLOOKUP($A187,DD_Info!$A$1:$E$222,2,0)),0,VLOOKUP($A187,DD_Info!$A$1:$E$222,2,0))</f>
        <v>George L Ramirez</v>
      </c>
    </row>
    <row r="188" spans="1:20">
      <c r="A188" s="81">
        <v>210</v>
      </c>
      <c r="B188" t="str">
        <f>IF(ISNA(VLOOKUP($A188,DD_Info!$A$1:$E$222,3,0)),0,VLOOKUP($A188,DD_Info!$A$1:$E$222,3,0))</f>
        <v>Brownsville</v>
      </c>
      <c r="C188">
        <f>SUMIF(Council_Data!$V$3:$V$838,$A188,Council_Data!$E$3:$E$838)</f>
        <v>574</v>
      </c>
      <c r="D188">
        <f>ROUND(SUMIF(Council_Data!$V$3:$V$838,$A188,Council_Data!$F$3:$F$838)*0.7,0)</f>
        <v>20</v>
      </c>
      <c r="E188">
        <f>SUMIF(Council_Data!$V$3:$V$838,$A188,Council_Data!$G$3:$G$838)</f>
        <v>2</v>
      </c>
      <c r="F188">
        <f>SUMIF(Council_Data!$V$3:$V$838,$A188,Council_Data!$H$3:$H$838)</f>
        <v>0</v>
      </c>
      <c r="G188">
        <f>SUMIF(Council_Data!$V$3:$V$838,$A188,Council_Data!$I$3:$I$838)</f>
        <v>2</v>
      </c>
      <c r="H188">
        <f>SUMIF(Council_Data!$V$3:$V$838,$A188,Council_Data!$J$3:$J$838)</f>
        <v>17</v>
      </c>
      <c r="I188">
        <f>SUMIF(Council_Data!$V$3:$V$838,$A188,Council_Data!$K$3:$K$838)</f>
        <v>0</v>
      </c>
      <c r="J188">
        <f>SUMIF(Council_Data!$V$3:$V$838,$A188,Council_Data!$L$3:$L$838)</f>
        <v>17</v>
      </c>
      <c r="K188" s="63">
        <f t="shared" si="14"/>
        <v>0.85</v>
      </c>
      <c r="L188">
        <f>ROUND(SUMIF(Council_Data!$V$3:$V$838,$A188,Council_Data!$N$3:$N$838)*0.7,0)</f>
        <v>0</v>
      </c>
      <c r="M188">
        <f>SUMIF(Council_Data!$V$3:$V$838,$A188,Council_Data!$O$3:$O$838)</f>
        <v>0</v>
      </c>
      <c r="N188">
        <f>SUMIF(Council_Data!$V$3:$V$838,$A188,Council_Data!$P$3:$P$838)</f>
        <v>1</v>
      </c>
      <c r="O188">
        <f>SUMIF(Council_Data!$V$3:$V$838,$A188,Council_Data!$Q$3:$Q$838)</f>
        <v>-1</v>
      </c>
      <c r="P188">
        <f>SUMIF(Council_Data!$V$3:$V$838,$A188,Council_Data!$R$3:$R$838)</f>
        <v>3</v>
      </c>
      <c r="Q188">
        <f>SUMIF(Council_Data!$V$3:$V$838,$A188,Council_Data!$S$3:$S$838)</f>
        <v>4</v>
      </c>
      <c r="R188">
        <f>SUMIF(Council_Data!$V$3:$V$838,$A188,Council_Data!$T$3:$T$838)</f>
        <v>-1</v>
      </c>
      <c r="S188" s="63">
        <f t="shared" si="15"/>
        <v>0</v>
      </c>
      <c r="T188" t="str">
        <f>IF(ISNA(VLOOKUP($A188,DD_Info!$A$1:$E$222,2,0)),0,VLOOKUP($A188,DD_Info!$A$1:$E$222,2,0))</f>
        <v>Antonio C Puente Sr</v>
      </c>
    </row>
    <row r="189" spans="1:20">
      <c r="A189" s="81">
        <v>211</v>
      </c>
      <c r="B189" t="str">
        <f>IF(ISNA(VLOOKUP($A189,DD_Info!$A$1:$E$222,3,0)),0,VLOOKUP($A189,DD_Info!$A$1:$E$222,3,0))</f>
        <v>Brownsville</v>
      </c>
      <c r="C189">
        <f>SUMIF(Council_Data!$V$3:$V$838,$A189,Council_Data!$E$3:$E$838)</f>
        <v>129</v>
      </c>
      <c r="D189">
        <f>ROUND(SUMIF(Council_Data!$V$3:$V$838,$A189,Council_Data!$F$3:$F$838)*0.7,0)</f>
        <v>6</v>
      </c>
      <c r="E189">
        <f>SUMIF(Council_Data!$V$3:$V$838,$A189,Council_Data!$G$3:$G$838)</f>
        <v>1</v>
      </c>
      <c r="F189">
        <f>SUMIF(Council_Data!$V$3:$V$838,$A189,Council_Data!$H$3:$H$838)</f>
        <v>0</v>
      </c>
      <c r="G189">
        <f>SUMIF(Council_Data!$V$3:$V$838,$A189,Council_Data!$I$3:$I$838)</f>
        <v>1</v>
      </c>
      <c r="H189">
        <f>SUMIF(Council_Data!$V$3:$V$838,$A189,Council_Data!$J$3:$J$838)</f>
        <v>2</v>
      </c>
      <c r="I189">
        <f>SUMIF(Council_Data!$V$3:$V$838,$A189,Council_Data!$K$3:$K$838)</f>
        <v>0</v>
      </c>
      <c r="J189">
        <f>SUMIF(Council_Data!$V$3:$V$838,$A189,Council_Data!$L$3:$L$838)</f>
        <v>2</v>
      </c>
      <c r="K189" s="63">
        <f t="shared" si="14"/>
        <v>0.33333333333333331</v>
      </c>
      <c r="L189">
        <f>ROUND(SUMIF(Council_Data!$V$3:$V$838,$A189,Council_Data!$N$3:$N$838)*0.7,0)</f>
        <v>0</v>
      </c>
      <c r="M189">
        <f>SUMIF(Council_Data!$V$3:$V$838,$A189,Council_Data!$O$3:$O$838)</f>
        <v>0</v>
      </c>
      <c r="N189">
        <f>SUMIF(Council_Data!$V$3:$V$838,$A189,Council_Data!$P$3:$P$838)</f>
        <v>0</v>
      </c>
      <c r="O189">
        <f>SUMIF(Council_Data!$V$3:$V$838,$A189,Council_Data!$Q$3:$Q$838)</f>
        <v>0</v>
      </c>
      <c r="P189">
        <f>SUMIF(Council_Data!$V$3:$V$838,$A189,Council_Data!$R$3:$R$838)</f>
        <v>1</v>
      </c>
      <c r="Q189">
        <f>SUMIF(Council_Data!$V$3:$V$838,$A189,Council_Data!$S$3:$S$838)</f>
        <v>1</v>
      </c>
      <c r="R189">
        <f>SUMIF(Council_Data!$V$3:$V$838,$A189,Council_Data!$T$3:$T$838)</f>
        <v>0</v>
      </c>
      <c r="S189" s="63">
        <f t="shared" si="15"/>
        <v>0</v>
      </c>
      <c r="T189" t="str">
        <f>IF(ISNA(VLOOKUP($A189,DD_Info!$A$1:$E$222,2,0)),0,VLOOKUP($A189,DD_Info!$A$1:$E$222,2,0))</f>
        <v>Martin  Rivas</v>
      </c>
    </row>
    <row r="190" spans="1:20">
      <c r="A190" s="81">
        <v>212</v>
      </c>
      <c r="B190" t="str">
        <f>IF(ISNA(VLOOKUP($A190,DD_Info!$A$1:$E$222,3,0)),0,VLOOKUP($A190,DD_Info!$A$1:$E$222,3,0))</f>
        <v>Brownsville</v>
      </c>
      <c r="C190">
        <f>SUMIF(Council_Data!$V$3:$V$838,$A190,Council_Data!$E$3:$E$838)</f>
        <v>637</v>
      </c>
      <c r="D190">
        <f>ROUND(SUMIF(Council_Data!$V$3:$V$838,$A190,Council_Data!$F$3:$F$838)*0.7,0)</f>
        <v>22</v>
      </c>
      <c r="E190">
        <f>SUMIF(Council_Data!$V$3:$V$838,$A190,Council_Data!$G$3:$G$838)</f>
        <v>0</v>
      </c>
      <c r="F190">
        <f>SUMIF(Council_Data!$V$3:$V$838,$A190,Council_Data!$H$3:$H$838)</f>
        <v>0</v>
      </c>
      <c r="G190">
        <f>SUMIF(Council_Data!$V$3:$V$838,$A190,Council_Data!$I$3:$I$838)</f>
        <v>0</v>
      </c>
      <c r="H190">
        <f>SUMIF(Council_Data!$V$3:$V$838,$A190,Council_Data!$J$3:$J$838)</f>
        <v>1</v>
      </c>
      <c r="I190">
        <f>SUMIF(Council_Data!$V$3:$V$838,$A190,Council_Data!$K$3:$K$838)</f>
        <v>0</v>
      </c>
      <c r="J190">
        <f>SUMIF(Council_Data!$V$3:$V$838,$A190,Council_Data!$L$3:$L$838)</f>
        <v>1</v>
      </c>
      <c r="K190" s="63">
        <f t="shared" si="14"/>
        <v>4.5454545454545456E-2</v>
      </c>
      <c r="L190">
        <f>ROUND(SUMIF(Council_Data!$V$3:$V$838,$A190,Council_Data!$N$3:$N$838)*0.7,0)</f>
        <v>0</v>
      </c>
      <c r="M190">
        <f>SUMIF(Council_Data!$V$3:$V$838,$A190,Council_Data!$O$3:$O$838)</f>
        <v>0</v>
      </c>
      <c r="N190">
        <f>SUMIF(Council_Data!$V$3:$V$838,$A190,Council_Data!$P$3:$P$838)</f>
        <v>3</v>
      </c>
      <c r="O190">
        <f>SUMIF(Council_Data!$V$3:$V$838,$A190,Council_Data!$Q$3:$Q$838)</f>
        <v>-3</v>
      </c>
      <c r="P190">
        <f>SUMIF(Council_Data!$V$3:$V$838,$A190,Council_Data!$R$3:$R$838)</f>
        <v>0</v>
      </c>
      <c r="Q190">
        <f>SUMIF(Council_Data!$V$3:$V$838,$A190,Council_Data!$S$3:$S$838)</f>
        <v>4</v>
      </c>
      <c r="R190">
        <f>SUMIF(Council_Data!$V$3:$V$838,$A190,Council_Data!$T$3:$T$838)</f>
        <v>-4</v>
      </c>
      <c r="S190" s="63">
        <f t="shared" si="15"/>
        <v>0</v>
      </c>
      <c r="T190" t="str">
        <f>IF(ISNA(VLOOKUP($A190,DD_Info!$A$1:$E$222,2,0)),0,VLOOKUP($A190,DD_Info!$A$1:$E$222,2,0))</f>
        <v>Noel P Benavides Jr</v>
      </c>
    </row>
    <row r="191" spans="1:20">
      <c r="A191" s="81">
        <v>213</v>
      </c>
      <c r="B191" t="str">
        <f>IF(ISNA(VLOOKUP($A191,DD_Info!$A$1:$E$222,3,0)),0,VLOOKUP($A191,DD_Info!$A$1:$E$222,3,0))</f>
        <v>Brownsville</v>
      </c>
      <c r="C191">
        <f>SUMIF(Council_Data!$V$3:$V$838,$A191,Council_Data!$E$3:$E$838)</f>
        <v>384</v>
      </c>
      <c r="D191">
        <f>ROUND(SUMIF(Council_Data!$V$3:$V$838,$A191,Council_Data!$F$3:$F$838)*0.7,0)</f>
        <v>14</v>
      </c>
      <c r="E191">
        <f>SUMIF(Council_Data!$V$3:$V$838,$A191,Council_Data!$G$3:$G$838)</f>
        <v>0</v>
      </c>
      <c r="F191">
        <f>SUMIF(Council_Data!$V$3:$V$838,$A191,Council_Data!$H$3:$H$838)</f>
        <v>0</v>
      </c>
      <c r="G191">
        <f>SUMIF(Council_Data!$V$3:$V$838,$A191,Council_Data!$I$3:$I$838)</f>
        <v>0</v>
      </c>
      <c r="H191">
        <f>SUMIF(Council_Data!$V$3:$V$838,$A191,Council_Data!$J$3:$J$838)</f>
        <v>1</v>
      </c>
      <c r="I191">
        <f>SUMIF(Council_Data!$V$3:$V$838,$A191,Council_Data!$K$3:$K$838)</f>
        <v>6</v>
      </c>
      <c r="J191">
        <f>SUMIF(Council_Data!$V$3:$V$838,$A191,Council_Data!$L$3:$L$838)</f>
        <v>-5</v>
      </c>
      <c r="K191" s="63">
        <f t="shared" si="14"/>
        <v>-0.35714285714285715</v>
      </c>
      <c r="L191">
        <f>ROUND(SUMIF(Council_Data!$V$3:$V$838,$A191,Council_Data!$N$3:$N$838)*0.7,0)</f>
        <v>0</v>
      </c>
      <c r="M191">
        <f>SUMIF(Council_Data!$V$3:$V$838,$A191,Council_Data!$O$3:$O$838)</f>
        <v>0</v>
      </c>
      <c r="N191">
        <f>SUMIF(Council_Data!$V$3:$V$838,$A191,Council_Data!$P$3:$P$838)</f>
        <v>1</v>
      </c>
      <c r="O191">
        <f>SUMIF(Council_Data!$V$3:$V$838,$A191,Council_Data!$Q$3:$Q$838)</f>
        <v>-1</v>
      </c>
      <c r="P191">
        <f>SUMIF(Council_Data!$V$3:$V$838,$A191,Council_Data!$R$3:$R$838)</f>
        <v>1</v>
      </c>
      <c r="Q191">
        <f>SUMIF(Council_Data!$V$3:$V$838,$A191,Council_Data!$S$3:$S$838)</f>
        <v>3</v>
      </c>
      <c r="R191">
        <f>SUMIF(Council_Data!$V$3:$V$838,$A191,Council_Data!$T$3:$T$838)</f>
        <v>-2</v>
      </c>
      <c r="S191" s="63">
        <f t="shared" si="15"/>
        <v>0</v>
      </c>
      <c r="T191" t="str">
        <f>IF(ISNA(VLOOKUP($A191,DD_Info!$A$1:$E$222,2,0)),0,VLOOKUP($A191,DD_Info!$A$1:$E$222,2,0))</f>
        <v>Vincent M Pena</v>
      </c>
    </row>
    <row r="192" spans="1:20">
      <c r="A192" s="81">
        <v>214</v>
      </c>
      <c r="B192" t="str">
        <f>IF(ISNA(VLOOKUP($A192,DD_Info!$A$1:$E$222,3,0)),0,VLOOKUP($A192,DD_Info!$A$1:$E$222,3,0))</f>
        <v>Brownsville</v>
      </c>
      <c r="C192">
        <f>SUMIF(Council_Data!$V$3:$V$838,$A192,Council_Data!$E$3:$E$838)</f>
        <v>338</v>
      </c>
      <c r="D192">
        <f>ROUND(SUMIF(Council_Data!$V$3:$V$838,$A192,Council_Data!$F$3:$F$838)*0.7,0)</f>
        <v>11</v>
      </c>
      <c r="E192">
        <f>SUMIF(Council_Data!$V$3:$V$838,$A192,Council_Data!$G$3:$G$838)</f>
        <v>0</v>
      </c>
      <c r="F192">
        <f>SUMIF(Council_Data!$V$3:$V$838,$A192,Council_Data!$H$3:$H$838)</f>
        <v>0</v>
      </c>
      <c r="G192">
        <f>SUMIF(Council_Data!$V$3:$V$838,$A192,Council_Data!$I$3:$I$838)</f>
        <v>0</v>
      </c>
      <c r="H192">
        <f>SUMIF(Council_Data!$V$3:$V$838,$A192,Council_Data!$J$3:$J$838)</f>
        <v>2</v>
      </c>
      <c r="I192">
        <f>SUMIF(Council_Data!$V$3:$V$838,$A192,Council_Data!$K$3:$K$838)</f>
        <v>0</v>
      </c>
      <c r="J192">
        <f>SUMIF(Council_Data!$V$3:$V$838,$A192,Council_Data!$L$3:$L$838)</f>
        <v>2</v>
      </c>
      <c r="K192" s="63">
        <f t="shared" si="14"/>
        <v>0.18181818181818182</v>
      </c>
      <c r="L192">
        <f>ROUND(SUMIF(Council_Data!$V$3:$V$838,$A192,Council_Data!$N$3:$N$838)*0.7,0)</f>
        <v>0</v>
      </c>
      <c r="M192">
        <f>SUMIF(Council_Data!$V$3:$V$838,$A192,Council_Data!$O$3:$O$838)</f>
        <v>0</v>
      </c>
      <c r="N192">
        <f>SUMIF(Council_Data!$V$3:$V$838,$A192,Council_Data!$P$3:$P$838)</f>
        <v>0</v>
      </c>
      <c r="O192">
        <f>SUMIF(Council_Data!$V$3:$V$838,$A192,Council_Data!$Q$3:$Q$838)</f>
        <v>0</v>
      </c>
      <c r="P192">
        <f>SUMIF(Council_Data!$V$3:$V$838,$A192,Council_Data!$R$3:$R$838)</f>
        <v>1</v>
      </c>
      <c r="Q192">
        <f>SUMIF(Council_Data!$V$3:$V$838,$A192,Council_Data!$S$3:$S$838)</f>
        <v>1</v>
      </c>
      <c r="R192">
        <f>SUMIF(Council_Data!$V$3:$V$838,$A192,Council_Data!$T$3:$T$838)</f>
        <v>0</v>
      </c>
      <c r="S192" s="63">
        <f t="shared" si="15"/>
        <v>0</v>
      </c>
      <c r="T192" t="str">
        <f>IF(ISNA(VLOOKUP($A192,DD_Info!$A$1:$E$222,2,0)),0,VLOOKUP($A192,DD_Info!$A$1:$E$222,2,0))</f>
        <v>Apolonio  Zuniga Jr</v>
      </c>
    </row>
    <row r="193" spans="1:20">
      <c r="A193" s="81">
        <v>215</v>
      </c>
      <c r="B193" t="str">
        <f>IF(ISNA(VLOOKUP($A193,DD_Info!$A$1:$E$222,3,0)),0,VLOOKUP($A193,DD_Info!$A$1:$E$222,3,0))</f>
        <v>Brownsville</v>
      </c>
      <c r="C193">
        <f>SUMIF(Council_Data!$V$3:$V$838,$A193,Council_Data!$E$3:$E$838)</f>
        <v>367</v>
      </c>
      <c r="D193">
        <f>ROUND(SUMIF(Council_Data!$V$3:$V$838,$A193,Council_Data!$F$3:$F$838)*0.7,0)</f>
        <v>13</v>
      </c>
      <c r="E193">
        <f>SUMIF(Council_Data!$V$3:$V$838,$A193,Council_Data!$G$3:$G$838)</f>
        <v>0</v>
      </c>
      <c r="F193">
        <f>SUMIF(Council_Data!$V$3:$V$838,$A193,Council_Data!$H$3:$H$838)</f>
        <v>4</v>
      </c>
      <c r="G193">
        <f>SUMIF(Council_Data!$V$3:$V$838,$A193,Council_Data!$I$3:$I$838)</f>
        <v>-4</v>
      </c>
      <c r="H193">
        <f>SUMIF(Council_Data!$V$3:$V$838,$A193,Council_Data!$J$3:$J$838)</f>
        <v>0</v>
      </c>
      <c r="I193">
        <f>SUMIF(Council_Data!$V$3:$V$838,$A193,Council_Data!$K$3:$K$838)</f>
        <v>5</v>
      </c>
      <c r="J193">
        <f>SUMIF(Council_Data!$V$3:$V$838,$A193,Council_Data!$L$3:$L$838)</f>
        <v>-5</v>
      </c>
      <c r="K193" s="63">
        <f t="shared" si="14"/>
        <v>-0.38461538461538464</v>
      </c>
      <c r="L193">
        <f>ROUND(SUMIF(Council_Data!$V$3:$V$838,$A193,Council_Data!$N$3:$N$838)*0.7,0)</f>
        <v>0</v>
      </c>
      <c r="M193">
        <f>SUMIF(Council_Data!$V$3:$V$838,$A193,Council_Data!$O$3:$O$838)</f>
        <v>0</v>
      </c>
      <c r="N193">
        <f>SUMIF(Council_Data!$V$3:$V$838,$A193,Council_Data!$P$3:$P$838)</f>
        <v>2</v>
      </c>
      <c r="O193">
        <f>SUMIF(Council_Data!$V$3:$V$838,$A193,Council_Data!$Q$3:$Q$838)</f>
        <v>-2</v>
      </c>
      <c r="P193">
        <f>SUMIF(Council_Data!$V$3:$V$838,$A193,Council_Data!$R$3:$R$838)</f>
        <v>1</v>
      </c>
      <c r="Q193">
        <f>SUMIF(Council_Data!$V$3:$V$838,$A193,Council_Data!$S$3:$S$838)</f>
        <v>3</v>
      </c>
      <c r="R193">
        <f>SUMIF(Council_Data!$V$3:$V$838,$A193,Council_Data!$T$3:$T$838)</f>
        <v>-2</v>
      </c>
      <c r="S193" s="63">
        <f t="shared" si="15"/>
        <v>0</v>
      </c>
      <c r="T193" t="str">
        <f>IF(ISNA(VLOOKUP($A193,DD_Info!$A$1:$E$222,2,0)),0,VLOOKUP($A193,DD_Info!$A$1:$E$222,2,0))</f>
        <v>Arnulfo  Esqueda</v>
      </c>
    </row>
    <row r="194" spans="1:20">
      <c r="A194" s="81">
        <v>216</v>
      </c>
      <c r="B194" t="str">
        <f>IF(ISNA(VLOOKUP($A194,DD_Info!$A$1:$E$222,3,0)),0,VLOOKUP($A194,DD_Info!$A$1:$E$222,3,0))</f>
        <v>Brownsville</v>
      </c>
      <c r="C194">
        <f>SUMIF(Council_Data!$V$3:$V$838,$A194,Council_Data!$E$3:$E$838)</f>
        <v>282</v>
      </c>
      <c r="D194">
        <f>ROUND(SUMIF(Council_Data!$V$3:$V$838,$A194,Council_Data!$F$3:$F$838)*0.7,0)</f>
        <v>11</v>
      </c>
      <c r="E194">
        <f>SUMIF(Council_Data!$V$3:$V$838,$A194,Council_Data!$G$3:$G$838)</f>
        <v>1</v>
      </c>
      <c r="F194">
        <f>SUMIF(Council_Data!$V$3:$V$838,$A194,Council_Data!$H$3:$H$838)</f>
        <v>0</v>
      </c>
      <c r="G194">
        <f>SUMIF(Council_Data!$V$3:$V$838,$A194,Council_Data!$I$3:$I$838)</f>
        <v>1</v>
      </c>
      <c r="H194">
        <f>SUMIF(Council_Data!$V$3:$V$838,$A194,Council_Data!$J$3:$J$838)</f>
        <v>7</v>
      </c>
      <c r="I194">
        <f>SUMIF(Council_Data!$V$3:$V$838,$A194,Council_Data!$K$3:$K$838)</f>
        <v>0</v>
      </c>
      <c r="J194">
        <f>SUMIF(Council_Data!$V$3:$V$838,$A194,Council_Data!$L$3:$L$838)</f>
        <v>7</v>
      </c>
      <c r="K194" s="63">
        <f t="shared" si="14"/>
        <v>0.63636363636363635</v>
      </c>
      <c r="L194">
        <f>ROUND(SUMIF(Council_Data!$V$3:$V$838,$A194,Council_Data!$N$3:$N$838)*0.7,0)</f>
        <v>0</v>
      </c>
      <c r="M194">
        <f>SUMIF(Council_Data!$V$3:$V$838,$A194,Council_Data!$O$3:$O$838)</f>
        <v>0</v>
      </c>
      <c r="N194">
        <f>SUMIF(Council_Data!$V$3:$V$838,$A194,Council_Data!$P$3:$P$838)</f>
        <v>0</v>
      </c>
      <c r="O194">
        <f>SUMIF(Council_Data!$V$3:$V$838,$A194,Council_Data!$Q$3:$Q$838)</f>
        <v>0</v>
      </c>
      <c r="P194">
        <f>SUMIF(Council_Data!$V$3:$V$838,$A194,Council_Data!$R$3:$R$838)</f>
        <v>6</v>
      </c>
      <c r="Q194">
        <f>SUMIF(Council_Data!$V$3:$V$838,$A194,Council_Data!$S$3:$S$838)</f>
        <v>2</v>
      </c>
      <c r="R194">
        <f>SUMIF(Council_Data!$V$3:$V$838,$A194,Council_Data!$T$3:$T$838)</f>
        <v>4</v>
      </c>
      <c r="S194" s="63">
        <f t="shared" si="15"/>
        <v>0</v>
      </c>
      <c r="T194" t="str">
        <f>IF(ISNA(VLOOKUP($A194,DD_Info!$A$1:$E$222,2,0)),0,VLOOKUP($A194,DD_Info!$A$1:$E$222,2,0))</f>
        <v>Carlos  Perez</v>
      </c>
    </row>
    <row r="195" spans="1:20">
      <c r="A195" s="81">
        <v>217</v>
      </c>
      <c r="B195" t="str">
        <f>IF(ISNA(VLOOKUP($A195,DD_Info!$A$1:$E$222,3,0)),0,VLOOKUP($A195,DD_Info!$A$1:$E$222,3,0))</f>
        <v>Brownsville</v>
      </c>
      <c r="C195">
        <f>SUMIF(Council_Data!$V$3:$V$838,$A195,Council_Data!$E$3:$E$838)</f>
        <v>270</v>
      </c>
      <c r="D195">
        <f>ROUND(SUMIF(Council_Data!$V$3:$V$838,$A195,Council_Data!$F$3:$F$838)*0.7,0)</f>
        <v>9</v>
      </c>
      <c r="E195">
        <f>SUMIF(Council_Data!$V$3:$V$838,$A195,Council_Data!$G$3:$G$838)</f>
        <v>0</v>
      </c>
      <c r="F195">
        <f>SUMIF(Council_Data!$V$3:$V$838,$A195,Council_Data!$H$3:$H$838)</f>
        <v>0</v>
      </c>
      <c r="G195">
        <f>SUMIF(Council_Data!$V$3:$V$838,$A195,Council_Data!$I$3:$I$838)</f>
        <v>0</v>
      </c>
      <c r="H195">
        <f>SUMIF(Council_Data!$V$3:$V$838,$A195,Council_Data!$J$3:$J$838)</f>
        <v>2</v>
      </c>
      <c r="I195">
        <f>SUMIF(Council_Data!$V$3:$V$838,$A195,Council_Data!$K$3:$K$838)</f>
        <v>0</v>
      </c>
      <c r="J195">
        <f>SUMIF(Council_Data!$V$3:$V$838,$A195,Council_Data!$L$3:$L$838)</f>
        <v>2</v>
      </c>
      <c r="K195" s="63">
        <f t="shared" si="14"/>
        <v>0.22222222222222221</v>
      </c>
      <c r="L195">
        <f>ROUND(SUMIF(Council_Data!$V$3:$V$838,$A195,Council_Data!$N$3:$N$838)*0.7,0)</f>
        <v>0</v>
      </c>
      <c r="M195">
        <f>SUMIF(Council_Data!$V$3:$V$838,$A195,Council_Data!$O$3:$O$838)</f>
        <v>0</v>
      </c>
      <c r="N195">
        <f>SUMIF(Council_Data!$V$3:$V$838,$A195,Council_Data!$P$3:$P$838)</f>
        <v>2</v>
      </c>
      <c r="O195">
        <f>SUMIF(Council_Data!$V$3:$V$838,$A195,Council_Data!$Q$3:$Q$838)</f>
        <v>-2</v>
      </c>
      <c r="P195">
        <f>SUMIF(Council_Data!$V$3:$V$838,$A195,Council_Data!$R$3:$R$838)</f>
        <v>3</v>
      </c>
      <c r="Q195">
        <f>SUMIF(Council_Data!$V$3:$V$838,$A195,Council_Data!$S$3:$S$838)</f>
        <v>5</v>
      </c>
      <c r="R195">
        <f>SUMIF(Council_Data!$V$3:$V$838,$A195,Council_Data!$T$3:$T$838)</f>
        <v>-2</v>
      </c>
      <c r="S195" s="63">
        <f t="shared" si="15"/>
        <v>0</v>
      </c>
      <c r="T195" t="str">
        <f>IF(ISNA(VLOOKUP($A195,DD_Info!$A$1:$E$222,2,0)),0,VLOOKUP($A195,DD_Info!$A$1:$E$222,2,0))</f>
        <v>Eduardo  Garcia</v>
      </c>
    </row>
    <row r="196" spans="1:20">
      <c r="A196" s="81">
        <v>218</v>
      </c>
      <c r="B196" t="str">
        <f>IF(ISNA(VLOOKUP($A196,DD_Info!$A$1:$E$222,3,0)),0,VLOOKUP($A196,DD_Info!$A$1:$E$222,3,0))</f>
        <v>Brownsville</v>
      </c>
      <c r="C196">
        <f>SUMIF(Council_Data!$V$3:$V$838,$A196,Council_Data!$E$3:$E$838)</f>
        <v>214</v>
      </c>
      <c r="D196">
        <f>ROUND(SUMIF(Council_Data!$V$3:$V$838,$A196,Council_Data!$F$3:$F$838)*0.7,0)</f>
        <v>10</v>
      </c>
      <c r="E196">
        <f>SUMIF(Council_Data!$V$3:$V$838,$A196,Council_Data!$G$3:$G$838)</f>
        <v>0</v>
      </c>
      <c r="F196">
        <f>SUMIF(Council_Data!$V$3:$V$838,$A196,Council_Data!$H$3:$H$838)</f>
        <v>0</v>
      </c>
      <c r="G196">
        <f>SUMIF(Council_Data!$V$3:$V$838,$A196,Council_Data!$I$3:$I$838)</f>
        <v>0</v>
      </c>
      <c r="H196">
        <f>SUMIF(Council_Data!$V$3:$V$838,$A196,Council_Data!$J$3:$J$838)</f>
        <v>0</v>
      </c>
      <c r="I196">
        <f>SUMIF(Council_Data!$V$3:$V$838,$A196,Council_Data!$K$3:$K$838)</f>
        <v>0</v>
      </c>
      <c r="J196">
        <f>SUMIF(Council_Data!$V$3:$V$838,$A196,Council_Data!$L$3:$L$838)</f>
        <v>0</v>
      </c>
      <c r="K196" s="63">
        <f t="shared" si="14"/>
        <v>0</v>
      </c>
      <c r="L196">
        <f>ROUND(SUMIF(Council_Data!$V$3:$V$838,$A196,Council_Data!$N$3:$N$838)*0.7,0)</f>
        <v>0</v>
      </c>
      <c r="M196">
        <f>SUMIF(Council_Data!$V$3:$V$838,$A196,Council_Data!$O$3:$O$838)</f>
        <v>0</v>
      </c>
      <c r="N196">
        <f>SUMIF(Council_Data!$V$3:$V$838,$A196,Council_Data!$P$3:$P$838)</f>
        <v>2</v>
      </c>
      <c r="O196">
        <f>SUMIF(Council_Data!$V$3:$V$838,$A196,Council_Data!$Q$3:$Q$838)</f>
        <v>-2</v>
      </c>
      <c r="P196">
        <f>SUMIF(Council_Data!$V$3:$V$838,$A196,Council_Data!$R$3:$R$838)</f>
        <v>0</v>
      </c>
      <c r="Q196">
        <f>SUMIF(Council_Data!$V$3:$V$838,$A196,Council_Data!$S$3:$S$838)</f>
        <v>2</v>
      </c>
      <c r="R196">
        <f>SUMIF(Council_Data!$V$3:$V$838,$A196,Council_Data!$T$3:$T$838)</f>
        <v>-2</v>
      </c>
      <c r="S196" s="63">
        <f t="shared" si="15"/>
        <v>0</v>
      </c>
      <c r="T196" t="str">
        <f>IF(ISNA(VLOOKUP($A196,DD_Info!$A$1:$E$222,2,0)),0,VLOOKUP($A196,DD_Info!$A$1:$E$222,2,0))</f>
        <v>Fernando  Garcia</v>
      </c>
    </row>
    <row r="197" spans="1:20">
      <c r="A197" s="81">
        <v>219</v>
      </c>
      <c r="B197" t="str">
        <f>IF(ISNA(VLOOKUP($A197,DD_Info!$A$1:$E$222,3,0)),0,VLOOKUP($A197,DD_Info!$A$1:$E$222,3,0))</f>
        <v>Brownsville</v>
      </c>
      <c r="C197">
        <f>SUMIF(Council_Data!$V$3:$V$838,$A197,Council_Data!$E$3:$E$838)</f>
        <v>214</v>
      </c>
      <c r="D197">
        <f>ROUND(SUMIF(Council_Data!$V$3:$V$838,$A197,Council_Data!$F$3:$F$838)*0.7,0)</f>
        <v>11</v>
      </c>
      <c r="E197">
        <f>SUMIF(Council_Data!$V$3:$V$838,$A197,Council_Data!$G$3:$G$838)</f>
        <v>0</v>
      </c>
      <c r="F197">
        <f>SUMIF(Council_Data!$V$3:$V$838,$A197,Council_Data!$H$3:$H$838)</f>
        <v>0</v>
      </c>
      <c r="G197">
        <f>SUMIF(Council_Data!$V$3:$V$838,$A197,Council_Data!$I$3:$I$838)</f>
        <v>0</v>
      </c>
      <c r="H197">
        <f>SUMIF(Council_Data!$V$3:$V$838,$A197,Council_Data!$J$3:$J$838)</f>
        <v>0</v>
      </c>
      <c r="I197">
        <f>SUMIF(Council_Data!$V$3:$V$838,$A197,Council_Data!$K$3:$K$838)</f>
        <v>0</v>
      </c>
      <c r="J197">
        <f>SUMIF(Council_Data!$V$3:$V$838,$A197,Council_Data!$L$3:$L$838)</f>
        <v>0</v>
      </c>
      <c r="K197" s="63">
        <f t="shared" si="14"/>
        <v>0</v>
      </c>
      <c r="L197">
        <f>ROUND(SUMIF(Council_Data!$V$3:$V$838,$A197,Council_Data!$N$3:$N$838)*0.7,0)</f>
        <v>0</v>
      </c>
      <c r="M197">
        <f>SUMIF(Council_Data!$V$3:$V$838,$A197,Council_Data!$O$3:$O$838)</f>
        <v>0</v>
      </c>
      <c r="N197">
        <f>SUMIF(Council_Data!$V$3:$V$838,$A197,Council_Data!$P$3:$P$838)</f>
        <v>0</v>
      </c>
      <c r="O197">
        <f>SUMIF(Council_Data!$V$3:$V$838,$A197,Council_Data!$Q$3:$Q$838)</f>
        <v>0</v>
      </c>
      <c r="P197">
        <f>SUMIF(Council_Data!$V$3:$V$838,$A197,Council_Data!$R$3:$R$838)</f>
        <v>0</v>
      </c>
      <c r="Q197">
        <f>SUMIF(Council_Data!$V$3:$V$838,$A197,Council_Data!$S$3:$S$838)</f>
        <v>0</v>
      </c>
      <c r="R197">
        <f>SUMIF(Council_Data!$V$3:$V$838,$A197,Council_Data!$T$3:$T$838)</f>
        <v>0</v>
      </c>
      <c r="S197" s="63">
        <f t="shared" si="15"/>
        <v>0</v>
      </c>
      <c r="T197" t="str">
        <f>IF(ISNA(VLOOKUP($A197,DD_Info!$A$1:$E$222,2,0)),0,VLOOKUP($A197,DD_Info!$A$1:$E$222,2,0))</f>
        <v>Ralph  Cavazos</v>
      </c>
    </row>
    <row r="198" spans="1:20">
      <c r="A198" s="81">
        <v>221</v>
      </c>
      <c r="B198" t="str">
        <f>IF(ISNA(VLOOKUP($A198,DD_Info!$A$1:$E$222,3,0)),0,VLOOKUP($A198,DD_Info!$A$1:$E$222,3,0))</f>
        <v>San Angelo</v>
      </c>
      <c r="C198">
        <f>SUMIF(Council_Data!$V$3:$V$838,$A198,Council_Data!$E$3:$E$838)</f>
        <v>314</v>
      </c>
      <c r="D198">
        <f>ROUND(SUMIF(Council_Data!$V$3:$V$838,$A198,Council_Data!$F$3:$F$838)*0.7,0)</f>
        <v>11</v>
      </c>
      <c r="E198">
        <f>SUMIF(Council_Data!$V$3:$V$838,$A198,Council_Data!$G$3:$G$838)</f>
        <v>0</v>
      </c>
      <c r="F198">
        <f>SUMIF(Council_Data!$V$3:$V$838,$A198,Council_Data!$H$3:$H$838)</f>
        <v>0</v>
      </c>
      <c r="G198">
        <f>SUMIF(Council_Data!$V$3:$V$838,$A198,Council_Data!$I$3:$I$838)</f>
        <v>0</v>
      </c>
      <c r="H198">
        <f>SUMIF(Council_Data!$V$3:$V$838,$A198,Council_Data!$J$3:$J$838)</f>
        <v>5</v>
      </c>
      <c r="I198">
        <f>SUMIF(Council_Data!$V$3:$V$838,$A198,Council_Data!$K$3:$K$838)</f>
        <v>0</v>
      </c>
      <c r="J198">
        <f>SUMIF(Council_Data!$V$3:$V$838,$A198,Council_Data!$L$3:$L$838)</f>
        <v>5</v>
      </c>
      <c r="K198" s="63">
        <f t="shared" si="14"/>
        <v>0.45454545454545453</v>
      </c>
      <c r="L198">
        <f>ROUND(SUMIF(Council_Data!$V$3:$V$838,$A198,Council_Data!$N$3:$N$838)*0.7,0)</f>
        <v>0</v>
      </c>
      <c r="M198">
        <f>SUMIF(Council_Data!$V$3:$V$838,$A198,Council_Data!$O$3:$O$838)</f>
        <v>0</v>
      </c>
      <c r="N198">
        <f>SUMIF(Council_Data!$V$3:$V$838,$A198,Council_Data!$P$3:$P$838)</f>
        <v>0</v>
      </c>
      <c r="O198">
        <f>SUMIF(Council_Data!$V$3:$V$838,$A198,Council_Data!$Q$3:$Q$838)</f>
        <v>0</v>
      </c>
      <c r="P198">
        <f>SUMIF(Council_Data!$V$3:$V$838,$A198,Council_Data!$R$3:$R$838)</f>
        <v>2</v>
      </c>
      <c r="Q198">
        <f>SUMIF(Council_Data!$V$3:$V$838,$A198,Council_Data!$S$3:$S$838)</f>
        <v>3</v>
      </c>
      <c r="R198">
        <f>SUMIF(Council_Data!$V$3:$V$838,$A198,Council_Data!$T$3:$T$838)</f>
        <v>-1</v>
      </c>
      <c r="S198" s="63">
        <f t="shared" si="15"/>
        <v>0</v>
      </c>
      <c r="T198" t="str">
        <f>IF(ISNA(VLOOKUP($A198,DD_Info!$A$1:$E$222,2,0)),0,VLOOKUP($A198,DD_Info!$A$1:$E$222,2,0))</f>
        <v>Roman M Estrada</v>
      </c>
    </row>
    <row r="199" spans="1:20">
      <c r="A199" s="81">
        <v>222</v>
      </c>
      <c r="B199" t="str">
        <f>IF(ISNA(VLOOKUP($A199,DD_Info!$A$1:$E$222,3,0)),0,VLOOKUP($A199,DD_Info!$A$1:$E$222,3,0))</f>
        <v>San Angelo</v>
      </c>
      <c r="C199">
        <f>SUMIF(Council_Data!$V$3:$V$838,$A199,Council_Data!$E$3:$E$838)</f>
        <v>339</v>
      </c>
      <c r="D199">
        <f>ROUND(SUMIF(Council_Data!$V$3:$V$838,$A199,Council_Data!$F$3:$F$838)*0.7,0)</f>
        <v>13</v>
      </c>
      <c r="E199">
        <f>SUMIF(Council_Data!$V$3:$V$838,$A199,Council_Data!$G$3:$G$838)</f>
        <v>1</v>
      </c>
      <c r="F199">
        <f>SUMIF(Council_Data!$V$3:$V$838,$A199,Council_Data!$H$3:$H$838)</f>
        <v>0</v>
      </c>
      <c r="G199">
        <f>SUMIF(Council_Data!$V$3:$V$838,$A199,Council_Data!$I$3:$I$838)</f>
        <v>1</v>
      </c>
      <c r="H199">
        <f>SUMIF(Council_Data!$V$3:$V$838,$A199,Council_Data!$J$3:$J$838)</f>
        <v>11</v>
      </c>
      <c r="I199">
        <f>SUMIF(Council_Data!$V$3:$V$838,$A199,Council_Data!$K$3:$K$838)</f>
        <v>0</v>
      </c>
      <c r="J199">
        <f>SUMIF(Council_Data!$V$3:$V$838,$A199,Council_Data!$L$3:$L$838)</f>
        <v>11</v>
      </c>
      <c r="K199" s="63">
        <f t="shared" si="14"/>
        <v>0.84615384615384615</v>
      </c>
      <c r="L199">
        <f>ROUND(SUMIF(Council_Data!$V$3:$V$838,$A199,Council_Data!$N$3:$N$838)*0.7,0)</f>
        <v>0</v>
      </c>
      <c r="M199">
        <f>SUMIF(Council_Data!$V$3:$V$838,$A199,Council_Data!$O$3:$O$838)</f>
        <v>0</v>
      </c>
      <c r="N199">
        <f>SUMIF(Council_Data!$V$3:$V$838,$A199,Council_Data!$P$3:$P$838)</f>
        <v>0</v>
      </c>
      <c r="O199">
        <f>SUMIF(Council_Data!$V$3:$V$838,$A199,Council_Data!$Q$3:$Q$838)</f>
        <v>0</v>
      </c>
      <c r="P199">
        <f>SUMIF(Council_Data!$V$3:$V$838,$A199,Council_Data!$R$3:$R$838)</f>
        <v>0</v>
      </c>
      <c r="Q199">
        <f>SUMIF(Council_Data!$V$3:$V$838,$A199,Council_Data!$S$3:$S$838)</f>
        <v>1</v>
      </c>
      <c r="R199">
        <f>SUMIF(Council_Data!$V$3:$V$838,$A199,Council_Data!$T$3:$T$838)</f>
        <v>-1</v>
      </c>
      <c r="S199" s="63">
        <f t="shared" si="15"/>
        <v>0</v>
      </c>
      <c r="T199" t="str">
        <f>IF(ISNA(VLOOKUP($A199,DD_Info!$A$1:$E$222,2,0)),0,VLOOKUP($A199,DD_Info!$A$1:$E$222,2,0))</f>
        <v>Gregory J Dutchover</v>
      </c>
    </row>
    <row r="200" spans="1:20">
      <c r="A200" s="81">
        <v>223</v>
      </c>
      <c r="B200" t="str">
        <f>IF(ISNA(VLOOKUP($A200,DD_Info!$A$1:$E$222,3,0)),0,VLOOKUP($A200,DD_Info!$A$1:$E$222,3,0))</f>
        <v>San Angelo</v>
      </c>
      <c r="C200">
        <f>SUMIF(Council_Data!$V$3:$V$838,$A200,Council_Data!$E$3:$E$838)</f>
        <v>732</v>
      </c>
      <c r="D200">
        <f>ROUND(SUMIF(Council_Data!$V$3:$V$838,$A200,Council_Data!$F$3:$F$838)*0.7,0)</f>
        <v>25</v>
      </c>
      <c r="E200">
        <f>SUMIF(Council_Data!$V$3:$V$838,$A200,Council_Data!$G$3:$G$838)</f>
        <v>1</v>
      </c>
      <c r="F200">
        <f>SUMIF(Council_Data!$V$3:$V$838,$A200,Council_Data!$H$3:$H$838)</f>
        <v>0</v>
      </c>
      <c r="G200">
        <f>SUMIF(Council_Data!$V$3:$V$838,$A200,Council_Data!$I$3:$I$838)</f>
        <v>1</v>
      </c>
      <c r="H200">
        <f>SUMIF(Council_Data!$V$3:$V$838,$A200,Council_Data!$J$3:$J$838)</f>
        <v>1</v>
      </c>
      <c r="I200">
        <f>SUMIF(Council_Data!$V$3:$V$838,$A200,Council_Data!$K$3:$K$838)</f>
        <v>0</v>
      </c>
      <c r="J200">
        <f>SUMIF(Council_Data!$V$3:$V$838,$A200,Council_Data!$L$3:$L$838)</f>
        <v>1</v>
      </c>
      <c r="K200" s="63">
        <f t="shared" ref="K200:K216" si="20">IFERROR(J200/D200,0)</f>
        <v>0.04</v>
      </c>
      <c r="L200">
        <f>ROUND(SUMIF(Council_Data!$V$3:$V$838,$A200,Council_Data!$N$3:$N$838)*0.7,0)</f>
        <v>0</v>
      </c>
      <c r="M200">
        <f>SUMIF(Council_Data!$V$3:$V$838,$A200,Council_Data!$O$3:$O$838)</f>
        <v>0</v>
      </c>
      <c r="N200">
        <f>SUMIF(Council_Data!$V$3:$V$838,$A200,Council_Data!$P$3:$P$838)</f>
        <v>3</v>
      </c>
      <c r="O200">
        <f>SUMIF(Council_Data!$V$3:$V$838,$A200,Council_Data!$Q$3:$Q$838)</f>
        <v>-3</v>
      </c>
      <c r="P200">
        <f>SUMIF(Council_Data!$V$3:$V$838,$A200,Council_Data!$R$3:$R$838)</f>
        <v>2</v>
      </c>
      <c r="Q200">
        <f>SUMIF(Council_Data!$V$3:$V$838,$A200,Council_Data!$S$3:$S$838)</f>
        <v>9</v>
      </c>
      <c r="R200">
        <f>SUMIF(Council_Data!$V$3:$V$838,$A200,Council_Data!$T$3:$T$838)</f>
        <v>-7</v>
      </c>
      <c r="S200" s="63">
        <f t="shared" ref="S200:S216" si="21">IFERROR(R200/L200,0)</f>
        <v>0</v>
      </c>
      <c r="T200" t="str">
        <f>IF(ISNA(VLOOKUP($A200,DD_Info!$A$1:$E$222,2,0)),0,VLOOKUP($A200,DD_Info!$A$1:$E$222,2,0))</f>
        <v>Aloysius "Al" E NovoGradac Jr</v>
      </c>
    </row>
    <row r="201" spans="1:20">
      <c r="A201" s="81">
        <v>224</v>
      </c>
      <c r="B201" t="str">
        <f>IF(ISNA(VLOOKUP($A201,DD_Info!$A$1:$E$222,3,0)),0,VLOOKUP($A201,DD_Info!$A$1:$E$222,3,0))</f>
        <v>San Angelo</v>
      </c>
      <c r="C201">
        <f>SUMIF(Council_Data!$V$3:$V$838,$A201,Council_Data!$E$3:$E$838)</f>
        <v>558</v>
      </c>
      <c r="D201">
        <f>ROUND(SUMIF(Council_Data!$V$3:$V$838,$A201,Council_Data!$F$3:$F$838)*0.7,0)</f>
        <v>20</v>
      </c>
      <c r="E201">
        <f>SUMIF(Council_Data!$V$3:$V$838,$A201,Council_Data!$G$3:$G$838)</f>
        <v>0</v>
      </c>
      <c r="F201">
        <f>SUMIF(Council_Data!$V$3:$V$838,$A201,Council_Data!$H$3:$H$838)</f>
        <v>0</v>
      </c>
      <c r="G201">
        <f>SUMIF(Council_Data!$V$3:$V$838,$A201,Council_Data!$I$3:$I$838)</f>
        <v>0</v>
      </c>
      <c r="H201">
        <f>SUMIF(Council_Data!$V$3:$V$838,$A201,Council_Data!$J$3:$J$838)</f>
        <v>5</v>
      </c>
      <c r="I201">
        <f>SUMIF(Council_Data!$V$3:$V$838,$A201,Council_Data!$K$3:$K$838)</f>
        <v>0</v>
      </c>
      <c r="J201">
        <f>SUMIF(Council_Data!$V$3:$V$838,$A201,Council_Data!$L$3:$L$838)</f>
        <v>5</v>
      </c>
      <c r="K201" s="63">
        <f t="shared" si="20"/>
        <v>0.25</v>
      </c>
      <c r="L201">
        <f>ROUND(SUMIF(Council_Data!$V$3:$V$838,$A201,Council_Data!$N$3:$N$838)*0.7,0)</f>
        <v>0</v>
      </c>
      <c r="M201">
        <f>SUMIF(Council_Data!$V$3:$V$838,$A201,Council_Data!$O$3:$O$838)</f>
        <v>1</v>
      </c>
      <c r="N201">
        <f>SUMIF(Council_Data!$V$3:$V$838,$A201,Council_Data!$P$3:$P$838)</f>
        <v>0</v>
      </c>
      <c r="O201">
        <f>SUMIF(Council_Data!$V$3:$V$838,$A201,Council_Data!$Q$3:$Q$838)</f>
        <v>1</v>
      </c>
      <c r="P201">
        <f>SUMIF(Council_Data!$V$3:$V$838,$A201,Council_Data!$R$3:$R$838)</f>
        <v>2</v>
      </c>
      <c r="Q201">
        <f>SUMIF(Council_Data!$V$3:$V$838,$A201,Council_Data!$S$3:$S$838)</f>
        <v>2</v>
      </c>
      <c r="R201">
        <f>SUMIF(Council_Data!$V$3:$V$838,$A201,Council_Data!$T$3:$T$838)</f>
        <v>0</v>
      </c>
      <c r="S201" s="63">
        <f t="shared" si="21"/>
        <v>0</v>
      </c>
      <c r="T201" t="str">
        <f>IF(ISNA(VLOOKUP($A201,DD_Info!$A$1:$E$222,2,0)),0,VLOOKUP($A201,DD_Info!$A$1:$E$222,2,0))</f>
        <v>Lupe M Rodriguez</v>
      </c>
    </row>
    <row r="202" spans="1:20">
      <c r="A202" s="81">
        <v>225</v>
      </c>
      <c r="B202" t="str">
        <f>IF(ISNA(VLOOKUP($A202,DD_Info!$A$1:$E$222,3,0)),0,VLOOKUP($A202,DD_Info!$A$1:$E$222,3,0))</f>
        <v>San Angelo</v>
      </c>
      <c r="C202">
        <f>SUMIF(Council_Data!$V$3:$V$838,$A202,Council_Data!$E$3:$E$838)</f>
        <v>211</v>
      </c>
      <c r="D202">
        <f>ROUND(SUMIF(Council_Data!$V$3:$V$838,$A202,Council_Data!$F$3:$F$838)*0.7,0)</f>
        <v>8</v>
      </c>
      <c r="E202">
        <f>SUMIF(Council_Data!$V$3:$V$838,$A202,Council_Data!$G$3:$G$838)</f>
        <v>0</v>
      </c>
      <c r="F202">
        <f>SUMIF(Council_Data!$V$3:$V$838,$A202,Council_Data!$H$3:$H$838)</f>
        <v>0</v>
      </c>
      <c r="G202">
        <f>SUMIF(Council_Data!$V$3:$V$838,$A202,Council_Data!$I$3:$I$838)</f>
        <v>0</v>
      </c>
      <c r="H202">
        <f>SUMIF(Council_Data!$V$3:$V$838,$A202,Council_Data!$J$3:$J$838)</f>
        <v>0</v>
      </c>
      <c r="I202">
        <f>SUMIF(Council_Data!$V$3:$V$838,$A202,Council_Data!$K$3:$K$838)</f>
        <v>0</v>
      </c>
      <c r="J202">
        <f>SUMIF(Council_Data!$V$3:$V$838,$A202,Council_Data!$L$3:$L$838)</f>
        <v>0</v>
      </c>
      <c r="K202" s="63">
        <f t="shared" si="20"/>
        <v>0</v>
      </c>
      <c r="L202">
        <f>ROUND(SUMIF(Council_Data!$V$3:$V$838,$A202,Council_Data!$N$3:$N$838)*0.7,0)</f>
        <v>0</v>
      </c>
      <c r="M202">
        <f>SUMIF(Council_Data!$V$3:$V$838,$A202,Council_Data!$O$3:$O$838)</f>
        <v>0</v>
      </c>
      <c r="N202">
        <f>SUMIF(Council_Data!$V$3:$V$838,$A202,Council_Data!$P$3:$P$838)</f>
        <v>0</v>
      </c>
      <c r="O202">
        <f>SUMIF(Council_Data!$V$3:$V$838,$A202,Council_Data!$Q$3:$Q$838)</f>
        <v>0</v>
      </c>
      <c r="P202">
        <f>SUMIF(Council_Data!$V$3:$V$838,$A202,Council_Data!$R$3:$R$838)</f>
        <v>0</v>
      </c>
      <c r="Q202">
        <f>SUMIF(Council_Data!$V$3:$V$838,$A202,Council_Data!$S$3:$S$838)</f>
        <v>0</v>
      </c>
      <c r="R202">
        <f>SUMIF(Council_Data!$V$3:$V$838,$A202,Council_Data!$T$3:$T$838)</f>
        <v>0</v>
      </c>
      <c r="S202" s="63">
        <f t="shared" si="21"/>
        <v>0</v>
      </c>
      <c r="T202" t="str">
        <f>IF(ISNA(VLOOKUP($A202,DD_Info!$A$1:$E$222,2,0)),0,VLOOKUP($A202,DD_Info!$A$1:$E$222,2,0))</f>
        <v>Frank  Casares</v>
      </c>
    </row>
    <row r="203" spans="1:20">
      <c r="A203" s="81">
        <v>226</v>
      </c>
      <c r="B203" t="str">
        <f>IF(ISNA(VLOOKUP($A203,DD_Info!$A$1:$E$222,3,0)),0,VLOOKUP($A203,DD_Info!$A$1:$E$222,3,0))</f>
        <v>San Angelo</v>
      </c>
      <c r="C203">
        <f>SUMIF(Council_Data!$V$3:$V$838,$A203,Council_Data!$E$3:$E$838)</f>
        <v>281</v>
      </c>
      <c r="D203">
        <f>ROUND(SUMIF(Council_Data!$V$3:$V$838,$A203,Council_Data!$F$3:$F$838)*0.7,0)</f>
        <v>11</v>
      </c>
      <c r="E203">
        <f>SUMIF(Council_Data!$V$3:$V$838,$A203,Council_Data!$G$3:$G$838)</f>
        <v>0</v>
      </c>
      <c r="F203">
        <f>SUMIF(Council_Data!$V$3:$V$838,$A203,Council_Data!$H$3:$H$838)</f>
        <v>0</v>
      </c>
      <c r="G203">
        <f>SUMIF(Council_Data!$V$3:$V$838,$A203,Council_Data!$I$3:$I$838)</f>
        <v>0</v>
      </c>
      <c r="H203">
        <f>SUMIF(Council_Data!$V$3:$V$838,$A203,Council_Data!$J$3:$J$838)</f>
        <v>0</v>
      </c>
      <c r="I203">
        <f>SUMIF(Council_Data!$V$3:$V$838,$A203,Council_Data!$K$3:$K$838)</f>
        <v>0</v>
      </c>
      <c r="J203">
        <f>SUMIF(Council_Data!$V$3:$V$838,$A203,Council_Data!$L$3:$L$838)</f>
        <v>0</v>
      </c>
      <c r="K203" s="63">
        <f t="shared" si="20"/>
        <v>0</v>
      </c>
      <c r="L203">
        <f>ROUND(SUMIF(Council_Data!$V$3:$V$838,$A203,Council_Data!$N$3:$N$838)*0.7,0)</f>
        <v>0</v>
      </c>
      <c r="M203">
        <f>SUMIF(Council_Data!$V$3:$V$838,$A203,Council_Data!$O$3:$O$838)</f>
        <v>0</v>
      </c>
      <c r="N203">
        <f>SUMIF(Council_Data!$V$3:$V$838,$A203,Council_Data!$P$3:$P$838)</f>
        <v>0</v>
      </c>
      <c r="O203">
        <f>SUMIF(Council_Data!$V$3:$V$838,$A203,Council_Data!$Q$3:$Q$838)</f>
        <v>0</v>
      </c>
      <c r="P203">
        <f>SUMIF(Council_Data!$V$3:$V$838,$A203,Council_Data!$R$3:$R$838)</f>
        <v>0</v>
      </c>
      <c r="Q203">
        <f>SUMIF(Council_Data!$V$3:$V$838,$A203,Council_Data!$S$3:$S$838)</f>
        <v>0</v>
      </c>
      <c r="R203">
        <f>SUMIF(Council_Data!$V$3:$V$838,$A203,Council_Data!$T$3:$T$838)</f>
        <v>0</v>
      </c>
      <c r="S203" s="63">
        <f t="shared" si="21"/>
        <v>0</v>
      </c>
      <c r="T203" t="str">
        <f>IF(ISNA(VLOOKUP($A203,DD_Info!$A$1:$E$222,2,0)),0,VLOOKUP($A203,DD_Info!$A$1:$E$222,2,0))</f>
        <v>Deacon Frankie D Aguirre</v>
      </c>
    </row>
    <row r="204" spans="1:20">
      <c r="A204" s="81">
        <v>227</v>
      </c>
      <c r="B204" t="str">
        <f>IF(ISNA(VLOOKUP($A204,DD_Info!$A$1:$E$222,3,0)),0,VLOOKUP($A204,DD_Info!$A$1:$E$222,3,0))</f>
        <v>San Angelo</v>
      </c>
      <c r="C204">
        <f>SUMIF(Council_Data!$V$3:$V$838,$A204,Council_Data!$E$3:$E$838)</f>
        <v>184</v>
      </c>
      <c r="D204">
        <f>ROUND(SUMIF(Council_Data!$V$3:$V$838,$A204,Council_Data!$F$3:$F$838)*0.7,0)</f>
        <v>8</v>
      </c>
      <c r="E204">
        <f>SUMIF(Council_Data!$V$3:$V$838,$A204,Council_Data!$G$3:$G$838)</f>
        <v>0</v>
      </c>
      <c r="F204">
        <f>SUMIF(Council_Data!$V$3:$V$838,$A204,Council_Data!$H$3:$H$838)</f>
        <v>0</v>
      </c>
      <c r="G204">
        <f>SUMIF(Council_Data!$V$3:$V$838,$A204,Council_Data!$I$3:$I$838)</f>
        <v>0</v>
      </c>
      <c r="H204">
        <f>SUMIF(Council_Data!$V$3:$V$838,$A204,Council_Data!$J$3:$J$838)</f>
        <v>0</v>
      </c>
      <c r="I204">
        <f>SUMIF(Council_Data!$V$3:$V$838,$A204,Council_Data!$K$3:$K$838)</f>
        <v>0</v>
      </c>
      <c r="J204">
        <f>SUMIF(Council_Data!$V$3:$V$838,$A204,Council_Data!$L$3:$L$838)</f>
        <v>0</v>
      </c>
      <c r="K204" s="63">
        <f t="shared" si="20"/>
        <v>0</v>
      </c>
      <c r="L204">
        <f>ROUND(SUMIF(Council_Data!$V$3:$V$838,$A204,Council_Data!$N$3:$N$838)*0.7,0)</f>
        <v>0</v>
      </c>
      <c r="M204">
        <f>SUMIF(Council_Data!$V$3:$V$838,$A204,Council_Data!$O$3:$O$838)</f>
        <v>0</v>
      </c>
      <c r="N204">
        <f>SUMIF(Council_Data!$V$3:$V$838,$A204,Council_Data!$P$3:$P$838)</f>
        <v>0</v>
      </c>
      <c r="O204">
        <f>SUMIF(Council_Data!$V$3:$V$838,$A204,Council_Data!$Q$3:$Q$838)</f>
        <v>0</v>
      </c>
      <c r="P204">
        <f>SUMIF(Council_Data!$V$3:$V$838,$A204,Council_Data!$R$3:$R$838)</f>
        <v>0</v>
      </c>
      <c r="Q204">
        <f>SUMIF(Council_Data!$V$3:$V$838,$A204,Council_Data!$S$3:$S$838)</f>
        <v>1</v>
      </c>
      <c r="R204">
        <f>SUMIF(Council_Data!$V$3:$V$838,$A204,Council_Data!$T$3:$T$838)</f>
        <v>-1</v>
      </c>
      <c r="S204" s="63">
        <f t="shared" si="21"/>
        <v>0</v>
      </c>
      <c r="T204" t="str">
        <f>IF(ISNA(VLOOKUP($A204,DD_Info!$A$1:$E$222,2,0)),0,VLOOKUP($A204,DD_Info!$A$1:$E$222,2,0))</f>
        <v>Michael M Murray</v>
      </c>
    </row>
    <row r="205" spans="1:20">
      <c r="A205" s="81">
        <v>228</v>
      </c>
      <c r="B205" t="str">
        <f>IF(ISNA(VLOOKUP($A205,DD_Info!$A$1:$E$222,3,0)),0,VLOOKUP($A205,DD_Info!$A$1:$E$222,3,0))</f>
        <v>San Angelo</v>
      </c>
      <c r="C205">
        <f>SUMIF(Council_Data!$V$3:$V$838,$A205,Council_Data!$E$3:$E$838)</f>
        <v>473</v>
      </c>
      <c r="D205">
        <f>ROUND(SUMIF(Council_Data!$V$3:$V$838,$A205,Council_Data!$F$3:$F$838)*0.7,0)</f>
        <v>16</v>
      </c>
      <c r="E205">
        <f>SUMIF(Council_Data!$V$3:$V$838,$A205,Council_Data!$G$3:$G$838)</f>
        <v>0</v>
      </c>
      <c r="F205">
        <f>SUMIF(Council_Data!$V$3:$V$838,$A205,Council_Data!$H$3:$H$838)</f>
        <v>0</v>
      </c>
      <c r="G205">
        <f>SUMIF(Council_Data!$V$3:$V$838,$A205,Council_Data!$I$3:$I$838)</f>
        <v>0</v>
      </c>
      <c r="H205">
        <f>SUMIF(Council_Data!$V$3:$V$838,$A205,Council_Data!$J$3:$J$838)</f>
        <v>1</v>
      </c>
      <c r="I205">
        <f>SUMIF(Council_Data!$V$3:$V$838,$A205,Council_Data!$K$3:$K$838)</f>
        <v>0</v>
      </c>
      <c r="J205">
        <f>SUMIF(Council_Data!$V$3:$V$838,$A205,Council_Data!$L$3:$L$838)</f>
        <v>1</v>
      </c>
      <c r="K205" s="63">
        <f t="shared" si="20"/>
        <v>6.25E-2</v>
      </c>
      <c r="L205">
        <f>ROUND(SUMIF(Council_Data!$V$3:$V$838,$A205,Council_Data!$N$3:$N$838)*0.7,0)</f>
        <v>0</v>
      </c>
      <c r="M205">
        <f>SUMIF(Council_Data!$V$3:$V$838,$A205,Council_Data!$O$3:$O$838)</f>
        <v>0</v>
      </c>
      <c r="N205">
        <f>SUMIF(Council_Data!$V$3:$V$838,$A205,Council_Data!$P$3:$P$838)</f>
        <v>0</v>
      </c>
      <c r="O205">
        <f>SUMIF(Council_Data!$V$3:$V$838,$A205,Council_Data!$Q$3:$Q$838)</f>
        <v>0</v>
      </c>
      <c r="P205">
        <f>SUMIF(Council_Data!$V$3:$V$838,$A205,Council_Data!$R$3:$R$838)</f>
        <v>0</v>
      </c>
      <c r="Q205">
        <f>SUMIF(Council_Data!$V$3:$V$838,$A205,Council_Data!$S$3:$S$838)</f>
        <v>0</v>
      </c>
      <c r="R205">
        <f>SUMIF(Council_Data!$V$3:$V$838,$A205,Council_Data!$T$3:$T$838)</f>
        <v>0</v>
      </c>
      <c r="S205" s="63">
        <f t="shared" si="21"/>
        <v>0</v>
      </c>
      <c r="T205" t="str">
        <f>IF(ISNA(VLOOKUP($A205,DD_Info!$A$1:$E$222,2,0)),0,VLOOKUP($A205,DD_Info!$A$1:$E$222,2,0))</f>
        <v>Steven  Knight</v>
      </c>
    </row>
    <row r="206" spans="1:20">
      <c r="A206" s="81">
        <v>229</v>
      </c>
      <c r="B206" t="str">
        <f>IF(ISNA(VLOOKUP($A206,DD_Info!$A$1:$E$222,3,0)),0,VLOOKUP($A206,DD_Info!$A$1:$E$222,3,0))</f>
        <v>San Angelo</v>
      </c>
      <c r="C206">
        <f>SUMIF(Council_Data!$V$3:$V$838,$A206,Council_Data!$E$3:$E$838)</f>
        <v>363</v>
      </c>
      <c r="D206">
        <f>ROUND(SUMIF(Council_Data!$V$3:$V$838,$A206,Council_Data!$F$3:$F$838)*0.7,0)</f>
        <v>12</v>
      </c>
      <c r="E206">
        <f>SUMIF(Council_Data!$V$3:$V$838,$A206,Council_Data!$G$3:$G$838)</f>
        <v>0</v>
      </c>
      <c r="F206">
        <f>SUMIF(Council_Data!$V$3:$V$838,$A206,Council_Data!$H$3:$H$838)</f>
        <v>0</v>
      </c>
      <c r="G206">
        <f>SUMIF(Council_Data!$V$3:$V$838,$A206,Council_Data!$I$3:$I$838)</f>
        <v>0</v>
      </c>
      <c r="H206">
        <f>SUMIF(Council_Data!$V$3:$V$838,$A206,Council_Data!$J$3:$J$838)</f>
        <v>0</v>
      </c>
      <c r="I206">
        <f>SUMIF(Council_Data!$V$3:$V$838,$A206,Council_Data!$K$3:$K$838)</f>
        <v>1</v>
      </c>
      <c r="J206">
        <f>SUMIF(Council_Data!$V$3:$V$838,$A206,Council_Data!$L$3:$L$838)</f>
        <v>-1</v>
      </c>
      <c r="K206" s="63">
        <f t="shared" si="20"/>
        <v>-8.3333333333333329E-2</v>
      </c>
      <c r="L206">
        <f>ROUND(SUMIF(Council_Data!$V$3:$V$838,$A206,Council_Data!$N$3:$N$838)*0.7,0)</f>
        <v>0</v>
      </c>
      <c r="M206">
        <f>SUMIF(Council_Data!$V$3:$V$838,$A206,Council_Data!$O$3:$O$838)</f>
        <v>0</v>
      </c>
      <c r="N206">
        <f>SUMIF(Council_Data!$V$3:$V$838,$A206,Council_Data!$P$3:$P$838)</f>
        <v>0</v>
      </c>
      <c r="O206">
        <f>SUMIF(Council_Data!$V$3:$V$838,$A206,Council_Data!$Q$3:$Q$838)</f>
        <v>0</v>
      </c>
      <c r="P206">
        <f>SUMIF(Council_Data!$V$3:$V$838,$A206,Council_Data!$R$3:$R$838)</f>
        <v>2</v>
      </c>
      <c r="Q206">
        <f>SUMIF(Council_Data!$V$3:$V$838,$A206,Council_Data!$S$3:$S$838)</f>
        <v>1</v>
      </c>
      <c r="R206">
        <f>SUMIF(Council_Data!$V$3:$V$838,$A206,Council_Data!$T$3:$T$838)</f>
        <v>1</v>
      </c>
      <c r="S206" s="63">
        <f t="shared" si="21"/>
        <v>0</v>
      </c>
      <c r="T206" t="str">
        <f>IF(ISNA(VLOOKUP($A206,DD_Info!$A$1:$E$222,2,0)),0,VLOOKUP($A206,DD_Info!$A$1:$E$222,2,0))</f>
        <v>Gregory  Huffman</v>
      </c>
    </row>
    <row r="207" spans="1:20">
      <c r="A207" s="81">
        <v>230</v>
      </c>
      <c r="B207" t="str">
        <f>IF(ISNA(VLOOKUP($A207,DD_Info!$A$1:$E$222,3,0)),0,VLOOKUP($A207,DD_Info!$A$1:$E$222,3,0))</f>
        <v>San Angelo</v>
      </c>
      <c r="C207">
        <f>SUMIF(Council_Data!$V$3:$V$838,$A207,Council_Data!$E$3:$E$838)</f>
        <v>14</v>
      </c>
      <c r="D207">
        <f>ROUND(SUMIF(Council_Data!$V$3:$V$838,$A207,Council_Data!$F$3:$F$838)*0.7,0)</f>
        <v>8</v>
      </c>
      <c r="E207">
        <f>SUMIF(Council_Data!$V$3:$V$838,$A207,Council_Data!$G$3:$G$838)</f>
        <v>0</v>
      </c>
      <c r="F207">
        <f>SUMIF(Council_Data!$V$3:$V$838,$A207,Council_Data!$H$3:$H$838)</f>
        <v>0</v>
      </c>
      <c r="G207">
        <f>SUMIF(Council_Data!$V$3:$V$838,$A207,Council_Data!$I$3:$I$838)</f>
        <v>0</v>
      </c>
      <c r="H207">
        <f>SUMIF(Council_Data!$V$3:$V$838,$A207,Council_Data!$J$3:$J$838)</f>
        <v>0</v>
      </c>
      <c r="I207">
        <f>SUMIF(Council_Data!$V$3:$V$838,$A207,Council_Data!$K$3:$K$838)</f>
        <v>0</v>
      </c>
      <c r="J207">
        <f>SUMIF(Council_Data!$V$3:$V$838,$A207,Council_Data!$L$3:$L$838)</f>
        <v>0</v>
      </c>
      <c r="K207" s="63">
        <f t="shared" si="20"/>
        <v>0</v>
      </c>
      <c r="L207">
        <f>ROUND(SUMIF(Council_Data!$V$3:$V$838,$A207,Council_Data!$N$3:$N$838)*0.7,0)</f>
        <v>0</v>
      </c>
      <c r="M207">
        <f>SUMIF(Council_Data!$V$3:$V$838,$A207,Council_Data!$O$3:$O$838)</f>
        <v>0</v>
      </c>
      <c r="N207">
        <f>SUMIF(Council_Data!$V$3:$V$838,$A207,Council_Data!$P$3:$P$838)</f>
        <v>0</v>
      </c>
      <c r="O207">
        <f>SUMIF(Council_Data!$V$3:$V$838,$A207,Council_Data!$Q$3:$Q$838)</f>
        <v>0</v>
      </c>
      <c r="P207">
        <f>SUMIF(Council_Data!$V$3:$V$838,$A207,Council_Data!$R$3:$R$838)</f>
        <v>0</v>
      </c>
      <c r="Q207">
        <f>SUMIF(Council_Data!$V$3:$V$838,$A207,Council_Data!$S$3:$S$838)</f>
        <v>0</v>
      </c>
      <c r="R207">
        <f>SUMIF(Council_Data!$V$3:$V$838,$A207,Council_Data!$T$3:$T$838)</f>
        <v>0</v>
      </c>
      <c r="S207" s="63">
        <f t="shared" si="21"/>
        <v>0</v>
      </c>
      <c r="T207" t="str">
        <f>IF(ISNA(VLOOKUP($A207,DD_Info!$A$1:$E$222,2,0)),0,VLOOKUP($A207,DD_Info!$A$1:$E$222,2,0))</f>
        <v>Joe  Jacobo</v>
      </c>
    </row>
    <row r="208" spans="1:20">
      <c r="A208" s="81">
        <v>231</v>
      </c>
      <c r="B208" t="str">
        <f>IF(ISNA(VLOOKUP($A208,DD_Info!$A$1:$E$222,3,0)),0,VLOOKUP($A208,DD_Info!$A$1:$E$222,3,0))</f>
        <v>Laredo</v>
      </c>
      <c r="C208">
        <f>SUMIF(Council_Data!$V$3:$V$838,$A208,Council_Data!$E$3:$E$838)</f>
        <v>354</v>
      </c>
      <c r="D208">
        <f>ROUND(SUMIF(Council_Data!$V$3:$V$838,$A208,Council_Data!$F$3:$F$838)*0.7,0)</f>
        <v>15</v>
      </c>
      <c r="E208">
        <f>SUMIF(Council_Data!$V$3:$V$838,$A208,Council_Data!$G$3:$G$838)</f>
        <v>0</v>
      </c>
      <c r="F208">
        <f>SUMIF(Council_Data!$V$3:$V$838,$A208,Council_Data!$H$3:$H$838)</f>
        <v>0</v>
      </c>
      <c r="G208">
        <f>SUMIF(Council_Data!$V$3:$V$838,$A208,Council_Data!$I$3:$I$838)</f>
        <v>0</v>
      </c>
      <c r="H208">
        <f>SUMIF(Council_Data!$V$3:$V$838,$A208,Council_Data!$J$3:$J$838)</f>
        <v>8</v>
      </c>
      <c r="I208">
        <f>SUMIF(Council_Data!$V$3:$V$838,$A208,Council_Data!$K$3:$K$838)</f>
        <v>21</v>
      </c>
      <c r="J208">
        <f>SUMIF(Council_Data!$V$3:$V$838,$A208,Council_Data!$L$3:$L$838)</f>
        <v>-13</v>
      </c>
      <c r="K208" s="63">
        <f t="shared" si="20"/>
        <v>-0.8666666666666667</v>
      </c>
      <c r="L208">
        <f>ROUND(SUMIF(Council_Data!$V$3:$V$838,$A208,Council_Data!$N$3:$N$838)*0.7,0)</f>
        <v>0</v>
      </c>
      <c r="M208">
        <f>SUMIF(Council_Data!$V$3:$V$838,$A208,Council_Data!$O$3:$O$838)</f>
        <v>0</v>
      </c>
      <c r="N208">
        <f>SUMIF(Council_Data!$V$3:$V$838,$A208,Council_Data!$P$3:$P$838)</f>
        <v>0</v>
      </c>
      <c r="O208">
        <f>SUMIF(Council_Data!$V$3:$V$838,$A208,Council_Data!$Q$3:$Q$838)</f>
        <v>0</v>
      </c>
      <c r="P208">
        <f>SUMIF(Council_Data!$V$3:$V$838,$A208,Council_Data!$R$3:$R$838)</f>
        <v>0</v>
      </c>
      <c r="Q208">
        <f>SUMIF(Council_Data!$V$3:$V$838,$A208,Council_Data!$S$3:$S$838)</f>
        <v>1</v>
      </c>
      <c r="R208">
        <f>SUMIF(Council_Data!$V$3:$V$838,$A208,Council_Data!$T$3:$T$838)</f>
        <v>-1</v>
      </c>
      <c r="S208" s="63">
        <f t="shared" si="21"/>
        <v>0</v>
      </c>
      <c r="T208" t="str">
        <f>IF(ISNA(VLOOKUP($A208,DD_Info!$A$1:$E$222,2,0)),0,VLOOKUP($A208,DD_Info!$A$1:$E$222,2,0))</f>
        <v>Isaac A Gonzalez</v>
      </c>
    </row>
    <row r="209" spans="1:20">
      <c r="A209" s="81">
        <v>232</v>
      </c>
      <c r="B209" t="str">
        <f>IF(ISNA(VLOOKUP($A209,DD_Info!$A$1:$E$222,3,0)),0,VLOOKUP($A209,DD_Info!$A$1:$E$222,3,0))</f>
        <v>Laredo</v>
      </c>
      <c r="C209">
        <f>SUMIF(Council_Data!$V$3:$V$838,$A209,Council_Data!$E$3:$E$838)</f>
        <v>189</v>
      </c>
      <c r="D209">
        <f>ROUND(SUMIF(Council_Data!$V$3:$V$838,$A209,Council_Data!$F$3:$F$838)*0.7,0)</f>
        <v>12</v>
      </c>
      <c r="E209">
        <f>SUMIF(Council_Data!$V$3:$V$838,$A209,Council_Data!$G$3:$G$838)</f>
        <v>0</v>
      </c>
      <c r="F209">
        <f>SUMIF(Council_Data!$V$3:$V$838,$A209,Council_Data!$H$3:$H$838)</f>
        <v>0</v>
      </c>
      <c r="G209">
        <f>SUMIF(Council_Data!$V$3:$V$838,$A209,Council_Data!$I$3:$I$838)</f>
        <v>0</v>
      </c>
      <c r="H209">
        <f>SUMIF(Council_Data!$V$3:$V$838,$A209,Council_Data!$J$3:$J$838)</f>
        <v>1</v>
      </c>
      <c r="I209">
        <f>SUMIF(Council_Data!$V$3:$V$838,$A209,Council_Data!$K$3:$K$838)</f>
        <v>0</v>
      </c>
      <c r="J209">
        <f>SUMIF(Council_Data!$V$3:$V$838,$A209,Council_Data!$L$3:$L$838)</f>
        <v>1</v>
      </c>
      <c r="K209" s="63">
        <f t="shared" si="20"/>
        <v>8.3333333333333329E-2</v>
      </c>
      <c r="L209">
        <f>ROUND(SUMIF(Council_Data!$V$3:$V$838,$A209,Council_Data!$N$3:$N$838)*0.7,0)</f>
        <v>0</v>
      </c>
      <c r="M209">
        <f>SUMIF(Council_Data!$V$3:$V$838,$A209,Council_Data!$O$3:$O$838)</f>
        <v>0</v>
      </c>
      <c r="N209">
        <f>SUMIF(Council_Data!$V$3:$V$838,$A209,Council_Data!$P$3:$P$838)</f>
        <v>0</v>
      </c>
      <c r="O209">
        <f>SUMIF(Council_Data!$V$3:$V$838,$A209,Council_Data!$Q$3:$Q$838)</f>
        <v>0</v>
      </c>
      <c r="P209">
        <f>SUMIF(Council_Data!$V$3:$V$838,$A209,Council_Data!$R$3:$R$838)</f>
        <v>0</v>
      </c>
      <c r="Q209">
        <f>SUMIF(Council_Data!$V$3:$V$838,$A209,Council_Data!$S$3:$S$838)</f>
        <v>0</v>
      </c>
      <c r="R209">
        <f>SUMIF(Council_Data!$V$3:$V$838,$A209,Council_Data!$T$3:$T$838)</f>
        <v>0</v>
      </c>
      <c r="S209" s="63">
        <f t="shared" si="21"/>
        <v>0</v>
      </c>
      <c r="T209" t="str">
        <f>IF(ISNA(VLOOKUP($A209,DD_Info!$A$1:$E$222,2,0)),0,VLOOKUP($A209,DD_Info!$A$1:$E$222,2,0))</f>
        <v>Jose Luis  Rodriguez</v>
      </c>
    </row>
    <row r="210" spans="1:20">
      <c r="A210" s="81">
        <v>233</v>
      </c>
      <c r="B210" t="str">
        <f>IF(ISNA(VLOOKUP($A210,DD_Info!$A$1:$E$222,3,0)),0,VLOOKUP($A210,DD_Info!$A$1:$E$222,3,0))</f>
        <v>Laredo</v>
      </c>
      <c r="C210">
        <f>SUMIF(Council_Data!$V$3:$V$838,$A210,Council_Data!$E$3:$E$838)</f>
        <v>135</v>
      </c>
      <c r="D210">
        <f>ROUND(SUMIF(Council_Data!$V$3:$V$838,$A210,Council_Data!$F$3:$F$838)*0.7,0)</f>
        <v>5</v>
      </c>
      <c r="E210">
        <f>SUMIF(Council_Data!$V$3:$V$838,$A210,Council_Data!$G$3:$G$838)</f>
        <v>0</v>
      </c>
      <c r="F210">
        <f>SUMIF(Council_Data!$V$3:$V$838,$A210,Council_Data!$H$3:$H$838)</f>
        <v>0</v>
      </c>
      <c r="G210">
        <f>SUMIF(Council_Data!$V$3:$V$838,$A210,Council_Data!$I$3:$I$838)</f>
        <v>0</v>
      </c>
      <c r="H210">
        <f>SUMIF(Council_Data!$V$3:$V$838,$A210,Council_Data!$J$3:$J$838)</f>
        <v>0</v>
      </c>
      <c r="I210">
        <f>SUMIF(Council_Data!$V$3:$V$838,$A210,Council_Data!$K$3:$K$838)</f>
        <v>0</v>
      </c>
      <c r="J210">
        <f>SUMIF(Council_Data!$V$3:$V$838,$A210,Council_Data!$L$3:$L$838)</f>
        <v>0</v>
      </c>
      <c r="K210" s="63">
        <f t="shared" si="20"/>
        <v>0</v>
      </c>
      <c r="L210">
        <f>ROUND(SUMIF(Council_Data!$V$3:$V$838,$A210,Council_Data!$N$3:$N$838)*0.7,0)</f>
        <v>0</v>
      </c>
      <c r="M210">
        <f>SUMIF(Council_Data!$V$3:$V$838,$A210,Council_Data!$O$3:$O$838)</f>
        <v>0</v>
      </c>
      <c r="N210">
        <f>SUMIF(Council_Data!$V$3:$V$838,$A210,Council_Data!$P$3:$P$838)</f>
        <v>0</v>
      </c>
      <c r="O210">
        <f>SUMIF(Council_Data!$V$3:$V$838,$A210,Council_Data!$Q$3:$Q$838)</f>
        <v>0</v>
      </c>
      <c r="P210">
        <f>SUMIF(Council_Data!$V$3:$V$838,$A210,Council_Data!$R$3:$R$838)</f>
        <v>0</v>
      </c>
      <c r="Q210">
        <f>SUMIF(Council_Data!$V$3:$V$838,$A210,Council_Data!$S$3:$S$838)</f>
        <v>0</v>
      </c>
      <c r="R210">
        <f>SUMIF(Council_Data!$V$3:$V$838,$A210,Council_Data!$T$3:$T$838)</f>
        <v>0</v>
      </c>
      <c r="S210" s="63">
        <f t="shared" si="21"/>
        <v>0</v>
      </c>
      <c r="T210" t="str">
        <f>IF(ISNA(VLOOKUP($A210,DD_Info!$A$1:$E$222,2,0)),0,VLOOKUP($A210,DD_Info!$A$1:$E$222,2,0))</f>
        <v>Luis J Collazo</v>
      </c>
    </row>
    <row r="211" spans="1:20">
      <c r="A211" s="81">
        <v>234</v>
      </c>
      <c r="B211" t="str">
        <f>IF(ISNA(VLOOKUP($A211,DD_Info!$A$1:$E$222,3,0)),0,VLOOKUP($A211,DD_Info!$A$1:$E$222,3,0))</f>
        <v>Laredo</v>
      </c>
      <c r="C211">
        <f>SUMIF(Council_Data!$V$3:$V$838,$A211,Council_Data!$E$3:$E$838)</f>
        <v>332</v>
      </c>
      <c r="D211">
        <f>ROUND(SUMIF(Council_Data!$V$3:$V$838,$A211,Council_Data!$F$3:$F$838)*0.7,0)</f>
        <v>13</v>
      </c>
      <c r="E211">
        <f>SUMIF(Council_Data!$V$3:$V$838,$A211,Council_Data!$G$3:$G$838)</f>
        <v>0</v>
      </c>
      <c r="F211">
        <f>SUMIF(Council_Data!$V$3:$V$838,$A211,Council_Data!$H$3:$H$838)</f>
        <v>0</v>
      </c>
      <c r="G211">
        <f>SUMIF(Council_Data!$V$3:$V$838,$A211,Council_Data!$I$3:$I$838)</f>
        <v>0</v>
      </c>
      <c r="H211">
        <f>SUMIF(Council_Data!$V$3:$V$838,$A211,Council_Data!$J$3:$J$838)</f>
        <v>8</v>
      </c>
      <c r="I211">
        <f>SUMIF(Council_Data!$V$3:$V$838,$A211,Council_Data!$K$3:$K$838)</f>
        <v>0</v>
      </c>
      <c r="J211">
        <f>SUMIF(Council_Data!$V$3:$V$838,$A211,Council_Data!$L$3:$L$838)</f>
        <v>8</v>
      </c>
      <c r="K211" s="63">
        <f t="shared" si="20"/>
        <v>0.61538461538461542</v>
      </c>
      <c r="L211">
        <f>ROUND(SUMIF(Council_Data!$V$3:$V$838,$A211,Council_Data!$N$3:$N$838)*0.7,0)</f>
        <v>0</v>
      </c>
      <c r="M211">
        <f>SUMIF(Council_Data!$V$3:$V$838,$A211,Council_Data!$O$3:$O$838)</f>
        <v>0</v>
      </c>
      <c r="N211">
        <f>SUMIF(Council_Data!$V$3:$V$838,$A211,Council_Data!$P$3:$P$838)</f>
        <v>0</v>
      </c>
      <c r="O211">
        <f>SUMIF(Council_Data!$V$3:$V$838,$A211,Council_Data!$Q$3:$Q$838)</f>
        <v>0</v>
      </c>
      <c r="P211">
        <f>SUMIF(Council_Data!$V$3:$V$838,$A211,Council_Data!$R$3:$R$838)</f>
        <v>1</v>
      </c>
      <c r="Q211">
        <f>SUMIF(Council_Data!$V$3:$V$838,$A211,Council_Data!$S$3:$S$838)</f>
        <v>0</v>
      </c>
      <c r="R211">
        <f>SUMIF(Council_Data!$V$3:$V$838,$A211,Council_Data!$T$3:$T$838)</f>
        <v>1</v>
      </c>
      <c r="S211" s="63">
        <f t="shared" si="21"/>
        <v>0</v>
      </c>
      <c r="T211" t="str">
        <f>IF(ISNA(VLOOKUP($A211,DD_Info!$A$1:$E$222,2,0)),0,VLOOKUP($A211,DD_Info!$A$1:$E$222,2,0))</f>
        <v>Jose A Ramos</v>
      </c>
    </row>
    <row r="212" spans="1:20">
      <c r="A212" s="81">
        <v>235</v>
      </c>
      <c r="B212" t="str">
        <f>IF(ISNA(VLOOKUP($A212,DD_Info!$A$1:$E$222,3,0)),0,VLOOKUP($A212,DD_Info!$A$1:$E$222,3,0))</f>
        <v>Laredo</v>
      </c>
      <c r="C212">
        <f>SUMIF(Council_Data!$V$3:$V$838,$A212,Council_Data!$E$3:$E$838)</f>
        <v>307</v>
      </c>
      <c r="D212">
        <f>ROUND(SUMIF(Council_Data!$V$3:$V$838,$A212,Council_Data!$F$3:$F$838)*0.7,0)</f>
        <v>11</v>
      </c>
      <c r="E212">
        <f>SUMIF(Council_Data!$V$3:$V$838,$A212,Council_Data!$G$3:$G$838)</f>
        <v>0</v>
      </c>
      <c r="F212">
        <f>SUMIF(Council_Data!$V$3:$V$838,$A212,Council_Data!$H$3:$H$838)</f>
        <v>0</v>
      </c>
      <c r="G212">
        <f>SUMIF(Council_Data!$V$3:$V$838,$A212,Council_Data!$I$3:$I$838)</f>
        <v>0</v>
      </c>
      <c r="H212">
        <f>SUMIF(Council_Data!$V$3:$V$838,$A212,Council_Data!$J$3:$J$838)</f>
        <v>1</v>
      </c>
      <c r="I212">
        <f>SUMIF(Council_Data!$V$3:$V$838,$A212,Council_Data!$K$3:$K$838)</f>
        <v>0</v>
      </c>
      <c r="J212">
        <f>SUMIF(Council_Data!$V$3:$V$838,$A212,Council_Data!$L$3:$L$838)</f>
        <v>1</v>
      </c>
      <c r="K212" s="63">
        <f t="shared" si="20"/>
        <v>9.0909090909090912E-2</v>
      </c>
      <c r="L212">
        <f>ROUND(SUMIF(Council_Data!$V$3:$V$838,$A212,Council_Data!$N$3:$N$838)*0.7,0)</f>
        <v>0</v>
      </c>
      <c r="M212">
        <f>SUMIF(Council_Data!$V$3:$V$838,$A212,Council_Data!$O$3:$O$838)</f>
        <v>0</v>
      </c>
      <c r="N212">
        <f>SUMIF(Council_Data!$V$3:$V$838,$A212,Council_Data!$P$3:$P$838)</f>
        <v>0</v>
      </c>
      <c r="O212">
        <f>SUMIF(Council_Data!$V$3:$V$838,$A212,Council_Data!$Q$3:$Q$838)</f>
        <v>0</v>
      </c>
      <c r="P212">
        <f>SUMIF(Council_Data!$V$3:$V$838,$A212,Council_Data!$R$3:$R$838)</f>
        <v>0</v>
      </c>
      <c r="Q212">
        <f>SUMIF(Council_Data!$V$3:$V$838,$A212,Council_Data!$S$3:$S$838)</f>
        <v>1</v>
      </c>
      <c r="R212">
        <f>SUMIF(Council_Data!$V$3:$V$838,$A212,Council_Data!$T$3:$T$838)</f>
        <v>-1</v>
      </c>
      <c r="S212" s="63">
        <f t="shared" si="21"/>
        <v>0</v>
      </c>
      <c r="T212" t="str">
        <f>IF(ISNA(VLOOKUP($A212,DD_Info!$A$1:$E$222,2,0)),0,VLOOKUP($A212,DD_Info!$A$1:$E$222,2,0))</f>
        <v>Luciano V Vargas</v>
      </c>
    </row>
    <row r="213" spans="1:20">
      <c r="A213" s="81">
        <v>236</v>
      </c>
      <c r="B213" t="str">
        <f>IF(ISNA(VLOOKUP($A213,DD_Info!$A$1:$E$222,3,0)),0,VLOOKUP($A213,DD_Info!$A$1:$E$222,3,0))</f>
        <v>Laredo</v>
      </c>
      <c r="C213">
        <f>SUMIF(Council_Data!$V$3:$V$838,$A213,Council_Data!$E$3:$E$838)</f>
        <v>193</v>
      </c>
      <c r="D213">
        <f>ROUND(SUMIF(Council_Data!$V$3:$V$838,$A213,Council_Data!$F$3:$F$838)*0.7,0)</f>
        <v>8</v>
      </c>
      <c r="E213">
        <f>SUMIF(Council_Data!$V$3:$V$838,$A213,Council_Data!$G$3:$G$838)</f>
        <v>0</v>
      </c>
      <c r="F213">
        <f>SUMIF(Council_Data!$V$3:$V$838,$A213,Council_Data!$H$3:$H$838)</f>
        <v>0</v>
      </c>
      <c r="G213">
        <f>SUMIF(Council_Data!$V$3:$V$838,$A213,Council_Data!$I$3:$I$838)</f>
        <v>0</v>
      </c>
      <c r="H213">
        <f>SUMIF(Council_Data!$V$3:$V$838,$A213,Council_Data!$J$3:$J$838)</f>
        <v>2</v>
      </c>
      <c r="I213">
        <f>SUMIF(Council_Data!$V$3:$V$838,$A213,Council_Data!$K$3:$K$838)</f>
        <v>0</v>
      </c>
      <c r="J213">
        <f>SUMIF(Council_Data!$V$3:$V$838,$A213,Council_Data!$L$3:$L$838)</f>
        <v>2</v>
      </c>
      <c r="K213" s="63">
        <f t="shared" si="20"/>
        <v>0.25</v>
      </c>
      <c r="L213">
        <f>ROUND(SUMIF(Council_Data!$V$3:$V$838,$A213,Council_Data!$N$3:$N$838)*0.7,0)</f>
        <v>0</v>
      </c>
      <c r="M213">
        <f>SUMIF(Council_Data!$V$3:$V$838,$A213,Council_Data!$O$3:$O$838)</f>
        <v>0</v>
      </c>
      <c r="N213">
        <f>SUMIF(Council_Data!$V$3:$V$838,$A213,Council_Data!$P$3:$P$838)</f>
        <v>0</v>
      </c>
      <c r="O213">
        <f>SUMIF(Council_Data!$V$3:$V$838,$A213,Council_Data!$Q$3:$Q$838)</f>
        <v>0</v>
      </c>
      <c r="P213">
        <f>SUMIF(Council_Data!$V$3:$V$838,$A213,Council_Data!$R$3:$R$838)</f>
        <v>1</v>
      </c>
      <c r="Q213">
        <f>SUMIF(Council_Data!$V$3:$V$838,$A213,Council_Data!$S$3:$S$838)</f>
        <v>1</v>
      </c>
      <c r="R213">
        <f>SUMIF(Council_Data!$V$3:$V$838,$A213,Council_Data!$T$3:$T$838)</f>
        <v>0</v>
      </c>
      <c r="S213" s="63">
        <f t="shared" si="21"/>
        <v>0</v>
      </c>
      <c r="T213" t="str">
        <f>IF(ISNA(VLOOKUP($A213,DD_Info!$A$1:$E$222,2,0)),0,VLOOKUP($A213,DD_Info!$A$1:$E$222,2,0))</f>
        <v>Enrique  Adriano</v>
      </c>
    </row>
    <row r="214" spans="1:20" ht="15">
      <c r="A214" s="300">
        <v>237</v>
      </c>
      <c r="B214" t="str">
        <f>IF(ISNA(VLOOKUP($A214,DD_Info!$A$1:$E$222,3,0)),0,VLOOKUP($A214,DD_Info!$A$1:$E$222,3,0))</f>
        <v>Laredo</v>
      </c>
      <c r="C214">
        <f>SUMIF(Council_Data!$V$3:$V$838,$A214,Council_Data!$E$3:$E$838)</f>
        <v>155</v>
      </c>
      <c r="D214">
        <f>ROUND(SUMIF(Council_Data!$V$3:$V$838,$A214,Council_Data!$F$3:$F$838)*0.7,0)</f>
        <v>7</v>
      </c>
      <c r="E214">
        <f>SUMIF(Council_Data!$V$3:$V$838,$A214,Council_Data!$G$3:$G$838)</f>
        <v>0</v>
      </c>
      <c r="F214">
        <f>SUMIF(Council_Data!$V$3:$V$838,$A214,Council_Data!$H$3:$H$838)</f>
        <v>0</v>
      </c>
      <c r="G214">
        <f>SUMIF(Council_Data!$V$3:$V$838,$A214,Council_Data!$I$3:$I$838)</f>
        <v>0</v>
      </c>
      <c r="H214">
        <f>SUMIF(Council_Data!$V$3:$V$838,$A214,Council_Data!$J$3:$J$838)</f>
        <v>0</v>
      </c>
      <c r="I214">
        <f>SUMIF(Council_Data!$V$3:$V$838,$A214,Council_Data!$K$3:$K$838)</f>
        <v>0</v>
      </c>
      <c r="J214">
        <f>SUMIF(Council_Data!$V$3:$V$838,$A214,Council_Data!$L$3:$L$838)</f>
        <v>0</v>
      </c>
      <c r="K214" s="63">
        <f t="shared" si="20"/>
        <v>0</v>
      </c>
      <c r="L214">
        <f>ROUND(SUMIF(Council_Data!$V$3:$V$838,$A214,Council_Data!$N$3:$N$838)*0.7,0)</f>
        <v>0</v>
      </c>
      <c r="M214">
        <f>SUMIF(Council_Data!$V$3:$V$838,$A214,Council_Data!$O$3:$O$838)</f>
        <v>0</v>
      </c>
      <c r="N214">
        <f>SUMIF(Council_Data!$V$3:$V$838,$A214,Council_Data!$P$3:$P$838)</f>
        <v>0</v>
      </c>
      <c r="O214">
        <f>SUMIF(Council_Data!$V$3:$V$838,$A214,Council_Data!$Q$3:$Q$838)</f>
        <v>0</v>
      </c>
      <c r="P214">
        <f>SUMIF(Council_Data!$V$3:$V$838,$A214,Council_Data!$R$3:$R$838)</f>
        <v>0</v>
      </c>
      <c r="Q214">
        <f>SUMIF(Council_Data!$V$3:$V$838,$A214,Council_Data!$S$3:$S$838)</f>
        <v>1</v>
      </c>
      <c r="R214">
        <f>SUMIF(Council_Data!$V$3:$V$838,$A214,Council_Data!$T$3:$T$838)</f>
        <v>-1</v>
      </c>
      <c r="S214" s="63">
        <f t="shared" si="21"/>
        <v>0</v>
      </c>
      <c r="T214" t="str">
        <f>IF(ISNA(VLOOKUP($A214,DD_Info!$A$1:$E$222,2,0)),0,VLOOKUP($A214,DD_Info!$A$1:$E$222,2,0))</f>
        <v>Eduardo  Benavidez</v>
      </c>
    </row>
    <row r="215" spans="1:20" ht="15">
      <c r="A215" s="65">
        <v>238</v>
      </c>
      <c r="B215" t="str">
        <f>IF(ISNA(VLOOKUP($A215,DD_Info!$A$1:$E$222,3,0)),0,VLOOKUP($A215,DD_Info!$A$1:$E$222,3,0))</f>
        <v>Laredo</v>
      </c>
      <c r="C215">
        <f>SUMIF(Council_Data!$V$3:$V$838,$A215,Council_Data!$E$3:$E$838)</f>
        <v>176</v>
      </c>
      <c r="D215">
        <f>ROUND(SUMIF(Council_Data!$V$3:$V$838,$A215,Council_Data!$F$3:$F$838)*0.7,0)</f>
        <v>7</v>
      </c>
      <c r="E215">
        <f>SUMIF(Council_Data!$V$3:$V$838,$A215,Council_Data!$G$3:$G$838)</f>
        <v>0</v>
      </c>
      <c r="F215">
        <f>SUMIF(Council_Data!$V$3:$V$838,$A215,Council_Data!$H$3:$H$838)</f>
        <v>0</v>
      </c>
      <c r="G215">
        <f>SUMIF(Council_Data!$V$3:$V$838,$A215,Council_Data!$I$3:$I$838)</f>
        <v>0</v>
      </c>
      <c r="H215">
        <f>SUMIF(Council_Data!$V$3:$V$838,$A215,Council_Data!$J$3:$J$838)</f>
        <v>0</v>
      </c>
      <c r="I215">
        <f>SUMIF(Council_Data!$V$3:$V$838,$A215,Council_Data!$K$3:$K$838)</f>
        <v>0</v>
      </c>
      <c r="J215">
        <f>SUMIF(Council_Data!$V$3:$V$838,$A215,Council_Data!$L$3:$L$838)</f>
        <v>0</v>
      </c>
      <c r="K215" s="63">
        <f t="shared" si="20"/>
        <v>0</v>
      </c>
      <c r="L215">
        <f>ROUND(SUMIF(Council_Data!$V$3:$V$838,$A215,Council_Data!$N$3:$N$838)*0.7,0)</f>
        <v>0</v>
      </c>
      <c r="M215">
        <f>SUMIF(Council_Data!$V$3:$V$838,$A215,Council_Data!$O$3:$O$838)</f>
        <v>0</v>
      </c>
      <c r="N215">
        <f>SUMIF(Council_Data!$V$3:$V$838,$A215,Council_Data!$P$3:$P$838)</f>
        <v>0</v>
      </c>
      <c r="O215">
        <f>SUMIF(Council_Data!$V$3:$V$838,$A215,Council_Data!$Q$3:$Q$838)</f>
        <v>0</v>
      </c>
      <c r="P215">
        <f>SUMIF(Council_Data!$V$3:$V$838,$A215,Council_Data!$R$3:$R$838)</f>
        <v>0</v>
      </c>
      <c r="Q215">
        <f>SUMIF(Council_Data!$V$3:$V$838,$A215,Council_Data!$S$3:$S$838)</f>
        <v>0</v>
      </c>
      <c r="R215">
        <f>SUMIF(Council_Data!$V$3:$V$838,$A215,Council_Data!$T$3:$T$838)</f>
        <v>0</v>
      </c>
      <c r="S215" s="63">
        <f t="shared" si="21"/>
        <v>0</v>
      </c>
      <c r="T215" t="str">
        <f>IF(ISNA(VLOOKUP($A215,DD_Info!$A$1:$E$222,2,0)),0,VLOOKUP($A215,DD_Info!$A$1:$E$222,2,0))</f>
        <v>Adan  Gonzalez</v>
      </c>
    </row>
    <row r="216" spans="1:20" ht="15">
      <c r="A216" s="65">
        <v>241</v>
      </c>
      <c r="B216" t="str">
        <f>IF(ISNA(VLOOKUP($A216,DD_Info!$A$1:$E$222,3,0)),0,VLOOKUP($A216,DD_Info!$A$1:$E$222,3,0))</f>
        <v>Lubbock</v>
      </c>
      <c r="C216">
        <f>SUMIF(Council_Data!$V$3:$V$838,$A216,Council_Data!$E$3:$E$838)</f>
        <v>93</v>
      </c>
      <c r="D216">
        <f>ROUND(SUMIF(Council_Data!$V$3:$V$838,$A216,Council_Data!$F$3:$F$838)*0.7,0)</f>
        <v>6</v>
      </c>
      <c r="E216">
        <f>SUMIF(Council_Data!$V$3:$V$838,$A216,Council_Data!$G$3:$G$838)</f>
        <v>0</v>
      </c>
      <c r="F216">
        <f>SUMIF(Council_Data!$V$3:$V$838,$A216,Council_Data!$H$3:$H$838)</f>
        <v>0</v>
      </c>
      <c r="G216">
        <f>SUMIF(Council_Data!$V$3:$V$838,$A216,Council_Data!$I$3:$I$838)</f>
        <v>0</v>
      </c>
      <c r="H216">
        <f>SUMIF(Council_Data!$V$3:$V$838,$A216,Council_Data!$J$3:$J$838)</f>
        <v>0</v>
      </c>
      <c r="I216">
        <f>SUMIF(Council_Data!$V$3:$V$838,$A216,Council_Data!$K$3:$K$838)</f>
        <v>0</v>
      </c>
      <c r="J216">
        <f>SUMIF(Council_Data!$V$3:$V$838,$A216,Council_Data!$L$3:$L$838)</f>
        <v>0</v>
      </c>
      <c r="K216" s="63">
        <f t="shared" si="20"/>
        <v>0</v>
      </c>
      <c r="L216">
        <f>ROUND(SUMIF(Council_Data!$V$3:$V$838,$A216,Council_Data!$N$3:$N$838)*0.7,0)</f>
        <v>0</v>
      </c>
      <c r="M216">
        <f>SUMIF(Council_Data!$V$3:$V$838,$A216,Council_Data!$O$3:$O$838)</f>
        <v>0</v>
      </c>
      <c r="N216">
        <f>SUMIF(Council_Data!$V$3:$V$838,$A216,Council_Data!$P$3:$P$838)</f>
        <v>0</v>
      </c>
      <c r="O216">
        <f>SUMIF(Council_Data!$V$3:$V$838,$A216,Council_Data!$Q$3:$Q$838)</f>
        <v>0</v>
      </c>
      <c r="P216">
        <f>SUMIF(Council_Data!$V$3:$V$838,$A216,Council_Data!$R$3:$R$838)</f>
        <v>0</v>
      </c>
      <c r="Q216">
        <f>SUMIF(Council_Data!$V$3:$V$838,$A216,Council_Data!$S$3:$S$838)</f>
        <v>0</v>
      </c>
      <c r="R216">
        <f>SUMIF(Council_Data!$V$3:$V$838,$A216,Council_Data!$T$3:$T$838)</f>
        <v>0</v>
      </c>
      <c r="S216" s="63">
        <f t="shared" si="21"/>
        <v>0</v>
      </c>
      <c r="T216" t="str">
        <f>IF(ISNA(VLOOKUP($A216,DD_Info!$A$1:$E$222,2,0)),0,VLOOKUP($A216,DD_Info!$A$1:$E$222,2,0))</f>
        <v>Arlie E Markusen</v>
      </c>
    </row>
    <row r="217" spans="1:20" ht="15">
      <c r="A217" s="65">
        <v>242</v>
      </c>
      <c r="B217" t="str">
        <f>IF(ISNA(VLOOKUP($A217,DD_Info!$A$1:$E$222,3,0)),0,VLOOKUP($A217,DD_Info!$A$1:$E$222,3,0))</f>
        <v>Lubbock</v>
      </c>
      <c r="C217">
        <f>SUMIF(Council_Data!$V$3:$V$838,$A217,Council_Data!$E$3:$E$838)</f>
        <v>114</v>
      </c>
      <c r="D217">
        <f>ROUND(SUMIF(Council_Data!$V$3:$V$838,$A217,Council_Data!$F$3:$F$838)*0.7,0)</f>
        <v>4</v>
      </c>
      <c r="E217">
        <f>SUMIF(Council_Data!$V$3:$V$838,$A217,Council_Data!$G$3:$G$838)</f>
        <v>0</v>
      </c>
      <c r="F217">
        <f>SUMIF(Council_Data!$V$3:$V$838,$A217,Council_Data!$H$3:$H$838)</f>
        <v>0</v>
      </c>
      <c r="G217">
        <f>SUMIF(Council_Data!$V$3:$V$838,$A217,Council_Data!$I$3:$I$838)</f>
        <v>0</v>
      </c>
      <c r="H217">
        <f>SUMIF(Council_Data!$V$3:$V$838,$A217,Council_Data!$J$3:$J$838)</f>
        <v>3</v>
      </c>
      <c r="I217">
        <f>SUMIF(Council_Data!$V$3:$V$838,$A217,Council_Data!$K$3:$K$838)</f>
        <v>0</v>
      </c>
      <c r="J217">
        <f>SUMIF(Council_Data!$V$3:$V$838,$A217,Council_Data!$L$3:$L$838)</f>
        <v>3</v>
      </c>
      <c r="K217" s="63">
        <f t="shared" ref="K217:K219" si="22">IFERROR(J217/D217,0)</f>
        <v>0.75</v>
      </c>
      <c r="L217">
        <f>ROUND(SUMIF(Council_Data!$V$3:$V$838,$A217,Council_Data!$N$3:$N$838)*0.7,0)</f>
        <v>0</v>
      </c>
      <c r="M217">
        <f>SUMIF(Council_Data!$V$3:$V$838,$A217,Council_Data!$O$3:$O$838)</f>
        <v>0</v>
      </c>
      <c r="N217">
        <f>SUMIF(Council_Data!$V$3:$V$838,$A217,Council_Data!$P$3:$P$838)</f>
        <v>0</v>
      </c>
      <c r="O217">
        <f>SUMIF(Council_Data!$V$3:$V$838,$A217,Council_Data!$Q$3:$Q$838)</f>
        <v>0</v>
      </c>
      <c r="P217">
        <f>SUMIF(Council_Data!$V$3:$V$838,$A217,Council_Data!$R$3:$R$838)</f>
        <v>0</v>
      </c>
      <c r="Q217">
        <f>SUMIF(Council_Data!$V$3:$V$838,$A217,Council_Data!$S$3:$S$838)</f>
        <v>1</v>
      </c>
      <c r="R217">
        <f>SUMIF(Council_Data!$V$3:$V$838,$A217,Council_Data!$T$3:$T$838)</f>
        <v>-1</v>
      </c>
      <c r="S217" s="63">
        <f t="shared" ref="S217:S219" si="23">IFERROR(R217/L217,0)</f>
        <v>0</v>
      </c>
      <c r="T217" t="str">
        <f>IF(ISNA(VLOOKUP($A217,DD_Info!$A$1:$E$222,2,0)),0,VLOOKUP($A217,DD_Info!$A$1:$E$222,2,0))</f>
        <v>TO BE APPOINTED</v>
      </c>
    </row>
    <row r="218" spans="1:20" ht="15">
      <c r="A218" s="65">
        <v>243</v>
      </c>
      <c r="B218" t="str">
        <f>IF(ISNA(VLOOKUP($A218,DD_Info!$A$1:$E$222,3,0)),0,VLOOKUP($A218,DD_Info!$A$1:$E$222,3,0))</f>
        <v>Lubbock</v>
      </c>
      <c r="C218">
        <f>SUMIF(Council_Data!$V$3:$V$838,$A218,Council_Data!$E$3:$E$838)</f>
        <v>481</v>
      </c>
      <c r="D218">
        <f>ROUND(SUMIF(Council_Data!$V$3:$V$838,$A218,Council_Data!$F$3:$F$838)*0.7,0)</f>
        <v>18</v>
      </c>
      <c r="E218">
        <f>SUMIF(Council_Data!$V$3:$V$838,$A218,Council_Data!$G$3:$G$838)</f>
        <v>0</v>
      </c>
      <c r="F218">
        <f>SUMIF(Council_Data!$V$3:$V$838,$A218,Council_Data!$H$3:$H$838)</f>
        <v>0</v>
      </c>
      <c r="G218">
        <f>SUMIF(Council_Data!$V$3:$V$838,$A218,Council_Data!$I$3:$I$838)</f>
        <v>0</v>
      </c>
      <c r="H218">
        <f>SUMIF(Council_Data!$V$3:$V$838,$A218,Council_Data!$J$3:$J$838)</f>
        <v>3</v>
      </c>
      <c r="I218">
        <f>SUMIF(Council_Data!$V$3:$V$838,$A218,Council_Data!$K$3:$K$838)</f>
        <v>1</v>
      </c>
      <c r="J218">
        <f>SUMIF(Council_Data!$V$3:$V$838,$A218,Council_Data!$L$3:$L$838)</f>
        <v>2</v>
      </c>
      <c r="K218" s="63">
        <f t="shared" si="22"/>
        <v>0.1111111111111111</v>
      </c>
      <c r="L218">
        <f>ROUND(SUMIF(Council_Data!$V$3:$V$838,$A218,Council_Data!$N$3:$N$838)*0.7,0)</f>
        <v>0</v>
      </c>
      <c r="M218">
        <f>SUMIF(Council_Data!$V$3:$V$838,$A218,Council_Data!$O$3:$O$838)</f>
        <v>0</v>
      </c>
      <c r="N218">
        <f>SUMIF(Council_Data!$V$3:$V$838,$A218,Council_Data!$P$3:$P$838)</f>
        <v>1</v>
      </c>
      <c r="O218">
        <f>SUMIF(Council_Data!$V$3:$V$838,$A218,Council_Data!$Q$3:$Q$838)</f>
        <v>-1</v>
      </c>
      <c r="P218">
        <f>SUMIF(Council_Data!$V$3:$V$838,$A218,Council_Data!$R$3:$R$838)</f>
        <v>2</v>
      </c>
      <c r="Q218">
        <f>SUMIF(Council_Data!$V$3:$V$838,$A218,Council_Data!$S$3:$S$838)</f>
        <v>4</v>
      </c>
      <c r="R218">
        <f>SUMIF(Council_Data!$V$3:$V$838,$A218,Council_Data!$T$3:$T$838)</f>
        <v>-2</v>
      </c>
      <c r="S218" s="63">
        <f t="shared" si="23"/>
        <v>0</v>
      </c>
      <c r="T218" t="str">
        <f>IF(ISNA(VLOOKUP($A218,DD_Info!$A$1:$E$222,2,0)),0,VLOOKUP($A218,DD_Info!$A$1:$E$222,2,0))</f>
        <v>Brad  Simmons</v>
      </c>
    </row>
    <row r="219" spans="1:20" ht="15">
      <c r="A219" s="65">
        <v>244</v>
      </c>
      <c r="B219" t="str">
        <f>IF(ISNA(VLOOKUP($A219,DD_Info!$A$1:$E$222,3,0)),0,VLOOKUP($A219,DD_Info!$A$1:$E$222,3,0))</f>
        <v>Lubbock</v>
      </c>
      <c r="C219">
        <f>SUMIF(Council_Data!$V$3:$V$838,$A219,Council_Data!$E$3:$E$838)</f>
        <v>308</v>
      </c>
      <c r="D219">
        <f>ROUND(SUMIF(Council_Data!$V$3:$V$838,$A219,Council_Data!$F$3:$F$838)*0.7,0)</f>
        <v>13</v>
      </c>
      <c r="E219">
        <f>SUMIF(Council_Data!$V$3:$V$838,$A219,Council_Data!$G$3:$G$838)</f>
        <v>1</v>
      </c>
      <c r="F219">
        <f>SUMIF(Council_Data!$V$3:$V$838,$A219,Council_Data!$H$3:$H$838)</f>
        <v>0</v>
      </c>
      <c r="G219">
        <f>SUMIF(Council_Data!$V$3:$V$838,$A219,Council_Data!$I$3:$I$838)</f>
        <v>1</v>
      </c>
      <c r="H219">
        <f>SUMIF(Council_Data!$V$3:$V$838,$A219,Council_Data!$J$3:$J$838)</f>
        <v>17</v>
      </c>
      <c r="I219">
        <f>SUMIF(Council_Data!$V$3:$V$838,$A219,Council_Data!$K$3:$K$838)</f>
        <v>0</v>
      </c>
      <c r="J219">
        <f>SUMIF(Council_Data!$V$3:$V$838,$A219,Council_Data!$L$3:$L$838)</f>
        <v>17</v>
      </c>
      <c r="K219" s="63">
        <f t="shared" si="22"/>
        <v>1.3076923076923077</v>
      </c>
      <c r="L219">
        <f>ROUND(SUMIF(Council_Data!$V$3:$V$838,$A219,Council_Data!$N$3:$N$838)*0.7,0)</f>
        <v>0</v>
      </c>
      <c r="M219">
        <f>SUMIF(Council_Data!$V$3:$V$838,$A219,Council_Data!$O$3:$O$838)</f>
        <v>1</v>
      </c>
      <c r="N219">
        <f>SUMIF(Council_Data!$V$3:$V$838,$A219,Council_Data!$P$3:$P$838)</f>
        <v>1</v>
      </c>
      <c r="O219">
        <f>SUMIF(Council_Data!$V$3:$V$838,$A219,Council_Data!$Q$3:$Q$838)</f>
        <v>0</v>
      </c>
      <c r="P219">
        <f>SUMIF(Council_Data!$V$3:$V$838,$A219,Council_Data!$R$3:$R$838)</f>
        <v>3</v>
      </c>
      <c r="Q219">
        <f>SUMIF(Council_Data!$V$3:$V$838,$A219,Council_Data!$S$3:$S$838)</f>
        <v>3</v>
      </c>
      <c r="R219">
        <f>SUMIF(Council_Data!$V$3:$V$838,$A219,Council_Data!$T$3:$T$838)</f>
        <v>0</v>
      </c>
      <c r="S219" s="63">
        <f t="shared" si="23"/>
        <v>0</v>
      </c>
      <c r="T219" t="str">
        <f>IF(ISNA(VLOOKUP($A219,DD_Info!$A$1:$E$222,2,0)),0,VLOOKUP($A219,DD_Info!$A$1:$E$222,2,0))</f>
        <v>Joe  Leos</v>
      </c>
    </row>
    <row r="220" spans="1:20" ht="15">
      <c r="A220" s="311">
        <v>245</v>
      </c>
      <c r="B220" t="str">
        <f>IF(ISNA(VLOOKUP($A220,DD_Info!$A$1:$E$222,3,0)),0,VLOOKUP($A220,DD_Info!$A$1:$E$222,3,0))</f>
        <v>Lubbock</v>
      </c>
      <c r="C220">
        <f>SUMIF(Council_Data!$V$3:$V$838,$A220,Council_Data!$E$3:$E$838)</f>
        <v>284</v>
      </c>
      <c r="D220">
        <f>ROUND(SUMIF(Council_Data!$V$3:$V$838,$A220,Council_Data!$F$3:$F$838)*0.7,0)</f>
        <v>13</v>
      </c>
      <c r="E220">
        <f>SUMIF(Council_Data!$V$3:$V$838,$A220,Council_Data!$G$3:$G$838)</f>
        <v>0</v>
      </c>
      <c r="F220">
        <f>SUMIF(Council_Data!$V$3:$V$838,$A220,Council_Data!$H$3:$H$838)</f>
        <v>0</v>
      </c>
      <c r="G220">
        <f>SUMIF(Council_Data!$V$3:$V$838,$A220,Council_Data!$I$3:$I$838)</f>
        <v>0</v>
      </c>
      <c r="H220">
        <f>SUMIF(Council_Data!$V$3:$V$838,$A220,Council_Data!$J$3:$J$838)</f>
        <v>3</v>
      </c>
      <c r="I220">
        <f>SUMIF(Council_Data!$V$3:$V$838,$A220,Council_Data!$K$3:$K$838)</f>
        <v>0</v>
      </c>
      <c r="J220">
        <f>SUMIF(Council_Data!$V$3:$V$838,$A220,Council_Data!$L$3:$L$838)</f>
        <v>3</v>
      </c>
      <c r="K220" s="63">
        <f t="shared" ref="K220:K222" si="24">IFERROR(J220/D220,0)</f>
        <v>0.23076923076923078</v>
      </c>
      <c r="L220">
        <f>ROUND(SUMIF(Council_Data!$V$3:$V$838,$A220,Council_Data!$N$3:$N$838)*0.7,0)</f>
        <v>0</v>
      </c>
      <c r="M220">
        <f>SUMIF(Council_Data!$V$3:$V$838,$A220,Council_Data!$O$3:$O$838)</f>
        <v>0</v>
      </c>
      <c r="N220">
        <f>SUMIF(Council_Data!$V$3:$V$838,$A220,Council_Data!$P$3:$P$838)</f>
        <v>1</v>
      </c>
      <c r="O220">
        <f>SUMIF(Council_Data!$V$3:$V$838,$A220,Council_Data!$Q$3:$Q$838)</f>
        <v>-1</v>
      </c>
      <c r="P220">
        <f>SUMIF(Council_Data!$V$3:$V$838,$A220,Council_Data!$R$3:$R$838)</f>
        <v>1</v>
      </c>
      <c r="Q220">
        <f>SUMIF(Council_Data!$V$3:$V$838,$A220,Council_Data!$S$3:$S$838)</f>
        <v>3</v>
      </c>
      <c r="R220">
        <f>SUMIF(Council_Data!$V$3:$V$838,$A220,Council_Data!$T$3:$T$838)</f>
        <v>-2</v>
      </c>
      <c r="S220" s="63">
        <f t="shared" ref="S220:S222" si="25">IFERROR(R220/L220,0)</f>
        <v>0</v>
      </c>
      <c r="T220" t="str">
        <f>IF(ISNA(VLOOKUP($A220,DD_Info!$A$1:$E$222,2,0)),0,VLOOKUP($A220,DD_Info!$A$1:$E$222,2,0))</f>
        <v>Leandro H Trinidad , Jr</v>
      </c>
    </row>
    <row r="221" spans="1:20">
      <c r="A221">
        <v>246</v>
      </c>
      <c r="B221" t="str">
        <f>IF(ISNA(VLOOKUP($A221,DD_Info!$A$1:$E$222,3,0)),0,VLOOKUP($A221,DD_Info!$A$1:$E$222,3,0))</f>
        <v>Lubbock</v>
      </c>
      <c r="C221">
        <f>SUMIF(Council_Data!$V$3:$V$838,$A221,Council_Data!$E$3:$E$838)</f>
        <v>750</v>
      </c>
      <c r="D221">
        <f>ROUND(SUMIF(Council_Data!$V$3:$V$838,$A221,Council_Data!$F$3:$F$838)*0.7,0)</f>
        <v>25</v>
      </c>
      <c r="E221">
        <f>SUMIF(Council_Data!$V$3:$V$838,$A221,Council_Data!$G$3:$G$838)</f>
        <v>6</v>
      </c>
      <c r="F221">
        <f>SUMIF(Council_Data!$V$3:$V$838,$A221,Council_Data!$H$3:$H$838)</f>
        <v>0</v>
      </c>
      <c r="G221">
        <f>SUMIF(Council_Data!$V$3:$V$838,$A221,Council_Data!$I$3:$I$838)</f>
        <v>6</v>
      </c>
      <c r="H221">
        <f>SUMIF(Council_Data!$V$3:$V$838,$A221,Council_Data!$J$3:$J$838)</f>
        <v>22</v>
      </c>
      <c r="I221">
        <f>SUMIF(Council_Data!$V$3:$V$838,$A221,Council_Data!$K$3:$K$838)</f>
        <v>6</v>
      </c>
      <c r="J221">
        <f>SUMIF(Council_Data!$V$3:$V$838,$A221,Council_Data!$L$3:$L$838)</f>
        <v>16</v>
      </c>
      <c r="K221" s="63">
        <f t="shared" si="24"/>
        <v>0.64</v>
      </c>
      <c r="L221">
        <f>ROUND(SUMIF(Council_Data!$V$3:$V$838,$A221,Council_Data!$N$3:$N$838)*0.7,0)</f>
        <v>0</v>
      </c>
      <c r="M221">
        <f>SUMIF(Council_Data!$V$3:$V$838,$A221,Council_Data!$O$3:$O$838)</f>
        <v>2</v>
      </c>
      <c r="N221">
        <f>SUMIF(Council_Data!$V$3:$V$838,$A221,Council_Data!$P$3:$P$838)</f>
        <v>0</v>
      </c>
      <c r="O221">
        <f>SUMIF(Council_Data!$V$3:$V$838,$A221,Council_Data!$Q$3:$Q$838)</f>
        <v>2</v>
      </c>
      <c r="P221">
        <f>SUMIF(Council_Data!$V$3:$V$838,$A221,Council_Data!$R$3:$R$838)</f>
        <v>9</v>
      </c>
      <c r="Q221">
        <f>SUMIF(Council_Data!$V$3:$V$838,$A221,Council_Data!$S$3:$S$838)</f>
        <v>3</v>
      </c>
      <c r="R221">
        <f>SUMIF(Council_Data!$V$3:$V$838,$A221,Council_Data!$T$3:$T$838)</f>
        <v>6</v>
      </c>
      <c r="S221" s="63">
        <f t="shared" si="25"/>
        <v>0</v>
      </c>
      <c r="T221" t="str">
        <f>IF(ISNA(VLOOKUP($A221,DD_Info!$A$1:$E$222,2,0)),0,VLOOKUP($A221,DD_Info!$A$1:$E$222,2,0))</f>
        <v>Francisco  Sotelo</v>
      </c>
    </row>
    <row r="222" spans="1:20">
      <c r="A222">
        <v>247</v>
      </c>
      <c r="B222" t="str">
        <f>IF(ISNA(VLOOKUP($A222,DD_Info!$A$1:$E$222,3,0)),0,VLOOKUP($A222,DD_Info!$A$1:$E$222,3,0))</f>
        <v>Lubbock</v>
      </c>
      <c r="C222">
        <f>SUMIF(Council_Data!$V$3:$V$838,$A222,Council_Data!$E$3:$E$838)</f>
        <v>152</v>
      </c>
      <c r="D222">
        <f>ROUND(SUMIF(Council_Data!$V$3:$V$838,$A222,Council_Data!$F$3:$F$838)*0.7,0)</f>
        <v>6</v>
      </c>
      <c r="E222">
        <f>SUMIF(Council_Data!$V$3:$V$838,$A222,Council_Data!$G$3:$G$838)</f>
        <v>0</v>
      </c>
      <c r="F222">
        <f>SUMIF(Council_Data!$V$3:$V$838,$A222,Council_Data!$H$3:$H$838)</f>
        <v>0</v>
      </c>
      <c r="G222">
        <f>SUMIF(Council_Data!$V$3:$V$838,$A222,Council_Data!$I$3:$I$838)</f>
        <v>0</v>
      </c>
      <c r="H222">
        <f>SUMIF(Council_Data!$V$3:$V$838,$A222,Council_Data!$J$3:$J$838)</f>
        <v>0</v>
      </c>
      <c r="I222">
        <f>SUMIF(Council_Data!$V$3:$V$838,$A222,Council_Data!$K$3:$K$838)</f>
        <v>0</v>
      </c>
      <c r="J222">
        <f>SUMIF(Council_Data!$V$3:$V$838,$A222,Council_Data!$L$3:$L$838)</f>
        <v>0</v>
      </c>
      <c r="K222" s="63">
        <f t="shared" si="24"/>
        <v>0</v>
      </c>
      <c r="L222">
        <f>ROUND(SUMIF(Council_Data!$V$3:$V$838,$A222,Council_Data!$N$3:$N$838)*0.7,0)</f>
        <v>0</v>
      </c>
      <c r="M222">
        <f>SUMIF(Council_Data!$V$3:$V$838,$A222,Council_Data!$O$3:$O$838)</f>
        <v>1</v>
      </c>
      <c r="N222">
        <f>SUMIF(Council_Data!$V$3:$V$838,$A222,Council_Data!$P$3:$P$838)</f>
        <v>0</v>
      </c>
      <c r="O222">
        <f>SUMIF(Council_Data!$V$3:$V$838,$A222,Council_Data!$Q$3:$Q$838)</f>
        <v>1</v>
      </c>
      <c r="P222">
        <f>SUMIF(Council_Data!$V$3:$V$838,$A222,Council_Data!$R$3:$R$838)</f>
        <v>2</v>
      </c>
      <c r="Q222">
        <f>SUMIF(Council_Data!$V$3:$V$838,$A222,Council_Data!$S$3:$S$838)</f>
        <v>1</v>
      </c>
      <c r="R222">
        <f>SUMIF(Council_Data!$V$3:$V$838,$A222,Council_Data!$T$3:$T$838)</f>
        <v>1</v>
      </c>
      <c r="S222" s="63">
        <f t="shared" si="25"/>
        <v>0</v>
      </c>
      <c r="T222" t="str">
        <f>IF(ISNA(VLOOKUP($A222,DD_Info!$A$1:$E$222,2,0)),0,VLOOKUP($A222,DD_Info!$A$1:$E$222,2,0))</f>
        <v>Joe A Martinez</v>
      </c>
    </row>
    <row r="223" spans="1:20">
      <c r="A223" t="s">
        <v>93</v>
      </c>
    </row>
    <row r="225" spans="4:18">
      <c r="D225">
        <f t="shared" ref="D225:J225" si="26">SUM(D3:D219)</f>
        <v>3677</v>
      </c>
      <c r="E225">
        <f t="shared" si="26"/>
        <v>110</v>
      </c>
      <c r="F225">
        <f t="shared" si="26"/>
        <v>179</v>
      </c>
      <c r="G225">
        <f t="shared" si="26"/>
        <v>-69</v>
      </c>
      <c r="H225">
        <f t="shared" si="26"/>
        <v>1118</v>
      </c>
      <c r="I225">
        <f t="shared" si="26"/>
        <v>834</v>
      </c>
      <c r="J225">
        <f t="shared" si="26"/>
        <v>284</v>
      </c>
      <c r="L225">
        <f>SUM(L3:L219)</f>
        <v>0</v>
      </c>
      <c r="M225">
        <f t="shared" ref="M225:R225" si="27">SUM(M3:M219)</f>
        <v>53</v>
      </c>
      <c r="N225">
        <f t="shared" si="27"/>
        <v>210</v>
      </c>
      <c r="O225">
        <f t="shared" si="27"/>
        <v>-157</v>
      </c>
      <c r="P225">
        <f t="shared" si="27"/>
        <v>477</v>
      </c>
      <c r="Q225">
        <f t="shared" si="27"/>
        <v>640</v>
      </c>
      <c r="R225">
        <f t="shared" si="27"/>
        <v>-163</v>
      </c>
    </row>
    <row r="227" spans="4:18">
      <c r="J227">
        <f>COUNTIF(K3:K219,"&gt;=100%")</f>
        <v>6</v>
      </c>
      <c r="R227">
        <f>COUNTIF(S3:S219,"&gt;=100%")</f>
        <v>0</v>
      </c>
    </row>
    <row r="229" spans="4:18">
      <c r="N229">
        <f>COUNTIFS(K3:K219,"&gt;=100%",S3:S219,"&gt;=100%")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7"/>
  <sheetViews>
    <sheetView zoomScaleNormal="100" workbookViewId="0">
      <selection activeCell="B9" sqref="B9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2801</v>
      </c>
      <c r="B3" t="str">
        <f>IF(ISNA(VLOOKUP($A3,Councils!$B$6:$AE$841,3,0)),0,VLOOKUP($A3,Councils!$B$6:$AE$841,3,0))</f>
        <v>Rosenberg</v>
      </c>
      <c r="C3">
        <f>IF(ISNA(VLOOKUP($A3,Councils!$B$6:$AE$841,4,0)),0,VLOOKUP($A3,Councils!$B$6:$AE$841,4,0))</f>
        <v>333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-6.25E-2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7067</v>
      </c>
      <c r="B4" t="str">
        <f>IF(ISNA(VLOOKUP($A4,Councils!$B$6:$AE$841,3,0)),0,VLOOKUP($A4,Councils!$B$6:$AE$841,3,0))</f>
        <v>Needville</v>
      </c>
      <c r="C4">
        <f>IF(ISNA(VLOOKUP($A4,Councils!$B$6:$AE$841,4,0)),0,VLOOKUP($A4,Councils!$B$6:$AE$841,4,0))</f>
        <v>307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3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3</v>
      </c>
      <c r="P4">
        <f>IF(ISNA(VLOOKUP($A4,Councils!$B$6:$AE$841,17,0)),0,VLOOKUP($A4,Councils!$B$6:$AE$841,17,0))</f>
        <v>-3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-4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7445</v>
      </c>
      <c r="B5" t="str">
        <f>IF(ISNA(VLOOKUP($A5,Councils!$B$6:$AE$841,3,0)),0,VLOOKUP($A5,Councils!$B$6:$AE$841,3,0))</f>
        <v>Richmond</v>
      </c>
      <c r="C5">
        <f>IF(ISNA(VLOOKUP($A5,Councils!$B$6:$AE$841,4,0)),0,VLOOKUP($A5,Councils!$B$6:$AE$841,4,0))</f>
        <v>251</v>
      </c>
      <c r="D5">
        <f>IF(ISNA(VLOOKUP($A5,Councils!$B$6:$AE$841,5,0)),0,VLOOKUP($A5,Councils!$B$6:$AE$841,5,0))</f>
        <v>12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3</v>
      </c>
      <c r="G5">
        <f>IF(ISNA(VLOOKUP($A5,Councils!$B$6:$AE$81023,0)),0,VLOOKUP($A5,Councils!$B$6:$AE$841,8,0))</f>
        <v>-2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3</v>
      </c>
      <c r="J5">
        <f>IF(ISNA(VLOOKUP($A5,Councils!$B$6:$AE$841,11,0)),0,VLOOKUP($A5,Councils!$B$6:$AE$841,11,0))</f>
        <v>-1</v>
      </c>
      <c r="K5" s="63">
        <f>IFERROR(J5/D5,0)</f>
        <v>-8.3333333333333329E-2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2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4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12632</v>
      </c>
      <c r="B6" t="str">
        <f>IF(ISNA(VLOOKUP($A6,Councils!$B$6:$AE$841,3,0)),0,VLOOKUP($A6,Councils!$B$6:$AE$841,3,0))</f>
        <v>Richmond</v>
      </c>
      <c r="C6">
        <f>IF(ISNA(VLOOKUP($A6,Councils!$B$6:$AE$841,4,0)),0,VLOOKUP($A6,Councils!$B$6:$AE$841,4,0))</f>
        <v>91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-1</v>
      </c>
      <c r="K6" s="63">
        <f>IFERROR(J6/D6,0)</f>
        <v>-0.2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  <row r="7" spans="1:22">
      <c r="A7" s="298">
        <v>13151</v>
      </c>
      <c r="B7" t="str">
        <f>IF(ISNA(VLOOKUP($A7,Councils!$B$6:$AE$841,3,0)),0,VLOOKUP($A7,Councils!$B$6:$AE$841,3,0))</f>
        <v>Rosenberg</v>
      </c>
      <c r="C7">
        <f>IF(ISNA(VLOOKUP($A7,Councils!$B$6:$AE$841,4,0)),0,VLOOKUP($A7,Councils!$B$6:$AE$841,4,0))</f>
        <v>138</v>
      </c>
      <c r="D7">
        <f>IF(ISNA(VLOOKUP($A7,Councils!$B$6:$AE$841,5,0)),0,VLOOKUP($A7,Councils!$B$6:$AE$841,5,0))</f>
        <v>7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1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2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13165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68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15321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81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15322</v>
      </c>
      <c r="B5" t="str">
        <f>IF(ISNA(VLOOKUP($A5,Councils!$B$6:$AE$841,3,0)),0,VLOOKUP($A5,Councils!$B$6:$AE$841,3,0))</f>
        <v>South Houston</v>
      </c>
      <c r="C5">
        <f>IF(ISNA(VLOOKUP($A5,Councils!$B$6:$AE$841,4,0)),0,VLOOKUP($A5,Councils!$B$6:$AE$841,4,0))</f>
        <v>51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11438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88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12818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195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4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4</v>
      </c>
      <c r="H4">
        <f>IF(ISNA(VLOOKUP($A4,Councils!$B$6:$AE$841,9,0)),0,VLOOKUP($A4,Councils!$B$6:$AE$841,9,0))</f>
        <v>20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20</v>
      </c>
      <c r="K4" s="63">
        <f>IFERROR(J4/D4,0)</f>
        <v>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3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3</v>
      </c>
      <c r="Q4">
        <f>IF(ISNA(VLOOKUP($A4,Councils!$B$6:$AE$841,18,0)),0,VLOOKUP($A4,Councils!$B$6:$AE$841,18,0))</f>
        <v>10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7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15059</v>
      </c>
      <c r="B5" t="str">
        <f>IF(ISNA(VLOOKUP($A5,Councils!$B$6:$AE$841,3,0)),0,VLOOKUP($A5,Councils!$B$6:$AE$841,3,0))</f>
        <v>Channelview</v>
      </c>
      <c r="C5">
        <f>IF(ISNA(VLOOKUP($A5,Councils!$B$6:$AE$841,4,0)),0,VLOOKUP($A5,Councils!$B$6:$AE$841,4,0))</f>
        <v>85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10207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62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10591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56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15796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15949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45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7"/>
  <sheetViews>
    <sheetView zoomScaleNormal="100" workbookViewId="0">
      <selection activeCell="V7" sqref="V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4204</v>
      </c>
      <c r="B3" t="str">
        <f>IF(ISNA(VLOOKUP($A3,Councils!$B$6:$AE$841,3,0)),0,VLOOKUP($A3,Councils!$B$6:$AE$841,3,0))</f>
        <v>Sugar Land</v>
      </c>
      <c r="C3">
        <f>IF(ISNA(VLOOKUP($A3,Councils!$B$6:$AE$841,4,0)),0,VLOOKUP($A3,Councils!$B$6:$AE$841,4,0))</f>
        <v>465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-2</v>
      </c>
      <c r="K3" s="63">
        <f>IFERROR(J3/D3,0)</f>
        <v>-0.1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7382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259</v>
      </c>
      <c r="D4">
        <f>IF(ISNA(VLOOKUP($A4,Councils!$B$6:$AE$841,5,0)),0,VLOOKUP($A4,Councils!$B$6:$AE$841,5,0))</f>
        <v>13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7.6923076923076927E-2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4</v>
      </c>
      <c r="P4">
        <f>IF(ISNA(VLOOKUP($A4,Councils!$B$6:$AE$841,17,0)),0,VLOOKUP($A4,Councils!$B$6:$AE$841,17,0))</f>
        <v>-4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-3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7728</v>
      </c>
      <c r="B5" t="str">
        <f>IF(ISNA(VLOOKUP($A5,Councils!$B$6:$AE$841,3,0)),0,VLOOKUP($A5,Councils!$B$6:$AE$841,3,0))</f>
        <v>Missouri City</v>
      </c>
      <c r="C5">
        <f>IF(ISNA(VLOOKUP($A5,Councils!$B$6:$AE$841,4,0)),0,VLOOKUP($A5,Councils!$B$6:$AE$841,4,0))</f>
        <v>248</v>
      </c>
      <c r="D5">
        <f>IF(ISNA(VLOOKUP($A5,Councils!$B$6:$AE$841,5,0)),0,VLOOKUP($A5,Councils!$B$6:$AE$841,5,0))</f>
        <v>12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5</v>
      </c>
      <c r="G5">
        <f>IF(ISNA(VLOOKUP($A5,Councils!$B$6:$AE$81023,0)),0,VLOOKUP($A5,Councils!$B$6:$AE$841,8,0))</f>
        <v>-5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5</v>
      </c>
      <c r="J5">
        <f>IF(ISNA(VLOOKUP($A5,Councils!$B$6:$AE$841,11,0)),0,VLOOKUP($A5,Councils!$B$6:$AE$841,11,0))</f>
        <v>-2</v>
      </c>
      <c r="K5" s="63">
        <f>IFERROR(J5/D5,0)</f>
        <v>-0.16666666666666666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2</v>
      </c>
      <c r="P5">
        <f>IF(ISNA(VLOOKUP($A5,Councils!$B$6:$AE$841,17,0)),0,VLOOKUP($A5,Councils!$B$6:$AE$841,17,0))</f>
        <v>-2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11343</v>
      </c>
      <c r="B6" t="str">
        <f>IF(ISNA(VLOOKUP($A6,Councils!$B$6:$AE$841,3,0)),0,VLOOKUP($A6,Councils!$B$6:$AE$841,3,0))</f>
        <v>Sugar Land</v>
      </c>
      <c r="C6">
        <f>IF(ISNA(VLOOKUP($A6,Councils!$B$6:$AE$841,4,0)),0,VLOOKUP($A6,Councils!$B$6:$AE$841,4,0))</f>
        <v>434</v>
      </c>
      <c r="D6">
        <f>IF(ISNA(VLOOKUP($A6,Councils!$B$6:$AE$841,5,0)),0,VLOOKUP($A6,Councils!$B$6:$AE$841,5,0))</f>
        <v>20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1</v>
      </c>
      <c r="G6">
        <f>IF(ISNA(VLOOKUP($A6,Councils!$B$6:$AE$81023,0)),0,VLOOKUP($A6,Councils!$B$6:$AE$841,8,0))</f>
        <v>-1</v>
      </c>
      <c r="H6">
        <f>IF(ISNA(VLOOKUP($A6,Councils!$B$6:$AE$841,9,0)),0,VLOOKUP($A6,Councils!$B$6:$AE$841,9,0))</f>
        <v>6</v>
      </c>
      <c r="I6">
        <f>IF(ISNA(VLOOKUP($A6,Councils!$B$6:$AE$841,10,0)),0,VLOOKUP($A6,Councils!$B$6:$AE$841,10,0))</f>
        <v>17</v>
      </c>
      <c r="J6">
        <f>IF(ISNA(VLOOKUP($A6,Councils!$B$6:$AE$841,11,0)),0,VLOOKUP($A6,Councils!$B$6:$AE$841,11,0))</f>
        <v>-11</v>
      </c>
      <c r="K6" s="63">
        <f>IFERROR(J6/D6,0)</f>
        <v>-0.55000000000000004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6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5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  <row r="7" spans="1:22">
      <c r="A7" s="298">
        <v>14617</v>
      </c>
      <c r="B7" t="str">
        <f>IF(ISNA(VLOOKUP($A7,Councils!$B$6:$AE$841,3,0)),0,VLOOKUP($A7,Councils!$B$6:$AE$841,3,0))</f>
        <v>Missouri City</v>
      </c>
      <c r="C7">
        <f>IF(ISNA(VLOOKUP($A7,Councils!$B$6:$AE$841,4,0)),0,VLOOKUP($A7,Councils!$B$6:$AE$841,4,0))</f>
        <v>193</v>
      </c>
      <c r="D7">
        <f>IF(ISNA(VLOOKUP($A7,Councils!$B$6:$AE$841,5,0)),0,VLOOKUP($A7,Councils!$B$6:$AE$841,5,0))</f>
        <v>10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2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2</v>
      </c>
      <c r="K7" s="63">
        <f>IFERROR(J7/D7,0)</f>
        <v>0.2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1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3910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390</v>
      </c>
      <c r="D3">
        <f>IF(ISNA(VLOOKUP($A3,Councils!$B$6:$AE$841,5,0)),0,VLOOKUP($A3,Councils!$B$6:$AE$841,5,0))</f>
        <v>19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3</v>
      </c>
      <c r="J3">
        <f>IF(ISNA(VLOOKUP($A3,Councils!$B$6:$AE$841,11,0)),0,VLOOKUP($A3,Councils!$B$6:$AE$841,11,0))</f>
        <v>-3</v>
      </c>
      <c r="K3" s="63">
        <f>IFERROR(J3/D3,0)</f>
        <v>-0.15789473684210525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3</v>
      </c>
      <c r="P3">
        <f>IF(ISNA(VLOOKUP($A3,Councils!$B$6:$AE$841,17,0)),0,VLOOKUP($A3,Councils!$B$6:$AE$841,17,0))</f>
        <v>-3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6</v>
      </c>
      <c r="S3">
        <f>IF(ISNA(VLOOKUP($A3,Councils!$B$6:$AE$841,20,0)),0,VLOOKUP($A3,Councils!$B$6:$AE$841,20,0))</f>
        <v>-5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5678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168</v>
      </c>
      <c r="D4">
        <f>IF(ISNA(VLOOKUP($A4,Councils!$B$6:$AE$841,5,0)),0,VLOOKUP($A4,Councils!$B$6:$AE$841,5,0))</f>
        <v>8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0.625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7036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208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3</v>
      </c>
      <c r="P5">
        <f>IF(ISNA(VLOOKUP($A5,Councils!$B$6:$AE$841,17,0)),0,VLOOKUP($A5,Councils!$B$6:$AE$841,17,0))</f>
        <v>-3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5</v>
      </c>
      <c r="S5">
        <f>IF(ISNA(VLOOKUP($A5,Councils!$B$6:$AE$841,20,0)),0,VLOOKUP($A5,Councils!$B$6:$AE$841,20,0))</f>
        <v>-4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10995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148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3077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237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0.18181818181818182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7230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79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7532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15105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59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4550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266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2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4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6527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312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6</v>
      </c>
      <c r="G4">
        <f>IF(ISNA(VLOOKUP($A4,Councils!$B$6:$AE$81023,0)),0,VLOOKUP($A4,Councils!$B$6:$AE$841,8,0))</f>
        <v>-6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21</v>
      </c>
      <c r="J4">
        <f>IF(ISNA(VLOOKUP($A4,Councils!$B$6:$AE$841,11,0)),0,VLOOKUP($A4,Councils!$B$6:$AE$841,11,0))</f>
        <v>-16</v>
      </c>
      <c r="K4" s="63">
        <f>IFERROR(J4/D4,0)</f>
        <v>-1.0666666666666667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-2</v>
      </c>
      <c r="Q4">
        <f>IF(ISNA(VLOOKUP($A4,Councils!$B$6:$AE$841,18,0)),0,VLOOKUP($A4,Councils!$B$6:$AE$841,18,0))</f>
        <v>5</v>
      </c>
      <c r="R4">
        <f>IF(ISNA(VLOOKUP($A4,Councils!$B$6:$AE$841,19,0)),0,VLOOKUP($A4,Councils!$B$6:$AE$841,19,0))</f>
        <v>11</v>
      </c>
      <c r="S4">
        <f>IF(ISNA(VLOOKUP($A4,Councils!$B$6:$AE$841,20,0)),0,VLOOKUP($A4,Councils!$B$6:$AE$841,20,0))</f>
        <v>-6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8293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194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0.4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3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76">
        <v>16430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23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803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311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11023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89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14700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197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3</v>
      </c>
      <c r="G5">
        <f>IF(ISNA(VLOOKUP($A5,Councils!$B$6:$AE$81023,0)),0,VLOOKUP($A5,Councils!$B$6:$AE$841,8,0))</f>
        <v>-3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4</v>
      </c>
      <c r="J5">
        <f>IF(ISNA(VLOOKUP($A5,Councils!$B$6:$AE$841,11,0)),0,VLOOKUP($A5,Councils!$B$6:$AE$841,11,0))</f>
        <v>-4</v>
      </c>
      <c r="K5" s="63">
        <f>IFERROR(J5/D5,0)</f>
        <v>-0.4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17060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9268</v>
      </c>
      <c r="B3" t="str">
        <f>IF(ISNA(VLOOKUP($A3,Councils!$B$6:$AE$841,3,0)),0,VLOOKUP($A3,Councils!$B$6:$AE$841,3,0))</f>
        <v>Bellville</v>
      </c>
      <c r="C3">
        <f>IF(ISNA(VLOOKUP($A3,Councils!$B$6:$AE$841,4,0)),0,VLOOKUP($A3,Councils!$B$6:$AE$841,4,0))</f>
        <v>86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0.75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10224</v>
      </c>
      <c r="B4" t="str">
        <f>IF(ISNA(VLOOKUP($A4,Councils!$B$6:$AE$841,3,0)),0,VLOOKUP($A4,Councils!$B$6:$AE$841,3,0))</f>
        <v>Industry</v>
      </c>
      <c r="C4">
        <f>IF(ISNA(VLOOKUP($A4,Councils!$B$6:$AE$841,4,0)),0,VLOOKUP($A4,Councils!$B$6:$AE$841,4,0))</f>
        <v>71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12672</v>
      </c>
      <c r="B5" t="str">
        <f>IF(ISNA(VLOOKUP($A5,Councils!$B$6:$AE$841,3,0)),0,VLOOKUP($A5,Councils!$B$6:$AE$841,3,0))</f>
        <v>Hempstead</v>
      </c>
      <c r="C5">
        <f>IF(ISNA(VLOOKUP($A5,Councils!$B$6:$AE$841,4,0)),0,VLOOKUP($A5,Councils!$B$6:$AE$841,4,0))</f>
        <v>131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0.2857142857142857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2"/>
  <sheetViews>
    <sheetView topLeftCell="A70" zoomScale="85" zoomScaleNormal="85" workbookViewId="0">
      <selection activeCell="G92" sqref="G92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765</v>
      </c>
      <c r="B1" s="66" t="s">
        <v>766</v>
      </c>
      <c r="C1" s="66" t="s">
        <v>602</v>
      </c>
      <c r="D1" s="70" t="s">
        <v>709</v>
      </c>
      <c r="E1" s="70" t="s">
        <v>622</v>
      </c>
      <c r="F1" s="69" t="s">
        <v>821</v>
      </c>
      <c r="G1" s="64" t="s">
        <v>1496</v>
      </c>
    </row>
    <row r="2" spans="1:7">
      <c r="A2" s="81">
        <v>1</v>
      </c>
      <c r="B2" s="81" t="s">
        <v>1074</v>
      </c>
      <c r="C2" s="68" t="s">
        <v>23</v>
      </c>
      <c r="D2" s="65">
        <v>3</v>
      </c>
      <c r="E2" s="65">
        <v>3</v>
      </c>
      <c r="F2" s="65">
        <f>SUMIF(Council_Data!$V$3:$V$838,$A2,Council_Data!$E$3:$E$838)</f>
        <v>293</v>
      </c>
      <c r="G2" s="65" t="s">
        <v>1293</v>
      </c>
    </row>
    <row r="3" spans="1:7">
      <c r="A3" s="81">
        <v>2</v>
      </c>
      <c r="B3" s="81" t="s">
        <v>1075</v>
      </c>
      <c r="C3" s="68" t="s">
        <v>23</v>
      </c>
      <c r="D3" s="65">
        <v>3</v>
      </c>
      <c r="E3" s="65">
        <v>2</v>
      </c>
      <c r="F3" s="65">
        <f>SUMIF(Council_Data!$V$3:$V$838,$A3,Council_Data!$E$3:$E$838)</f>
        <v>574</v>
      </c>
      <c r="G3" s="65" t="s">
        <v>1294</v>
      </c>
    </row>
    <row r="4" spans="1:7">
      <c r="A4" s="81">
        <v>3</v>
      </c>
      <c r="B4" s="81" t="s">
        <v>1076</v>
      </c>
      <c r="C4" s="68" t="s">
        <v>23</v>
      </c>
      <c r="D4" s="65">
        <v>3</v>
      </c>
      <c r="E4" s="65">
        <v>2</v>
      </c>
      <c r="F4" s="65">
        <f>SUMIF(Council_Data!$V$3:$V$838,$A4,Council_Data!$E$3:$E$838)</f>
        <v>419</v>
      </c>
      <c r="G4" s="65" t="s">
        <v>1295</v>
      </c>
    </row>
    <row r="5" spans="1:7">
      <c r="A5" s="81">
        <v>4</v>
      </c>
      <c r="B5" s="81" t="s">
        <v>1077</v>
      </c>
      <c r="C5" s="68" t="s">
        <v>23</v>
      </c>
      <c r="D5" s="65">
        <v>3</v>
      </c>
      <c r="E5" s="65">
        <v>3</v>
      </c>
      <c r="F5" s="65">
        <f>SUMIF(Council_Data!$V$3:$V$838,$A5,Council_Data!$E$3:$E$838)</f>
        <v>97</v>
      </c>
      <c r="G5" s="65" t="s">
        <v>1296</v>
      </c>
    </row>
    <row r="6" spans="1:7">
      <c r="A6" s="81">
        <v>5</v>
      </c>
      <c r="B6" s="81" t="s">
        <v>1078</v>
      </c>
      <c r="C6" s="68" t="s">
        <v>23</v>
      </c>
      <c r="D6" s="65">
        <v>3</v>
      </c>
      <c r="E6" s="65">
        <v>3</v>
      </c>
      <c r="F6" s="65">
        <f>SUMIF(Council_Data!$V$3:$V$838,$A6,Council_Data!$E$3:$E$838)</f>
        <v>267</v>
      </c>
      <c r="G6" s="65" t="s">
        <v>1297</v>
      </c>
    </row>
    <row r="7" spans="1:7">
      <c r="A7" s="81">
        <v>6</v>
      </c>
      <c r="B7" s="81" t="s">
        <v>1079</v>
      </c>
      <c r="C7" s="68" t="s">
        <v>23</v>
      </c>
      <c r="D7" s="65">
        <v>3</v>
      </c>
      <c r="E7" s="65">
        <v>3</v>
      </c>
      <c r="F7" s="65">
        <f>SUMIF(Council_Data!$V$3:$V$838,$A7,Council_Data!$E$3:$E$838)</f>
        <v>233</v>
      </c>
      <c r="G7" s="65" t="s">
        <v>1298</v>
      </c>
    </row>
    <row r="8" spans="1:7">
      <c r="A8" s="81">
        <v>7</v>
      </c>
      <c r="B8" s="81" t="s">
        <v>1080</v>
      </c>
      <c r="C8" s="68" t="s">
        <v>23</v>
      </c>
      <c r="D8" s="65">
        <v>3</v>
      </c>
      <c r="E8" s="65">
        <v>3</v>
      </c>
      <c r="F8" s="65">
        <f>SUMIF(Council_Data!$V$3:$V$838,$A8,Council_Data!$E$3:$E$838)</f>
        <v>176</v>
      </c>
      <c r="G8" s="65" t="s">
        <v>1299</v>
      </c>
    </row>
    <row r="9" spans="1:7">
      <c r="A9" s="81">
        <v>8</v>
      </c>
      <c r="B9" s="81" t="s">
        <v>1081</v>
      </c>
      <c r="C9" s="68" t="s">
        <v>23</v>
      </c>
      <c r="D9" s="65">
        <v>3</v>
      </c>
      <c r="E9" s="65">
        <v>3</v>
      </c>
      <c r="F9" s="65">
        <f>SUMIF(Council_Data!$V$3:$V$838,$A9,Council_Data!$E$3:$E$838)</f>
        <v>243</v>
      </c>
      <c r="G9" s="65" t="s">
        <v>1300</v>
      </c>
    </row>
    <row r="10" spans="1:7">
      <c r="A10" s="81">
        <v>9</v>
      </c>
      <c r="B10" s="81" t="s">
        <v>1082</v>
      </c>
      <c r="C10" s="68" t="s">
        <v>23</v>
      </c>
      <c r="D10" s="65">
        <v>3</v>
      </c>
      <c r="E10" s="65">
        <v>3</v>
      </c>
      <c r="F10" s="65">
        <f>SUMIF(Council_Data!$V$3:$V$838,$A10,Council_Data!$E$3:$E$838)</f>
        <v>69</v>
      </c>
      <c r="G10" s="65" t="s">
        <v>1301</v>
      </c>
    </row>
    <row r="11" spans="1:7">
      <c r="A11" s="81">
        <v>10</v>
      </c>
      <c r="B11" s="81" t="s">
        <v>1083</v>
      </c>
      <c r="C11" s="68" t="s">
        <v>23</v>
      </c>
      <c r="D11" s="65">
        <v>3</v>
      </c>
      <c r="E11" s="65">
        <v>3</v>
      </c>
      <c r="F11" s="65">
        <f>SUMIF(Council_Data!$V$3:$V$838,$A11,Council_Data!$E$3:$E$838)</f>
        <v>181</v>
      </c>
      <c r="G11" s="65" t="s">
        <v>1302</v>
      </c>
    </row>
    <row r="12" spans="1:7">
      <c r="A12" s="81">
        <v>11</v>
      </c>
      <c r="B12" s="81" t="s">
        <v>1084</v>
      </c>
      <c r="C12" s="68" t="s">
        <v>23</v>
      </c>
      <c r="D12" s="65">
        <v>3</v>
      </c>
      <c r="E12" s="65">
        <v>3</v>
      </c>
      <c r="F12" s="65">
        <f>SUMIF(Council_Data!$V$3:$V$838,$A12,Council_Data!$E$3:$E$838)</f>
        <v>172</v>
      </c>
      <c r="G12" s="65" t="s">
        <v>1303</v>
      </c>
    </row>
    <row r="13" spans="1:7">
      <c r="A13" s="81">
        <v>12</v>
      </c>
      <c r="B13" s="81" t="s">
        <v>1085</v>
      </c>
      <c r="C13" s="68" t="s">
        <v>23</v>
      </c>
      <c r="D13" s="65">
        <v>3</v>
      </c>
      <c r="E13" s="65">
        <v>3</v>
      </c>
      <c r="F13" s="65">
        <f>SUMIF(Council_Data!$V$3:$V$838,$A13,Council_Data!$E$3:$E$838)</f>
        <v>246</v>
      </c>
      <c r="G13" s="65" t="s">
        <v>1304</v>
      </c>
    </row>
    <row r="14" spans="1:7">
      <c r="A14" s="81">
        <v>13</v>
      </c>
      <c r="B14" s="81" t="s">
        <v>1086</v>
      </c>
      <c r="C14" s="68" t="s">
        <v>23</v>
      </c>
      <c r="D14" s="65">
        <v>1</v>
      </c>
      <c r="E14" s="65">
        <v>3</v>
      </c>
      <c r="F14" s="65">
        <f>SUMIF(Council_Data!$V$3:$V$838,$A14,Council_Data!$E$3:$E$838)</f>
        <v>91</v>
      </c>
      <c r="G14" s="65" t="s">
        <v>1305</v>
      </c>
    </row>
    <row r="15" spans="1:7">
      <c r="A15" s="81">
        <v>16</v>
      </c>
      <c r="B15" s="81" t="s">
        <v>1087</v>
      </c>
      <c r="C15" s="68" t="s">
        <v>143</v>
      </c>
      <c r="D15" s="65">
        <v>1</v>
      </c>
      <c r="E15" s="65">
        <v>3</v>
      </c>
      <c r="F15" s="65">
        <f>SUMIF(Council_Data!$V$3:$V$838,$A15,Council_Data!$E$3:$E$838)</f>
        <v>268</v>
      </c>
    </row>
    <row r="16" spans="1:7">
      <c r="A16" s="81">
        <v>17</v>
      </c>
      <c r="B16" s="81" t="s">
        <v>1088</v>
      </c>
      <c r="C16" s="68" t="s">
        <v>143</v>
      </c>
      <c r="D16" s="65">
        <v>1</v>
      </c>
      <c r="E16" s="65">
        <v>1</v>
      </c>
      <c r="F16" s="65">
        <f>SUMIF(Council_Data!$V$3:$V$838,$A16,Council_Data!$E$3:$E$838)</f>
        <v>622</v>
      </c>
      <c r="G16" s="65" t="s">
        <v>1306</v>
      </c>
    </row>
    <row r="17" spans="1:7">
      <c r="A17" s="81">
        <v>18</v>
      </c>
      <c r="B17" s="81" t="s">
        <v>1089</v>
      </c>
      <c r="C17" s="68" t="s">
        <v>143</v>
      </c>
      <c r="D17" s="65">
        <v>1</v>
      </c>
      <c r="E17" s="65">
        <v>1</v>
      </c>
      <c r="F17" s="65">
        <f>SUMIF(Council_Data!$V$3:$V$838,$A17,Council_Data!$E$3:$E$838)</f>
        <v>979</v>
      </c>
      <c r="G17" s="65" t="s">
        <v>1307</v>
      </c>
    </row>
    <row r="18" spans="1:7">
      <c r="A18" s="81">
        <v>19</v>
      </c>
      <c r="B18" s="81" t="s">
        <v>1090</v>
      </c>
      <c r="C18" s="68" t="s">
        <v>143</v>
      </c>
      <c r="D18" s="65">
        <v>1</v>
      </c>
      <c r="E18" s="65">
        <v>1</v>
      </c>
      <c r="F18" s="65">
        <f>SUMIF(Council_Data!$V$3:$V$838,$A18,Council_Data!$E$3:$E$838)</f>
        <v>586</v>
      </c>
      <c r="G18" s="65" t="s">
        <v>1308</v>
      </c>
    </row>
    <row r="19" spans="1:7">
      <c r="A19" s="81">
        <v>20</v>
      </c>
      <c r="B19" s="81" t="s">
        <v>1091</v>
      </c>
      <c r="C19" s="68" t="s">
        <v>143</v>
      </c>
      <c r="D19" s="65">
        <v>1</v>
      </c>
      <c r="E19" s="65">
        <v>2</v>
      </c>
      <c r="F19" s="65">
        <f>SUMIF(Council_Data!$V$3:$V$838,$A19,Council_Data!$E$3:$E$838)</f>
        <v>487</v>
      </c>
      <c r="G19" s="65" t="s">
        <v>1309</v>
      </c>
    </row>
    <row r="20" spans="1:7">
      <c r="A20" s="81">
        <v>21</v>
      </c>
      <c r="B20" s="81" t="s">
        <v>1092</v>
      </c>
      <c r="C20" s="68" t="s">
        <v>143</v>
      </c>
      <c r="D20" s="65">
        <v>1</v>
      </c>
      <c r="E20" s="65">
        <v>1</v>
      </c>
      <c r="F20" s="65">
        <f>SUMIF(Council_Data!$V$3:$V$838,$A20,Council_Data!$E$3:$E$838)</f>
        <v>839</v>
      </c>
      <c r="G20" s="65" t="s">
        <v>1310</v>
      </c>
    </row>
    <row r="21" spans="1:7">
      <c r="A21" s="81">
        <v>22</v>
      </c>
      <c r="B21" s="81" t="s">
        <v>1093</v>
      </c>
      <c r="C21" s="68" t="s">
        <v>143</v>
      </c>
      <c r="D21" s="65">
        <v>1</v>
      </c>
      <c r="E21" s="65">
        <v>2</v>
      </c>
      <c r="F21" s="65">
        <f>SUMIF(Council_Data!$V$3:$V$838,$A21,Council_Data!$E$3:$E$838)</f>
        <v>569</v>
      </c>
      <c r="G21" s="65" t="s">
        <v>1311</v>
      </c>
    </row>
    <row r="22" spans="1:7">
      <c r="A22" s="81">
        <v>23</v>
      </c>
      <c r="B22" s="81" t="s">
        <v>1094</v>
      </c>
      <c r="C22" s="68" t="s">
        <v>143</v>
      </c>
      <c r="D22" s="65">
        <v>1</v>
      </c>
      <c r="E22" s="65">
        <v>2</v>
      </c>
      <c r="F22" s="65">
        <f>SUMIF(Council_Data!$V$3:$V$838,$A22,Council_Data!$E$3:$E$838)</f>
        <v>554</v>
      </c>
      <c r="G22" s="65" t="s">
        <v>1312</v>
      </c>
    </row>
    <row r="23" spans="1:7">
      <c r="A23" s="81">
        <v>24</v>
      </c>
      <c r="B23" s="81" t="s">
        <v>1095</v>
      </c>
      <c r="C23" s="68" t="s">
        <v>143</v>
      </c>
      <c r="D23" s="65">
        <v>1</v>
      </c>
      <c r="E23" s="65">
        <v>1</v>
      </c>
      <c r="F23" s="65">
        <f>SUMIF(Council_Data!$V$3:$V$838,$A23,Council_Data!$E$3:$E$838)</f>
        <v>831</v>
      </c>
      <c r="G23" s="65" t="s">
        <v>1313</v>
      </c>
    </row>
    <row r="24" spans="1:7">
      <c r="A24" s="81">
        <v>25</v>
      </c>
      <c r="B24" s="81" t="s">
        <v>1096</v>
      </c>
      <c r="C24" s="68" t="s">
        <v>143</v>
      </c>
      <c r="D24" s="65">
        <v>1</v>
      </c>
      <c r="E24" s="65">
        <v>1</v>
      </c>
      <c r="F24" s="65">
        <f>SUMIF(Council_Data!$V$3:$V$838,$A24,Council_Data!$E$3:$E$838)</f>
        <v>741</v>
      </c>
      <c r="G24" s="65" t="s">
        <v>1314</v>
      </c>
    </row>
    <row r="25" spans="1:7">
      <c r="A25" s="81">
        <v>26</v>
      </c>
      <c r="B25" s="81" t="s">
        <v>1097</v>
      </c>
      <c r="C25" s="68" t="s">
        <v>143</v>
      </c>
      <c r="D25" s="65">
        <v>1</v>
      </c>
      <c r="E25" s="65">
        <v>1</v>
      </c>
      <c r="F25" s="65">
        <f>SUMIF(Council_Data!$V$3:$V$838,$A25,Council_Data!$E$3:$E$838)</f>
        <v>634</v>
      </c>
      <c r="G25" s="65" t="s">
        <v>1315</v>
      </c>
    </row>
    <row r="26" spans="1:7">
      <c r="A26" s="81">
        <v>27</v>
      </c>
      <c r="B26" s="81" t="s">
        <v>1098</v>
      </c>
      <c r="C26" s="68" t="s">
        <v>143</v>
      </c>
      <c r="D26" s="65">
        <v>1</v>
      </c>
      <c r="E26" s="65">
        <v>1</v>
      </c>
      <c r="F26" s="65">
        <f>SUMIF(Council_Data!$V$3:$V$838,$A26,Council_Data!$E$3:$E$838)</f>
        <v>814</v>
      </c>
      <c r="G26" s="65" t="s">
        <v>1316</v>
      </c>
    </row>
    <row r="27" spans="1:7">
      <c r="A27" s="81">
        <v>28</v>
      </c>
      <c r="B27" s="81" t="s">
        <v>1099</v>
      </c>
      <c r="C27" s="68" t="s">
        <v>143</v>
      </c>
      <c r="D27" s="65">
        <v>1</v>
      </c>
      <c r="E27" s="65">
        <v>1</v>
      </c>
      <c r="F27" s="65">
        <f>SUMIF(Council_Data!$V$3:$V$838,$A27,Council_Data!$E$3:$E$838)</f>
        <v>601</v>
      </c>
      <c r="G27" s="65" t="s">
        <v>1317</v>
      </c>
    </row>
    <row r="28" spans="1:7">
      <c r="A28" s="81">
        <v>29</v>
      </c>
      <c r="B28" s="81" t="s">
        <v>1289</v>
      </c>
      <c r="C28" s="68" t="s">
        <v>143</v>
      </c>
      <c r="D28" s="65">
        <v>1</v>
      </c>
      <c r="E28" s="65">
        <v>3</v>
      </c>
      <c r="F28" s="65">
        <f>SUMIF(Council_Data!$V$3:$V$838,$A28,Council_Data!$E$3:$E$838)</f>
        <v>243</v>
      </c>
    </row>
    <row r="29" spans="1:7">
      <c r="A29" s="81">
        <v>30</v>
      </c>
      <c r="B29" s="81" t="s">
        <v>1100</v>
      </c>
      <c r="C29" s="68" t="s">
        <v>143</v>
      </c>
      <c r="D29" s="65">
        <v>1</v>
      </c>
      <c r="E29" s="65">
        <v>2</v>
      </c>
      <c r="F29" s="65">
        <f>SUMIF(Council_Data!$V$3:$V$838,$A29,Council_Data!$E$3:$E$838)</f>
        <v>504</v>
      </c>
      <c r="G29" s="65" t="s">
        <v>1318</v>
      </c>
    </row>
    <row r="30" spans="1:7">
      <c r="A30" s="81">
        <v>31</v>
      </c>
      <c r="B30" s="81" t="s">
        <v>1101</v>
      </c>
      <c r="C30" s="68" t="s">
        <v>143</v>
      </c>
      <c r="D30" s="65">
        <v>1</v>
      </c>
      <c r="E30" s="65">
        <v>3</v>
      </c>
      <c r="F30" s="65">
        <f>SUMIF(Council_Data!$V$3:$V$838,$A30,Council_Data!$E$3:$E$838)</f>
        <v>42</v>
      </c>
      <c r="G30" s="65" t="s">
        <v>1319</v>
      </c>
    </row>
    <row r="31" spans="1:7">
      <c r="A31" s="81">
        <v>32</v>
      </c>
      <c r="B31" s="81" t="s">
        <v>1102</v>
      </c>
      <c r="C31" s="68" t="s">
        <v>143</v>
      </c>
      <c r="D31" s="65">
        <v>1</v>
      </c>
      <c r="E31" s="65">
        <v>2</v>
      </c>
      <c r="F31" s="65">
        <f>SUMIF(Council_Data!$V$3:$V$838,$A31,Council_Data!$E$3:$E$838)</f>
        <v>479</v>
      </c>
      <c r="G31" s="65" t="s">
        <v>1320</v>
      </c>
    </row>
    <row r="32" spans="1:7">
      <c r="A32" s="81">
        <v>33</v>
      </c>
      <c r="B32" s="81" t="s">
        <v>1103</v>
      </c>
      <c r="C32" s="68" t="s">
        <v>143</v>
      </c>
      <c r="D32" s="65">
        <v>1</v>
      </c>
      <c r="E32" s="65">
        <v>3</v>
      </c>
      <c r="F32" s="65">
        <f>SUMIF(Council_Data!$V$3:$V$838,$A32,Council_Data!$E$3:$E$838)</f>
        <v>28</v>
      </c>
      <c r="G32" s="65" t="s">
        <v>1321</v>
      </c>
    </row>
    <row r="33" spans="1:7">
      <c r="A33" s="81">
        <v>34</v>
      </c>
      <c r="B33" s="81" t="s">
        <v>1132</v>
      </c>
      <c r="C33" s="68" t="s">
        <v>27</v>
      </c>
      <c r="D33" s="65">
        <v>1</v>
      </c>
      <c r="E33" s="65">
        <v>3</v>
      </c>
      <c r="F33" s="65">
        <f>SUMIF(Council_Data!$V$3:$V$838,$A33,Council_Data!$E$3:$E$838)</f>
        <v>36</v>
      </c>
      <c r="G33" s="65" t="s">
        <v>1350</v>
      </c>
    </row>
    <row r="34" spans="1:7">
      <c r="A34" s="81">
        <v>35</v>
      </c>
      <c r="B34" s="81" t="s">
        <v>1133</v>
      </c>
      <c r="C34" s="68" t="s">
        <v>27</v>
      </c>
      <c r="D34" s="65">
        <v>1</v>
      </c>
      <c r="E34" s="65">
        <v>3</v>
      </c>
      <c r="F34" s="65">
        <f>SUMIF(Council_Data!$V$3:$V$838,$A34,Council_Data!$E$3:$E$838)</f>
        <v>35</v>
      </c>
      <c r="G34" s="65" t="s">
        <v>1351</v>
      </c>
    </row>
    <row r="35" spans="1:7">
      <c r="A35" s="81">
        <v>36</v>
      </c>
      <c r="B35" s="81" t="s">
        <v>1104</v>
      </c>
      <c r="C35" s="68" t="s">
        <v>27</v>
      </c>
      <c r="D35" s="65">
        <v>1</v>
      </c>
      <c r="E35" s="65">
        <v>2</v>
      </c>
      <c r="F35" s="65">
        <f>SUMIF(Council_Data!$V$3:$V$838,$A35,Council_Data!$E$3:$E$838)</f>
        <v>419</v>
      </c>
      <c r="G35" s="65" t="s">
        <v>1322</v>
      </c>
    </row>
    <row r="36" spans="1:7">
      <c r="A36" s="81">
        <v>37</v>
      </c>
      <c r="B36" s="81" t="s">
        <v>1105</v>
      </c>
      <c r="C36" s="68" t="s">
        <v>27</v>
      </c>
      <c r="D36" s="65">
        <v>1</v>
      </c>
      <c r="E36" s="65">
        <v>2</v>
      </c>
      <c r="F36" s="65">
        <f>SUMIF(Council_Data!$V$3:$V$838,$A36,Council_Data!$E$3:$E$838)</f>
        <v>463</v>
      </c>
      <c r="G36" s="65" t="s">
        <v>1323</v>
      </c>
    </row>
    <row r="37" spans="1:7">
      <c r="A37" s="81">
        <v>38</v>
      </c>
      <c r="B37" s="81" t="s">
        <v>1106</v>
      </c>
      <c r="C37" s="68" t="s">
        <v>27</v>
      </c>
      <c r="D37" s="65">
        <v>1</v>
      </c>
      <c r="E37" s="65">
        <v>2</v>
      </c>
      <c r="F37" s="65">
        <f>SUMIF(Council_Data!$V$3:$V$838,$A37,Council_Data!$E$3:$E$838)</f>
        <v>338</v>
      </c>
      <c r="G37" s="65" t="s">
        <v>1324</v>
      </c>
    </row>
    <row r="38" spans="1:7">
      <c r="A38" s="81">
        <v>39</v>
      </c>
      <c r="B38" s="81" t="s">
        <v>1107</v>
      </c>
      <c r="C38" s="68" t="s">
        <v>27</v>
      </c>
      <c r="D38" s="65">
        <v>1</v>
      </c>
      <c r="E38" s="65">
        <v>2</v>
      </c>
      <c r="F38" s="65">
        <f>SUMIF(Council_Data!$V$3:$V$838,$A38,Council_Data!$E$3:$E$838)</f>
        <v>405</v>
      </c>
      <c r="G38" s="65" t="s">
        <v>1325</v>
      </c>
    </row>
    <row r="39" spans="1:7">
      <c r="A39" s="81">
        <v>40</v>
      </c>
      <c r="B39" s="81" t="s">
        <v>1108</v>
      </c>
      <c r="C39" s="68" t="s">
        <v>27</v>
      </c>
      <c r="D39" s="65">
        <v>1</v>
      </c>
      <c r="E39" s="65">
        <v>1</v>
      </c>
      <c r="F39" s="65">
        <f>SUMIF(Council_Data!$V$3:$V$838,$A39,Council_Data!$E$3:$E$838)</f>
        <v>1035</v>
      </c>
      <c r="G39" s="65" t="s">
        <v>1326</v>
      </c>
    </row>
    <row r="40" spans="1:7">
      <c r="A40" s="81">
        <v>41</v>
      </c>
      <c r="B40" s="81" t="s">
        <v>1109</v>
      </c>
      <c r="C40" s="68" t="s">
        <v>27</v>
      </c>
      <c r="D40" s="65">
        <v>1</v>
      </c>
      <c r="E40" s="65">
        <v>1</v>
      </c>
      <c r="F40" s="65">
        <f>SUMIF(Council_Data!$V$3:$V$838,$A40,Council_Data!$E$3:$E$838)</f>
        <v>698</v>
      </c>
      <c r="G40" s="65" t="s">
        <v>1327</v>
      </c>
    </row>
    <row r="41" spans="1:7">
      <c r="A41" s="81">
        <v>42</v>
      </c>
      <c r="B41" s="81" t="s">
        <v>1110</v>
      </c>
      <c r="C41" s="68" t="s">
        <v>27</v>
      </c>
      <c r="D41" s="65">
        <v>1</v>
      </c>
      <c r="E41" s="65">
        <v>1</v>
      </c>
      <c r="F41" s="65">
        <f>SUMIF(Council_Data!$V$3:$V$838,$A41,Council_Data!$E$3:$E$838)</f>
        <v>926</v>
      </c>
      <c r="G41" s="65" t="s">
        <v>1328</v>
      </c>
    </row>
    <row r="42" spans="1:7">
      <c r="A42" s="81">
        <v>43</v>
      </c>
      <c r="B42" s="81" t="s">
        <v>1111</v>
      </c>
      <c r="C42" s="68" t="s">
        <v>27</v>
      </c>
      <c r="D42" s="65">
        <v>1</v>
      </c>
      <c r="E42" s="65">
        <v>1</v>
      </c>
      <c r="F42" s="65">
        <f>SUMIF(Council_Data!$V$3:$V$838,$A42,Council_Data!$E$3:$E$838)</f>
        <v>1403</v>
      </c>
      <c r="G42" s="65" t="s">
        <v>1329</v>
      </c>
    </row>
    <row r="43" spans="1:7">
      <c r="A43" s="81">
        <v>44</v>
      </c>
      <c r="B43" s="81" t="s">
        <v>1112</v>
      </c>
      <c r="C43" s="68" t="s">
        <v>27</v>
      </c>
      <c r="D43" s="65">
        <v>1</v>
      </c>
      <c r="E43" s="65">
        <v>3</v>
      </c>
      <c r="F43" s="65">
        <f>SUMIF(Council_Data!$V$3:$V$838,$A43,Council_Data!$E$3:$E$838)</f>
        <v>296</v>
      </c>
      <c r="G43" s="65" t="s">
        <v>1330</v>
      </c>
    </row>
    <row r="44" spans="1:7">
      <c r="A44" s="81">
        <v>45</v>
      </c>
      <c r="B44" s="81" t="s">
        <v>1113</v>
      </c>
      <c r="C44" s="68" t="s">
        <v>27</v>
      </c>
      <c r="D44" s="65">
        <v>1</v>
      </c>
      <c r="E44" s="65">
        <v>1</v>
      </c>
      <c r="F44" s="65">
        <f>SUMIF(Council_Data!$V$3:$V$838,$A44,Council_Data!$E$3:$E$838)</f>
        <v>909</v>
      </c>
      <c r="G44" s="65" t="s">
        <v>1331</v>
      </c>
    </row>
    <row r="45" spans="1:7">
      <c r="A45" s="81">
        <v>46</v>
      </c>
      <c r="B45" s="81" t="s">
        <v>1114</v>
      </c>
      <c r="C45" s="68" t="s">
        <v>27</v>
      </c>
      <c r="D45" s="65">
        <v>1</v>
      </c>
      <c r="E45" s="65">
        <v>1</v>
      </c>
      <c r="F45" s="65">
        <f>SUMIF(Council_Data!$V$3:$V$838,$A45,Council_Data!$E$3:$E$838)</f>
        <v>705</v>
      </c>
      <c r="G45" s="65" t="s">
        <v>1332</v>
      </c>
    </row>
    <row r="46" spans="1:7">
      <c r="A46" s="81">
        <v>47</v>
      </c>
      <c r="B46" s="81" t="s">
        <v>1115</v>
      </c>
      <c r="C46" s="68" t="s">
        <v>27</v>
      </c>
      <c r="D46" s="65">
        <v>1</v>
      </c>
      <c r="E46" s="65">
        <v>2</v>
      </c>
      <c r="F46" s="65">
        <f>SUMIF(Council_Data!$V$3:$V$838,$A46,Council_Data!$E$3:$E$838)</f>
        <v>513</v>
      </c>
      <c r="G46" s="65" t="s">
        <v>1333</v>
      </c>
    </row>
    <row r="47" spans="1:7">
      <c r="A47" s="81">
        <v>48</v>
      </c>
      <c r="B47" s="81" t="s">
        <v>1116</v>
      </c>
      <c r="C47" s="68" t="s">
        <v>27</v>
      </c>
      <c r="D47" s="65">
        <v>1</v>
      </c>
      <c r="E47" s="65">
        <v>1</v>
      </c>
      <c r="F47" s="65">
        <f>SUMIF(Council_Data!$V$3:$V$838,$A47,Council_Data!$E$3:$E$838)</f>
        <v>659</v>
      </c>
      <c r="G47" s="65" t="s">
        <v>1334</v>
      </c>
    </row>
    <row r="48" spans="1:7">
      <c r="A48" s="81">
        <v>49</v>
      </c>
      <c r="B48" s="81" t="s">
        <v>1117</v>
      </c>
      <c r="C48" s="68" t="s">
        <v>27</v>
      </c>
      <c r="D48" s="65">
        <v>1</v>
      </c>
      <c r="E48" s="65">
        <v>2</v>
      </c>
      <c r="F48" s="65">
        <f>SUMIF(Council_Data!$V$3:$V$838,$A48,Council_Data!$E$3:$E$838)</f>
        <v>494</v>
      </c>
      <c r="G48" s="65" t="s">
        <v>1335</v>
      </c>
    </row>
    <row r="49" spans="1:7">
      <c r="A49" s="81">
        <v>50</v>
      </c>
      <c r="B49" s="81" t="s">
        <v>1118</v>
      </c>
      <c r="C49" s="68" t="s">
        <v>27</v>
      </c>
      <c r="D49" s="65">
        <v>1</v>
      </c>
      <c r="E49" s="65">
        <v>2</v>
      </c>
      <c r="F49" s="65">
        <f>SUMIF(Council_Data!$V$3:$V$838,$A49,Council_Data!$E$3:$E$838)</f>
        <v>403</v>
      </c>
      <c r="G49" s="65" t="s">
        <v>1336</v>
      </c>
    </row>
    <row r="50" spans="1:7">
      <c r="A50" s="81">
        <v>51</v>
      </c>
      <c r="B50" s="81" t="s">
        <v>1119</v>
      </c>
      <c r="C50" s="68" t="s">
        <v>27</v>
      </c>
      <c r="D50" s="65">
        <v>1</v>
      </c>
      <c r="E50" s="65">
        <v>1</v>
      </c>
      <c r="F50" s="65">
        <f>SUMIF(Council_Data!$V$3:$V$838,$A50,Council_Data!$E$3:$E$838)</f>
        <v>970</v>
      </c>
      <c r="G50" s="65" t="s">
        <v>1337</v>
      </c>
    </row>
    <row r="51" spans="1:7">
      <c r="A51" s="81">
        <v>52</v>
      </c>
      <c r="B51" s="81" t="s">
        <v>1120</v>
      </c>
      <c r="C51" s="68" t="s">
        <v>27</v>
      </c>
      <c r="D51" s="65">
        <v>1</v>
      </c>
      <c r="E51" s="65">
        <v>2</v>
      </c>
      <c r="F51" s="65">
        <f>SUMIF(Council_Data!$V$3:$V$838,$A51,Council_Data!$E$3:$E$838)</f>
        <v>302</v>
      </c>
      <c r="G51" s="65" t="s">
        <v>1338</v>
      </c>
    </row>
    <row r="52" spans="1:7">
      <c r="A52" s="81">
        <v>53</v>
      </c>
      <c r="B52" s="81" t="s">
        <v>1121</v>
      </c>
      <c r="C52" s="68" t="s">
        <v>27</v>
      </c>
      <c r="D52" s="65">
        <v>1</v>
      </c>
      <c r="E52" s="65">
        <v>3</v>
      </c>
      <c r="F52" s="65">
        <f>SUMIF(Council_Data!$V$3:$V$838,$A52,Council_Data!$E$3:$E$838)</f>
        <v>276</v>
      </c>
      <c r="G52" s="65" t="s">
        <v>1339</v>
      </c>
    </row>
    <row r="53" spans="1:7">
      <c r="A53" s="81">
        <v>54</v>
      </c>
      <c r="B53" s="81" t="s">
        <v>1122</v>
      </c>
      <c r="C53" s="68" t="s">
        <v>27</v>
      </c>
      <c r="D53" s="65">
        <v>1</v>
      </c>
      <c r="E53" s="65">
        <v>2</v>
      </c>
      <c r="F53" s="65">
        <f>SUMIF(Council_Data!$V$3:$V$838,$A53,Council_Data!$E$3:$E$838)</f>
        <v>440</v>
      </c>
      <c r="G53" s="65" t="s">
        <v>1340</v>
      </c>
    </row>
    <row r="54" spans="1:7">
      <c r="A54" s="81">
        <v>55</v>
      </c>
      <c r="B54" s="81" t="s">
        <v>1123</v>
      </c>
      <c r="C54" s="68" t="s">
        <v>27</v>
      </c>
      <c r="D54" s="65">
        <v>1</v>
      </c>
      <c r="E54" s="65">
        <v>2</v>
      </c>
      <c r="F54" s="65">
        <f>SUMIF(Council_Data!$V$3:$V$838,$A54,Council_Data!$E$3:$E$838)</f>
        <v>423</v>
      </c>
      <c r="G54" s="65" t="s">
        <v>1341</v>
      </c>
    </row>
    <row r="55" spans="1:7">
      <c r="A55" s="81">
        <v>56</v>
      </c>
      <c r="B55" s="81" t="s">
        <v>1124</v>
      </c>
      <c r="C55" s="68" t="s">
        <v>27</v>
      </c>
      <c r="D55" s="65">
        <v>1</v>
      </c>
      <c r="E55" s="65">
        <v>2</v>
      </c>
      <c r="F55" s="65">
        <f>SUMIF(Council_Data!$V$3:$V$838,$A55,Council_Data!$E$3:$E$838)</f>
        <v>333</v>
      </c>
      <c r="G55" s="65" t="s">
        <v>1342</v>
      </c>
    </row>
    <row r="56" spans="1:7">
      <c r="A56" s="81">
        <v>57</v>
      </c>
      <c r="B56" s="81" t="s">
        <v>1125</v>
      </c>
      <c r="C56" s="68" t="s">
        <v>27</v>
      </c>
      <c r="D56" s="65">
        <v>1</v>
      </c>
      <c r="E56" s="65">
        <v>2</v>
      </c>
      <c r="F56" s="65">
        <f>SUMIF(Council_Data!$V$3:$V$838,$A56,Council_Data!$E$3:$E$838)</f>
        <v>328</v>
      </c>
      <c r="G56" s="65" t="s">
        <v>1343</v>
      </c>
    </row>
    <row r="57" spans="1:7">
      <c r="A57" s="81">
        <v>58</v>
      </c>
      <c r="B57" s="81" t="s">
        <v>1126</v>
      </c>
      <c r="C57" s="68" t="s">
        <v>27</v>
      </c>
      <c r="D57" s="65">
        <v>1</v>
      </c>
      <c r="E57" s="65">
        <v>2</v>
      </c>
      <c r="F57" s="65">
        <f>SUMIF(Council_Data!$V$3:$V$838,$A57,Council_Data!$E$3:$E$838)</f>
        <v>334</v>
      </c>
      <c r="G57" s="65" t="s">
        <v>1344</v>
      </c>
    </row>
    <row r="58" spans="1:7">
      <c r="A58" s="81">
        <v>59</v>
      </c>
      <c r="B58" s="81" t="s">
        <v>1127</v>
      </c>
      <c r="C58" s="68" t="s">
        <v>27</v>
      </c>
      <c r="D58" s="65">
        <v>1</v>
      </c>
      <c r="E58" s="65">
        <v>1</v>
      </c>
      <c r="F58" s="65">
        <f>SUMIF(Council_Data!$V$3:$V$838,$A58,Council_Data!$E$3:$E$838)</f>
        <v>575</v>
      </c>
      <c r="G58" s="65" t="s">
        <v>1345</v>
      </c>
    </row>
    <row r="59" spans="1:7">
      <c r="A59" s="81">
        <v>60</v>
      </c>
      <c r="B59" s="81" t="s">
        <v>1128</v>
      </c>
      <c r="C59" s="68" t="s">
        <v>27</v>
      </c>
      <c r="D59" s="65">
        <v>1</v>
      </c>
      <c r="E59" s="65">
        <v>3</v>
      </c>
      <c r="F59" s="65">
        <f>SUMIF(Council_Data!$V$3:$V$838,$A59,Council_Data!$E$3:$E$838)</f>
        <v>285</v>
      </c>
      <c r="G59" s="65" t="s">
        <v>1346</v>
      </c>
    </row>
    <row r="60" spans="1:7">
      <c r="A60" s="81">
        <v>61</v>
      </c>
      <c r="B60" s="81" t="s">
        <v>1129</v>
      </c>
      <c r="C60" s="68" t="s">
        <v>27</v>
      </c>
      <c r="D60" s="65">
        <v>1</v>
      </c>
      <c r="E60" s="65">
        <v>3</v>
      </c>
      <c r="F60" s="65">
        <f>SUMIF(Council_Data!$V$3:$V$838,$A60,Council_Data!$E$3:$E$838)</f>
        <v>112</v>
      </c>
      <c r="G60" s="65" t="s">
        <v>1347</v>
      </c>
    </row>
    <row r="61" spans="1:7">
      <c r="A61" s="81">
        <v>62</v>
      </c>
      <c r="B61" s="81" t="s">
        <v>1130</v>
      </c>
      <c r="C61" s="68" t="s">
        <v>27</v>
      </c>
      <c r="D61" s="65">
        <v>1</v>
      </c>
      <c r="E61" s="65">
        <v>3</v>
      </c>
      <c r="F61" s="65">
        <f>SUMIF(Council_Data!$V$3:$V$838,$A61,Council_Data!$E$3:$E$838)</f>
        <v>69</v>
      </c>
      <c r="G61" s="65" t="s">
        <v>1348</v>
      </c>
    </row>
    <row r="62" spans="1:7">
      <c r="A62" s="81">
        <v>63</v>
      </c>
      <c r="B62" s="81" t="s">
        <v>1131</v>
      </c>
      <c r="C62" s="68" t="s">
        <v>27</v>
      </c>
      <c r="D62" s="65">
        <v>1</v>
      </c>
      <c r="E62" s="65">
        <v>3</v>
      </c>
      <c r="F62" s="65">
        <f>SUMIF(Council_Data!$V$3:$V$838,$A62,Council_Data!$E$3:$E$838)</f>
        <v>108</v>
      </c>
      <c r="G62" s="65" t="s">
        <v>1349</v>
      </c>
    </row>
    <row r="63" spans="1:7">
      <c r="A63" s="81">
        <v>64</v>
      </c>
      <c r="B63" s="81" t="s">
        <v>1500</v>
      </c>
      <c r="C63" s="68" t="s">
        <v>623</v>
      </c>
      <c r="D63" s="65">
        <v>1</v>
      </c>
      <c r="E63" s="65">
        <v>3</v>
      </c>
      <c r="F63" s="65">
        <f>SUMIF(Council_Data!$V$3:$V$838,$A63,Council_Data!$E$3:$E$838)</f>
        <v>123</v>
      </c>
      <c r="G63" s="24" t="s">
        <v>1502</v>
      </c>
    </row>
    <row r="64" spans="1:7">
      <c r="A64" s="81">
        <v>65</v>
      </c>
      <c r="B64" s="81" t="s">
        <v>1501</v>
      </c>
      <c r="C64" s="68" t="s">
        <v>623</v>
      </c>
      <c r="D64" s="65">
        <v>1</v>
      </c>
      <c r="E64" s="65">
        <v>3</v>
      </c>
      <c r="F64" s="65">
        <f>SUMIF(Council_Data!$V$3:$V$838,$A64,Council_Data!$E$3:$E$838)</f>
        <v>128</v>
      </c>
      <c r="G64" s="24" t="s">
        <v>1503</v>
      </c>
    </row>
    <row r="65" spans="1:7">
      <c r="A65" s="81">
        <v>66</v>
      </c>
      <c r="B65" s="81" t="s">
        <v>1134</v>
      </c>
      <c r="C65" s="68" t="s">
        <v>623</v>
      </c>
      <c r="D65" s="65">
        <v>1</v>
      </c>
      <c r="E65" s="65">
        <v>1</v>
      </c>
      <c r="F65" s="65">
        <f>SUMIF(Council_Data!$V$3:$V$838,$A65,Council_Data!$E$3:$E$838)</f>
        <v>671</v>
      </c>
      <c r="G65" s="65" t="s">
        <v>1352</v>
      </c>
    </row>
    <row r="66" spans="1:7">
      <c r="A66" s="81">
        <v>67</v>
      </c>
      <c r="B66" s="81" t="s">
        <v>1135</v>
      </c>
      <c r="C66" s="68" t="s">
        <v>623</v>
      </c>
      <c r="D66" s="65">
        <v>1</v>
      </c>
      <c r="E66" s="65">
        <v>2</v>
      </c>
      <c r="F66" s="65">
        <f>SUMIF(Council_Data!$V$3:$V$838,$A66,Council_Data!$E$3:$E$838)</f>
        <v>489</v>
      </c>
      <c r="G66" s="65" t="s">
        <v>1353</v>
      </c>
    </row>
    <row r="67" spans="1:7">
      <c r="A67" s="81">
        <v>68</v>
      </c>
      <c r="B67" s="81" t="s">
        <v>1136</v>
      </c>
      <c r="C67" s="68" t="s">
        <v>623</v>
      </c>
      <c r="D67" s="65">
        <v>1</v>
      </c>
      <c r="E67" s="65">
        <v>1</v>
      </c>
      <c r="F67" s="65">
        <f>SUMIF(Council_Data!$V$3:$V$838,$A67,Council_Data!$E$3:$E$838)</f>
        <v>949</v>
      </c>
      <c r="G67" s="65" t="s">
        <v>1354</v>
      </c>
    </row>
    <row r="68" spans="1:7">
      <c r="A68" s="81">
        <v>69</v>
      </c>
      <c r="B68" s="81" t="s">
        <v>1137</v>
      </c>
      <c r="C68" s="68" t="s">
        <v>623</v>
      </c>
      <c r="D68" s="65">
        <v>1</v>
      </c>
      <c r="E68" s="65">
        <v>1</v>
      </c>
      <c r="F68" s="65">
        <f>SUMIF(Council_Data!$V$3:$V$838,$A68,Council_Data!$E$3:$E$838)</f>
        <v>607</v>
      </c>
      <c r="G68" s="65" t="s">
        <v>1355</v>
      </c>
    </row>
    <row r="69" spans="1:7">
      <c r="A69" s="81">
        <v>70</v>
      </c>
      <c r="B69" s="81" t="s">
        <v>1138</v>
      </c>
      <c r="C69" s="68" t="s">
        <v>623</v>
      </c>
      <c r="D69" s="65">
        <v>1</v>
      </c>
      <c r="E69" s="65">
        <v>1</v>
      </c>
      <c r="F69" s="65">
        <f>SUMIF(Council_Data!$V$3:$V$838,$A69,Council_Data!$E$3:$E$838)</f>
        <v>643</v>
      </c>
      <c r="G69" s="65" t="s">
        <v>1356</v>
      </c>
    </row>
    <row r="70" spans="1:7">
      <c r="A70" s="81">
        <v>71</v>
      </c>
      <c r="B70" s="81" t="s">
        <v>1139</v>
      </c>
      <c r="C70" s="68" t="s">
        <v>623</v>
      </c>
      <c r="D70" s="65">
        <v>1</v>
      </c>
      <c r="E70" s="65">
        <v>1</v>
      </c>
      <c r="F70" s="65">
        <f>SUMIF(Council_Data!$V$3:$V$838,$A70,Council_Data!$E$3:$E$838)</f>
        <v>707</v>
      </c>
      <c r="G70" s="65" t="s">
        <v>1357</v>
      </c>
    </row>
    <row r="71" spans="1:7">
      <c r="A71" s="81">
        <v>72</v>
      </c>
      <c r="B71" s="81" t="s">
        <v>1140</v>
      </c>
      <c r="C71" s="68" t="s">
        <v>623</v>
      </c>
      <c r="D71" s="65">
        <v>1</v>
      </c>
      <c r="E71" s="65">
        <v>2</v>
      </c>
      <c r="F71" s="65">
        <f>SUMIF(Council_Data!$V$3:$V$838,$A71,Council_Data!$E$3:$E$838)</f>
        <v>508</v>
      </c>
      <c r="G71" s="65" t="s">
        <v>1358</v>
      </c>
    </row>
    <row r="72" spans="1:7">
      <c r="A72" s="81">
        <v>73</v>
      </c>
      <c r="B72" s="81" t="s">
        <v>1141</v>
      </c>
      <c r="C72" s="68" t="s">
        <v>623</v>
      </c>
      <c r="D72" s="65">
        <v>1</v>
      </c>
      <c r="E72" s="65">
        <v>2</v>
      </c>
      <c r="F72" s="65">
        <f>SUMIF(Council_Data!$V$3:$V$838,$A72,Council_Data!$E$3:$E$838)</f>
        <v>461</v>
      </c>
      <c r="G72" s="65" t="s">
        <v>1359</v>
      </c>
    </row>
    <row r="73" spans="1:7">
      <c r="A73" s="81">
        <v>74</v>
      </c>
      <c r="B73" s="81" t="s">
        <v>1142</v>
      </c>
      <c r="C73" s="68" t="s">
        <v>623</v>
      </c>
      <c r="D73" s="65">
        <v>1</v>
      </c>
      <c r="E73" s="65">
        <v>1</v>
      </c>
      <c r="F73" s="65">
        <f>SUMIF(Council_Data!$V$3:$V$838,$A73,Council_Data!$E$3:$E$838)</f>
        <v>1114</v>
      </c>
      <c r="G73" s="65" t="s">
        <v>1360</v>
      </c>
    </row>
    <row r="74" spans="1:7">
      <c r="A74" s="81">
        <v>75</v>
      </c>
      <c r="B74" s="81" t="s">
        <v>1143</v>
      </c>
      <c r="C74" s="68" t="s">
        <v>623</v>
      </c>
      <c r="D74" s="65">
        <v>1</v>
      </c>
      <c r="E74" s="65">
        <v>1</v>
      </c>
      <c r="F74" s="65">
        <f>SUMIF(Council_Data!$V$3:$V$838,$A74,Council_Data!$E$3:$E$838)</f>
        <v>1120</v>
      </c>
      <c r="G74" s="65" t="s">
        <v>1361</v>
      </c>
    </row>
    <row r="75" spans="1:7">
      <c r="A75" s="81">
        <v>76</v>
      </c>
      <c r="B75" s="81" t="s">
        <v>1144</v>
      </c>
      <c r="C75" s="68" t="s">
        <v>623</v>
      </c>
      <c r="D75" s="65">
        <v>1</v>
      </c>
      <c r="E75" s="65">
        <v>3</v>
      </c>
      <c r="F75" s="65">
        <f>SUMIF(Council_Data!$V$3:$V$838,$A75,Council_Data!$E$3:$E$838)</f>
        <v>200</v>
      </c>
      <c r="G75" s="65" t="s">
        <v>1362</v>
      </c>
    </row>
    <row r="76" spans="1:7">
      <c r="A76" s="81">
        <v>77</v>
      </c>
      <c r="B76" s="81" t="s">
        <v>1145</v>
      </c>
      <c r="C76" s="68" t="s">
        <v>623</v>
      </c>
      <c r="D76" s="65">
        <v>1</v>
      </c>
      <c r="E76" s="65">
        <v>2</v>
      </c>
      <c r="F76" s="65">
        <f>SUMIF(Council_Data!$V$3:$V$838,$A76,Council_Data!$E$3:$E$838)</f>
        <v>368</v>
      </c>
      <c r="G76" s="65" t="s">
        <v>1363</v>
      </c>
    </row>
    <row r="77" spans="1:7">
      <c r="A77" s="81">
        <v>78</v>
      </c>
      <c r="B77" s="81" t="s">
        <v>1510</v>
      </c>
      <c r="C77" s="68" t="s">
        <v>623</v>
      </c>
      <c r="D77" s="65">
        <v>1</v>
      </c>
      <c r="E77" s="65">
        <v>3</v>
      </c>
      <c r="F77" s="65">
        <f>SUMIF(Council_Data!$V$3:$V$838,$A77,Council_Data!$E$3:$E$838)</f>
        <v>223</v>
      </c>
    </row>
    <row r="78" spans="1:7">
      <c r="A78" s="81">
        <v>79</v>
      </c>
      <c r="B78" s="81" t="s">
        <v>1146</v>
      </c>
      <c r="C78" s="68" t="s">
        <v>623</v>
      </c>
      <c r="D78" s="65">
        <v>1</v>
      </c>
      <c r="E78" s="65">
        <v>1</v>
      </c>
      <c r="F78" s="65">
        <f>SUMIF(Council_Data!$V$3:$V$838,$A78,Council_Data!$E$3:$E$838)</f>
        <v>1599</v>
      </c>
      <c r="G78" s="65" t="s">
        <v>1364</v>
      </c>
    </row>
    <row r="79" spans="1:7">
      <c r="A79" s="81">
        <v>80</v>
      </c>
      <c r="B79" s="81" t="s">
        <v>1147</v>
      </c>
      <c r="C79" s="68" t="s">
        <v>623</v>
      </c>
      <c r="D79" s="65">
        <v>1</v>
      </c>
      <c r="E79" s="65">
        <v>1</v>
      </c>
      <c r="F79" s="65">
        <f>SUMIF(Council_Data!$V$3:$V$838,$A79,Council_Data!$E$3:$E$838)</f>
        <v>914</v>
      </c>
      <c r="G79" s="65" t="s">
        <v>1365</v>
      </c>
    </row>
    <row r="80" spans="1:7">
      <c r="A80" s="81">
        <v>81</v>
      </c>
      <c r="B80" s="81" t="s">
        <v>1504</v>
      </c>
      <c r="C80" s="68" t="s">
        <v>623</v>
      </c>
      <c r="D80" s="65">
        <v>1</v>
      </c>
      <c r="E80" s="65">
        <v>2</v>
      </c>
      <c r="F80" s="65">
        <f>SUMIF(Council_Data!$V$3:$V$838,$A80,Council_Data!$E$3:$E$838)</f>
        <v>435</v>
      </c>
      <c r="G80" s="24" t="s">
        <v>1505</v>
      </c>
    </row>
    <row r="81" spans="1:7" ht="15.75" customHeight="1">
      <c r="A81" s="81">
        <v>82</v>
      </c>
      <c r="B81" s="81" t="s">
        <v>1148</v>
      </c>
      <c r="C81" s="68" t="s">
        <v>623</v>
      </c>
      <c r="D81" s="65">
        <v>1</v>
      </c>
      <c r="E81" s="65">
        <v>1</v>
      </c>
      <c r="F81" s="65">
        <f>SUMIF(Council_Data!$V$3:$V$838,$A81,Council_Data!$E$3:$E$838)</f>
        <v>795</v>
      </c>
      <c r="G81" s="65" t="s">
        <v>1366</v>
      </c>
    </row>
    <row r="82" spans="1:7">
      <c r="A82" s="81">
        <v>83</v>
      </c>
      <c r="B82" s="81" t="s">
        <v>1149</v>
      </c>
      <c r="C82" s="68" t="s">
        <v>623</v>
      </c>
      <c r="D82" s="65">
        <v>1</v>
      </c>
      <c r="E82" s="65">
        <v>1</v>
      </c>
      <c r="F82" s="65">
        <f>SUMIF(Council_Data!$V$3:$V$838,$A82,Council_Data!$E$3:$E$838)</f>
        <v>633</v>
      </c>
      <c r="G82" s="65" t="s">
        <v>1367</v>
      </c>
    </row>
    <row r="83" spans="1:7">
      <c r="A83" s="81">
        <v>84</v>
      </c>
      <c r="B83" s="81" t="s">
        <v>1506</v>
      </c>
      <c r="C83" s="68" t="s">
        <v>623</v>
      </c>
      <c r="D83" s="65">
        <v>1</v>
      </c>
      <c r="E83" s="65">
        <v>3</v>
      </c>
      <c r="F83" s="65">
        <f>SUMIF(Council_Data!$V$3:$V$838,$A83,Council_Data!$E$3:$E$838)</f>
        <v>288</v>
      </c>
      <c r="G83" s="24" t="s">
        <v>1507</v>
      </c>
    </row>
    <row r="84" spans="1:7">
      <c r="A84" s="81">
        <v>85</v>
      </c>
      <c r="B84" s="81" t="s">
        <v>1151</v>
      </c>
      <c r="C84" s="68" t="s">
        <v>623</v>
      </c>
      <c r="D84" s="65">
        <v>1</v>
      </c>
      <c r="E84" s="65">
        <v>1</v>
      </c>
      <c r="F84" s="65">
        <f>SUMIF(Council_Data!$V$3:$V$838,$A84,Council_Data!$E$3:$E$838)</f>
        <v>1301</v>
      </c>
      <c r="G84" s="65" t="s">
        <v>1369</v>
      </c>
    </row>
    <row r="85" spans="1:7">
      <c r="A85" s="81">
        <v>86</v>
      </c>
      <c r="B85" s="81" t="s">
        <v>1152</v>
      </c>
      <c r="C85" s="68" t="s">
        <v>623</v>
      </c>
      <c r="D85" s="65">
        <v>1</v>
      </c>
      <c r="E85" s="65">
        <v>1</v>
      </c>
      <c r="F85" s="65">
        <f>SUMIF(Council_Data!$V$3:$V$838,$A85,Council_Data!$E$3:$E$838)</f>
        <v>614</v>
      </c>
    </row>
    <row r="86" spans="1:7">
      <c r="A86" s="81">
        <v>87</v>
      </c>
      <c r="B86" s="81" t="s">
        <v>1153</v>
      </c>
      <c r="C86" s="68" t="s">
        <v>623</v>
      </c>
      <c r="D86" s="65">
        <v>1</v>
      </c>
      <c r="E86" s="65">
        <v>1</v>
      </c>
      <c r="F86" s="65">
        <f>SUMIF(Council_Data!$V$3:$V$838,$A86,Council_Data!$E$3:$E$838)</f>
        <v>583</v>
      </c>
      <c r="G86" s="65" t="s">
        <v>1370</v>
      </c>
    </row>
    <row r="87" spans="1:7">
      <c r="A87" s="81">
        <v>88</v>
      </c>
      <c r="B87" s="81" t="s">
        <v>1154</v>
      </c>
      <c r="C87" s="68" t="s">
        <v>623</v>
      </c>
      <c r="D87" s="65">
        <v>1</v>
      </c>
      <c r="E87" s="65">
        <v>1</v>
      </c>
      <c r="F87" s="65">
        <f>SUMIF(Council_Data!$V$3:$V$838,$A87,Council_Data!$E$3:$E$838)</f>
        <v>897</v>
      </c>
      <c r="G87" s="65" t="s">
        <v>1371</v>
      </c>
    </row>
    <row r="88" spans="1:7">
      <c r="A88" s="81">
        <v>89</v>
      </c>
      <c r="B88" s="81" t="s">
        <v>1155</v>
      </c>
      <c r="C88" s="68" t="s">
        <v>623</v>
      </c>
      <c r="D88" s="65">
        <v>1</v>
      </c>
      <c r="E88" s="65">
        <v>3</v>
      </c>
      <c r="F88" s="65">
        <f>SUMIF(Council_Data!$V$3:$V$838,$A88,Council_Data!$E$3:$E$838)</f>
        <v>204</v>
      </c>
      <c r="G88" s="65" t="s">
        <v>1372</v>
      </c>
    </row>
    <row r="89" spans="1:7">
      <c r="A89" s="81">
        <v>90</v>
      </c>
      <c r="B89" s="81" t="s">
        <v>1156</v>
      </c>
      <c r="C89" s="68" t="s">
        <v>623</v>
      </c>
      <c r="D89" s="65">
        <v>1</v>
      </c>
      <c r="E89" s="65">
        <v>1</v>
      </c>
      <c r="F89" s="65">
        <f>SUMIF(Council_Data!$V$3:$V$838,$A89,Council_Data!$E$3:$E$838)</f>
        <v>1236</v>
      </c>
      <c r="G89" s="65" t="s">
        <v>1373</v>
      </c>
    </row>
    <row r="90" spans="1:7">
      <c r="A90" s="81">
        <v>91</v>
      </c>
      <c r="B90" s="81" t="s">
        <v>1150</v>
      </c>
      <c r="C90" s="68" t="s">
        <v>623</v>
      </c>
      <c r="D90" s="65">
        <v>1</v>
      </c>
      <c r="E90" s="65">
        <v>1</v>
      </c>
      <c r="F90" s="65">
        <f>SUMIF(Council_Data!$V$3:$V$838,$A90,Council_Data!$E$3:$E$838)</f>
        <v>694</v>
      </c>
      <c r="G90" s="65" t="s">
        <v>1368</v>
      </c>
    </row>
    <row r="91" spans="1:7">
      <c r="A91" s="81">
        <v>92</v>
      </c>
      <c r="B91" s="81" t="s">
        <v>1157</v>
      </c>
      <c r="C91" s="68" t="s">
        <v>623</v>
      </c>
      <c r="D91" s="65">
        <v>1</v>
      </c>
      <c r="E91" s="65">
        <v>1</v>
      </c>
      <c r="F91" s="65">
        <f>SUMIF(Council_Data!$V$3:$V$838,$A91,Council_Data!$E$3:$E$838)</f>
        <v>1159</v>
      </c>
      <c r="G91" s="65" t="s">
        <v>1374</v>
      </c>
    </row>
    <row r="92" spans="1:7">
      <c r="A92" s="81">
        <v>93</v>
      </c>
      <c r="B92" s="81" t="s">
        <v>1511</v>
      </c>
      <c r="C92" s="68" t="s">
        <v>623</v>
      </c>
      <c r="D92" s="65">
        <v>1</v>
      </c>
      <c r="E92" s="65">
        <v>1</v>
      </c>
      <c r="F92" s="65">
        <f>SUMIF(Council_Data!$V$3:$V$838,$A92,Council_Data!$E$3:$E$838)</f>
        <v>1121</v>
      </c>
    </row>
    <row r="93" spans="1:7">
      <c r="A93" s="81">
        <v>94</v>
      </c>
      <c r="B93" s="81" t="s">
        <v>1158</v>
      </c>
      <c r="C93" s="68" t="s">
        <v>623</v>
      </c>
      <c r="D93" s="65">
        <v>1</v>
      </c>
      <c r="E93" s="65">
        <v>1</v>
      </c>
      <c r="F93" s="65">
        <f>SUMIF(Council_Data!$V$3:$V$838,$A93,Council_Data!$E$3:$E$838)</f>
        <v>848</v>
      </c>
      <c r="G93" s="65" t="s">
        <v>1375</v>
      </c>
    </row>
    <row r="94" spans="1:7">
      <c r="A94" s="81">
        <v>95</v>
      </c>
      <c r="B94" s="81" t="s">
        <v>1159</v>
      </c>
      <c r="C94" s="68" t="s">
        <v>623</v>
      </c>
      <c r="D94" s="65">
        <v>1</v>
      </c>
      <c r="E94" s="65">
        <v>2</v>
      </c>
      <c r="F94" s="65">
        <f>SUMIF(Council_Data!$V$3:$V$838,$A94,Council_Data!$E$3:$E$838)</f>
        <v>411</v>
      </c>
      <c r="G94" s="65" t="s">
        <v>1376</v>
      </c>
    </row>
    <row r="95" spans="1:7">
      <c r="A95" s="81">
        <v>96</v>
      </c>
      <c r="B95" s="81" t="s">
        <v>1160</v>
      </c>
      <c r="C95" s="68" t="s">
        <v>623</v>
      </c>
      <c r="D95" s="65">
        <v>1</v>
      </c>
      <c r="E95" s="65">
        <v>3</v>
      </c>
      <c r="F95" s="65">
        <f>SUMIF(Council_Data!$V$3:$V$838,$A95,Council_Data!$E$3:$E$838)</f>
        <v>172</v>
      </c>
      <c r="G95" s="65" t="s">
        <v>1377</v>
      </c>
    </row>
    <row r="96" spans="1:7">
      <c r="A96" s="81">
        <v>97</v>
      </c>
      <c r="B96" s="81" t="s">
        <v>1161</v>
      </c>
      <c r="C96" s="68" t="s">
        <v>623</v>
      </c>
      <c r="D96" s="65">
        <v>1</v>
      </c>
      <c r="E96" s="65">
        <v>3</v>
      </c>
      <c r="F96" s="65">
        <f>SUMIF(Council_Data!$V$3:$V$838,$A96,Council_Data!$E$3:$E$838)</f>
        <v>58</v>
      </c>
      <c r="G96" s="65" t="s">
        <v>1378</v>
      </c>
    </row>
    <row r="97" spans="1:7">
      <c r="A97" s="81">
        <v>98</v>
      </c>
      <c r="B97" s="81" t="s">
        <v>1162</v>
      </c>
      <c r="C97" s="68" t="s">
        <v>623</v>
      </c>
      <c r="D97" s="65">
        <v>1</v>
      </c>
      <c r="E97" s="65">
        <v>3</v>
      </c>
      <c r="F97" s="65">
        <f>SUMIF(Council_Data!$V$3:$V$838,$A97,Council_Data!$E$3:$E$838)</f>
        <v>273</v>
      </c>
      <c r="G97" s="65" t="s">
        <v>1379</v>
      </c>
    </row>
    <row r="98" spans="1:7">
      <c r="A98" s="81">
        <v>99</v>
      </c>
      <c r="B98" s="81" t="s">
        <v>1163</v>
      </c>
      <c r="C98" s="68" t="s">
        <v>623</v>
      </c>
      <c r="D98" s="65">
        <v>1</v>
      </c>
      <c r="E98" s="65">
        <v>1</v>
      </c>
      <c r="F98" s="65">
        <f>SUMIF(Council_Data!$V$3:$V$838,$A98,Council_Data!$E$3:$E$838)</f>
        <v>637</v>
      </c>
      <c r="G98" s="65" t="s">
        <v>1380</v>
      </c>
    </row>
    <row r="99" spans="1:7">
      <c r="A99" s="81">
        <v>101</v>
      </c>
      <c r="B99" s="81" t="s">
        <v>1164</v>
      </c>
      <c r="C99" s="68" t="s">
        <v>31</v>
      </c>
      <c r="D99" s="65">
        <v>1</v>
      </c>
      <c r="E99" s="65">
        <v>2</v>
      </c>
      <c r="F99" s="65">
        <f>SUMIF(Council_Data!$V$3:$V$838,$A99,Council_Data!$E$3:$E$838)</f>
        <v>458</v>
      </c>
      <c r="G99" s="24" t="s">
        <v>1508</v>
      </c>
    </row>
    <row r="100" spans="1:7">
      <c r="A100" s="81">
        <v>102</v>
      </c>
      <c r="B100" s="81" t="s">
        <v>1165</v>
      </c>
      <c r="C100" s="68" t="s">
        <v>31</v>
      </c>
      <c r="D100" s="65">
        <v>1</v>
      </c>
      <c r="E100" s="65">
        <v>1</v>
      </c>
      <c r="F100" s="65">
        <f>SUMIF(Council_Data!$V$3:$V$838,$A100,Council_Data!$E$3:$E$838)</f>
        <v>767</v>
      </c>
      <c r="G100" s="65" t="s">
        <v>1381</v>
      </c>
    </row>
    <row r="101" spans="1:7">
      <c r="A101" s="81">
        <v>103</v>
      </c>
      <c r="B101" s="81" t="s">
        <v>1166</v>
      </c>
      <c r="C101" s="68" t="s">
        <v>31</v>
      </c>
      <c r="D101" s="65">
        <v>1</v>
      </c>
      <c r="E101" s="65">
        <v>1</v>
      </c>
      <c r="F101" s="65">
        <f>SUMIF(Council_Data!$V$3:$V$838,$A101,Council_Data!$E$3:$E$838)</f>
        <v>888</v>
      </c>
      <c r="G101" s="65" t="s">
        <v>1382</v>
      </c>
    </row>
    <row r="102" spans="1:7">
      <c r="A102" s="81">
        <v>104</v>
      </c>
      <c r="B102" s="81" t="s">
        <v>1167</v>
      </c>
      <c r="C102" s="68" t="s">
        <v>31</v>
      </c>
      <c r="D102" s="65">
        <v>1</v>
      </c>
      <c r="E102" s="65">
        <v>1</v>
      </c>
      <c r="F102" s="65">
        <f>SUMIF(Council_Data!$V$3:$V$838,$A102,Council_Data!$E$3:$E$838)</f>
        <v>2177</v>
      </c>
      <c r="G102" s="65" t="s">
        <v>1383</v>
      </c>
    </row>
    <row r="103" spans="1:7">
      <c r="A103" s="81">
        <v>105</v>
      </c>
      <c r="B103" s="81" t="s">
        <v>1168</v>
      </c>
      <c r="C103" s="68" t="s">
        <v>31</v>
      </c>
      <c r="D103" s="65">
        <v>1</v>
      </c>
      <c r="E103" s="65">
        <v>1</v>
      </c>
      <c r="F103" s="65">
        <f>SUMIF(Council_Data!$V$3:$V$838,$A103,Council_Data!$E$3:$E$838)</f>
        <v>661</v>
      </c>
      <c r="G103" s="65" t="s">
        <v>1384</v>
      </c>
    </row>
    <row r="104" spans="1:7">
      <c r="A104" s="81">
        <v>106</v>
      </c>
      <c r="B104" s="81" t="s">
        <v>1169</v>
      </c>
      <c r="C104" s="68" t="s">
        <v>31</v>
      </c>
      <c r="D104" s="65">
        <v>1</v>
      </c>
      <c r="E104" s="65">
        <v>1</v>
      </c>
      <c r="F104" s="65">
        <f>SUMIF(Council_Data!$V$3:$V$838,$A104,Council_Data!$E$3:$E$838)</f>
        <v>940</v>
      </c>
      <c r="G104" s="65" t="s">
        <v>1385</v>
      </c>
    </row>
    <row r="105" spans="1:7">
      <c r="A105" s="81">
        <v>107</v>
      </c>
      <c r="B105" s="81" t="s">
        <v>1170</v>
      </c>
      <c r="C105" s="68" t="s">
        <v>31</v>
      </c>
      <c r="D105" s="65">
        <v>1</v>
      </c>
      <c r="E105" s="65">
        <v>2</v>
      </c>
      <c r="F105" s="65">
        <f>SUMIF(Council_Data!$V$3:$V$838,$A105,Council_Data!$E$3:$E$838)</f>
        <v>459</v>
      </c>
      <c r="G105" s="65" t="s">
        <v>1386</v>
      </c>
    </row>
    <row r="106" spans="1:7">
      <c r="A106" s="81">
        <v>108</v>
      </c>
      <c r="B106" s="81" t="s">
        <v>1171</v>
      </c>
      <c r="C106" s="68" t="s">
        <v>31</v>
      </c>
      <c r="D106" s="65">
        <v>1</v>
      </c>
      <c r="E106" s="65">
        <v>1</v>
      </c>
      <c r="F106" s="65">
        <f>SUMIF(Council_Data!$V$3:$V$838,$A106,Council_Data!$E$3:$E$838)</f>
        <v>822</v>
      </c>
      <c r="G106" s="65" t="s">
        <v>1387</v>
      </c>
    </row>
    <row r="107" spans="1:7">
      <c r="A107" s="81">
        <v>109</v>
      </c>
      <c r="B107" s="81" t="s">
        <v>1172</v>
      </c>
      <c r="C107" s="68" t="s">
        <v>31</v>
      </c>
      <c r="D107" s="65">
        <v>1</v>
      </c>
      <c r="E107" s="65">
        <v>2</v>
      </c>
      <c r="F107" s="65">
        <f>SUMIF(Council_Data!$V$3:$V$838,$A107,Council_Data!$E$3:$E$838)</f>
        <v>482</v>
      </c>
      <c r="G107" s="65" t="s">
        <v>1388</v>
      </c>
    </row>
    <row r="108" spans="1:7">
      <c r="A108" s="81">
        <v>110</v>
      </c>
      <c r="B108" s="81" t="s">
        <v>1173</v>
      </c>
      <c r="C108" s="68" t="s">
        <v>31</v>
      </c>
      <c r="D108" s="65">
        <v>1</v>
      </c>
      <c r="E108" s="65">
        <v>2</v>
      </c>
      <c r="F108" s="65">
        <f>SUMIF(Council_Data!$V$3:$V$838,$A108,Council_Data!$E$3:$E$838)</f>
        <v>557</v>
      </c>
      <c r="G108" s="65" t="s">
        <v>1389</v>
      </c>
    </row>
    <row r="109" spans="1:7">
      <c r="A109" s="81">
        <v>111</v>
      </c>
      <c r="B109" s="81" t="s">
        <v>1174</v>
      </c>
      <c r="C109" s="68" t="s">
        <v>31</v>
      </c>
      <c r="D109" s="65">
        <v>1</v>
      </c>
      <c r="E109" s="65">
        <v>1</v>
      </c>
      <c r="F109" s="65">
        <f>SUMIF(Council_Data!$V$3:$V$838,$A109,Council_Data!$E$3:$E$838)</f>
        <v>1531</v>
      </c>
      <c r="G109" s="65" t="s">
        <v>1390</v>
      </c>
    </row>
    <row r="110" spans="1:7">
      <c r="A110" s="81">
        <v>112</v>
      </c>
      <c r="B110" s="81" t="s">
        <v>1175</v>
      </c>
      <c r="C110" s="68" t="s">
        <v>31</v>
      </c>
      <c r="D110" s="65">
        <v>1</v>
      </c>
      <c r="E110" s="65">
        <v>3</v>
      </c>
      <c r="F110" s="65">
        <f>SUMIF(Council_Data!$V$3:$V$838,$A110,Council_Data!$E$3:$E$838)</f>
        <v>266</v>
      </c>
      <c r="G110" s="65" t="s">
        <v>1391</v>
      </c>
    </row>
    <row r="111" spans="1:7">
      <c r="A111" s="81">
        <v>113</v>
      </c>
      <c r="B111" s="81" t="s">
        <v>1176</v>
      </c>
      <c r="C111" s="68" t="s">
        <v>31</v>
      </c>
      <c r="D111" s="65">
        <v>1</v>
      </c>
      <c r="E111" s="65">
        <v>2</v>
      </c>
      <c r="F111" s="65">
        <f>SUMIF(Council_Data!$V$3:$V$838,$A111,Council_Data!$E$3:$E$838)</f>
        <v>369</v>
      </c>
      <c r="G111" s="65" t="s">
        <v>1392</v>
      </c>
    </row>
    <row r="112" spans="1:7">
      <c r="A112" s="81">
        <v>114</v>
      </c>
      <c r="B112" s="81" t="s">
        <v>1177</v>
      </c>
      <c r="C112" s="68" t="s">
        <v>31</v>
      </c>
      <c r="D112" s="65">
        <v>1</v>
      </c>
      <c r="E112" s="65">
        <v>1</v>
      </c>
      <c r="F112" s="65">
        <f>SUMIF(Council_Data!$V$3:$V$838,$A112,Council_Data!$E$3:$E$838)</f>
        <v>1138</v>
      </c>
      <c r="G112" s="65" t="s">
        <v>1393</v>
      </c>
    </row>
    <row r="113" spans="1:7">
      <c r="A113" s="81">
        <v>115</v>
      </c>
      <c r="B113" s="81" t="s">
        <v>1178</v>
      </c>
      <c r="C113" s="68" t="s">
        <v>31</v>
      </c>
      <c r="D113" s="65">
        <v>2</v>
      </c>
      <c r="E113" s="65">
        <v>2</v>
      </c>
      <c r="F113" s="65">
        <f>SUMIF(Council_Data!$V$3:$V$838,$A113,Council_Data!$E$3:$E$838)</f>
        <v>462</v>
      </c>
      <c r="G113" s="65" t="s">
        <v>1394</v>
      </c>
    </row>
    <row r="114" spans="1:7">
      <c r="A114" s="81">
        <v>116</v>
      </c>
      <c r="B114" s="81" t="s">
        <v>1179</v>
      </c>
      <c r="C114" s="68" t="s">
        <v>31</v>
      </c>
      <c r="D114" s="65">
        <v>2</v>
      </c>
      <c r="E114" s="65">
        <v>3</v>
      </c>
      <c r="F114" s="65">
        <f>SUMIF(Council_Data!$V$3:$V$838,$A114,Council_Data!$E$3:$E$838)</f>
        <v>171</v>
      </c>
      <c r="G114" s="65" t="s">
        <v>1395</v>
      </c>
    </row>
    <row r="115" spans="1:7">
      <c r="A115" s="81">
        <v>121</v>
      </c>
      <c r="B115" s="81" t="s">
        <v>1180</v>
      </c>
      <c r="C115" s="68" t="s">
        <v>37</v>
      </c>
      <c r="D115" s="65">
        <v>2</v>
      </c>
      <c r="E115" s="65">
        <v>2</v>
      </c>
      <c r="F115" s="65">
        <f>SUMIF(Council_Data!$V$3:$V$838,$A115,Council_Data!$E$3:$E$838)</f>
        <v>418</v>
      </c>
      <c r="G115" s="65" t="s">
        <v>1396</v>
      </c>
    </row>
    <row r="116" spans="1:7">
      <c r="A116" s="81">
        <v>122</v>
      </c>
      <c r="B116" s="81" t="s">
        <v>1181</v>
      </c>
      <c r="C116" s="68" t="s">
        <v>37</v>
      </c>
      <c r="D116" s="65">
        <v>2</v>
      </c>
      <c r="E116" s="65">
        <v>1</v>
      </c>
      <c r="F116" s="65">
        <f>SUMIF(Council_Data!$V$3:$V$838,$A116,Council_Data!$E$3:$E$838)</f>
        <v>988</v>
      </c>
      <c r="G116" s="65" t="s">
        <v>1397</v>
      </c>
    </row>
    <row r="117" spans="1:7">
      <c r="A117" s="81">
        <v>123</v>
      </c>
      <c r="B117" s="81" t="s">
        <v>1182</v>
      </c>
      <c r="C117" s="68" t="s">
        <v>37</v>
      </c>
      <c r="D117" s="65">
        <v>2</v>
      </c>
      <c r="E117" s="65">
        <v>3</v>
      </c>
      <c r="F117" s="65">
        <f>SUMIF(Council_Data!$V$3:$V$838,$A117,Council_Data!$E$3:$E$838)</f>
        <v>260</v>
      </c>
      <c r="G117" s="65" t="s">
        <v>1398</v>
      </c>
    </row>
    <row r="118" spans="1:7">
      <c r="A118" s="81">
        <v>124</v>
      </c>
      <c r="B118" s="81" t="s">
        <v>1183</v>
      </c>
      <c r="C118" s="68" t="s">
        <v>37</v>
      </c>
      <c r="D118" s="65">
        <v>2</v>
      </c>
      <c r="E118" s="65">
        <v>2</v>
      </c>
      <c r="F118" s="65">
        <f>SUMIF(Council_Data!$V$3:$V$838,$A118,Council_Data!$E$3:$E$838)</f>
        <v>456</v>
      </c>
      <c r="G118" s="65" t="s">
        <v>1399</v>
      </c>
    </row>
    <row r="119" spans="1:7">
      <c r="A119" s="81">
        <v>125</v>
      </c>
      <c r="B119" s="81" t="s">
        <v>1184</v>
      </c>
      <c r="C119" s="68" t="s">
        <v>37</v>
      </c>
      <c r="D119" s="65">
        <v>2</v>
      </c>
      <c r="E119" s="65">
        <v>1</v>
      </c>
      <c r="F119" s="65">
        <f>SUMIF(Council_Data!$V$3:$V$838,$A119,Council_Data!$E$3:$E$838)</f>
        <v>595</v>
      </c>
      <c r="G119" s="65" t="s">
        <v>1400</v>
      </c>
    </row>
    <row r="120" spans="1:7">
      <c r="A120" s="81">
        <v>126</v>
      </c>
      <c r="B120" s="81" t="s">
        <v>1185</v>
      </c>
      <c r="C120" s="68" t="s">
        <v>37</v>
      </c>
      <c r="D120" s="65">
        <v>3</v>
      </c>
      <c r="E120" s="65">
        <v>2</v>
      </c>
      <c r="F120" s="65">
        <f>SUMIF(Council_Data!$V$3:$V$838,$A120,Council_Data!$E$3:$E$838)</f>
        <v>410</v>
      </c>
      <c r="G120" s="65" t="s">
        <v>1401</v>
      </c>
    </row>
    <row r="121" spans="1:7">
      <c r="A121" s="81">
        <v>127</v>
      </c>
      <c r="B121" s="81" t="s">
        <v>1186</v>
      </c>
      <c r="C121" s="68" t="s">
        <v>37</v>
      </c>
      <c r="D121" s="65">
        <v>3</v>
      </c>
      <c r="E121" s="65">
        <v>3</v>
      </c>
      <c r="F121" s="65">
        <f>SUMIF(Council_Data!$V$3:$V$838,$A121,Council_Data!$E$3:$E$838)</f>
        <v>37</v>
      </c>
      <c r="G121" s="65" t="s">
        <v>1402</v>
      </c>
    </row>
    <row r="122" spans="1:7">
      <c r="A122" s="81">
        <v>131</v>
      </c>
      <c r="B122" s="81" t="s">
        <v>1187</v>
      </c>
      <c r="C122" s="68" t="s">
        <v>64</v>
      </c>
      <c r="D122" s="65">
        <v>3</v>
      </c>
      <c r="E122" s="65">
        <v>3</v>
      </c>
      <c r="F122" s="65">
        <f>SUMIF(Council_Data!$V$3:$V$838,$A122,Council_Data!$E$3:$E$838)</f>
        <v>265</v>
      </c>
      <c r="G122" s="65" t="s">
        <v>1403</v>
      </c>
    </row>
    <row r="123" spans="1:7">
      <c r="A123" s="81">
        <v>132</v>
      </c>
      <c r="B123" s="81" t="s">
        <v>1188</v>
      </c>
      <c r="C123" s="68" t="s">
        <v>64</v>
      </c>
      <c r="D123" s="65">
        <v>3</v>
      </c>
      <c r="E123" s="65">
        <v>3</v>
      </c>
      <c r="F123" s="65">
        <f>SUMIF(Council_Data!$V$3:$V$838,$A123,Council_Data!$E$3:$E$838)</f>
        <v>254</v>
      </c>
      <c r="G123" s="65" t="s">
        <v>1404</v>
      </c>
    </row>
    <row r="124" spans="1:7">
      <c r="A124" s="81">
        <v>133</v>
      </c>
      <c r="B124" s="81" t="s">
        <v>1189</v>
      </c>
      <c r="C124" s="68" t="s">
        <v>64</v>
      </c>
      <c r="D124" s="65">
        <v>3</v>
      </c>
      <c r="E124" s="65">
        <v>1</v>
      </c>
      <c r="F124" s="65">
        <f>SUMIF(Council_Data!$V$3:$V$838,$A124,Council_Data!$E$3:$E$838)</f>
        <v>655</v>
      </c>
      <c r="G124" s="65" t="s">
        <v>1405</v>
      </c>
    </row>
    <row r="125" spans="1:7">
      <c r="A125" s="81">
        <v>134</v>
      </c>
      <c r="B125" s="81" t="s">
        <v>1190</v>
      </c>
      <c r="C125" s="68" t="s">
        <v>64</v>
      </c>
      <c r="D125" s="65">
        <v>3</v>
      </c>
      <c r="E125" s="65">
        <v>2</v>
      </c>
      <c r="F125" s="65">
        <f>SUMIF(Council_Data!$V$3:$V$838,$A125,Council_Data!$E$3:$E$838)</f>
        <v>433</v>
      </c>
      <c r="G125" s="65" t="s">
        <v>1406</v>
      </c>
    </row>
    <row r="126" spans="1:7">
      <c r="A126" s="81">
        <v>135</v>
      </c>
      <c r="B126" s="81" t="s">
        <v>1191</v>
      </c>
      <c r="C126" s="68" t="s">
        <v>64</v>
      </c>
      <c r="D126" s="65">
        <v>3</v>
      </c>
      <c r="E126" s="65">
        <v>3</v>
      </c>
      <c r="F126" s="65">
        <f>SUMIF(Council_Data!$V$3:$V$838,$A126,Council_Data!$E$3:$E$838)</f>
        <v>292</v>
      </c>
      <c r="G126" s="65" t="s">
        <v>1407</v>
      </c>
    </row>
    <row r="127" spans="1:7">
      <c r="A127" s="81">
        <v>136</v>
      </c>
      <c r="B127" s="81" t="s">
        <v>1192</v>
      </c>
      <c r="C127" s="68" t="s">
        <v>64</v>
      </c>
      <c r="D127" s="65">
        <v>3</v>
      </c>
      <c r="E127" s="65">
        <v>3</v>
      </c>
      <c r="F127" s="65">
        <f>SUMIF(Council_Data!$V$3:$V$838,$A127,Council_Data!$E$3:$E$838)</f>
        <v>288</v>
      </c>
      <c r="G127" s="65" t="s">
        <v>1408</v>
      </c>
    </row>
    <row r="128" spans="1:7">
      <c r="A128" s="81">
        <v>137</v>
      </c>
      <c r="B128" s="81" t="s">
        <v>1193</v>
      </c>
      <c r="C128" s="68" t="s">
        <v>64</v>
      </c>
      <c r="D128" s="65">
        <v>1</v>
      </c>
      <c r="E128" s="65">
        <v>2</v>
      </c>
      <c r="F128" s="65">
        <f>SUMIF(Council_Data!$V$3:$V$838,$A128,Council_Data!$E$3:$E$838)</f>
        <v>314</v>
      </c>
      <c r="G128" s="65" t="s">
        <v>1409</v>
      </c>
    </row>
    <row r="129" spans="1:7">
      <c r="A129" s="81">
        <v>138</v>
      </c>
      <c r="B129" s="81" t="s">
        <v>1194</v>
      </c>
      <c r="C129" s="68" t="s">
        <v>64</v>
      </c>
      <c r="D129" s="65">
        <v>1</v>
      </c>
      <c r="E129" s="65">
        <v>3</v>
      </c>
      <c r="F129" s="65">
        <f>SUMIF(Council_Data!$V$3:$V$838,$A129,Council_Data!$E$3:$E$838)</f>
        <v>159</v>
      </c>
      <c r="G129" s="65" t="s">
        <v>1410</v>
      </c>
    </row>
    <row r="130" spans="1:7">
      <c r="A130" s="81">
        <v>141</v>
      </c>
      <c r="B130" s="81" t="s">
        <v>1195</v>
      </c>
      <c r="C130" s="68" t="s">
        <v>40</v>
      </c>
      <c r="D130" s="65">
        <v>1</v>
      </c>
      <c r="E130" s="65">
        <v>1</v>
      </c>
      <c r="F130" s="65">
        <f>SUMIF(Council_Data!$V$3:$V$838,$A130,Council_Data!$E$3:$E$838)</f>
        <v>1017</v>
      </c>
      <c r="G130" s="65" t="s">
        <v>1411</v>
      </c>
    </row>
    <row r="131" spans="1:7">
      <c r="A131" s="81">
        <v>142</v>
      </c>
      <c r="B131" s="81" t="s">
        <v>1196</v>
      </c>
      <c r="C131" s="68" t="s">
        <v>40</v>
      </c>
      <c r="D131" s="65">
        <v>1</v>
      </c>
      <c r="E131" s="65">
        <v>2</v>
      </c>
      <c r="F131" s="65">
        <f>SUMIF(Council_Data!$V$3:$V$838,$A131,Council_Data!$E$3:$E$838)</f>
        <v>368</v>
      </c>
      <c r="G131" s="65" t="s">
        <v>1412</v>
      </c>
    </row>
    <row r="132" spans="1:7">
      <c r="A132" s="81">
        <v>143</v>
      </c>
      <c r="B132" s="81" t="s">
        <v>1197</v>
      </c>
      <c r="C132" s="68" t="s">
        <v>40</v>
      </c>
      <c r="D132" s="65">
        <v>1</v>
      </c>
      <c r="E132" s="65">
        <v>1</v>
      </c>
      <c r="F132" s="65">
        <f>SUMIF(Council_Data!$V$3:$V$838,$A132,Council_Data!$E$3:$E$838)</f>
        <v>743</v>
      </c>
      <c r="G132" s="65" t="s">
        <v>1413</v>
      </c>
    </row>
    <row r="133" spans="1:7">
      <c r="A133" s="81">
        <v>144</v>
      </c>
      <c r="B133" s="81" t="s">
        <v>1087</v>
      </c>
      <c r="C133" s="68" t="s">
        <v>40</v>
      </c>
      <c r="D133" s="65">
        <v>1</v>
      </c>
      <c r="E133" s="65">
        <v>3</v>
      </c>
      <c r="F133" s="65">
        <f>SUMIF(Council_Data!$V$3:$V$838,$A133,Council_Data!$E$3:$E$838)</f>
        <v>299</v>
      </c>
    </row>
    <row r="134" spans="1:7">
      <c r="A134" s="81">
        <v>145</v>
      </c>
      <c r="B134" s="81" t="s">
        <v>1198</v>
      </c>
      <c r="C134" s="68" t="s">
        <v>40</v>
      </c>
      <c r="D134" s="65">
        <v>1</v>
      </c>
      <c r="E134" s="65">
        <v>3</v>
      </c>
      <c r="F134" s="65">
        <f>SUMIF(Council_Data!$V$3:$V$838,$A134,Council_Data!$E$3:$E$838)</f>
        <v>80</v>
      </c>
      <c r="G134" s="65" t="s">
        <v>1414</v>
      </c>
    </row>
    <row r="135" spans="1:7">
      <c r="A135" s="81">
        <v>146</v>
      </c>
      <c r="B135" s="81" t="s">
        <v>1199</v>
      </c>
      <c r="C135" s="68" t="s">
        <v>40</v>
      </c>
      <c r="D135" s="65">
        <v>1</v>
      </c>
      <c r="E135" s="65">
        <v>1</v>
      </c>
      <c r="F135" s="65">
        <f>SUMIF(Council_Data!$V$3:$V$838,$A135,Council_Data!$E$3:$E$838)</f>
        <v>1148</v>
      </c>
      <c r="G135" s="65" t="s">
        <v>1415</v>
      </c>
    </row>
    <row r="136" spans="1:7">
      <c r="A136" s="81">
        <v>147</v>
      </c>
      <c r="B136" s="81" t="s">
        <v>1200</v>
      </c>
      <c r="C136" s="68" t="s">
        <v>40</v>
      </c>
      <c r="D136" s="65">
        <v>1</v>
      </c>
      <c r="E136" s="65">
        <v>1</v>
      </c>
      <c r="F136" s="65">
        <f>SUMIF(Council_Data!$V$3:$V$838,$A136,Council_Data!$E$3:$E$838)</f>
        <v>700</v>
      </c>
      <c r="G136" s="65" t="s">
        <v>1416</v>
      </c>
    </row>
    <row r="137" spans="1:7">
      <c r="A137" s="81">
        <v>148</v>
      </c>
      <c r="B137" s="81" t="s">
        <v>1201</v>
      </c>
      <c r="C137" s="68" t="s">
        <v>40</v>
      </c>
      <c r="D137" s="65">
        <v>1</v>
      </c>
      <c r="E137" s="65">
        <v>1</v>
      </c>
      <c r="F137" s="65">
        <f>SUMIF(Council_Data!$V$3:$V$838,$A137,Council_Data!$E$3:$E$838)</f>
        <v>575</v>
      </c>
      <c r="G137" s="65" t="s">
        <v>1417</v>
      </c>
    </row>
    <row r="138" spans="1:7">
      <c r="A138" s="81">
        <v>149</v>
      </c>
      <c r="B138" s="81" t="s">
        <v>1202</v>
      </c>
      <c r="C138" s="68" t="s">
        <v>40</v>
      </c>
      <c r="D138" s="65">
        <v>1</v>
      </c>
      <c r="E138" s="65">
        <v>1</v>
      </c>
      <c r="F138" s="65">
        <f>SUMIF(Council_Data!$V$3:$V$838,$A138,Council_Data!$E$3:$E$838)</f>
        <v>683</v>
      </c>
      <c r="G138" s="65" t="s">
        <v>1418</v>
      </c>
    </row>
    <row r="139" spans="1:7">
      <c r="A139" s="81">
        <v>150</v>
      </c>
      <c r="B139" s="81" t="s">
        <v>1203</v>
      </c>
      <c r="C139" s="68" t="s">
        <v>40</v>
      </c>
      <c r="D139" s="65">
        <v>1</v>
      </c>
      <c r="E139" s="65">
        <v>1</v>
      </c>
      <c r="F139" s="65">
        <f>SUMIF(Council_Data!$V$3:$V$838,$A139,Council_Data!$E$3:$E$838)</f>
        <v>837</v>
      </c>
      <c r="G139" s="65" t="s">
        <v>1419</v>
      </c>
    </row>
    <row r="140" spans="1:7">
      <c r="A140" s="81">
        <v>151</v>
      </c>
      <c r="B140" s="81" t="s">
        <v>1204</v>
      </c>
      <c r="C140" s="68" t="s">
        <v>40</v>
      </c>
      <c r="D140" s="65">
        <v>1</v>
      </c>
      <c r="E140" s="65">
        <v>1</v>
      </c>
      <c r="F140" s="65">
        <f>SUMIF(Council_Data!$V$3:$V$838,$A140,Council_Data!$E$3:$E$838)</f>
        <v>673</v>
      </c>
      <c r="G140" s="65" t="s">
        <v>1420</v>
      </c>
    </row>
    <row r="141" spans="1:7">
      <c r="A141" s="81">
        <v>152</v>
      </c>
      <c r="B141" s="81" t="s">
        <v>1205</v>
      </c>
      <c r="C141" s="68" t="s">
        <v>40</v>
      </c>
      <c r="D141" s="65">
        <v>1</v>
      </c>
      <c r="E141" s="65">
        <v>2</v>
      </c>
      <c r="F141" s="65">
        <f>SUMIF(Council_Data!$V$3:$V$838,$A141,Council_Data!$E$3:$E$838)</f>
        <v>486</v>
      </c>
      <c r="G141" s="65" t="s">
        <v>1421</v>
      </c>
    </row>
    <row r="142" spans="1:7">
      <c r="A142" s="81">
        <v>153</v>
      </c>
      <c r="B142" s="81" t="s">
        <v>1206</v>
      </c>
      <c r="C142" s="68" t="s">
        <v>40</v>
      </c>
      <c r="D142" s="65">
        <v>1</v>
      </c>
      <c r="E142" s="65">
        <v>2</v>
      </c>
      <c r="F142" s="65">
        <f>SUMIF(Council_Data!$V$3:$V$838,$A142,Council_Data!$E$3:$E$838)</f>
        <v>325</v>
      </c>
      <c r="G142" s="65" t="s">
        <v>1422</v>
      </c>
    </row>
    <row r="143" spans="1:7">
      <c r="A143" s="81">
        <v>154</v>
      </c>
      <c r="B143" s="81" t="s">
        <v>1207</v>
      </c>
      <c r="C143" s="68" t="s">
        <v>40</v>
      </c>
      <c r="D143" s="65">
        <v>1</v>
      </c>
      <c r="E143" s="65">
        <v>1</v>
      </c>
      <c r="F143" s="65">
        <f>SUMIF(Council_Data!$V$3:$V$838,$A143,Council_Data!$E$3:$E$838)</f>
        <v>855</v>
      </c>
      <c r="G143" s="65" t="s">
        <v>1423</v>
      </c>
    </row>
    <row r="144" spans="1:7">
      <c r="A144" s="81">
        <v>155</v>
      </c>
      <c r="B144" s="81" t="s">
        <v>1208</v>
      </c>
      <c r="C144" s="68" t="s">
        <v>40</v>
      </c>
      <c r="D144" s="65">
        <v>1</v>
      </c>
      <c r="E144" s="65">
        <v>1</v>
      </c>
      <c r="F144" s="65">
        <f>SUMIF(Council_Data!$V$3:$V$838,$A144,Council_Data!$E$3:$E$838)</f>
        <v>677</v>
      </c>
      <c r="G144" s="65" t="s">
        <v>1424</v>
      </c>
    </row>
    <row r="145" spans="1:7">
      <c r="A145" s="81">
        <v>156</v>
      </c>
      <c r="B145" s="81" t="s">
        <v>1058</v>
      </c>
      <c r="C145" s="68" t="s">
        <v>40</v>
      </c>
      <c r="D145" s="65">
        <v>1</v>
      </c>
      <c r="E145" s="65">
        <v>1</v>
      </c>
      <c r="F145" s="65">
        <f>SUMIF(Council_Data!$V$3:$V$838,$A145,Council_Data!$E$3:$E$838)</f>
        <v>662</v>
      </c>
      <c r="G145" s="65" t="s">
        <v>1425</v>
      </c>
    </row>
    <row r="146" spans="1:7">
      <c r="A146" s="81">
        <v>157</v>
      </c>
      <c r="B146" s="81" t="s">
        <v>1087</v>
      </c>
      <c r="C146" s="68" t="s">
        <v>40</v>
      </c>
      <c r="D146" s="65">
        <v>1</v>
      </c>
      <c r="E146" s="65">
        <v>2</v>
      </c>
      <c r="F146" s="65">
        <f>SUMIF(Council_Data!$V$3:$V$838,$A146,Council_Data!$E$3:$E$838)</f>
        <v>381</v>
      </c>
    </row>
    <row r="147" spans="1:7">
      <c r="A147" s="81">
        <v>158</v>
      </c>
      <c r="B147" s="81" t="s">
        <v>1209</v>
      </c>
      <c r="C147" s="68" t="s">
        <v>40</v>
      </c>
      <c r="D147" s="65">
        <v>1</v>
      </c>
      <c r="E147" s="65">
        <v>1</v>
      </c>
      <c r="F147" s="65">
        <f>SUMIF(Council_Data!$V$3:$V$838,$A147,Council_Data!$E$3:$E$838)</f>
        <v>767</v>
      </c>
      <c r="G147" s="65" t="s">
        <v>1426</v>
      </c>
    </row>
    <row r="148" spans="1:7">
      <c r="A148" s="81">
        <v>159</v>
      </c>
      <c r="B148" s="81" t="s">
        <v>1210</v>
      </c>
      <c r="C148" s="68" t="s">
        <v>40</v>
      </c>
      <c r="D148" s="65">
        <v>1</v>
      </c>
      <c r="E148" s="65">
        <v>2</v>
      </c>
      <c r="F148" s="65">
        <f>SUMIF(Council_Data!$V$3:$V$838,$A148,Council_Data!$E$3:$E$838)</f>
        <v>573</v>
      </c>
      <c r="G148" s="65" t="s">
        <v>1427</v>
      </c>
    </row>
    <row r="149" spans="1:7">
      <c r="A149" s="81">
        <v>160</v>
      </c>
      <c r="B149" s="81" t="s">
        <v>1211</v>
      </c>
      <c r="C149" s="68" t="s">
        <v>40</v>
      </c>
      <c r="D149" s="65">
        <v>1</v>
      </c>
      <c r="E149" s="65">
        <v>2</v>
      </c>
      <c r="F149" s="65">
        <f>SUMIF(Council_Data!$V$3:$V$838,$A149,Council_Data!$E$3:$E$838)</f>
        <v>300</v>
      </c>
      <c r="G149" s="65" t="s">
        <v>1428</v>
      </c>
    </row>
    <row r="150" spans="1:7">
      <c r="A150" s="81">
        <v>161</v>
      </c>
      <c r="B150" s="81" t="s">
        <v>1212</v>
      </c>
      <c r="C150" s="68" t="s">
        <v>40</v>
      </c>
      <c r="D150" s="65">
        <v>1</v>
      </c>
      <c r="E150" s="65">
        <v>3</v>
      </c>
      <c r="F150" s="65">
        <f>SUMIF(Council_Data!$V$3:$V$838,$A150,Council_Data!$E$3:$E$838)</f>
        <v>242</v>
      </c>
      <c r="G150" s="65" t="s">
        <v>1429</v>
      </c>
    </row>
    <row r="151" spans="1:7">
      <c r="A151" s="81">
        <v>162</v>
      </c>
      <c r="B151" s="81" t="s">
        <v>1213</v>
      </c>
      <c r="C151" s="68" t="s">
        <v>40</v>
      </c>
      <c r="D151" s="65">
        <v>2</v>
      </c>
      <c r="E151" s="65">
        <v>3</v>
      </c>
      <c r="F151" s="65">
        <f>SUMIF(Council_Data!$V$3:$V$838,$A151,Council_Data!$E$3:$E$838)</f>
        <v>72</v>
      </c>
      <c r="G151" s="65" t="s">
        <v>1430</v>
      </c>
    </row>
    <row r="152" spans="1:7">
      <c r="A152" s="81">
        <v>163</v>
      </c>
      <c r="B152" s="81" t="s">
        <v>1061</v>
      </c>
      <c r="C152" s="68" t="s">
        <v>40</v>
      </c>
      <c r="D152" s="65">
        <v>2</v>
      </c>
      <c r="E152" s="65">
        <v>2</v>
      </c>
      <c r="F152" s="65">
        <f>SUMIF(Council_Data!$V$3:$V$838,$A152,Council_Data!$E$3:$E$838)</f>
        <v>388</v>
      </c>
      <c r="G152" s="65" t="s">
        <v>1431</v>
      </c>
    </row>
    <row r="153" spans="1:7">
      <c r="A153" s="81">
        <v>166</v>
      </c>
      <c r="B153" s="81" t="s">
        <v>1214</v>
      </c>
      <c r="C153" s="68" t="s">
        <v>43</v>
      </c>
      <c r="D153" s="65">
        <v>2</v>
      </c>
      <c r="E153" s="65">
        <v>3</v>
      </c>
      <c r="F153" s="65">
        <f>SUMIF(Council_Data!$V$3:$V$838,$A153,Council_Data!$E$3:$E$838)</f>
        <v>223</v>
      </c>
    </row>
    <row r="154" spans="1:7">
      <c r="A154" s="81">
        <v>167</v>
      </c>
      <c r="B154" s="81" t="s">
        <v>1215</v>
      </c>
      <c r="C154" s="68" t="s">
        <v>43</v>
      </c>
      <c r="D154" s="65">
        <v>2</v>
      </c>
      <c r="E154" s="65">
        <v>2</v>
      </c>
      <c r="F154" s="65">
        <f>SUMIF(Council_Data!$V$3:$V$838,$A154,Council_Data!$E$3:$E$838)</f>
        <v>508</v>
      </c>
      <c r="G154" s="65" t="s">
        <v>1432</v>
      </c>
    </row>
    <row r="155" spans="1:7">
      <c r="A155" s="81">
        <v>168</v>
      </c>
      <c r="B155" s="81" t="s">
        <v>1216</v>
      </c>
      <c r="C155" s="68" t="s">
        <v>43</v>
      </c>
      <c r="D155" s="65">
        <v>2</v>
      </c>
      <c r="E155" s="65">
        <v>2</v>
      </c>
      <c r="F155" s="65">
        <f>SUMIF(Council_Data!$V$3:$V$838,$A155,Council_Data!$E$3:$E$838)</f>
        <v>314</v>
      </c>
      <c r="G155" s="65" t="s">
        <v>1433</v>
      </c>
    </row>
    <row r="156" spans="1:7">
      <c r="A156" s="81">
        <v>169</v>
      </c>
      <c r="B156" s="81" t="s">
        <v>1217</v>
      </c>
      <c r="C156" s="68" t="s">
        <v>43</v>
      </c>
      <c r="D156" s="65">
        <v>2</v>
      </c>
      <c r="E156" s="65">
        <v>3</v>
      </c>
      <c r="F156" s="65">
        <f>SUMIF(Council_Data!$V$3:$V$838,$A156,Council_Data!$E$3:$E$838)</f>
        <v>235</v>
      </c>
      <c r="G156" s="65" t="s">
        <v>1434</v>
      </c>
    </row>
    <row r="157" spans="1:7">
      <c r="A157" s="81">
        <v>170</v>
      </c>
      <c r="B157" s="81" t="s">
        <v>1218</v>
      </c>
      <c r="C157" s="68" t="s">
        <v>43</v>
      </c>
      <c r="D157" s="65">
        <v>2</v>
      </c>
      <c r="E157" s="65">
        <v>3</v>
      </c>
      <c r="F157" s="65">
        <f>SUMIF(Council_Data!$V$3:$V$838,$A157,Council_Data!$E$3:$E$838)</f>
        <v>275</v>
      </c>
      <c r="G157" s="65" t="s">
        <v>1435</v>
      </c>
    </row>
    <row r="158" spans="1:7">
      <c r="A158" s="81">
        <v>171</v>
      </c>
      <c r="B158" s="81" t="s">
        <v>1219</v>
      </c>
      <c r="C158" s="68" t="s">
        <v>43</v>
      </c>
      <c r="D158" s="65">
        <v>2</v>
      </c>
      <c r="E158" s="65">
        <v>2</v>
      </c>
      <c r="F158" s="65">
        <f>SUMIF(Council_Data!$V$3:$V$838,$A158,Council_Data!$E$3:$E$838)</f>
        <v>444</v>
      </c>
      <c r="G158" s="65" t="s">
        <v>1436</v>
      </c>
    </row>
    <row r="159" spans="1:7">
      <c r="A159" s="81">
        <v>172</v>
      </c>
      <c r="B159" s="81" t="s">
        <v>1087</v>
      </c>
      <c r="C159" s="68" t="s">
        <v>43</v>
      </c>
      <c r="D159" s="65">
        <v>2</v>
      </c>
      <c r="E159" s="65">
        <v>2</v>
      </c>
      <c r="F159" s="65">
        <f>SUMIF(Council_Data!$V$3:$V$838,$A159,Council_Data!$E$3:$E$838)</f>
        <v>472</v>
      </c>
    </row>
    <row r="160" spans="1:7">
      <c r="A160" s="81">
        <v>173</v>
      </c>
      <c r="B160" s="81" t="s">
        <v>1220</v>
      </c>
      <c r="C160" s="68" t="s">
        <v>43</v>
      </c>
      <c r="D160" s="65">
        <v>2</v>
      </c>
      <c r="E160" s="65">
        <v>2</v>
      </c>
      <c r="F160" s="65">
        <f>SUMIF(Council_Data!$V$3:$V$838,$A160,Council_Data!$E$3:$E$838)</f>
        <v>517</v>
      </c>
      <c r="G160" s="65" t="s">
        <v>1437</v>
      </c>
    </row>
    <row r="161" spans="1:7">
      <c r="A161" s="81">
        <v>174</v>
      </c>
      <c r="B161" s="81" t="s">
        <v>1221</v>
      </c>
      <c r="C161" s="68" t="s">
        <v>43</v>
      </c>
      <c r="D161" s="65">
        <v>2</v>
      </c>
      <c r="E161" s="65">
        <v>3</v>
      </c>
      <c r="F161" s="65">
        <f>SUMIF(Council_Data!$V$3:$V$838,$A161,Council_Data!$E$3:$E$838)</f>
        <v>281</v>
      </c>
      <c r="G161" s="65" t="s">
        <v>1438</v>
      </c>
    </row>
    <row r="162" spans="1:7">
      <c r="A162" s="81">
        <v>175</v>
      </c>
      <c r="B162" s="81" t="s">
        <v>1222</v>
      </c>
      <c r="C162" s="68" t="s">
        <v>43</v>
      </c>
      <c r="D162" s="65">
        <v>2</v>
      </c>
      <c r="E162" s="65">
        <v>3</v>
      </c>
      <c r="F162" s="65">
        <f>SUMIF(Council_Data!$V$3:$V$838,$A162,Council_Data!$E$3:$E$838)</f>
        <v>225</v>
      </c>
      <c r="G162" s="65" t="s">
        <v>1439</v>
      </c>
    </row>
    <row r="163" spans="1:7">
      <c r="A163" s="81">
        <v>176</v>
      </c>
      <c r="B163" s="81" t="s">
        <v>1223</v>
      </c>
      <c r="C163" s="68" t="s">
        <v>43</v>
      </c>
      <c r="D163" s="65">
        <v>2</v>
      </c>
      <c r="E163" s="65">
        <v>3</v>
      </c>
      <c r="F163" s="65">
        <f>SUMIF(Council_Data!$V$3:$V$838,$A163,Council_Data!$E$3:$E$838)</f>
        <v>246</v>
      </c>
      <c r="G163" s="65" t="s">
        <v>1440</v>
      </c>
    </row>
    <row r="164" spans="1:7">
      <c r="A164" s="81">
        <v>177</v>
      </c>
      <c r="B164" s="81" t="s">
        <v>1224</v>
      </c>
      <c r="C164" s="68" t="s">
        <v>43</v>
      </c>
      <c r="D164" s="65">
        <v>2</v>
      </c>
      <c r="E164" s="65">
        <v>2</v>
      </c>
      <c r="F164" s="65">
        <f>SUMIF(Council_Data!$V$3:$V$838,$A164,Council_Data!$E$3:$E$838)</f>
        <v>379</v>
      </c>
      <c r="G164" s="65" t="s">
        <v>1441</v>
      </c>
    </row>
    <row r="165" spans="1:7">
      <c r="A165" s="81">
        <v>178</v>
      </c>
      <c r="B165" s="81" t="s">
        <v>1225</v>
      </c>
      <c r="C165" s="68" t="s">
        <v>43</v>
      </c>
      <c r="D165" s="65">
        <v>2</v>
      </c>
      <c r="E165" s="65">
        <v>3</v>
      </c>
      <c r="F165" s="65">
        <f>SUMIF(Council_Data!$V$3:$V$838,$A165,Council_Data!$E$3:$E$838)</f>
        <v>287</v>
      </c>
      <c r="G165" s="65" t="s">
        <v>1442</v>
      </c>
    </row>
    <row r="166" spans="1:7">
      <c r="A166" s="81">
        <v>179</v>
      </c>
      <c r="B166" s="81" t="s">
        <v>1226</v>
      </c>
      <c r="C166" s="68" t="s">
        <v>43</v>
      </c>
      <c r="D166" s="65">
        <v>2</v>
      </c>
      <c r="E166" s="65">
        <v>2</v>
      </c>
      <c r="F166" s="65">
        <f>SUMIF(Council_Data!$V$3:$V$838,$A166,Council_Data!$E$3:$E$838)</f>
        <v>318</v>
      </c>
      <c r="G166" s="65" t="s">
        <v>1443</v>
      </c>
    </row>
    <row r="167" spans="1:7">
      <c r="A167" s="81">
        <v>180</v>
      </c>
      <c r="B167" s="81" t="s">
        <v>1227</v>
      </c>
      <c r="C167" s="68" t="s">
        <v>43</v>
      </c>
      <c r="D167" s="65">
        <v>2</v>
      </c>
      <c r="E167" s="65">
        <v>3</v>
      </c>
      <c r="F167" s="65">
        <f>SUMIF(Council_Data!$V$3:$V$838,$A167,Council_Data!$E$3:$E$838)</f>
        <v>170</v>
      </c>
      <c r="G167" s="65" t="s">
        <v>1444</v>
      </c>
    </row>
    <row r="168" spans="1:7">
      <c r="A168" s="81">
        <v>186</v>
      </c>
      <c r="B168" s="81" t="s">
        <v>1228</v>
      </c>
      <c r="C168" s="68" t="s">
        <v>51</v>
      </c>
      <c r="D168" s="65">
        <v>2</v>
      </c>
      <c r="E168" s="65">
        <v>2</v>
      </c>
      <c r="F168" s="65">
        <f>SUMIF(Council_Data!$V$3:$V$838,$A168,Council_Data!$E$3:$E$838)</f>
        <v>510</v>
      </c>
      <c r="G168" s="24" t="s">
        <v>1509</v>
      </c>
    </row>
    <row r="169" spans="1:7">
      <c r="A169" s="81">
        <v>187</v>
      </c>
      <c r="B169" s="81" t="s">
        <v>1229</v>
      </c>
      <c r="C169" s="68" t="s">
        <v>51</v>
      </c>
      <c r="D169" s="65">
        <v>2</v>
      </c>
      <c r="E169" s="65">
        <v>2</v>
      </c>
      <c r="F169" s="65">
        <f>SUMIF(Council_Data!$V$3:$V$838,$A169,Council_Data!$E$3:$E$838)</f>
        <v>369</v>
      </c>
      <c r="G169" s="65" t="s">
        <v>1445</v>
      </c>
    </row>
    <row r="170" spans="1:7">
      <c r="A170" s="81">
        <v>188</v>
      </c>
      <c r="B170" s="81" t="s">
        <v>1230</v>
      </c>
      <c r="C170" s="68" t="s">
        <v>51</v>
      </c>
      <c r="D170" s="65">
        <v>2</v>
      </c>
      <c r="E170" s="65">
        <v>1</v>
      </c>
      <c r="F170" s="65">
        <f>SUMIF(Council_Data!$V$3:$V$838,$A170,Council_Data!$E$3:$E$838)</f>
        <v>1069</v>
      </c>
      <c r="G170" s="65" t="s">
        <v>1446</v>
      </c>
    </row>
    <row r="171" spans="1:7">
      <c r="A171" s="81">
        <v>189</v>
      </c>
      <c r="B171" s="81" t="s">
        <v>1231</v>
      </c>
      <c r="C171" s="68" t="s">
        <v>51</v>
      </c>
      <c r="D171" s="65">
        <v>2</v>
      </c>
      <c r="E171" s="65">
        <v>1</v>
      </c>
      <c r="F171" s="65">
        <f>SUMIF(Council_Data!$V$3:$V$838,$A171,Council_Data!$E$3:$E$838)</f>
        <v>796</v>
      </c>
      <c r="G171" s="65" t="s">
        <v>1447</v>
      </c>
    </row>
    <row r="172" spans="1:7">
      <c r="A172" s="81">
        <v>190</v>
      </c>
      <c r="B172" s="81" t="s">
        <v>1232</v>
      </c>
      <c r="C172" s="68" t="s">
        <v>51</v>
      </c>
      <c r="D172" s="65">
        <v>2</v>
      </c>
      <c r="E172" s="65">
        <v>1</v>
      </c>
      <c r="F172" s="65">
        <f>SUMIF(Council_Data!$V$3:$V$838,$A172,Council_Data!$E$3:$E$838)</f>
        <v>841</v>
      </c>
      <c r="G172" s="65" t="s">
        <v>1448</v>
      </c>
    </row>
    <row r="173" spans="1:7">
      <c r="A173" s="81">
        <v>191</v>
      </c>
      <c r="B173" s="81" t="s">
        <v>1233</v>
      </c>
      <c r="C173" s="68" t="s">
        <v>51</v>
      </c>
      <c r="D173" s="65">
        <v>2</v>
      </c>
      <c r="E173" s="65">
        <v>1</v>
      </c>
      <c r="F173" s="65">
        <f>SUMIF(Council_Data!$V$3:$V$838,$A173,Council_Data!$E$3:$E$838)</f>
        <v>1302</v>
      </c>
      <c r="G173" s="65" t="s">
        <v>1449</v>
      </c>
    </row>
    <row r="174" spans="1:7">
      <c r="A174" s="81">
        <v>192</v>
      </c>
      <c r="B174" s="81" t="s">
        <v>1234</v>
      </c>
      <c r="C174" s="68" t="s">
        <v>51</v>
      </c>
      <c r="D174" s="65">
        <v>3</v>
      </c>
      <c r="E174" s="65">
        <v>2</v>
      </c>
      <c r="F174" s="65">
        <f>SUMIF(Council_Data!$V$3:$V$838,$A174,Council_Data!$E$3:$E$838)</f>
        <v>524</v>
      </c>
      <c r="G174" s="65" t="s">
        <v>1450</v>
      </c>
    </row>
    <row r="175" spans="1:7">
      <c r="A175" s="81">
        <v>193</v>
      </c>
      <c r="B175" s="81" t="s">
        <v>1235</v>
      </c>
      <c r="C175" s="68" t="s">
        <v>51</v>
      </c>
      <c r="D175" s="65">
        <v>3</v>
      </c>
      <c r="E175" s="65">
        <v>1</v>
      </c>
      <c r="F175" s="65">
        <f>SUMIF(Council_Data!$V$3:$V$838,$A175,Council_Data!$E$3:$E$838)</f>
        <v>1215</v>
      </c>
      <c r="G175" s="65" t="s">
        <v>1451</v>
      </c>
    </row>
    <row r="176" spans="1:7">
      <c r="A176" s="81">
        <v>196</v>
      </c>
      <c r="B176" s="81" t="s">
        <v>1236</v>
      </c>
      <c r="C176" s="68" t="s">
        <v>59</v>
      </c>
      <c r="D176" s="65">
        <v>3</v>
      </c>
      <c r="E176" s="65">
        <v>1</v>
      </c>
      <c r="F176" s="65">
        <f>SUMIF(Council_Data!$V$3:$V$838,$A176,Council_Data!$E$3:$E$838)</f>
        <v>585</v>
      </c>
      <c r="G176" s="65" t="s">
        <v>1452</v>
      </c>
    </row>
    <row r="177" spans="1:7">
      <c r="A177" s="81">
        <v>197</v>
      </c>
      <c r="B177" s="81" t="s">
        <v>1237</v>
      </c>
      <c r="C177" s="68" t="s">
        <v>59</v>
      </c>
      <c r="D177" s="65">
        <v>3</v>
      </c>
      <c r="E177" s="65">
        <v>3</v>
      </c>
      <c r="F177" s="65">
        <f>SUMIF(Council_Data!$V$3:$V$838,$A177,Council_Data!$E$3:$E$838)</f>
        <v>292</v>
      </c>
      <c r="G177" s="65" t="s">
        <v>1453</v>
      </c>
    </row>
    <row r="178" spans="1:7">
      <c r="A178" s="81">
        <v>198</v>
      </c>
      <c r="B178" s="81" t="s">
        <v>1238</v>
      </c>
      <c r="C178" s="68" t="s">
        <v>59</v>
      </c>
      <c r="D178" s="65">
        <v>3</v>
      </c>
      <c r="E178" s="65">
        <v>2</v>
      </c>
      <c r="F178" s="65">
        <f>SUMIF(Council_Data!$V$3:$V$838,$A178,Council_Data!$E$3:$E$838)</f>
        <v>330</v>
      </c>
      <c r="G178" s="65" t="s">
        <v>1454</v>
      </c>
    </row>
    <row r="179" spans="1:7">
      <c r="A179" s="81">
        <v>199</v>
      </c>
      <c r="B179" s="81" t="s">
        <v>1239</v>
      </c>
      <c r="C179" s="68" t="s">
        <v>59</v>
      </c>
      <c r="D179" s="65">
        <v>3</v>
      </c>
      <c r="E179" s="65">
        <v>2</v>
      </c>
      <c r="F179" s="65">
        <f>SUMIF(Council_Data!$V$3:$V$838,$A179,Council_Data!$E$3:$E$838)</f>
        <v>356</v>
      </c>
      <c r="G179" s="65" t="s">
        <v>1455</v>
      </c>
    </row>
    <row r="180" spans="1:7">
      <c r="A180" s="81">
        <v>200</v>
      </c>
      <c r="B180" s="81" t="s">
        <v>1240</v>
      </c>
      <c r="C180" s="68" t="s">
        <v>59</v>
      </c>
      <c r="D180" s="65">
        <v>3</v>
      </c>
      <c r="E180" s="65">
        <v>2</v>
      </c>
      <c r="F180" s="65">
        <f>SUMIF(Council_Data!$V$3:$V$838,$A180,Council_Data!$E$3:$E$838)</f>
        <v>324</v>
      </c>
      <c r="G180" s="65" t="s">
        <v>1456</v>
      </c>
    </row>
    <row r="181" spans="1:7">
      <c r="A181" s="81">
        <v>201</v>
      </c>
      <c r="B181" s="81" t="s">
        <v>1087</v>
      </c>
      <c r="C181" s="68" t="s">
        <v>59</v>
      </c>
      <c r="D181" s="65">
        <v>2</v>
      </c>
      <c r="E181" s="65">
        <v>3</v>
      </c>
      <c r="F181" s="65">
        <f>SUMIF(Council_Data!$V$3:$V$838,$A181,Council_Data!$E$3:$E$838)</f>
        <v>289</v>
      </c>
    </row>
    <row r="182" spans="1:7">
      <c r="A182" s="81">
        <v>202</v>
      </c>
      <c r="B182" s="81" t="s">
        <v>1241</v>
      </c>
      <c r="C182" s="68" t="s">
        <v>59</v>
      </c>
      <c r="D182" s="65">
        <v>2</v>
      </c>
      <c r="E182" s="65">
        <v>3</v>
      </c>
      <c r="F182" s="65">
        <f>SUMIF(Council_Data!$V$3:$V$838,$A182,Council_Data!$E$3:$E$838)</f>
        <v>84</v>
      </c>
      <c r="G182" s="65" t="s">
        <v>1457</v>
      </c>
    </row>
    <row r="183" spans="1:7">
      <c r="A183" s="81">
        <v>206</v>
      </c>
      <c r="B183" s="81" t="s">
        <v>1242</v>
      </c>
      <c r="C183" s="68" t="s">
        <v>66</v>
      </c>
      <c r="D183" s="65">
        <v>2</v>
      </c>
      <c r="E183" s="65">
        <v>3</v>
      </c>
      <c r="F183" s="65">
        <f>SUMIF(Council_Data!$V$3:$V$838,$A183,Council_Data!$E$3:$E$838)</f>
        <v>183</v>
      </c>
      <c r="G183" s="65" t="s">
        <v>1458</v>
      </c>
    </row>
    <row r="184" spans="1:7">
      <c r="A184" s="81">
        <v>207</v>
      </c>
      <c r="B184" s="81" t="s">
        <v>1243</v>
      </c>
      <c r="C184" s="68" t="s">
        <v>66</v>
      </c>
      <c r="D184" s="65">
        <v>2</v>
      </c>
      <c r="E184" s="65">
        <v>1</v>
      </c>
      <c r="F184" s="65">
        <f>SUMIF(Council_Data!$V$3:$V$838,$A184,Council_Data!$E$3:$E$838)</f>
        <v>718</v>
      </c>
      <c r="G184" s="65" t="s">
        <v>1459</v>
      </c>
    </row>
    <row r="185" spans="1:7">
      <c r="A185" s="81">
        <v>208</v>
      </c>
      <c r="B185" s="81" t="s">
        <v>1244</v>
      </c>
      <c r="C185" s="68" t="s">
        <v>66</v>
      </c>
      <c r="D185" s="65">
        <v>2</v>
      </c>
      <c r="E185" s="65">
        <v>2</v>
      </c>
      <c r="F185" s="65">
        <f>SUMIF(Council_Data!$V$3:$V$838,$A185,Council_Data!$E$3:$E$838)</f>
        <v>512</v>
      </c>
      <c r="G185" s="65" t="s">
        <v>1460</v>
      </c>
    </row>
    <row r="186" spans="1:7">
      <c r="A186" s="81">
        <v>209</v>
      </c>
      <c r="B186" s="81" t="s">
        <v>1245</v>
      </c>
      <c r="C186" s="68" t="s">
        <v>66</v>
      </c>
      <c r="D186" s="65">
        <v>2</v>
      </c>
      <c r="E186" s="65">
        <v>2</v>
      </c>
      <c r="F186" s="65">
        <f>SUMIF(Council_Data!$V$3:$V$838,$A186,Council_Data!$E$3:$E$838)</f>
        <v>435</v>
      </c>
      <c r="G186" s="65" t="s">
        <v>1461</v>
      </c>
    </row>
    <row r="187" spans="1:7">
      <c r="A187" s="81">
        <v>210</v>
      </c>
      <c r="B187" s="81" t="s">
        <v>1246</v>
      </c>
      <c r="C187" s="68" t="s">
        <v>66</v>
      </c>
      <c r="D187" s="65">
        <v>2</v>
      </c>
      <c r="E187" s="65">
        <v>2</v>
      </c>
      <c r="F187" s="65">
        <f>SUMIF(Council_Data!$V$3:$V$838,$A187,Council_Data!$E$3:$E$838)</f>
        <v>574</v>
      </c>
      <c r="G187" s="65" t="s">
        <v>1462</v>
      </c>
    </row>
    <row r="188" spans="1:7">
      <c r="A188" s="81">
        <v>211</v>
      </c>
      <c r="B188" s="81" t="s">
        <v>1247</v>
      </c>
      <c r="C188" s="68" t="s">
        <v>66</v>
      </c>
      <c r="D188" s="65">
        <v>2</v>
      </c>
      <c r="E188" s="65">
        <v>3</v>
      </c>
      <c r="F188" s="65">
        <f>SUMIF(Council_Data!$V$3:$V$838,$A188,Council_Data!$E$3:$E$838)</f>
        <v>129</v>
      </c>
      <c r="G188" s="65" t="s">
        <v>1463</v>
      </c>
    </row>
    <row r="189" spans="1:7">
      <c r="A189" s="81">
        <v>212</v>
      </c>
      <c r="B189" s="81" t="s">
        <v>1248</v>
      </c>
      <c r="C189" s="68" t="s">
        <v>66</v>
      </c>
      <c r="D189" s="65">
        <v>2</v>
      </c>
      <c r="E189" s="65">
        <v>1</v>
      </c>
      <c r="F189" s="65">
        <f>SUMIF(Council_Data!$V$3:$V$838,$A189,Council_Data!$E$3:$E$838)</f>
        <v>637</v>
      </c>
      <c r="G189" s="65" t="s">
        <v>1464</v>
      </c>
    </row>
    <row r="190" spans="1:7">
      <c r="A190" s="81">
        <v>213</v>
      </c>
      <c r="B190" s="81" t="s">
        <v>1249</v>
      </c>
      <c r="C190" s="68" t="s">
        <v>66</v>
      </c>
      <c r="D190" s="65">
        <v>2</v>
      </c>
      <c r="E190" s="65">
        <v>2</v>
      </c>
      <c r="F190" s="65">
        <f>SUMIF(Council_Data!$V$3:$V$838,$A190,Council_Data!$E$3:$E$838)</f>
        <v>384</v>
      </c>
      <c r="G190" s="65" t="s">
        <v>1465</v>
      </c>
    </row>
    <row r="191" spans="1:7">
      <c r="A191" s="81">
        <v>214</v>
      </c>
      <c r="B191" s="81" t="s">
        <v>1250</v>
      </c>
      <c r="C191" s="68" t="s">
        <v>66</v>
      </c>
      <c r="D191" s="65">
        <v>2</v>
      </c>
      <c r="E191" s="65">
        <v>2</v>
      </c>
      <c r="F191" s="65">
        <f>SUMIF(Council_Data!$V$3:$V$838,$A191,Council_Data!$E$3:$E$838)</f>
        <v>338</v>
      </c>
      <c r="G191" s="65" t="s">
        <v>1466</v>
      </c>
    </row>
    <row r="192" spans="1:7">
      <c r="A192" s="81">
        <v>215</v>
      </c>
      <c r="B192" s="81" t="s">
        <v>1251</v>
      </c>
      <c r="C192" s="68" t="s">
        <v>66</v>
      </c>
      <c r="D192" s="65">
        <v>2</v>
      </c>
      <c r="E192" s="65">
        <v>2</v>
      </c>
      <c r="F192" s="65">
        <f>SUMIF(Council_Data!$V$3:$V$838,$A192,Council_Data!$E$3:$E$838)</f>
        <v>367</v>
      </c>
      <c r="G192" s="65" t="s">
        <v>1467</v>
      </c>
    </row>
    <row r="193" spans="1:7">
      <c r="A193" s="81">
        <v>216</v>
      </c>
      <c r="B193" s="81" t="s">
        <v>1252</v>
      </c>
      <c r="C193" s="68" t="s">
        <v>66</v>
      </c>
      <c r="D193" s="65">
        <v>2</v>
      </c>
      <c r="E193" s="65">
        <v>3</v>
      </c>
      <c r="F193" s="65">
        <f>SUMIF(Council_Data!$V$3:$V$838,$A193,Council_Data!$E$3:$E$838)</f>
        <v>282</v>
      </c>
      <c r="G193" s="65" t="s">
        <v>1468</v>
      </c>
    </row>
    <row r="194" spans="1:7">
      <c r="A194" s="81">
        <v>217</v>
      </c>
      <c r="B194" s="81" t="s">
        <v>1253</v>
      </c>
      <c r="C194" s="68" t="s">
        <v>66</v>
      </c>
      <c r="D194" s="65">
        <v>2</v>
      </c>
      <c r="E194" s="65">
        <v>3</v>
      </c>
      <c r="F194" s="65">
        <f>SUMIF(Council_Data!$V$3:$V$838,$A194,Council_Data!$E$3:$E$838)</f>
        <v>270</v>
      </c>
      <c r="G194" s="65" t="s">
        <v>1469</v>
      </c>
    </row>
    <row r="195" spans="1:7">
      <c r="A195" s="81">
        <v>218</v>
      </c>
      <c r="B195" s="81" t="s">
        <v>1254</v>
      </c>
      <c r="C195" s="68" t="s">
        <v>66</v>
      </c>
      <c r="D195" s="65">
        <v>2</v>
      </c>
      <c r="E195" s="65">
        <v>3</v>
      </c>
      <c r="F195" s="65">
        <f>SUMIF(Council_Data!$V$3:$V$838,$A195,Council_Data!$E$3:$E$838)</f>
        <v>214</v>
      </c>
      <c r="G195" s="65" t="s">
        <v>1470</v>
      </c>
    </row>
    <row r="196" spans="1:7">
      <c r="A196" s="81">
        <v>219</v>
      </c>
      <c r="B196" s="81" t="s">
        <v>1255</v>
      </c>
      <c r="C196" s="68" t="s">
        <v>66</v>
      </c>
      <c r="D196" s="65">
        <v>2</v>
      </c>
      <c r="E196" s="65">
        <v>3</v>
      </c>
      <c r="F196" s="65">
        <f>SUMIF(Council_Data!$V$3:$V$838,$A196,Council_Data!$E$3:$E$838)</f>
        <v>214</v>
      </c>
      <c r="G196" s="65" t="s">
        <v>1471</v>
      </c>
    </row>
    <row r="197" spans="1:7">
      <c r="A197" s="81">
        <v>221</v>
      </c>
      <c r="B197" s="81" t="s">
        <v>1256</v>
      </c>
      <c r="C197" s="68" t="s">
        <v>85</v>
      </c>
      <c r="D197" s="65">
        <v>2</v>
      </c>
      <c r="E197" s="65">
        <v>2</v>
      </c>
      <c r="F197" s="65">
        <f>SUMIF(Council_Data!$V$3:$V$838,$A197,Council_Data!$E$3:$E$838)</f>
        <v>314</v>
      </c>
      <c r="G197" s="65" t="s">
        <v>1472</v>
      </c>
    </row>
    <row r="198" spans="1:7">
      <c r="A198" s="81">
        <v>222</v>
      </c>
      <c r="B198" s="81" t="s">
        <v>1257</v>
      </c>
      <c r="C198" s="68" t="s">
        <v>85</v>
      </c>
      <c r="D198" s="65">
        <v>2</v>
      </c>
      <c r="E198" s="65">
        <v>2</v>
      </c>
      <c r="F198" s="65">
        <f>SUMIF(Council_Data!$V$3:$V$838,$A198,Council_Data!$E$3:$E$838)</f>
        <v>339</v>
      </c>
      <c r="G198" s="65" t="s">
        <v>1473</v>
      </c>
    </row>
    <row r="199" spans="1:7">
      <c r="A199" s="81">
        <v>223</v>
      </c>
      <c r="B199" s="81" t="s">
        <v>1258</v>
      </c>
      <c r="C199" s="68" t="s">
        <v>85</v>
      </c>
      <c r="D199" s="65">
        <v>2</v>
      </c>
      <c r="E199" s="65">
        <v>1</v>
      </c>
      <c r="F199" s="65">
        <f>SUMIF(Council_Data!$V$3:$V$838,$A199,Council_Data!$E$3:$E$838)</f>
        <v>732</v>
      </c>
      <c r="G199" s="65" t="s">
        <v>1474</v>
      </c>
    </row>
    <row r="200" spans="1:7">
      <c r="A200" s="81">
        <v>224</v>
      </c>
      <c r="B200" s="81" t="s">
        <v>1259</v>
      </c>
      <c r="C200" s="68" t="s">
        <v>85</v>
      </c>
      <c r="D200" s="65">
        <v>2</v>
      </c>
      <c r="E200" s="65">
        <v>2</v>
      </c>
      <c r="F200" s="65">
        <f>SUMIF(Council_Data!$V$3:$V$838,$A200,Council_Data!$E$3:$E$838)</f>
        <v>558</v>
      </c>
      <c r="G200" s="65" t="s">
        <v>1475</v>
      </c>
    </row>
    <row r="201" spans="1:7">
      <c r="A201" s="81">
        <v>225</v>
      </c>
      <c r="B201" s="81" t="s">
        <v>1260</v>
      </c>
      <c r="C201" s="68" t="s">
        <v>85</v>
      </c>
      <c r="D201" s="65">
        <v>2</v>
      </c>
      <c r="E201" s="65">
        <v>3</v>
      </c>
      <c r="F201" s="65">
        <f>SUMIF(Council_Data!$V$3:$V$838,$A201,Council_Data!$E$3:$E$838)</f>
        <v>211</v>
      </c>
      <c r="G201" s="65" t="s">
        <v>1476</v>
      </c>
    </row>
    <row r="202" spans="1:7">
      <c r="A202" s="81">
        <v>226</v>
      </c>
      <c r="B202" s="81" t="s">
        <v>1261</v>
      </c>
      <c r="C202" s="68" t="s">
        <v>85</v>
      </c>
      <c r="D202" s="65">
        <v>2</v>
      </c>
      <c r="E202" s="65">
        <v>3</v>
      </c>
      <c r="F202" s="65">
        <f>SUMIF(Council_Data!$V$3:$V$838,$A202,Council_Data!$E$3:$E$838)</f>
        <v>281</v>
      </c>
      <c r="G202" s="65" t="s">
        <v>1477</v>
      </c>
    </row>
    <row r="203" spans="1:7">
      <c r="A203" s="81">
        <v>227</v>
      </c>
      <c r="B203" s="81" t="s">
        <v>1262</v>
      </c>
      <c r="C203" s="68" t="s">
        <v>85</v>
      </c>
      <c r="D203" s="65">
        <v>2</v>
      </c>
      <c r="E203" s="65">
        <v>3</v>
      </c>
      <c r="F203" s="65">
        <f>SUMIF(Council_Data!$V$3:$V$838,$A203,Council_Data!$E$3:$E$838)</f>
        <v>184</v>
      </c>
      <c r="G203" s="65" t="s">
        <v>1478</v>
      </c>
    </row>
    <row r="204" spans="1:7">
      <c r="A204" s="81">
        <v>228</v>
      </c>
      <c r="B204" s="81" t="s">
        <v>1263</v>
      </c>
      <c r="C204" s="68" t="s">
        <v>85</v>
      </c>
      <c r="D204" s="65">
        <v>3</v>
      </c>
      <c r="E204" s="65">
        <v>2</v>
      </c>
      <c r="F204" s="65">
        <f>SUMIF(Council_Data!$V$3:$V$838,$A204,Council_Data!$E$3:$E$838)</f>
        <v>473</v>
      </c>
      <c r="G204" s="65" t="s">
        <v>1479</v>
      </c>
    </row>
    <row r="205" spans="1:7">
      <c r="A205" s="81">
        <v>229</v>
      </c>
      <c r="B205" s="81" t="s">
        <v>1264</v>
      </c>
      <c r="C205" s="68" t="s">
        <v>85</v>
      </c>
      <c r="D205" s="65">
        <v>3</v>
      </c>
      <c r="E205" s="65">
        <v>2</v>
      </c>
      <c r="F205" s="65">
        <f>SUMIF(Council_Data!$V$3:$V$838,$A205,Council_Data!$E$3:$E$838)</f>
        <v>363</v>
      </c>
      <c r="G205" s="65" t="s">
        <v>1480</v>
      </c>
    </row>
    <row r="206" spans="1:7">
      <c r="A206" s="81">
        <v>230</v>
      </c>
      <c r="B206" s="81" t="s">
        <v>1265</v>
      </c>
      <c r="C206" s="68" t="s">
        <v>85</v>
      </c>
      <c r="D206" s="65">
        <v>3</v>
      </c>
      <c r="E206" s="65">
        <v>3</v>
      </c>
      <c r="F206" s="65">
        <f>SUMIF(Council_Data!$V$3:$V$838,$A206,Council_Data!$E$3:$E$838)</f>
        <v>14</v>
      </c>
      <c r="G206" s="65" t="s">
        <v>1481</v>
      </c>
    </row>
    <row r="207" spans="1:7">
      <c r="A207" s="81">
        <v>231</v>
      </c>
      <c r="B207" s="81" t="s">
        <v>1266</v>
      </c>
      <c r="C207" s="97" t="s">
        <v>90</v>
      </c>
      <c r="D207" s="65">
        <v>3</v>
      </c>
      <c r="E207" s="65">
        <v>2</v>
      </c>
      <c r="F207" s="65">
        <f>SUMIF(Council_Data!$V$3:$V$838,$A207,Council_Data!$E$3:$E$838)</f>
        <v>354</v>
      </c>
      <c r="G207" s="65" t="s">
        <v>1482</v>
      </c>
    </row>
    <row r="208" spans="1:7">
      <c r="A208" s="81">
        <v>232</v>
      </c>
      <c r="B208" s="81" t="s">
        <v>1267</v>
      </c>
      <c r="C208" s="68" t="s">
        <v>90</v>
      </c>
      <c r="D208" s="65">
        <v>3</v>
      </c>
      <c r="E208" s="65">
        <v>3</v>
      </c>
      <c r="F208" s="65">
        <f>SUMIF(Council_Data!$V$3:$V$838,$A208,Council_Data!$E$3:$E$838)</f>
        <v>189</v>
      </c>
      <c r="G208" s="65" t="s">
        <v>1483</v>
      </c>
    </row>
    <row r="209" spans="1:7">
      <c r="A209" s="81">
        <v>233</v>
      </c>
      <c r="B209" s="81" t="s">
        <v>1268</v>
      </c>
      <c r="C209" s="68" t="s">
        <v>90</v>
      </c>
      <c r="D209" s="65">
        <v>3</v>
      </c>
      <c r="E209" s="65">
        <v>3</v>
      </c>
      <c r="F209" s="65">
        <f>SUMIF(Council_Data!$V$3:$V$838,$A209,Council_Data!$E$3:$E$838)</f>
        <v>135</v>
      </c>
      <c r="G209" s="65" t="s">
        <v>1484</v>
      </c>
    </row>
    <row r="210" spans="1:7">
      <c r="A210" s="81">
        <v>234</v>
      </c>
      <c r="B210" s="81" t="s">
        <v>1269</v>
      </c>
      <c r="C210" s="68" t="s">
        <v>90</v>
      </c>
      <c r="D210" s="65">
        <v>3</v>
      </c>
      <c r="E210" s="65">
        <v>2</v>
      </c>
      <c r="F210" s="65">
        <f>SUMIF(Council_Data!$V$3:$V$838,$A210,Council_Data!$E$3:$E$838)</f>
        <v>332</v>
      </c>
      <c r="G210" s="65" t="s">
        <v>1485</v>
      </c>
    </row>
    <row r="211" spans="1:7">
      <c r="A211" s="81">
        <v>235</v>
      </c>
      <c r="B211" s="81" t="s">
        <v>1270</v>
      </c>
      <c r="C211" s="68" t="s">
        <v>90</v>
      </c>
      <c r="D211" s="65">
        <v>3</v>
      </c>
      <c r="E211" s="65">
        <v>2</v>
      </c>
      <c r="F211" s="65">
        <f>SUMIF(Council_Data!$V$3:$V$838,$A211,Council_Data!$E$3:$E$838)</f>
        <v>307</v>
      </c>
      <c r="G211" s="65" t="s">
        <v>1486</v>
      </c>
    </row>
    <row r="212" spans="1:7">
      <c r="A212" s="81">
        <v>236</v>
      </c>
      <c r="B212" s="81" t="s">
        <v>1271</v>
      </c>
      <c r="C212" s="68" t="s">
        <v>90</v>
      </c>
      <c r="D212" s="65">
        <v>3</v>
      </c>
      <c r="E212" s="65">
        <v>3</v>
      </c>
      <c r="F212" s="65">
        <f>SUMIF(Council_Data!$V$3:$V$838,$A212,Council_Data!$E$3:$E$838)</f>
        <v>193</v>
      </c>
      <c r="G212" s="65" t="s">
        <v>1487</v>
      </c>
    </row>
    <row r="213" spans="1:7">
      <c r="A213" s="81">
        <v>237</v>
      </c>
      <c r="B213" s="81" t="s">
        <v>1272</v>
      </c>
      <c r="C213" s="68" t="s">
        <v>90</v>
      </c>
      <c r="D213" s="65">
        <v>3</v>
      </c>
      <c r="E213" s="65">
        <v>3</v>
      </c>
      <c r="F213" s="65">
        <f>SUMIF(Council_Data!$V$3:$V$838,$A213,Council_Data!$E$3:$E$838)</f>
        <v>155</v>
      </c>
      <c r="G213" s="65" t="s">
        <v>1488</v>
      </c>
    </row>
    <row r="214" spans="1:7">
      <c r="A214" s="81">
        <v>238</v>
      </c>
      <c r="B214" s="81" t="s">
        <v>1273</v>
      </c>
      <c r="C214" s="68" t="s">
        <v>90</v>
      </c>
      <c r="D214" s="65">
        <v>3</v>
      </c>
      <c r="E214" s="65">
        <v>3</v>
      </c>
      <c r="F214" s="65">
        <f>SUMIF(Council_Data!$V$3:$V$838,$A214,Council_Data!$E$3:$E$838)</f>
        <v>176</v>
      </c>
      <c r="G214" s="65" t="s">
        <v>1489</v>
      </c>
    </row>
    <row r="215" spans="1:7">
      <c r="A215" s="81">
        <v>241</v>
      </c>
      <c r="B215" s="81" t="s">
        <v>1274</v>
      </c>
      <c r="C215" s="68" t="s">
        <v>150</v>
      </c>
      <c r="D215" s="65">
        <v>3</v>
      </c>
      <c r="E215" s="65">
        <v>3</v>
      </c>
      <c r="F215" s="65">
        <f>SUMIF(Council_Data!$V$3:$V$838,$A215,Council_Data!$E$3:$E$838)</f>
        <v>93</v>
      </c>
      <c r="G215" s="65" t="s">
        <v>1490</v>
      </c>
    </row>
    <row r="216" spans="1:7">
      <c r="A216" s="65">
        <v>242</v>
      </c>
      <c r="B216" s="65" t="s">
        <v>1087</v>
      </c>
      <c r="C216" s="68" t="s">
        <v>150</v>
      </c>
      <c r="D216" s="65">
        <v>3</v>
      </c>
      <c r="E216" s="65">
        <v>3</v>
      </c>
      <c r="F216" s="65">
        <f>SUMIF(Council_Data!$V$3:$V$838,$A216,Council_Data!$E$3:$E$838)</f>
        <v>114</v>
      </c>
    </row>
    <row r="217" spans="1:7">
      <c r="A217" s="81">
        <v>243</v>
      </c>
      <c r="B217" s="81" t="s">
        <v>1275</v>
      </c>
      <c r="C217" s="68" t="s">
        <v>150</v>
      </c>
      <c r="D217" s="65">
        <v>3</v>
      </c>
      <c r="E217" s="65">
        <v>2</v>
      </c>
      <c r="F217" s="65">
        <f>SUMIF(Council_Data!$V$3:$V$838,$A217,Council_Data!$E$3:$E$838)</f>
        <v>481</v>
      </c>
      <c r="G217" s="65" t="s">
        <v>1491</v>
      </c>
    </row>
    <row r="218" spans="1:7">
      <c r="A218" s="65">
        <v>244</v>
      </c>
      <c r="B218" s="65" t="s">
        <v>767</v>
      </c>
      <c r="C218" s="68" t="s">
        <v>150</v>
      </c>
      <c r="D218" s="65">
        <v>3</v>
      </c>
      <c r="E218" s="65">
        <v>2</v>
      </c>
      <c r="F218" s="65">
        <f>SUMIF(Council_Data!$V$3:$V$838,$A218,Council_Data!$E$3:$E$838)</f>
        <v>308</v>
      </c>
      <c r="G218" s="65" t="s">
        <v>1492</v>
      </c>
    </row>
    <row r="219" spans="1:7">
      <c r="A219" s="300">
        <v>245</v>
      </c>
      <c r="B219" s="65" t="s">
        <v>1276</v>
      </c>
      <c r="C219" s="68" t="s">
        <v>150</v>
      </c>
      <c r="D219" s="65">
        <v>3</v>
      </c>
      <c r="E219" s="65">
        <v>3</v>
      </c>
      <c r="F219" s="65">
        <f>SUMIF(Council_Data!$V$3:$V$838,$A219,Council_Data!$E$3:$E$838)</f>
        <v>284</v>
      </c>
      <c r="G219" s="65" t="s">
        <v>1493</v>
      </c>
    </row>
    <row r="220" spans="1:7">
      <c r="A220" s="65">
        <v>246</v>
      </c>
      <c r="B220" s="65" t="s">
        <v>768</v>
      </c>
      <c r="C220" s="68" t="s">
        <v>150</v>
      </c>
      <c r="D220" s="65">
        <v>3</v>
      </c>
      <c r="E220" s="65">
        <v>1</v>
      </c>
      <c r="F220" s="65">
        <f>SUMIF(Council_Data!$V$3:$V$838,$A220,Council_Data!$E$3:$E$838)</f>
        <v>750</v>
      </c>
      <c r="G220" s="65" t="s">
        <v>1494</v>
      </c>
    </row>
    <row r="221" spans="1:7">
      <c r="A221" s="65">
        <v>247</v>
      </c>
      <c r="B221" s="65" t="s">
        <v>1034</v>
      </c>
      <c r="C221" s="68" t="s">
        <v>150</v>
      </c>
      <c r="D221" s="65">
        <v>3</v>
      </c>
      <c r="E221" s="65">
        <v>3</v>
      </c>
      <c r="F221" s="65">
        <f>SUMIF(Council_Data!$V$3:$V$838,$A221,Council_Data!$E$3:$E$838)</f>
        <v>152</v>
      </c>
      <c r="G221" s="65" t="s">
        <v>1495</v>
      </c>
    </row>
    <row r="222" spans="1:7">
      <c r="A222" s="311" t="s">
        <v>93</v>
      </c>
    </row>
  </sheetData>
  <sortState xmlns:xlrd2="http://schemas.microsoft.com/office/spreadsheetml/2017/richdata2" ref="A2:F227">
    <sortCondition ref="A1"/>
  </sortState>
  <hyperlinks>
    <hyperlink ref="G63" r:id="rId1" xr:uid="{9A7679C4-6CFD-4EB8-86ED-918F47609E08}"/>
    <hyperlink ref="G64" r:id="rId2" xr:uid="{3FB22887-8558-46DF-9DB3-A802DE8584B4}"/>
    <hyperlink ref="G80" r:id="rId3" xr:uid="{F279DC08-DF37-4450-98D2-5CB2E5B9F691}"/>
    <hyperlink ref="G83" r:id="rId4" xr:uid="{D2CC67EF-822F-4265-B37F-2AB0CA5A1B56}"/>
    <hyperlink ref="G99" r:id="rId5" xr:uid="{3194BAC9-BEDB-44EC-961E-D81E9A9D12EE}"/>
    <hyperlink ref="G168" r:id="rId6" xr:uid="{F7678342-B738-4430-A7CF-C8E53B6601AE}"/>
  </hyperlinks>
  <pageMargins left="0.7" right="0.7" top="0.75" bottom="0.75" header="0.3" footer="0.3"/>
  <pageSetup orientation="portrait" horizontalDpi="200" verticalDpi="200" r:id="rId7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6950</v>
      </c>
      <c r="B3" t="str">
        <f>IF(ISNA(VLOOKUP($A3,Councils!$B$6:$AE$841,3,0)),0,VLOOKUP($A3,Councils!$B$6:$AE$841,3,0))</f>
        <v>Katy</v>
      </c>
      <c r="C3">
        <f>IF(ISNA(VLOOKUP($A3,Councils!$B$6:$AE$841,4,0)),0,VLOOKUP($A3,Councils!$B$6:$AE$841,4,0))</f>
        <v>431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4</v>
      </c>
      <c r="G3">
        <f>IF(ISNA(VLOOKUP($A3,Councils!$B$6:$AE$81023,0)),0,VLOOKUP($A3,Councils!$B$6:$AE$841,8,0))</f>
        <v>-4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5</v>
      </c>
      <c r="J3">
        <f>IF(ISNA(VLOOKUP($A3,Councils!$B$6:$AE$841,11,0)),0,VLOOKUP($A3,Councils!$B$6:$AE$841,11,0))</f>
        <v>-4</v>
      </c>
      <c r="K3" s="63">
        <f>IFERROR(J3/D3,0)</f>
        <v>-0.2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9759</v>
      </c>
      <c r="B4" t="str">
        <f>IF(ISNA(VLOOKUP($A4,Councils!$B$6:$AE$841,3,0)),0,VLOOKUP($A4,Councils!$B$6:$AE$841,3,0))</f>
        <v>Katy</v>
      </c>
      <c r="C4">
        <f>IF(ISNA(VLOOKUP($A4,Councils!$B$6:$AE$841,4,0)),0,VLOOKUP($A4,Councils!$B$6:$AE$841,4,0))</f>
        <v>306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35</v>
      </c>
      <c r="J4">
        <f>IF(ISNA(VLOOKUP($A4,Councils!$B$6:$AE$841,11,0)),0,VLOOKUP($A4,Councils!$B$6:$AE$841,11,0))</f>
        <v>-34</v>
      </c>
      <c r="K4" s="63">
        <f>IFERROR(J4/D4,0)</f>
        <v>-2.2666666666666666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7</v>
      </c>
      <c r="S4">
        <f>IF(ISNA(VLOOKUP($A4,Councils!$B$6:$AE$841,20,0)),0,VLOOKUP($A4,Councils!$B$6:$AE$841,20,0))</f>
        <v>-6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12564</v>
      </c>
      <c r="B5" t="str">
        <f>IF(ISNA(VLOOKUP($A5,Councils!$B$6:$AE$841,3,0)),0,VLOOKUP($A5,Councils!$B$6:$AE$841,3,0))</f>
        <v>Brookshire/Pattison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3</v>
      </c>
    </row>
    <row r="6" spans="1:22">
      <c r="A6" s="50">
        <v>12955</v>
      </c>
      <c r="B6" t="str">
        <f>IF(ISNA(VLOOKUP($A6,Councils!$B$6:$AE$841,3,0)),0,VLOOKUP($A6,Councils!$B$6:$AE$841,3,0))</f>
        <v>Katy</v>
      </c>
      <c r="C6">
        <f>IF(ISNA(VLOOKUP($A6,Councils!$B$6:$AE$841,4,0)),0,VLOOKUP($A6,Councils!$B$6:$AE$841,4,0))</f>
        <v>242</v>
      </c>
      <c r="D6">
        <f>IF(ISNA(VLOOKUP($A6,Councils!$B$6:$AE$841,5,0)),0,VLOOKUP($A6,Councils!$B$6:$AE$841,5,0))</f>
        <v>12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  <row r="7" spans="1:22">
      <c r="A7" s="298">
        <v>16103</v>
      </c>
      <c r="B7" t="str">
        <f>IF(ISNA(VLOOKUP($A7,Councils!$B$6:$AE$841,3,0)),0,VLOOKUP($A7,Councils!$B$6:$AE$841,3,0))</f>
        <v>Fulshear</v>
      </c>
      <c r="C7">
        <f>IF(ISNA(VLOOKUP($A7,Councils!$B$6:$AE$841,4,0)),0,VLOOKUP($A7,Councils!$B$6:$AE$841,4,0))</f>
        <v>262</v>
      </c>
      <c r="D7">
        <f>IF(ISNA(VLOOKUP($A7,Councils!$B$6:$AE$841,5,0)),0,VLOOKUP($A7,Councils!$B$6:$AE$841,5,0))</f>
        <v>13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4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3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1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3313</v>
      </c>
      <c r="B3" t="str">
        <f>IF(ISNA(VLOOKUP($A3,Councils!$B$6:$AE$841,3,0)),0,VLOOKUP($A3,Councils!$B$6:$AE$841,3,0))</f>
        <v>Sealy</v>
      </c>
      <c r="C3">
        <f>IF(ISNA(VLOOKUP($A3,Councils!$B$6:$AE$841,4,0)),0,VLOOKUP($A3,Councils!$B$6:$AE$841,4,0))</f>
        <v>230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5</v>
      </c>
      <c r="P3">
        <f>IF(ISNA(VLOOKUP($A3,Councils!$B$6:$AE$841,17,0)),0,VLOOKUP($A3,Councils!$B$6:$AE$841,17,0))</f>
        <v>-5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5</v>
      </c>
      <c r="S3">
        <f>IF(ISNA(VLOOKUP($A3,Councils!$B$6:$AE$841,20,0)),0,VLOOKUP($A3,Councils!$B$6:$AE$841,20,0))</f>
        <v>-4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3793</v>
      </c>
      <c r="B4" t="str">
        <f>IF(ISNA(VLOOKUP($A4,Councils!$B$6:$AE$841,3,0)),0,VLOOKUP($A4,Councils!$B$6:$AE$841,3,0))</f>
        <v>Wallis</v>
      </c>
      <c r="C4">
        <f>IF(ISNA(VLOOKUP($A4,Councils!$B$6:$AE$841,4,0)),0,VLOOKUP($A4,Councils!$B$6:$AE$841,4,0))</f>
        <v>203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12558</v>
      </c>
      <c r="B5" t="str">
        <f>IF(ISNA(VLOOKUP($A5,Councils!$B$6:$AE$841,3,0)),0,VLOOKUP($A5,Councils!$B$6:$AE$841,3,0))</f>
        <v>Frydek</v>
      </c>
      <c r="C5">
        <f>IF(ISNA(VLOOKUP($A5,Councils!$B$6:$AE$841,4,0)),0,VLOOKUP($A5,Councils!$B$6:$AE$841,4,0))</f>
        <v>181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7901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287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8024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100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2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0.8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13357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117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7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7</v>
      </c>
      <c r="K5" s="63">
        <f>IFERROR(J5/D5,0)</f>
        <v>1.1666666666666667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13615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2917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499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0.3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8404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173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2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12475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77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2</v>
      </c>
      <c r="P5">
        <f>IF(ISNA(VLOOKUP($A5,Councils!$B$6:$AE$841,17,0)),0,VLOOKUP($A5,Councils!$B$6:$AE$841,17,0))</f>
        <v>-2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12748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148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6826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47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8247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108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8734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49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8096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307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-2</v>
      </c>
      <c r="K3" s="63">
        <f>IFERROR(J3/D3,0)</f>
        <v>-0.14285714285714285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8771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717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10720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212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7136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120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5</v>
      </c>
      <c r="J3">
        <f>IF(ISNA(VLOOKUP($A3,Councils!$B$6:$AE$841,11,0)),0,VLOOKUP($A3,Councils!$B$6:$AE$841,11,0))</f>
        <v>-3</v>
      </c>
      <c r="K3" s="63">
        <f>IFERROR(J3/D3,0)</f>
        <v>-0.5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10861</v>
      </c>
      <c r="B4" t="str">
        <f>IF(ISNA(VLOOKUP($A4,Councils!$B$6:$AE$841,3,0)),0,VLOOKUP($A4,Councils!$B$6:$AE$841,3,0))</f>
        <v>Spring</v>
      </c>
      <c r="C4">
        <f>IF(ISNA(VLOOKUP($A4,Councils!$B$6:$AE$841,4,0)),0,VLOOKUP($A4,Councils!$B$6:$AE$841,4,0))</f>
        <v>527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2</v>
      </c>
      <c r="K4" s="63">
        <f>IFERROR(J4/D4,0)</f>
        <v>0.1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4</v>
      </c>
      <c r="R4">
        <f>IF(ISNA(VLOOKUP($A4,Councils!$B$6:$AE$841,19,0)),0,VLOOKUP($A4,Councils!$B$6:$AE$841,19,0))</f>
        <v>9</v>
      </c>
      <c r="S4">
        <f>IF(ISNA(VLOOKUP($A4,Councils!$B$6:$AE$841,20,0)),0,VLOOKUP($A4,Councils!$B$6:$AE$841,20,0))</f>
        <v>-5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13629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47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2</v>
      </c>
      <c r="P5">
        <f>IF(ISNA(VLOOKUP($A5,Councils!$B$6:$AE$841,17,0)),0,VLOOKUP($A5,Councils!$B$6:$AE$841,17,0))</f>
        <v>-2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6878</v>
      </c>
      <c r="B3" t="str">
        <f>IF(ISNA(VLOOKUP($A3,Councils!$B$6:$AE$841,3,0)),0,VLOOKUP($A3,Councils!$B$6:$AE$841,3,0))</f>
        <v>Humble</v>
      </c>
      <c r="C3">
        <f>IF(ISNA(VLOOKUP($A3,Councils!$B$6:$AE$841,4,0)),0,VLOOKUP($A3,Councils!$B$6:$AE$841,4,0))</f>
        <v>680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5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3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4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9794</v>
      </c>
      <c r="B4" t="str">
        <f>IF(ISNA(VLOOKUP($A4,Councils!$B$6:$AE$841,3,0)),0,VLOOKUP($A4,Councils!$B$6:$AE$841,3,0))</f>
        <v>Huffman</v>
      </c>
      <c r="C4">
        <f>IF(ISNA(VLOOKUP($A4,Councils!$B$6:$AE$841,4,0)),0,VLOOKUP($A4,Councils!$B$6:$AE$841,4,0))</f>
        <v>69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12320</v>
      </c>
      <c r="B5" t="str">
        <f>IF(ISNA(VLOOKUP($A5,Councils!$B$6:$AE$841,3,0)),0,VLOOKUP($A5,Councils!$B$6:$AE$841,3,0))</f>
        <v>Kingwood</v>
      </c>
      <c r="C5">
        <f>IF(ISNA(VLOOKUP($A5,Councils!$B$6:$AE$841,4,0)),0,VLOOKUP($A5,Councils!$B$6:$AE$841,4,0))</f>
        <v>331</v>
      </c>
      <c r="D5">
        <f>IF(ISNA(VLOOKUP($A5,Councils!$B$6:$AE$841,5,0)),0,VLOOKUP($A5,Councils!$B$6:$AE$841,5,0))</f>
        <v>16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8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8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13166</v>
      </c>
      <c r="B6" t="str">
        <f>IF(ISNA(VLOOKUP($A6,Councils!$B$6:$AE$841,3,0)),0,VLOOKUP($A6,Councils!$B$6:$AE$841,3,0))</f>
        <v>New Caney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0.75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6557</v>
      </c>
      <c r="B3" t="str">
        <f>IF(ISNA(VLOOKUP($A3,Councils!$B$6:$AE$841,3,0)),0,VLOOKUP($A3,Councils!$B$6:$AE$841,3,0))</f>
        <v>Spring</v>
      </c>
      <c r="C3">
        <f>IF(ISNA(VLOOKUP($A3,Councils!$B$6:$AE$841,4,0)),0,VLOOKUP($A3,Councils!$B$6:$AE$841,4,0))</f>
        <v>368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0.17647058823529413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10872</v>
      </c>
      <c r="B4" t="str">
        <f>IF(ISNA(VLOOKUP($A4,Councils!$B$6:$AE$841,3,0)),0,VLOOKUP($A4,Councils!$B$6:$AE$841,3,0))</f>
        <v>Spring</v>
      </c>
      <c r="C4">
        <f>IF(ISNA(VLOOKUP($A4,Councils!$B$6:$AE$841,4,0)),0,VLOOKUP($A4,Councils!$B$6:$AE$841,4,0))</f>
        <v>303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11472</v>
      </c>
      <c r="B5" t="str">
        <f>IF(ISNA(VLOOKUP($A5,Councils!$B$6:$AE$841,3,0)),0,VLOOKUP($A5,Councils!$B$6:$AE$841,3,0))</f>
        <v>Tomball</v>
      </c>
      <c r="C5">
        <f>IF(ISNA(VLOOKUP($A5,Councils!$B$6:$AE$841,4,0)),0,VLOOKUP($A5,Councils!$B$6:$AE$841,4,0))</f>
        <v>222</v>
      </c>
      <c r="D5">
        <f>IF(ISNA(VLOOKUP($A5,Councils!$B$6:$AE$841,5,0)),0,VLOOKUP($A5,Councils!$B$6:$AE$841,5,0))</f>
        <v>11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-1</v>
      </c>
      <c r="K5" s="63">
        <f>IFERROR(J5/D5,0)</f>
        <v>-9.0909090909090912E-2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14512</v>
      </c>
      <c r="B6" t="str">
        <f>IF(ISNA(VLOOKUP($A6,Councils!$B$6:$AE$841,3,0)),0,VLOOKUP($A6,Councils!$B$6:$AE$841,3,0))</f>
        <v>Spring</v>
      </c>
      <c r="C6">
        <f>IF(ISNA(VLOOKUP($A6,Councils!$B$6:$AE$841,4,0)),0,VLOOKUP($A6,Councils!$B$6:$AE$841,4,0))</f>
        <v>228</v>
      </c>
      <c r="D6">
        <f>IF(ISNA(VLOOKUP($A6,Councils!$B$6:$AE$841,5,0)),0,VLOOKUP($A6,Councils!$B$6:$AE$841,5,0))</f>
        <v>11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1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8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7</v>
      </c>
      <c r="K6" s="63">
        <f>IFERROR(J6/D6,0)</f>
        <v>0.63636363636363635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5921</v>
      </c>
      <c r="B3" t="str">
        <f>IF(ISNA(VLOOKUP($A3,Councils!$B$6:$AE$841,3,0)),0,VLOOKUP($A3,Councils!$B$6:$AE$841,3,0))</f>
        <v>New Waverly</v>
      </c>
      <c r="C3">
        <f>IF(ISNA(VLOOKUP($A3,Councils!$B$6:$AE$841,4,0)),0,VLOOKUP($A3,Councils!$B$6:$AE$841,4,0))</f>
        <v>106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6456</v>
      </c>
      <c r="B4" t="str">
        <f>IF(ISNA(VLOOKUP($A4,Councils!$B$6:$AE$841,3,0)),0,VLOOKUP($A4,Councils!$B$6:$AE$841,3,0))</f>
        <v>Conroe</v>
      </c>
      <c r="C4">
        <f>IF(ISNA(VLOOKUP($A4,Councils!$B$6:$AE$841,4,0)),0,VLOOKUP($A4,Councils!$B$6:$AE$841,4,0))</f>
        <v>324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6.6666666666666666E-2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7153</v>
      </c>
      <c r="B5" t="str">
        <f>IF(ISNA(VLOOKUP($A5,Councils!$B$6:$AE$841,3,0)),0,VLOOKUP($A5,Councils!$B$6:$AE$841,3,0))</f>
        <v>Huntsville</v>
      </c>
      <c r="C5">
        <f>IF(ISNA(VLOOKUP($A5,Councils!$B$6:$AE$841,4,0)),0,VLOOKUP($A5,Councils!$B$6:$AE$841,4,0))</f>
        <v>87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298">
        <v>12327</v>
      </c>
      <c r="B6" t="str">
        <f>IF(ISNA(VLOOKUP($A6,Councils!$B$6:$AE$841,3,0)),0,VLOOKUP($A6,Councils!$B$6:$AE$841,3,0))</f>
        <v>The Woodlands</v>
      </c>
      <c r="C6">
        <f>IF(ISNA(VLOOKUP($A6,Councils!$B$6:$AE$841,4,0)),0,VLOOKUP($A6,Councils!$B$6:$AE$841,4,0))</f>
        <v>331</v>
      </c>
      <c r="D6">
        <f>IF(ISNA(VLOOKUP($A6,Councils!$B$6:$AE$841,5,0)),0,VLOOKUP($A6,Councils!$B$6:$AE$841,5,0))</f>
        <v>15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0.2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2</v>
      </c>
      <c r="P6">
        <f>IF(ISNA(VLOOKUP($A6,Councils!$B$6:$AE$841,17,0)),0,VLOOKUP($A6,Councils!$B$6:$AE$841,17,0))</f>
        <v>-2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3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12"/>
  <sheetViews>
    <sheetView topLeftCell="A7" zoomScaleNormal="100" workbookViewId="0">
      <selection activeCell="G27" sqref="G27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725</v>
      </c>
      <c r="G1" s="72" t="s">
        <v>724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3" t="s">
        <v>818</v>
      </c>
      <c r="N1" s="71" t="s">
        <v>831</v>
      </c>
    </row>
    <row r="2" spans="1:14">
      <c r="A2" s="67">
        <v>1</v>
      </c>
      <c r="B2" s="81">
        <f>IF(ISNA(VLOOKUP($A2,DD_Info!$A$1:$E$222,5,0)),0,VLOOKUP($A2,DD_Info!$A$1:$E$222,5,0))</f>
        <v>3</v>
      </c>
      <c r="C2" t="str">
        <f>IF(ISNA(VLOOKUP($A2,DD_Info!$A$1:$E$222,2,0)),0,VLOOKUP($A2,DD_Info!$A$1:$E$222,2,0))</f>
        <v>Richard  Gilliland</v>
      </c>
      <c r="D2" t="str">
        <f>IF(ISNA(VLOOKUP($A2,DD_Info!$A$1:$E$222,3,0)),0,VLOOKUP($A2,DD_Info!$A$1:$E$222,3,0))</f>
        <v>El Paso</v>
      </c>
      <c r="E2">
        <f ca="1">ROUND(SUMIF(Councils!$C$6:$C$837,$A2,Councils!$E$6:$E$816),0)</f>
        <v>293</v>
      </c>
      <c r="F2">
        <f ca="1">ROUND(SUMIF(Councils!$C$6:$C$837,$A2,Councils!$F$6:$F$816)*0.7,0)</f>
        <v>11</v>
      </c>
      <c r="G2">
        <f ca="1">ROUND(SUMIF(Councils!$C$6:$C$837,$A2,Councils!$G$6:$G$816)*0.7,0)</f>
        <v>0</v>
      </c>
      <c r="H2">
        <f ca="1">ROUND(SUMIF(Councils!$C$6:$C$837,$A2,Councils!$H$6:$H$816)*0.7,0)</f>
        <v>1</v>
      </c>
      <c r="I2">
        <f ca="1">ROUND(SUMIF(Councils!$C$6:$C$837,$A2,Councils!$I$6:$I$816)*0.7,0)</f>
        <v>-1</v>
      </c>
      <c r="J2">
        <f ca="1">ROUND(SUMIF(Councils!$C$6:$C$837,$A2,Councils!$J$6:$J$816)*0.7,0)</f>
        <v>3</v>
      </c>
      <c r="K2">
        <f ca="1">ROUND(SUMIF(Councils!$C$6:$C$837,$A2,Councils!$K$6:$K$816)*0.7,0)</f>
        <v>1</v>
      </c>
      <c r="L2">
        <f ca="1">ROUND(SUMIF(Councils!$C$6:$C$837,$A2,Councils!$L$6:$L$816)*0.7,0)</f>
        <v>1</v>
      </c>
      <c r="M2" s="63">
        <f t="shared" ref="M2:M68" ca="1" si="0">IFERROR(L2/F2,0)</f>
        <v>9.0909090909090912E-2</v>
      </c>
      <c r="N2">
        <f t="shared" ref="N2:N65" ca="1" si="1">RANK(M2,$M$2:$M$212,0)</f>
        <v>88</v>
      </c>
    </row>
    <row r="3" spans="1:14">
      <c r="A3" s="67">
        <v>2</v>
      </c>
      <c r="B3" s="81">
        <f>IF(ISNA(VLOOKUP($A3,DD_Info!$A$1:$E$222,5,0)),0,VLOOKUP($A3,DD_Info!$A$1:$E$222,5,0))</f>
        <v>2</v>
      </c>
      <c r="C3" t="str">
        <f>IF(ISNA(VLOOKUP($A3,DD_Info!$A$1:$E$222,2,0)),0,VLOOKUP($A3,DD_Info!$A$1:$E$222,2,0))</f>
        <v>Fernando T Silva</v>
      </c>
      <c r="D3" t="str">
        <f>IF(ISNA(VLOOKUP($A3,DD_Info!$A$1:$E$222,3,0)),0,VLOOKUP($A3,DD_Info!$A$1:$E$222,3,0))</f>
        <v>El Paso</v>
      </c>
      <c r="E3">
        <f ca="1">ROUND(SUMIF(Councils!$C$6:$C$837,$A3,Councils!$E$6:$E$816),0)</f>
        <v>574</v>
      </c>
      <c r="F3">
        <f ca="1">ROUND(SUMIF(Councils!$C$6:$C$837,$A3,Councils!$F$6:$F$816)*0.7,0)</f>
        <v>20</v>
      </c>
      <c r="G3">
        <f ca="1">ROUND(SUMIF(Councils!$C$6:$C$837,$A3,Councils!$G$6:$G$816)*0.7,0)</f>
        <v>3</v>
      </c>
      <c r="H3">
        <f ca="1">ROUND(SUMIF(Councils!$C$6:$C$837,$A3,Councils!$H$6:$H$816)*0.7,0)</f>
        <v>0</v>
      </c>
      <c r="I3">
        <f ca="1">ROUND(SUMIF(Councils!$C$6:$C$837,$A3,Councils!$I$6:$I$816)*0.7,0)</f>
        <v>3</v>
      </c>
      <c r="J3">
        <f ca="1">ROUND(SUMIF(Councils!$C$6:$C$837,$A3,Councils!$J$6:$J$816)*0.7,0)</f>
        <v>6</v>
      </c>
      <c r="K3">
        <f ca="1">ROUND(SUMIF(Councils!$C$6:$C$837,$A3,Councils!$K$6:$K$816)*0.7,0)</f>
        <v>0</v>
      </c>
      <c r="L3">
        <f ca="1">ROUND(SUMIF(Councils!$C$6:$C$837,$A3,Councils!$L$6:$L$816)*0.7,0)</f>
        <v>6</v>
      </c>
      <c r="M3" s="63">
        <f t="shared" ca="1" si="0"/>
        <v>0.3</v>
      </c>
      <c r="N3">
        <f t="shared" ca="1" si="1"/>
        <v>39</v>
      </c>
    </row>
    <row r="4" spans="1:14">
      <c r="A4" s="67">
        <v>3</v>
      </c>
      <c r="B4" s="81">
        <f>IF(ISNA(VLOOKUP($A4,DD_Info!$A$1:$E$222,5,0)),0,VLOOKUP($A4,DD_Info!$A$1:$E$222,5,0))</f>
        <v>2</v>
      </c>
      <c r="C4" t="str">
        <f>IF(ISNA(VLOOKUP($A4,DD_Info!$A$1:$E$222,2,0)),0,VLOOKUP($A4,DD_Info!$A$1:$E$222,2,0))</f>
        <v>Armando  Acosta</v>
      </c>
      <c r="D4" t="str">
        <f>IF(ISNA(VLOOKUP($A4,DD_Info!$A$1:$E$222,3,0)),0,VLOOKUP($A4,DD_Info!$A$1:$E$222,3,0))</f>
        <v>El Paso</v>
      </c>
      <c r="E4">
        <f ca="1">ROUND(SUMIF(Councils!$C$6:$C$837,$A4,Councils!$E$6:$E$816),0)</f>
        <v>419</v>
      </c>
      <c r="F4">
        <f ca="1">ROUND(SUMIF(Councils!$C$6:$C$837,$A4,Councils!$F$6:$F$816)*0.7,0)</f>
        <v>15</v>
      </c>
      <c r="G4">
        <f ca="1">ROUND(SUMIF(Councils!$C$6:$C$837,$A4,Councils!$G$6:$G$816)*0.7,0)</f>
        <v>3</v>
      </c>
      <c r="H4">
        <f ca="1">ROUND(SUMIF(Councils!$C$6:$C$837,$A4,Councils!$H$6:$H$816)*0.7,0)</f>
        <v>0</v>
      </c>
      <c r="I4">
        <f ca="1">ROUND(SUMIF(Councils!$C$6:$C$837,$A4,Councils!$I$6:$I$816)*0.7,0)</f>
        <v>3</v>
      </c>
      <c r="J4">
        <f ca="1">ROUND(SUMIF(Councils!$C$6:$C$837,$A4,Councils!$J$6:$J$816)*0.7,0)</f>
        <v>8</v>
      </c>
      <c r="K4">
        <f ca="1">ROUND(SUMIF(Councils!$C$6:$C$837,$A4,Councils!$K$6:$K$816)*0.7,0)</f>
        <v>0</v>
      </c>
      <c r="L4">
        <f ca="1">ROUND(SUMIF(Councils!$C$6:$C$837,$A4,Councils!$L$6:$L$816)*0.7,0)</f>
        <v>8</v>
      </c>
      <c r="M4" s="63">
        <f t="shared" ca="1" si="0"/>
        <v>0.53333333333333333</v>
      </c>
      <c r="N4">
        <f t="shared" ca="1" si="1"/>
        <v>13</v>
      </c>
    </row>
    <row r="5" spans="1:14">
      <c r="A5" s="67">
        <v>4</v>
      </c>
      <c r="B5" s="81">
        <f>IF(ISNA(VLOOKUP($A5,DD_Info!$A$1:$E$222,5,0)),0,VLOOKUP($A5,DD_Info!$A$1:$E$222,5,0))</f>
        <v>3</v>
      </c>
      <c r="C5" t="str">
        <f>IF(ISNA(VLOOKUP($A5,DD_Info!$A$1:$E$222,2,0)),0,VLOOKUP($A5,DD_Info!$A$1:$E$222,2,0))</f>
        <v>James B Weber</v>
      </c>
      <c r="D5" t="str">
        <f>IF(ISNA(VLOOKUP($A5,DD_Info!$A$1:$E$222,3,0)),0,VLOOKUP($A5,DD_Info!$A$1:$E$222,3,0))</f>
        <v>El Paso</v>
      </c>
      <c r="E5">
        <f ca="1">ROUND(SUMIF(Councils!$C$6:$C$837,$A5,Councils!$E$6:$E$816),0)</f>
        <v>97</v>
      </c>
      <c r="F5">
        <f ca="1">ROUND(SUMIF(Councils!$C$6:$C$837,$A5,Councils!$F$6:$F$816)*0.7,0)</f>
        <v>4</v>
      </c>
      <c r="G5">
        <f ca="1">ROUND(SUMIF(Councils!$C$6:$C$837,$A5,Councils!$G$6:$G$816)*0.7,0)</f>
        <v>1</v>
      </c>
      <c r="H5">
        <f ca="1">ROUND(SUMIF(Councils!$C$6:$C$837,$A5,Councils!$H$6:$H$816)*0.7,0)</f>
        <v>0</v>
      </c>
      <c r="I5">
        <f ca="1">ROUND(SUMIF(Councils!$C$6:$C$837,$A5,Councils!$I$6:$I$816)*0.7,0)</f>
        <v>1</v>
      </c>
      <c r="J5">
        <f ca="1">ROUND(SUMIF(Councils!$C$6:$C$837,$A5,Councils!$J$6:$J$816)*0.7,0)</f>
        <v>17</v>
      </c>
      <c r="K5">
        <f ca="1">ROUND(SUMIF(Councils!$C$6:$C$837,$A5,Councils!$K$6:$K$816)*0.7,0)</f>
        <v>0</v>
      </c>
      <c r="L5">
        <f ca="1">ROUND(SUMIF(Councils!$C$6:$C$837,$A5,Councils!$L$6:$L$816)*0.7,0)</f>
        <v>17</v>
      </c>
      <c r="M5" s="63">
        <f t="shared" ca="1" si="0"/>
        <v>4.25</v>
      </c>
      <c r="N5">
        <f t="shared" ca="1" si="1"/>
        <v>1</v>
      </c>
    </row>
    <row r="6" spans="1:14">
      <c r="A6" s="67">
        <v>5</v>
      </c>
      <c r="B6" s="81">
        <f>IF(ISNA(VLOOKUP($A6,DD_Info!$A$1:$E$222,5,0)),0,VLOOKUP($A6,DD_Info!$A$1:$E$222,5,0))</f>
        <v>3</v>
      </c>
      <c r="C6" t="str">
        <f>IF(ISNA(VLOOKUP($A6,DD_Info!$A$1:$E$222,2,0)),0,VLOOKUP($A6,DD_Info!$A$1:$E$222,2,0))</f>
        <v>Giovani  Hyppolite</v>
      </c>
      <c r="D6" t="str">
        <f>IF(ISNA(VLOOKUP($A6,DD_Info!$A$1:$E$222,3,0)),0,VLOOKUP($A6,DD_Info!$A$1:$E$222,3,0))</f>
        <v>El Paso</v>
      </c>
      <c r="E6">
        <f ca="1">ROUND(SUMIF(Councils!$C$6:$C$837,$A6,Councils!$E$6:$E$816),0)</f>
        <v>267</v>
      </c>
      <c r="F6">
        <f ca="1">ROUND(SUMIF(Councils!$C$6:$C$837,$A6,Councils!$F$6:$F$816)*0.7,0)</f>
        <v>10</v>
      </c>
      <c r="G6">
        <f ca="1">ROUND(SUMIF(Councils!$C$6:$C$837,$A6,Councils!$G$6:$G$816)*0.7,0)</f>
        <v>0</v>
      </c>
      <c r="H6">
        <f ca="1">ROUND(SUMIF(Councils!$C$6:$C$837,$A6,Councils!$H$6:$H$816)*0.7,0)</f>
        <v>0</v>
      </c>
      <c r="I6">
        <f ca="1">ROUND(SUMIF(Councils!$C$6:$C$837,$A6,Councils!$I$6:$I$816)*0.7,0)</f>
        <v>0</v>
      </c>
      <c r="J6">
        <f ca="1">ROUND(SUMIF(Councils!$C$6:$C$837,$A6,Councils!$J$6:$J$816)*0.7,0)</f>
        <v>3</v>
      </c>
      <c r="K6">
        <f ca="1">ROUND(SUMIF(Councils!$C$6:$C$837,$A6,Councils!$K$6:$K$816)*0.7,0)</f>
        <v>1</v>
      </c>
      <c r="L6">
        <f ca="1">ROUND(SUMIF(Councils!$C$6:$C$837,$A6,Councils!$L$6:$L$816)*0.7,0)</f>
        <v>2</v>
      </c>
      <c r="M6" s="63">
        <f t="shared" ca="1" si="0"/>
        <v>0.2</v>
      </c>
      <c r="N6">
        <f t="shared" ca="1" si="1"/>
        <v>58</v>
      </c>
    </row>
    <row r="7" spans="1:14">
      <c r="A7" s="67">
        <v>6</v>
      </c>
      <c r="B7" s="81">
        <f>IF(ISNA(VLOOKUP($A7,DD_Info!$A$1:$E$222,5,0)),0,VLOOKUP($A7,DD_Info!$A$1:$E$222,5,0))</f>
        <v>3</v>
      </c>
      <c r="C7" t="str">
        <f>IF(ISNA(VLOOKUP($A7,DD_Info!$A$1:$E$222,2,0)),0,VLOOKUP($A7,DD_Info!$A$1:$E$222,2,0))</f>
        <v>Luis J Ortiz Jr</v>
      </c>
      <c r="D7" t="str">
        <f>IF(ISNA(VLOOKUP($A7,DD_Info!$A$1:$E$222,3,0)),0,VLOOKUP($A7,DD_Info!$A$1:$E$222,3,0))</f>
        <v>El Paso</v>
      </c>
      <c r="E7">
        <f ca="1">ROUND(SUMIF(Councils!$C$6:$C$837,$A7,Councils!$E$6:$E$816),0)</f>
        <v>233</v>
      </c>
      <c r="F7">
        <f ca="1">ROUND(SUMIF(Councils!$C$6:$C$837,$A7,Councils!$F$6:$F$816)*0.7,0)</f>
        <v>9</v>
      </c>
      <c r="G7">
        <f ca="1">ROUND(SUMIF(Councils!$C$6:$C$837,$A7,Councils!$G$6:$G$816)*0.7,0)</f>
        <v>0</v>
      </c>
      <c r="H7">
        <f ca="1">ROUND(SUMIF(Councils!$C$6:$C$837,$A7,Councils!$H$6:$H$816)*0.7,0)</f>
        <v>0</v>
      </c>
      <c r="I7">
        <f ca="1">ROUND(SUMIF(Councils!$C$6:$C$837,$A7,Councils!$I$6:$I$816)*0.7,0)</f>
        <v>0</v>
      </c>
      <c r="J7">
        <f ca="1">ROUND(SUMIF(Councils!$C$6:$C$837,$A7,Councils!$J$6:$J$816)*0.7,0)</f>
        <v>3</v>
      </c>
      <c r="K7">
        <f ca="1">ROUND(SUMIF(Councils!$C$6:$C$837,$A7,Councils!$K$6:$K$816)*0.7,0)</f>
        <v>6</v>
      </c>
      <c r="L7">
        <f ca="1">ROUND(SUMIF(Councils!$C$6:$C$837,$A7,Councils!$L$6:$L$816)*0.7,0)</f>
        <v>-3</v>
      </c>
      <c r="M7" s="63">
        <f t="shared" ca="1" si="0"/>
        <v>-0.33333333333333331</v>
      </c>
      <c r="N7">
        <f t="shared" ca="1" si="1"/>
        <v>196</v>
      </c>
    </row>
    <row r="8" spans="1:14">
      <c r="A8" s="67">
        <v>7</v>
      </c>
      <c r="B8" s="81">
        <f>IF(ISNA(VLOOKUP($A8,DD_Info!$A$1:$E$222,5,0)),0,VLOOKUP($A8,DD_Info!$A$1:$E$222,5,0))</f>
        <v>3</v>
      </c>
      <c r="C8" t="str">
        <f>IF(ISNA(VLOOKUP($A8,DD_Info!$A$1:$E$222,2,0)),0,VLOOKUP($A8,DD_Info!$A$1:$E$222,2,0))</f>
        <v>Jesus  Granado Jr</v>
      </c>
      <c r="D8" t="str">
        <f>IF(ISNA(VLOOKUP($A8,DD_Info!$A$1:$E$222,3,0)),0,VLOOKUP($A8,DD_Info!$A$1:$E$222,3,0))</f>
        <v>El Paso</v>
      </c>
      <c r="E8">
        <f ca="1">ROUND(SUMIF(Councils!$C$6:$C$837,$A8,Councils!$E$6:$E$816),0)</f>
        <v>176</v>
      </c>
      <c r="F8">
        <f ca="1">ROUND(SUMIF(Councils!$C$6:$C$837,$A8,Councils!$F$6:$F$816)*0.7,0)</f>
        <v>6</v>
      </c>
      <c r="G8">
        <f ca="1">ROUND(SUMIF(Councils!$C$6:$C$837,$A8,Councils!$G$6:$G$816)*0.7,0)</f>
        <v>0</v>
      </c>
      <c r="H8">
        <f ca="1">ROUND(SUMIF(Councils!$C$6:$C$837,$A8,Councils!$H$6:$H$816)*0.7,0)</f>
        <v>0</v>
      </c>
      <c r="I8">
        <f ca="1">ROUND(SUMIF(Councils!$C$6:$C$837,$A8,Councils!$I$6:$I$816)*0.7,0)</f>
        <v>0</v>
      </c>
      <c r="J8">
        <f ca="1">ROUND(SUMIF(Councils!$C$6:$C$837,$A8,Councils!$J$6:$J$816)*0.7,0)</f>
        <v>1</v>
      </c>
      <c r="K8">
        <f ca="1">ROUND(SUMIF(Councils!$C$6:$C$837,$A8,Councils!$K$6:$K$816)*0.7,0)</f>
        <v>1</v>
      </c>
      <c r="L8">
        <f ca="1">ROUND(SUMIF(Councils!$C$6:$C$837,$A8,Councils!$L$6:$L$816)*0.7,0)</f>
        <v>-1</v>
      </c>
      <c r="M8" s="63">
        <f t="shared" ca="1" si="0"/>
        <v>-0.16666666666666666</v>
      </c>
      <c r="N8">
        <f t="shared" ca="1" si="1"/>
        <v>187</v>
      </c>
    </row>
    <row r="9" spans="1:14">
      <c r="A9" s="67">
        <v>8</v>
      </c>
      <c r="B9" s="81">
        <f>IF(ISNA(VLOOKUP($A9,DD_Info!$A$1:$E$222,5,0)),0,VLOOKUP($A9,DD_Info!$A$1:$E$222,5,0))</f>
        <v>3</v>
      </c>
      <c r="C9" t="str">
        <f>IF(ISNA(VLOOKUP($A9,DD_Info!$A$1:$E$222,2,0)),0,VLOOKUP($A9,DD_Info!$A$1:$E$222,2,0))</f>
        <v>Roman  Bustillos</v>
      </c>
      <c r="D9" t="str">
        <f>IF(ISNA(VLOOKUP($A9,DD_Info!$A$1:$E$222,3,0)),0,VLOOKUP($A9,DD_Info!$A$1:$E$222,3,0))</f>
        <v>El Paso</v>
      </c>
      <c r="E9">
        <f ca="1">ROUND(SUMIF(Councils!$C$6:$C$837,$A9,Councils!$E$6:$E$816),0)</f>
        <v>243</v>
      </c>
      <c r="F9">
        <f ca="1">ROUND(SUMIF(Councils!$C$6:$C$837,$A9,Councils!$F$6:$F$816)*0.7,0)</f>
        <v>9</v>
      </c>
      <c r="G9">
        <f ca="1">ROUND(SUMIF(Councils!$C$6:$C$837,$A9,Councils!$G$6:$G$816)*0.7,0)</f>
        <v>1</v>
      </c>
      <c r="H9">
        <f ca="1">ROUND(SUMIF(Councils!$C$6:$C$837,$A9,Councils!$H$6:$H$816)*0.7,0)</f>
        <v>0</v>
      </c>
      <c r="I9">
        <f ca="1">ROUND(SUMIF(Councils!$C$6:$C$837,$A9,Councils!$I$6:$I$816)*0.7,0)</f>
        <v>1</v>
      </c>
      <c r="J9">
        <f ca="1">ROUND(SUMIF(Councils!$C$6:$C$837,$A9,Councils!$J$6:$J$816)*0.7,0)</f>
        <v>2</v>
      </c>
      <c r="K9">
        <f ca="1">ROUND(SUMIF(Councils!$C$6:$C$837,$A9,Councils!$K$6:$K$816)*0.7,0)</f>
        <v>0</v>
      </c>
      <c r="L9">
        <f ca="1">ROUND(SUMIF(Councils!$C$6:$C$837,$A9,Councils!$L$6:$L$816)*0.7,0)</f>
        <v>2</v>
      </c>
      <c r="M9" s="63">
        <f t="shared" ca="1" si="0"/>
        <v>0.22222222222222221</v>
      </c>
      <c r="N9">
        <f t="shared" ca="1" si="1"/>
        <v>51</v>
      </c>
    </row>
    <row r="10" spans="1:14">
      <c r="A10" s="67">
        <v>9</v>
      </c>
      <c r="B10" s="81">
        <f>IF(ISNA(VLOOKUP($A10,DD_Info!$A$1:$E$222,5,0)),0,VLOOKUP($A10,DD_Info!$A$1:$E$222,5,0))</f>
        <v>3</v>
      </c>
      <c r="C10" t="str">
        <f>IF(ISNA(VLOOKUP($A10,DD_Info!$A$1:$E$222,2,0)),0,VLOOKUP($A10,DD_Info!$A$1:$E$222,2,0))</f>
        <v>Jesus  Quinones</v>
      </c>
      <c r="D10" t="str">
        <f>IF(ISNA(VLOOKUP($A10,DD_Info!$A$1:$E$222,3,0)),0,VLOOKUP($A10,DD_Info!$A$1:$E$222,3,0))</f>
        <v>El Paso</v>
      </c>
      <c r="E10">
        <f ca="1">ROUND(SUMIF(Councils!$C$6:$C$837,$A10,Councils!$E$6:$E$816),0)</f>
        <v>69</v>
      </c>
      <c r="F10">
        <f ca="1">ROUND(SUMIF(Councils!$C$6:$C$837,$A10,Councils!$F$6:$F$816)*0.7,0)</f>
        <v>4</v>
      </c>
      <c r="G10">
        <f ca="1">ROUND(SUMIF(Councils!$C$6:$C$837,$A10,Councils!$G$6:$G$816)*0.7,0)</f>
        <v>0</v>
      </c>
      <c r="H10">
        <f ca="1">ROUND(SUMIF(Councils!$C$6:$C$837,$A10,Councils!$H$6:$H$816)*0.7,0)</f>
        <v>0</v>
      </c>
      <c r="I10">
        <f ca="1">ROUND(SUMIF(Councils!$C$6:$C$837,$A10,Councils!$I$6:$I$816)*0.7,0)</f>
        <v>0</v>
      </c>
      <c r="J10">
        <f ca="1">ROUND(SUMIF(Councils!$C$6:$C$837,$A10,Councils!$J$6:$J$816)*0.7,0)</f>
        <v>1</v>
      </c>
      <c r="K10">
        <f ca="1">ROUND(SUMIF(Councils!$C$6:$C$837,$A10,Councils!$K$6:$K$816)*0.7,0)</f>
        <v>0</v>
      </c>
      <c r="L10">
        <f ca="1">ROUND(SUMIF(Councils!$C$6:$C$837,$A10,Councils!$L$6:$L$816)*0.7,0)</f>
        <v>1</v>
      </c>
      <c r="M10" s="63">
        <f t="shared" ca="1" si="0"/>
        <v>0.25</v>
      </c>
      <c r="N10">
        <f t="shared" ca="1" si="1"/>
        <v>46</v>
      </c>
    </row>
    <row r="11" spans="1:14">
      <c r="A11" s="67">
        <v>10</v>
      </c>
      <c r="B11" s="81">
        <f>IF(ISNA(VLOOKUP($A11,DD_Info!$A$1:$E$222,5,0)),0,VLOOKUP($A11,DD_Info!$A$1:$E$222,5,0))</f>
        <v>3</v>
      </c>
      <c r="C11" t="str">
        <f>IF(ISNA(VLOOKUP($A11,DD_Info!$A$1:$E$222,2,0)),0,VLOOKUP($A11,DD_Info!$A$1:$E$222,2,0))</f>
        <v>Robert  Diaz</v>
      </c>
      <c r="D11" t="str">
        <f>IF(ISNA(VLOOKUP($A11,DD_Info!$A$1:$E$222,3,0)),0,VLOOKUP($A11,DD_Info!$A$1:$E$222,3,0))</f>
        <v>El Paso</v>
      </c>
      <c r="E11">
        <f ca="1">ROUND(SUMIF(Councils!$C$6:$C$837,$A11,Councils!$E$6:$E$816),0)</f>
        <v>181</v>
      </c>
      <c r="F11">
        <f ca="1">ROUND(SUMIF(Councils!$C$6:$C$837,$A11,Councils!$F$6:$F$816)*0.7,0)</f>
        <v>6</v>
      </c>
      <c r="G11">
        <f ca="1">ROUND(SUMIF(Councils!$C$6:$C$837,$A11,Councils!$G$6:$G$816)*0.7,0)</f>
        <v>0</v>
      </c>
      <c r="H11">
        <f ca="1">ROUND(SUMIF(Councils!$C$6:$C$837,$A11,Councils!$H$6:$H$816)*0.7,0)</f>
        <v>0</v>
      </c>
      <c r="I11">
        <f ca="1">ROUND(SUMIF(Councils!$C$6:$C$837,$A11,Councils!$I$6:$I$816)*0.7,0)</f>
        <v>0</v>
      </c>
      <c r="J11">
        <f ca="1">ROUND(SUMIF(Councils!$C$6:$C$837,$A11,Councils!$J$6:$J$816)*0.7,0)</f>
        <v>1</v>
      </c>
      <c r="K11">
        <f ca="1">ROUND(SUMIF(Councils!$C$6:$C$837,$A11,Councils!$K$6:$K$816)*0.7,0)</f>
        <v>1</v>
      </c>
      <c r="L11">
        <f ca="1">ROUND(SUMIF(Councils!$C$6:$C$837,$A11,Councils!$L$6:$L$816)*0.7,0)</f>
        <v>-1</v>
      </c>
      <c r="M11" s="63">
        <f t="shared" ca="1" si="0"/>
        <v>-0.16666666666666666</v>
      </c>
      <c r="N11">
        <f t="shared" ca="1" si="1"/>
        <v>187</v>
      </c>
    </row>
    <row r="12" spans="1:14">
      <c r="A12" s="67">
        <v>11</v>
      </c>
      <c r="B12" s="81">
        <f>IF(ISNA(VLOOKUP($A12,DD_Info!$A$1:$E$222,5,0)),0,VLOOKUP($A12,DD_Info!$A$1:$E$222,5,0))</f>
        <v>3</v>
      </c>
      <c r="C12" t="str">
        <f>IF(ISNA(VLOOKUP($A12,DD_Info!$A$1:$E$222,2,0)),0,VLOOKUP($A12,DD_Info!$A$1:$E$222,2,0))</f>
        <v>Ramon J Salgado</v>
      </c>
      <c r="D12" t="str">
        <f>IF(ISNA(VLOOKUP($A12,DD_Info!$A$1:$E$222,3,0)),0,VLOOKUP($A12,DD_Info!$A$1:$E$222,3,0))</f>
        <v>El Paso</v>
      </c>
      <c r="E12">
        <f ca="1">ROUND(SUMIF(Councils!$C$6:$C$837,$A12,Councils!$E$6:$E$816),0)</f>
        <v>172</v>
      </c>
      <c r="F12">
        <f ca="1">ROUND(SUMIF(Councils!$C$6:$C$837,$A12,Councils!$F$6:$F$816)*0.7,0)</f>
        <v>6</v>
      </c>
      <c r="G12">
        <f ca="1">ROUND(SUMIF(Councils!$C$6:$C$837,$A12,Councils!$G$6:$G$816)*0.7,0)</f>
        <v>1</v>
      </c>
      <c r="H12">
        <f ca="1">ROUND(SUMIF(Councils!$C$6:$C$837,$A12,Councils!$H$6:$H$816)*0.7,0)</f>
        <v>0</v>
      </c>
      <c r="I12">
        <f ca="1">ROUND(SUMIF(Councils!$C$6:$C$837,$A12,Councils!$I$6:$I$816)*0.7,0)</f>
        <v>1</v>
      </c>
      <c r="J12">
        <f ca="1">ROUND(SUMIF(Councils!$C$6:$C$837,$A12,Councils!$J$6:$J$816)*0.7,0)</f>
        <v>4</v>
      </c>
      <c r="K12">
        <f ca="1">ROUND(SUMIF(Councils!$C$6:$C$837,$A12,Councils!$K$6:$K$816)*0.7,0)</f>
        <v>0</v>
      </c>
      <c r="L12">
        <f ca="1">ROUND(SUMIF(Councils!$C$6:$C$837,$A12,Councils!$L$6:$L$816)*0.7,0)</f>
        <v>4</v>
      </c>
      <c r="M12" s="63">
        <f t="shared" ca="1" si="0"/>
        <v>0.66666666666666663</v>
      </c>
      <c r="N12">
        <f t="shared" ca="1" si="1"/>
        <v>6</v>
      </c>
    </row>
    <row r="13" spans="1:14">
      <c r="A13" s="67">
        <v>12</v>
      </c>
      <c r="B13" s="81">
        <f>IF(ISNA(VLOOKUP($A13,DD_Info!$A$1:$E$222,5,0)),0,VLOOKUP($A13,DD_Info!$A$1:$E$222,5,0))</f>
        <v>3</v>
      </c>
      <c r="C13" t="str">
        <f>IF(ISNA(VLOOKUP($A13,DD_Info!$A$1:$E$222,2,0)),0,VLOOKUP($A13,DD_Info!$A$1:$E$222,2,0))</f>
        <v>Juan A Dominguez</v>
      </c>
      <c r="D13" t="str">
        <f>IF(ISNA(VLOOKUP($A13,DD_Info!$A$1:$E$222,3,0)),0,VLOOKUP($A13,DD_Info!$A$1:$E$222,3,0))</f>
        <v>El Paso</v>
      </c>
      <c r="E13">
        <f ca="1">ROUND(SUMIF(Councils!$C$6:$C$837,$A13,Councils!$E$6:$E$816),0)</f>
        <v>246</v>
      </c>
      <c r="F13">
        <f ca="1">ROUND(SUMIF(Councils!$C$6:$C$837,$A13,Councils!$F$6:$F$816)*0.7,0)</f>
        <v>9</v>
      </c>
      <c r="G13">
        <f ca="1">ROUND(SUMIF(Councils!$C$6:$C$837,$A13,Councils!$G$6:$G$816)*0.7,0)</f>
        <v>0</v>
      </c>
      <c r="H13">
        <f ca="1">ROUND(SUMIF(Councils!$C$6:$C$837,$A13,Councils!$H$6:$H$816)*0.7,0)</f>
        <v>0</v>
      </c>
      <c r="I13">
        <f ca="1">ROUND(SUMIF(Councils!$C$6:$C$837,$A13,Councils!$I$6:$I$816)*0.7,0)</f>
        <v>0</v>
      </c>
      <c r="J13">
        <f ca="1">ROUND(SUMIF(Councils!$C$6:$C$837,$A13,Councils!$J$6:$J$816)*0.7,0)</f>
        <v>0</v>
      </c>
      <c r="K13">
        <f ca="1">ROUND(SUMIF(Councils!$C$6:$C$837,$A13,Councils!$K$6:$K$816)*0.7,0)</f>
        <v>0</v>
      </c>
      <c r="L13">
        <f ca="1">ROUND(SUMIF(Councils!$C$6:$C$837,$A13,Councils!$L$6:$L$816)*0.7,0)</f>
        <v>0</v>
      </c>
      <c r="M13" s="63">
        <f ca="1">IFERROR(L13/F13,0)</f>
        <v>0</v>
      </c>
      <c r="N13">
        <f t="shared" ca="1" si="1"/>
        <v>127</v>
      </c>
    </row>
    <row r="14" spans="1:14">
      <c r="A14" s="67">
        <v>16</v>
      </c>
      <c r="B14" s="81">
        <f>IF(ISNA(VLOOKUP($A14,DD_Info!$A$1:$E$222,5,0)),0,VLOOKUP($A14,DD_Info!$A$1:$E$222,5,0))</f>
        <v>3</v>
      </c>
      <c r="C14" t="str">
        <f>IF(ISNA(VLOOKUP($A14,DD_Info!$A$1:$E$222,2,0)),0,VLOOKUP($A14,DD_Info!$A$1:$E$222,2,0))</f>
        <v>TO BE APPOINTED</v>
      </c>
      <c r="D14" t="str">
        <f>IF(ISNA(VLOOKUP($A14,DD_Info!$A$1:$E$222,3,0)),0,VLOOKUP($A14,DD_Info!$A$1:$E$222,3,0))</f>
        <v>Fort Worth</v>
      </c>
      <c r="E14">
        <f ca="1">ROUND(SUMIF(Councils!$C$6:$C$837,$A14,Councils!$E$6:$E$816),0)</f>
        <v>268</v>
      </c>
      <c r="F14">
        <f ca="1">ROUND(SUMIF(Councils!$C$6:$C$837,$A14,Councils!$F$6:$F$816)*0.7,0)</f>
        <v>11</v>
      </c>
      <c r="G14">
        <f ca="1">ROUND(SUMIF(Councils!$C$6:$C$837,$A14,Councils!$G$6:$G$816)*0.7,0)</f>
        <v>0</v>
      </c>
      <c r="H14">
        <f ca="1">ROUND(SUMIF(Councils!$C$6:$C$837,$A14,Councils!$H$6:$H$816)*0.7,0)</f>
        <v>0</v>
      </c>
      <c r="I14">
        <f ca="1">ROUND(SUMIF(Councils!$C$6:$C$837,$A14,Councils!$I$6:$I$816)*0.7,0)</f>
        <v>0</v>
      </c>
      <c r="J14">
        <f ca="1">ROUND(SUMIF(Councils!$C$6:$C$837,$A14,Councils!$J$6:$J$816)*0.7,0)</f>
        <v>0</v>
      </c>
      <c r="K14">
        <f ca="1">ROUND(SUMIF(Councils!$C$6:$C$837,$A14,Councils!$K$6:$K$816)*0.7,0)</f>
        <v>0</v>
      </c>
      <c r="L14">
        <f ca="1">ROUND(SUMIF(Councils!$C$6:$C$837,$A14,Councils!$L$6:$L$816)*0.7,0)</f>
        <v>0</v>
      </c>
      <c r="M14" s="63">
        <f t="shared" ca="1" si="0"/>
        <v>0</v>
      </c>
      <c r="N14">
        <f t="shared" ca="1" si="1"/>
        <v>127</v>
      </c>
    </row>
    <row r="15" spans="1:14">
      <c r="A15" s="67">
        <v>17</v>
      </c>
      <c r="B15" s="81">
        <f>IF(ISNA(VLOOKUP($A15,DD_Info!$A$1:$E$222,5,0)),0,VLOOKUP($A15,DD_Info!$A$1:$E$222,5,0))</f>
        <v>1</v>
      </c>
      <c r="C15" t="str">
        <f>IF(ISNA(VLOOKUP($A15,DD_Info!$A$1:$E$222,2,0)),0,VLOOKUP($A15,DD_Info!$A$1:$E$222,2,0))</f>
        <v>Gregory  Brown</v>
      </c>
      <c r="D15" t="str">
        <f>IF(ISNA(VLOOKUP($A15,DD_Info!$A$1:$E$222,3,0)),0,VLOOKUP($A15,DD_Info!$A$1:$E$222,3,0))</f>
        <v>Fort Worth</v>
      </c>
      <c r="E15">
        <f ca="1">ROUND(SUMIF(Councils!$C$6:$C$837,$A15,Councils!$E$6:$E$816),0)</f>
        <v>622</v>
      </c>
      <c r="F15">
        <f ca="1">ROUND(SUMIF(Councils!$C$6:$C$837,$A15,Councils!$F$6:$F$816)*0.7,0)</f>
        <v>21</v>
      </c>
      <c r="G15">
        <f ca="1">ROUND(SUMIF(Councils!$C$6:$C$837,$A15,Councils!$G$6:$G$816)*0.7,0)</f>
        <v>0</v>
      </c>
      <c r="H15">
        <f ca="1">ROUND(SUMIF(Councils!$C$6:$C$837,$A15,Councils!$H$6:$H$816)*0.7,0)</f>
        <v>0</v>
      </c>
      <c r="I15">
        <f ca="1">ROUND(SUMIF(Councils!$C$6:$C$837,$A15,Councils!$I$6:$I$816)*0.7,0)</f>
        <v>0</v>
      </c>
      <c r="J15">
        <f ca="1">ROUND(SUMIF(Councils!$C$6:$C$837,$A15,Councils!$J$6:$J$816)*0.7,0)</f>
        <v>3</v>
      </c>
      <c r="K15">
        <f ca="1">ROUND(SUMIF(Councils!$C$6:$C$837,$A15,Councils!$K$6:$K$816)*0.7,0)</f>
        <v>0</v>
      </c>
      <c r="L15">
        <f ca="1">ROUND(SUMIF(Councils!$C$6:$C$837,$A15,Councils!$L$6:$L$816)*0.7,0)</f>
        <v>3</v>
      </c>
      <c r="M15" s="63">
        <f t="shared" ca="1" si="0"/>
        <v>0.14285714285714285</v>
      </c>
      <c r="N15">
        <f t="shared" ca="1" si="1"/>
        <v>71</v>
      </c>
    </row>
    <row r="16" spans="1:14">
      <c r="A16" s="67">
        <v>18</v>
      </c>
      <c r="B16" s="81">
        <f>IF(ISNA(VLOOKUP($A16,DD_Info!$A$1:$E$222,5,0)),0,VLOOKUP($A16,DD_Info!$A$1:$E$222,5,0))</f>
        <v>1</v>
      </c>
      <c r="C16" t="str">
        <f>IF(ISNA(VLOOKUP($A16,DD_Info!$A$1:$E$222,2,0)),0,VLOOKUP($A16,DD_Info!$A$1:$E$222,2,0))</f>
        <v>Richard  Norgaard</v>
      </c>
      <c r="D16" t="str">
        <f>IF(ISNA(VLOOKUP($A16,DD_Info!$A$1:$E$222,3,0)),0,VLOOKUP($A16,DD_Info!$A$1:$E$222,3,0))</f>
        <v>Fort Worth</v>
      </c>
      <c r="E16">
        <f ca="1">ROUND(SUMIF(Councils!$C$6:$C$837,$A16,Councils!$E$6:$E$816),0)</f>
        <v>979</v>
      </c>
      <c r="F16">
        <f ca="1">ROUND(SUMIF(Councils!$C$6:$C$837,$A16,Councils!$F$6:$F$816)*0.7,0)</f>
        <v>28</v>
      </c>
      <c r="G16">
        <f ca="1">ROUND(SUMIF(Councils!$C$6:$C$837,$A16,Councils!$G$6:$G$816)*0.7,0)</f>
        <v>1</v>
      </c>
      <c r="H16">
        <f ca="1">ROUND(SUMIF(Councils!$C$6:$C$837,$A16,Councils!$H$6:$H$816)*0.7,0)</f>
        <v>0</v>
      </c>
      <c r="I16">
        <f ca="1">ROUND(SUMIF(Councils!$C$6:$C$837,$A16,Councils!$I$6:$I$816)*0.7,0)</f>
        <v>1</v>
      </c>
      <c r="J16">
        <f ca="1">ROUND(SUMIF(Councils!$C$6:$C$837,$A16,Councils!$J$6:$J$816)*0.7,0)</f>
        <v>6</v>
      </c>
      <c r="K16">
        <f ca="1">ROUND(SUMIF(Councils!$C$6:$C$837,$A16,Councils!$K$6:$K$816)*0.7,0)</f>
        <v>0</v>
      </c>
      <c r="L16">
        <f ca="1">ROUND(SUMIF(Councils!$C$6:$C$837,$A16,Councils!$L$6:$L$816)*0.7,0)</f>
        <v>6</v>
      </c>
      <c r="M16" s="63">
        <f t="shared" ca="1" si="0"/>
        <v>0.21428571428571427</v>
      </c>
      <c r="N16">
        <f t="shared" ca="1" si="1"/>
        <v>54</v>
      </c>
    </row>
    <row r="17" spans="1:14">
      <c r="A17" s="67">
        <v>19</v>
      </c>
      <c r="B17" s="81">
        <f>IF(ISNA(VLOOKUP($A17,DD_Info!$A$1:$E$222,5,0)),0,VLOOKUP($A17,DD_Info!$A$1:$E$222,5,0))</f>
        <v>1</v>
      </c>
      <c r="C17" t="str">
        <f>IF(ISNA(VLOOKUP($A17,DD_Info!$A$1:$E$222,2,0)),0,VLOOKUP($A17,DD_Info!$A$1:$E$222,2,0))</f>
        <v>Richard  Rumenapp</v>
      </c>
      <c r="D17" t="str">
        <f>IF(ISNA(VLOOKUP($A17,DD_Info!$A$1:$E$222,3,0)),0,VLOOKUP($A17,DD_Info!$A$1:$E$222,3,0))</f>
        <v>Fort Worth</v>
      </c>
      <c r="E17">
        <f ca="1">ROUND(SUMIF(Councils!$C$6:$C$837,$A17,Councils!$E$6:$E$816),0)</f>
        <v>586</v>
      </c>
      <c r="F17">
        <f ca="1">ROUND(SUMIF(Councils!$C$6:$C$837,$A17,Councils!$F$6:$F$816)*0.7,0)</f>
        <v>20</v>
      </c>
      <c r="G17">
        <f ca="1">ROUND(SUMIF(Councils!$C$6:$C$837,$A17,Councils!$G$6:$G$816)*0.7,0)</f>
        <v>1</v>
      </c>
      <c r="H17">
        <f ca="1">ROUND(SUMIF(Councils!$C$6:$C$837,$A17,Councils!$H$6:$H$816)*0.7,0)</f>
        <v>1</v>
      </c>
      <c r="I17">
        <f ca="1">ROUND(SUMIF(Councils!$C$6:$C$837,$A17,Councils!$I$6:$I$816)*0.7,0)</f>
        <v>0</v>
      </c>
      <c r="J17">
        <f ca="1">ROUND(SUMIF(Councils!$C$6:$C$837,$A17,Councils!$J$6:$J$816)*0.7,0)</f>
        <v>8</v>
      </c>
      <c r="K17">
        <f ca="1">ROUND(SUMIF(Councils!$C$6:$C$837,$A17,Councils!$K$6:$K$816)*0.7,0)</f>
        <v>23</v>
      </c>
      <c r="L17">
        <f ca="1">ROUND(SUMIF(Councils!$C$6:$C$837,$A17,Councils!$L$6:$L$816)*0.7,0)</f>
        <v>-15</v>
      </c>
      <c r="M17" s="63">
        <f t="shared" ca="1" si="0"/>
        <v>-0.75</v>
      </c>
      <c r="N17">
        <f t="shared" ca="1" si="1"/>
        <v>203</v>
      </c>
    </row>
    <row r="18" spans="1:14">
      <c r="A18" s="67">
        <v>20</v>
      </c>
      <c r="B18" s="81">
        <f>IF(ISNA(VLOOKUP($A18,DD_Info!$A$1:$E$222,5,0)),0,VLOOKUP($A18,DD_Info!$A$1:$E$222,5,0))</f>
        <v>2</v>
      </c>
      <c r="C18" t="str">
        <f>IF(ISNA(VLOOKUP($A18,DD_Info!$A$1:$E$222,2,0)),0,VLOOKUP($A18,DD_Info!$A$1:$E$222,2,0))</f>
        <v>Walter A Hoesing</v>
      </c>
      <c r="D18" t="str">
        <f>IF(ISNA(VLOOKUP($A18,DD_Info!$A$1:$E$222,3,0)),0,VLOOKUP($A18,DD_Info!$A$1:$E$222,3,0))</f>
        <v>Fort Worth</v>
      </c>
      <c r="E18">
        <f ca="1">ROUND(SUMIF(Councils!$C$6:$C$837,$A18,Councils!$E$6:$E$816),0)</f>
        <v>487</v>
      </c>
      <c r="F18">
        <f ca="1">ROUND(SUMIF(Councils!$C$6:$C$837,$A18,Councils!$F$6:$F$816)*0.7,0)</f>
        <v>17</v>
      </c>
      <c r="G18">
        <f ca="1">ROUND(SUMIF(Councils!$C$6:$C$837,$A18,Councils!$G$6:$G$816)*0.7,0)</f>
        <v>1</v>
      </c>
      <c r="H18">
        <f ca="1">ROUND(SUMIF(Councils!$C$6:$C$837,$A18,Councils!$H$6:$H$816)*0.7,0)</f>
        <v>0</v>
      </c>
      <c r="I18">
        <f ca="1">ROUND(SUMIF(Councils!$C$6:$C$837,$A18,Councils!$I$6:$I$816)*0.7,0)</f>
        <v>1</v>
      </c>
      <c r="J18">
        <f ca="1">ROUND(SUMIF(Councils!$C$6:$C$837,$A18,Councils!$J$6:$J$816)*0.7,0)</f>
        <v>5</v>
      </c>
      <c r="K18">
        <f ca="1">ROUND(SUMIF(Councils!$C$6:$C$837,$A18,Councils!$K$6:$K$816)*0.7,0)</f>
        <v>0</v>
      </c>
      <c r="L18">
        <f ca="1">ROUND(SUMIF(Councils!$C$6:$C$837,$A18,Councils!$L$6:$L$816)*0.7,0)</f>
        <v>5</v>
      </c>
      <c r="M18" s="63">
        <f t="shared" ca="1" si="0"/>
        <v>0.29411764705882354</v>
      </c>
      <c r="N18">
        <f t="shared" ca="1" si="1"/>
        <v>40</v>
      </c>
    </row>
    <row r="19" spans="1:14">
      <c r="A19" s="67">
        <v>21</v>
      </c>
      <c r="B19" s="81">
        <f>IF(ISNA(VLOOKUP($A19,DD_Info!$A$1:$E$222,5,0)),0,VLOOKUP($A19,DD_Info!$A$1:$E$222,5,0))</f>
        <v>1</v>
      </c>
      <c r="C19" t="str">
        <f>IF(ISNA(VLOOKUP($A19,DD_Info!$A$1:$E$222,2,0)),0,VLOOKUP($A19,DD_Info!$A$1:$E$222,2,0))</f>
        <v>Mike G Becan Sr</v>
      </c>
      <c r="D19" t="str">
        <f>IF(ISNA(VLOOKUP($A19,DD_Info!$A$1:$E$222,3,0)),0,VLOOKUP($A19,DD_Info!$A$1:$E$222,3,0))</f>
        <v>Fort Worth</v>
      </c>
      <c r="E19">
        <f ca="1">ROUND(SUMIF(Councils!$C$6:$C$837,$A19,Councils!$E$6:$E$816),0)</f>
        <v>839</v>
      </c>
      <c r="F19">
        <f ca="1">ROUND(SUMIF(Councils!$C$6:$C$837,$A19,Councils!$F$6:$F$816)*0.7,0)</f>
        <v>28</v>
      </c>
      <c r="G19">
        <f ca="1">ROUND(SUMIF(Councils!$C$6:$C$837,$A19,Councils!$G$6:$G$816)*0.7,0)</f>
        <v>0</v>
      </c>
      <c r="H19">
        <f ca="1">ROUND(SUMIF(Councils!$C$6:$C$837,$A19,Councils!$H$6:$H$816)*0.7,0)</f>
        <v>0</v>
      </c>
      <c r="I19">
        <f ca="1">ROUND(SUMIF(Councils!$C$6:$C$837,$A19,Councils!$I$6:$I$816)*0.7,0)</f>
        <v>0</v>
      </c>
      <c r="J19">
        <f ca="1">ROUND(SUMIF(Councils!$C$6:$C$837,$A19,Councils!$J$6:$J$816)*0.7,0)</f>
        <v>2</v>
      </c>
      <c r="K19">
        <f ca="1">ROUND(SUMIF(Councils!$C$6:$C$837,$A19,Councils!$K$6:$K$816)*0.7,0)</f>
        <v>0</v>
      </c>
      <c r="L19">
        <f ca="1">ROUND(SUMIF(Councils!$C$6:$C$837,$A19,Councils!$L$6:$L$816)*0.7,0)</f>
        <v>2</v>
      </c>
      <c r="M19" s="63">
        <f t="shared" ca="1" si="0"/>
        <v>7.1428571428571425E-2</v>
      </c>
      <c r="N19">
        <f t="shared" ca="1" si="1"/>
        <v>102</v>
      </c>
    </row>
    <row r="20" spans="1:14">
      <c r="A20" s="67">
        <v>22</v>
      </c>
      <c r="B20" s="81">
        <f>IF(ISNA(VLOOKUP($A20,DD_Info!$A$1:$E$222,5,0)),0,VLOOKUP($A20,DD_Info!$A$1:$E$222,5,0))</f>
        <v>2</v>
      </c>
      <c r="C20" t="str">
        <f>IF(ISNA(VLOOKUP($A20,DD_Info!$A$1:$E$222,2,0)),0,VLOOKUP($A20,DD_Info!$A$1:$E$222,2,0))</f>
        <v>John  Walker</v>
      </c>
      <c r="D20" t="str">
        <f>IF(ISNA(VLOOKUP($A20,DD_Info!$A$1:$E$222,3,0)),0,VLOOKUP($A20,DD_Info!$A$1:$E$222,3,0))</f>
        <v>Fort Worth</v>
      </c>
      <c r="E20">
        <f ca="1">ROUND(SUMIF(Councils!$C$6:$C$837,$A20,Councils!$E$6:$E$816),0)</f>
        <v>569</v>
      </c>
      <c r="F20">
        <f ca="1">ROUND(SUMIF(Councils!$C$6:$C$837,$A20,Councils!$F$6:$F$816)*0.7,0)</f>
        <v>20</v>
      </c>
      <c r="G20">
        <f ca="1">ROUND(SUMIF(Councils!$C$6:$C$837,$A20,Councils!$G$6:$G$816)*0.7,0)</f>
        <v>0</v>
      </c>
      <c r="H20">
        <f ca="1">ROUND(SUMIF(Councils!$C$6:$C$837,$A20,Councils!$H$6:$H$816)*0.7,0)</f>
        <v>0</v>
      </c>
      <c r="I20">
        <f ca="1">ROUND(SUMIF(Councils!$C$6:$C$837,$A20,Councils!$I$6:$I$816)*0.7,0)</f>
        <v>0</v>
      </c>
      <c r="J20">
        <f ca="1">ROUND(SUMIF(Councils!$C$6:$C$837,$A20,Councils!$J$6:$J$816)*0.7,0)</f>
        <v>1</v>
      </c>
      <c r="K20">
        <f ca="1">ROUND(SUMIF(Councils!$C$6:$C$837,$A20,Councils!$K$6:$K$816)*0.7,0)</f>
        <v>0</v>
      </c>
      <c r="L20">
        <f ca="1">ROUND(SUMIF(Councils!$C$6:$C$837,$A20,Councils!$L$6:$L$816)*0.7,0)</f>
        <v>1</v>
      </c>
      <c r="M20" s="63">
        <f t="shared" ca="1" si="0"/>
        <v>0.05</v>
      </c>
      <c r="N20">
        <f t="shared" ca="1" si="1"/>
        <v>119</v>
      </c>
    </row>
    <row r="21" spans="1:14">
      <c r="A21" s="67">
        <v>23</v>
      </c>
      <c r="B21" s="81">
        <f>IF(ISNA(VLOOKUP($A21,DD_Info!$A$1:$E$222,5,0)),0,VLOOKUP($A21,DD_Info!$A$1:$E$222,5,0))</f>
        <v>2</v>
      </c>
      <c r="C21" t="str">
        <f>IF(ISNA(VLOOKUP($A21,DD_Info!$A$1:$E$222,2,0)),0,VLOOKUP($A21,DD_Info!$A$1:$E$222,2,0))</f>
        <v>Michael  Rueschenberg</v>
      </c>
      <c r="D21" t="str">
        <f>IF(ISNA(VLOOKUP($A21,DD_Info!$A$1:$E$222,3,0)),0,VLOOKUP($A21,DD_Info!$A$1:$E$222,3,0))</f>
        <v>Fort Worth</v>
      </c>
      <c r="E21">
        <f ca="1">ROUND(SUMIF(Councils!$C$6:$C$837,$A21,Councils!$E$6:$E$816),0)</f>
        <v>554</v>
      </c>
      <c r="F21">
        <f ca="1">ROUND(SUMIF(Councils!$C$6:$C$837,$A21,Councils!$F$6:$F$816)*0.7,0)</f>
        <v>18</v>
      </c>
      <c r="G21">
        <f ca="1">ROUND(SUMIF(Councils!$C$6:$C$837,$A21,Councils!$G$6:$G$816)*0.7,0)</f>
        <v>0</v>
      </c>
      <c r="H21">
        <f ca="1">ROUND(SUMIF(Councils!$C$6:$C$837,$A21,Councils!$H$6:$H$816)*0.7,0)</f>
        <v>0</v>
      </c>
      <c r="I21">
        <f ca="1">ROUND(SUMIF(Councils!$C$6:$C$837,$A21,Councils!$I$6:$I$816)*0.7,0)</f>
        <v>0</v>
      </c>
      <c r="J21">
        <f ca="1">ROUND(SUMIF(Councils!$C$6:$C$837,$A21,Councils!$J$6:$J$816)*0.7,0)</f>
        <v>1</v>
      </c>
      <c r="K21">
        <f ca="1">ROUND(SUMIF(Councils!$C$6:$C$837,$A21,Councils!$K$6:$K$816)*0.7,0)</f>
        <v>0</v>
      </c>
      <c r="L21">
        <f ca="1">ROUND(SUMIF(Councils!$C$6:$C$837,$A21,Councils!$L$6:$L$816)*0.7,0)</f>
        <v>1</v>
      </c>
      <c r="M21" s="63">
        <f t="shared" ca="1" si="0"/>
        <v>5.5555555555555552E-2</v>
      </c>
      <c r="N21">
        <f t="shared" ca="1" si="1"/>
        <v>110</v>
      </c>
    </row>
    <row r="22" spans="1:14">
      <c r="A22" s="67">
        <v>24</v>
      </c>
      <c r="B22" s="81">
        <f>IF(ISNA(VLOOKUP($A22,DD_Info!$A$1:$E$222,5,0)),0,VLOOKUP($A22,DD_Info!$A$1:$E$222,5,0))</f>
        <v>1</v>
      </c>
      <c r="C22" t="str">
        <f>IF(ISNA(VLOOKUP($A22,DD_Info!$A$1:$E$222,2,0)),0,VLOOKUP($A22,DD_Info!$A$1:$E$222,2,0))</f>
        <v>Ruben  Cisneros</v>
      </c>
      <c r="D22" t="str">
        <f>IF(ISNA(VLOOKUP($A22,DD_Info!$A$1:$E$222,3,0)),0,VLOOKUP($A22,DD_Info!$A$1:$E$222,3,0))</f>
        <v>Fort Worth</v>
      </c>
      <c r="E22">
        <f ca="1">ROUND(SUMIF(Councils!$C$6:$C$837,$A22,Councils!$E$6:$E$816),0)</f>
        <v>831</v>
      </c>
      <c r="F22">
        <f ca="1">ROUND(SUMIF(Councils!$C$6:$C$837,$A22,Councils!$F$6:$F$816)*0.7,0)</f>
        <v>27</v>
      </c>
      <c r="G22">
        <f ca="1">ROUND(SUMIF(Councils!$C$6:$C$837,$A22,Councils!$G$6:$G$816)*0.7,0)</f>
        <v>3</v>
      </c>
      <c r="H22">
        <f ca="1">ROUND(SUMIF(Councils!$C$6:$C$837,$A22,Councils!$H$6:$H$816)*0.7,0)</f>
        <v>1</v>
      </c>
      <c r="I22">
        <f ca="1">ROUND(SUMIF(Councils!$C$6:$C$837,$A22,Councils!$I$6:$I$816)*0.7,0)</f>
        <v>2</v>
      </c>
      <c r="J22">
        <f ca="1">ROUND(SUMIF(Councils!$C$6:$C$837,$A22,Councils!$J$6:$J$816)*0.7,0)</f>
        <v>9</v>
      </c>
      <c r="K22">
        <f ca="1">ROUND(SUMIF(Councils!$C$6:$C$837,$A22,Councils!$K$6:$K$816)*0.7,0)</f>
        <v>3</v>
      </c>
      <c r="L22">
        <f ca="1">ROUND(SUMIF(Councils!$C$6:$C$837,$A22,Councils!$L$6:$L$816)*0.7,0)</f>
        <v>6</v>
      </c>
      <c r="M22" s="63">
        <f t="shared" ca="1" si="0"/>
        <v>0.22222222222222221</v>
      </c>
      <c r="N22">
        <f t="shared" ca="1" si="1"/>
        <v>51</v>
      </c>
    </row>
    <row r="23" spans="1:14">
      <c r="A23" s="67">
        <v>25</v>
      </c>
      <c r="B23" s="81">
        <f>IF(ISNA(VLOOKUP($A23,DD_Info!$A$1:$E$222,5,0)),0,VLOOKUP($A23,DD_Info!$A$1:$E$222,5,0))</f>
        <v>1</v>
      </c>
      <c r="C23" t="str">
        <f>IF(ISNA(VLOOKUP($A23,DD_Info!$A$1:$E$222,2,0)),0,VLOOKUP($A23,DD_Info!$A$1:$E$222,2,0))</f>
        <v>Alfonso "Obie"  Obregon Sr</v>
      </c>
      <c r="D23" t="str">
        <f>IF(ISNA(VLOOKUP($A23,DD_Info!$A$1:$E$222,3,0)),0,VLOOKUP($A23,DD_Info!$A$1:$E$222,3,0))</f>
        <v>Fort Worth</v>
      </c>
      <c r="E23">
        <f ca="1">ROUND(SUMIF(Councils!$C$6:$C$837,$A23,Councils!$E$6:$E$816),0)</f>
        <v>741</v>
      </c>
      <c r="F23">
        <f ca="1">ROUND(SUMIF(Councils!$C$6:$C$837,$A23,Councils!$F$6:$F$816)*0.7,0)</f>
        <v>26</v>
      </c>
      <c r="G23">
        <f ca="1">ROUND(SUMIF(Councils!$C$6:$C$837,$A23,Councils!$G$6:$G$816)*0.7,0)</f>
        <v>1</v>
      </c>
      <c r="H23">
        <f ca="1">ROUND(SUMIF(Councils!$C$6:$C$837,$A23,Councils!$H$6:$H$816)*0.7,0)</f>
        <v>1</v>
      </c>
      <c r="I23">
        <f ca="1">ROUND(SUMIF(Councils!$C$6:$C$837,$A23,Councils!$I$6:$I$816)*0.7,0)</f>
        <v>-1</v>
      </c>
      <c r="J23">
        <f ca="1">ROUND(SUMIF(Councils!$C$6:$C$837,$A23,Councils!$J$6:$J$816)*0.7,0)</f>
        <v>6</v>
      </c>
      <c r="K23">
        <f ca="1">ROUND(SUMIF(Councils!$C$6:$C$837,$A23,Councils!$K$6:$K$816)*0.7,0)</f>
        <v>2</v>
      </c>
      <c r="L23">
        <f ca="1">ROUND(SUMIF(Councils!$C$6:$C$837,$A23,Councils!$L$6:$L$816)*0.7,0)</f>
        <v>4</v>
      </c>
      <c r="M23" s="63">
        <f t="shared" ca="1" si="0"/>
        <v>0.15384615384615385</v>
      </c>
      <c r="N23">
        <f t="shared" ca="1" si="1"/>
        <v>69</v>
      </c>
    </row>
    <row r="24" spans="1:14">
      <c r="A24" s="67">
        <v>26</v>
      </c>
      <c r="B24" s="81">
        <f>IF(ISNA(VLOOKUP($A24,DD_Info!$A$1:$E$222,5,0)),0,VLOOKUP($A24,DD_Info!$A$1:$E$222,5,0))</f>
        <v>1</v>
      </c>
      <c r="C24" t="str">
        <f>IF(ISNA(VLOOKUP($A24,DD_Info!$A$1:$E$222,2,0)),0,VLOOKUP($A24,DD_Info!$A$1:$E$222,2,0))</f>
        <v>Gerald  Hightower</v>
      </c>
      <c r="D24" t="str">
        <f>IF(ISNA(VLOOKUP($A24,DD_Info!$A$1:$E$222,3,0)),0,VLOOKUP($A24,DD_Info!$A$1:$E$222,3,0))</f>
        <v>Fort Worth</v>
      </c>
      <c r="E24">
        <f ca="1">ROUND(SUMIF(Councils!$C$6:$C$837,$A24,Councils!$E$6:$E$816),0)</f>
        <v>634</v>
      </c>
      <c r="F24">
        <f ca="1">ROUND(SUMIF(Councils!$C$6:$C$837,$A24,Councils!$F$6:$F$816)*0.7,0)</f>
        <v>22</v>
      </c>
      <c r="G24">
        <f ca="1">ROUND(SUMIF(Councils!$C$6:$C$837,$A24,Councils!$G$6:$G$816)*0.7,0)</f>
        <v>0</v>
      </c>
      <c r="H24">
        <f ca="1">ROUND(SUMIF(Councils!$C$6:$C$837,$A24,Councils!$H$6:$H$816)*0.7,0)</f>
        <v>0</v>
      </c>
      <c r="I24">
        <f ca="1">ROUND(SUMIF(Councils!$C$6:$C$837,$A24,Councils!$I$6:$I$816)*0.7,0)</f>
        <v>0</v>
      </c>
      <c r="J24">
        <f ca="1">ROUND(SUMIF(Councils!$C$6:$C$837,$A24,Councils!$J$6:$J$816)*0.7,0)</f>
        <v>1</v>
      </c>
      <c r="K24">
        <f ca="1">ROUND(SUMIF(Councils!$C$6:$C$837,$A24,Councils!$K$6:$K$816)*0.7,0)</f>
        <v>18</v>
      </c>
      <c r="L24">
        <f ca="1">ROUND(SUMIF(Councils!$C$6:$C$837,$A24,Councils!$L$6:$L$816)*0.7,0)</f>
        <v>-16</v>
      </c>
      <c r="M24" s="63">
        <f t="shared" ca="1" si="0"/>
        <v>-0.72727272727272729</v>
      </c>
      <c r="N24">
        <f t="shared" ca="1" si="1"/>
        <v>202</v>
      </c>
    </row>
    <row r="25" spans="1:14">
      <c r="A25" s="67">
        <v>27</v>
      </c>
      <c r="B25" s="81">
        <f>IF(ISNA(VLOOKUP($A25,DD_Info!$A$1:$E$222,5,0)),0,VLOOKUP($A25,DD_Info!$A$1:$E$222,5,0))</f>
        <v>1</v>
      </c>
      <c r="C25" t="str">
        <f>IF(ISNA(VLOOKUP($A25,DD_Info!$A$1:$E$222,2,0)),0,VLOOKUP($A25,DD_Info!$A$1:$E$222,2,0))</f>
        <v>Archie  Wright II</v>
      </c>
      <c r="D25" t="str">
        <f>IF(ISNA(VLOOKUP($A25,DD_Info!$A$1:$E$222,3,0)),0,VLOOKUP($A25,DD_Info!$A$1:$E$222,3,0))</f>
        <v>Fort Worth</v>
      </c>
      <c r="E25">
        <f ca="1">ROUND(SUMIF(Councils!$C$6:$C$837,$A25,Councils!$E$6:$E$816),0)</f>
        <v>814</v>
      </c>
      <c r="F25">
        <f ca="1">ROUND(SUMIF(Councils!$C$6:$C$837,$A25,Councils!$F$6:$F$816)*0.7,0)</f>
        <v>29</v>
      </c>
      <c r="G25">
        <f ca="1">ROUND(SUMIF(Councils!$C$6:$C$837,$A25,Councils!$G$6:$G$816)*0.7,0)</f>
        <v>1</v>
      </c>
      <c r="H25">
        <f ca="1">ROUND(SUMIF(Councils!$C$6:$C$837,$A25,Councils!$H$6:$H$816)*0.7,0)</f>
        <v>4</v>
      </c>
      <c r="I25">
        <f ca="1">ROUND(SUMIF(Councils!$C$6:$C$837,$A25,Councils!$I$6:$I$816)*0.7,0)</f>
        <v>-2</v>
      </c>
      <c r="J25">
        <f ca="1">ROUND(SUMIF(Councils!$C$6:$C$837,$A25,Councils!$J$6:$J$816)*0.7,0)</f>
        <v>15</v>
      </c>
      <c r="K25">
        <f ca="1">ROUND(SUMIF(Councils!$C$6:$C$837,$A25,Councils!$K$6:$K$816)*0.7,0)</f>
        <v>6</v>
      </c>
      <c r="L25">
        <f ca="1">ROUND(SUMIF(Councils!$C$6:$C$837,$A25,Councils!$L$6:$L$816)*0.7,0)</f>
        <v>9</v>
      </c>
      <c r="M25" s="63">
        <f t="shared" ca="1" si="0"/>
        <v>0.31034482758620691</v>
      </c>
      <c r="N25">
        <f t="shared" ca="1" si="1"/>
        <v>36</v>
      </c>
    </row>
    <row r="26" spans="1:14">
      <c r="A26" s="67">
        <v>28</v>
      </c>
      <c r="B26" s="81">
        <f>IF(ISNA(VLOOKUP($A26,DD_Info!$A$1:$E$222,5,0)),0,VLOOKUP($A26,DD_Info!$A$1:$E$222,5,0))</f>
        <v>1</v>
      </c>
      <c r="C26" t="str">
        <f>IF(ISNA(VLOOKUP($A26,DD_Info!$A$1:$E$222,2,0)),0,VLOOKUP($A26,DD_Info!$A$1:$E$222,2,0))</f>
        <v>Anson  Geisel</v>
      </c>
      <c r="D26" t="str">
        <f>IF(ISNA(VLOOKUP($A26,DD_Info!$A$1:$E$222,3,0)),0,VLOOKUP($A26,DD_Info!$A$1:$E$222,3,0))</f>
        <v>Fort Worth</v>
      </c>
      <c r="E26">
        <f ca="1">ROUND(SUMIF(Councils!$C$6:$C$837,$A26,Councils!$E$6:$E$816),0)</f>
        <v>601</v>
      </c>
      <c r="F26">
        <f ca="1">ROUND(SUMIF(Councils!$C$6:$C$837,$A26,Councils!$F$6:$F$816)*0.7,0)</f>
        <v>19</v>
      </c>
      <c r="G26">
        <f ca="1">ROUND(SUMIF(Councils!$C$6:$C$837,$A26,Councils!$G$6:$G$816)*0.7,0)</f>
        <v>4</v>
      </c>
      <c r="H26">
        <f ca="1">ROUND(SUMIF(Councils!$C$6:$C$837,$A26,Councils!$H$6:$H$816)*0.7,0)</f>
        <v>1</v>
      </c>
      <c r="I26">
        <f ca="1">ROUND(SUMIF(Councils!$C$6:$C$837,$A26,Councils!$I$6:$I$816)*0.7,0)</f>
        <v>3</v>
      </c>
      <c r="J26">
        <f ca="1">ROUND(SUMIF(Councils!$C$6:$C$837,$A26,Councils!$J$6:$J$816)*0.7,0)</f>
        <v>11</v>
      </c>
      <c r="K26">
        <f ca="1">ROUND(SUMIF(Councils!$C$6:$C$837,$A26,Councils!$K$6:$K$816)*0.7,0)</f>
        <v>1</v>
      </c>
      <c r="L26">
        <f ca="1">ROUND(SUMIF(Councils!$C$6:$C$837,$A26,Councils!$L$6:$L$816)*0.7,0)</f>
        <v>9</v>
      </c>
      <c r="M26" s="63">
        <f t="shared" ca="1" si="0"/>
        <v>0.47368421052631576</v>
      </c>
      <c r="N26">
        <f t="shared" ca="1" si="1"/>
        <v>17</v>
      </c>
    </row>
    <row r="27" spans="1:14">
      <c r="A27" s="67">
        <v>29</v>
      </c>
      <c r="B27" s="81">
        <f>IF(ISNA(VLOOKUP($A27,DD_Info!$A$1:$E$222,5,0)),0,VLOOKUP($A27,DD_Info!$A$1:$E$222,5,0))</f>
        <v>3</v>
      </c>
      <c r="C27" t="str">
        <f>IF(ISNA(VLOOKUP($A27,DD_Info!$A$1:$E$222,2,0)),0,VLOOKUP($A27,DD_Info!$A$1:$E$222,2,0))</f>
        <v>James Halfmann</v>
      </c>
      <c r="D27" t="str">
        <f>IF(ISNA(VLOOKUP($A27,DD_Info!$A$1:$E$222,3,0)),0,VLOOKUP($A27,DD_Info!$A$1:$E$222,3,0))</f>
        <v>Fort Worth</v>
      </c>
      <c r="E27">
        <f ca="1">ROUND(SUMIF(Councils!$C$6:$C$837,$A27,Councils!$E$6:$E$816),0)</f>
        <v>243</v>
      </c>
      <c r="F27">
        <f ca="1">ROUND(SUMIF(Councils!$C$6:$C$837,$A27,Councils!$F$6:$F$816)*0.7,0)</f>
        <v>9</v>
      </c>
      <c r="G27">
        <f ca="1">ROUND(SUMIF(Councils!$C$6:$C$837,$A27,Councils!$G$6:$G$816)*0.7,0)</f>
        <v>0</v>
      </c>
      <c r="H27">
        <f ca="1">ROUND(SUMIF(Councils!$C$6:$C$837,$A27,Councils!$H$6:$H$816)*0.7,0)</f>
        <v>1</v>
      </c>
      <c r="I27">
        <f ca="1">ROUND(SUMIF(Councils!$C$6:$C$837,$A27,Councils!$I$6:$I$816)*0.7,0)</f>
        <v>-1</v>
      </c>
      <c r="J27">
        <f ca="1">ROUND(SUMIF(Councils!$C$6:$C$837,$A27,Councils!$J$6:$J$816)*0.7,0)</f>
        <v>1</v>
      </c>
      <c r="K27">
        <f ca="1">ROUND(SUMIF(Councils!$C$6:$C$837,$A27,Councils!$K$6:$K$816)*0.7,0)</f>
        <v>1</v>
      </c>
      <c r="L27">
        <f ca="1">ROUND(SUMIF(Councils!$C$6:$C$837,$A27,Councils!$L$6:$L$816)*0.7,0)</f>
        <v>1</v>
      </c>
      <c r="M27" s="63">
        <f t="shared" ca="1" si="0"/>
        <v>0.1111111111111111</v>
      </c>
      <c r="N27">
        <f t="shared" ca="1" si="1"/>
        <v>82</v>
      </c>
    </row>
    <row r="28" spans="1:14">
      <c r="A28" s="67">
        <v>30</v>
      </c>
      <c r="B28" s="81">
        <f>IF(ISNA(VLOOKUP($A28,DD_Info!$A$1:$E$222,5,0)),0,VLOOKUP($A28,DD_Info!$A$1:$E$222,5,0))</f>
        <v>2</v>
      </c>
      <c r="C28" t="str">
        <f>IF(ISNA(VLOOKUP($A28,DD_Info!$A$1:$E$222,2,0)),0,VLOOKUP($A28,DD_Info!$A$1:$E$222,2,0))</f>
        <v>Robert  Daleo</v>
      </c>
      <c r="D28" t="str">
        <f>IF(ISNA(VLOOKUP($A28,DD_Info!$A$1:$E$222,3,0)),0,VLOOKUP($A28,DD_Info!$A$1:$E$222,3,0))</f>
        <v>Fort Worth</v>
      </c>
      <c r="E28">
        <f ca="1">ROUND(SUMIF(Councils!$C$6:$C$837,$A28,Councils!$E$6:$E$816),0)</f>
        <v>504</v>
      </c>
      <c r="F28">
        <f ca="1">ROUND(SUMIF(Councils!$C$6:$C$837,$A28,Councils!$F$6:$F$816)*0.7,0)</f>
        <v>16</v>
      </c>
      <c r="G28">
        <f ca="1">ROUND(SUMIF(Councils!$C$6:$C$837,$A28,Councils!$G$6:$G$816)*0.7,0)</f>
        <v>0</v>
      </c>
      <c r="H28">
        <f ca="1">ROUND(SUMIF(Councils!$C$6:$C$837,$A28,Councils!$H$6:$H$816)*0.7,0)</f>
        <v>0</v>
      </c>
      <c r="I28">
        <f ca="1">ROUND(SUMIF(Councils!$C$6:$C$837,$A28,Councils!$I$6:$I$816)*0.7,0)</f>
        <v>0</v>
      </c>
      <c r="J28">
        <f ca="1">ROUND(SUMIF(Councils!$C$6:$C$837,$A28,Councils!$J$6:$J$816)*0.7,0)</f>
        <v>9</v>
      </c>
      <c r="K28">
        <f ca="1">ROUND(SUMIF(Councils!$C$6:$C$837,$A28,Councils!$K$6:$K$816)*0.7,0)</f>
        <v>1</v>
      </c>
      <c r="L28">
        <f ca="1">ROUND(SUMIF(Councils!$C$6:$C$837,$A28,Councils!$L$6:$L$816)*0.7,0)</f>
        <v>8</v>
      </c>
      <c r="M28" s="63">
        <f t="shared" ca="1" si="0"/>
        <v>0.5</v>
      </c>
      <c r="N28">
        <f t="shared" ca="1" si="1"/>
        <v>14</v>
      </c>
    </row>
    <row r="29" spans="1:14">
      <c r="A29" s="67">
        <v>31</v>
      </c>
      <c r="B29" s="81">
        <f>IF(ISNA(VLOOKUP($A29,DD_Info!$A$1:$E$222,5,0)),0,VLOOKUP($A29,DD_Info!$A$1:$E$222,5,0))</f>
        <v>3</v>
      </c>
      <c r="C29" t="str">
        <f>IF(ISNA(VLOOKUP($A29,DD_Info!$A$1:$E$222,2,0)),0,VLOOKUP($A29,DD_Info!$A$1:$E$222,2,0))</f>
        <v>William  Tillotson</v>
      </c>
      <c r="D29" t="str">
        <f>IF(ISNA(VLOOKUP($A29,DD_Info!$A$1:$E$222,3,0)),0,VLOOKUP($A29,DD_Info!$A$1:$E$222,3,0))</f>
        <v>Fort Worth</v>
      </c>
      <c r="E29">
        <f ca="1">ROUND(SUMIF(Councils!$C$6:$C$837,$A29,Councils!$E$6:$E$816),0)</f>
        <v>42</v>
      </c>
      <c r="F29">
        <f ca="1">ROUND(SUMIF(Councils!$C$6:$C$837,$A29,Councils!$F$6:$F$816)*0.7,0)</f>
        <v>4</v>
      </c>
      <c r="G29">
        <f ca="1">ROUND(SUMIF(Councils!$C$6:$C$837,$A29,Councils!$G$6:$G$816)*0.7,0)</f>
        <v>0</v>
      </c>
      <c r="H29">
        <f ca="1">ROUND(SUMIF(Councils!$C$6:$C$837,$A29,Councils!$H$6:$H$816)*0.7,0)</f>
        <v>0</v>
      </c>
      <c r="I29">
        <f ca="1">ROUND(SUMIF(Councils!$C$6:$C$837,$A29,Councils!$I$6:$I$816)*0.7,0)</f>
        <v>0</v>
      </c>
      <c r="J29">
        <f ca="1">ROUND(SUMIF(Councils!$C$6:$C$837,$A29,Councils!$J$6:$J$816)*0.7,0)</f>
        <v>0</v>
      </c>
      <c r="K29">
        <f ca="1">ROUND(SUMIF(Councils!$C$6:$C$837,$A29,Councils!$K$6:$K$816)*0.7,0)</f>
        <v>0</v>
      </c>
      <c r="L29">
        <f ca="1">ROUND(SUMIF(Councils!$C$6:$C$837,$A29,Councils!$L$6:$L$816)*0.7,0)</f>
        <v>0</v>
      </c>
      <c r="M29" s="63">
        <f t="shared" ca="1" si="0"/>
        <v>0</v>
      </c>
      <c r="N29">
        <f t="shared" ca="1" si="1"/>
        <v>127</v>
      </c>
    </row>
    <row r="30" spans="1:14">
      <c r="A30" s="67">
        <v>32</v>
      </c>
      <c r="B30" s="81">
        <f>IF(ISNA(VLOOKUP($A30,DD_Info!$A$1:$E$222,5,0)),0,VLOOKUP($A30,DD_Info!$A$1:$E$222,5,0))</f>
        <v>2</v>
      </c>
      <c r="C30" t="str">
        <f>IF(ISNA(VLOOKUP($A30,DD_Info!$A$1:$E$222,2,0)),0,VLOOKUP($A30,DD_Info!$A$1:$E$222,2,0))</f>
        <v>David  Pels</v>
      </c>
      <c r="D30" t="str">
        <f>IF(ISNA(VLOOKUP($A30,DD_Info!$A$1:$E$222,3,0)),0,VLOOKUP($A30,DD_Info!$A$1:$E$222,3,0))</f>
        <v>Fort Worth</v>
      </c>
      <c r="E30">
        <f ca="1">ROUND(SUMIF(Councils!$C$6:$C$837,$A30,Councils!$E$6:$E$816),0)</f>
        <v>479</v>
      </c>
      <c r="F30">
        <f ca="1">ROUND(SUMIF(Councils!$C$6:$C$837,$A30,Councils!$F$6:$F$816)*0.7,0)</f>
        <v>17</v>
      </c>
      <c r="G30">
        <f ca="1">ROUND(SUMIF(Councils!$C$6:$C$837,$A30,Councils!$G$6:$G$816)*0.7,0)</f>
        <v>0</v>
      </c>
      <c r="H30">
        <f ca="1">ROUND(SUMIF(Councils!$C$6:$C$837,$A30,Councils!$H$6:$H$816)*0.7,0)</f>
        <v>0</v>
      </c>
      <c r="I30">
        <f ca="1">ROUND(SUMIF(Councils!$C$6:$C$837,$A30,Councils!$I$6:$I$816)*0.7,0)</f>
        <v>0</v>
      </c>
      <c r="J30">
        <f ca="1">ROUND(SUMIF(Councils!$C$6:$C$837,$A30,Councils!$J$6:$J$816)*0.7,0)</f>
        <v>12</v>
      </c>
      <c r="K30">
        <f ca="1">ROUND(SUMIF(Councils!$C$6:$C$837,$A30,Councils!$K$6:$K$816)*0.7,0)</f>
        <v>1</v>
      </c>
      <c r="L30">
        <f ca="1">ROUND(SUMIF(Councils!$C$6:$C$837,$A30,Councils!$L$6:$L$816)*0.7,0)</f>
        <v>11</v>
      </c>
      <c r="M30" s="63">
        <f ca="1">IFERROR(L30/F30,0)</f>
        <v>0.6470588235294118</v>
      </c>
      <c r="N30">
        <f t="shared" ca="1" si="1"/>
        <v>7</v>
      </c>
    </row>
    <row r="31" spans="1:14">
      <c r="A31" s="67">
        <v>36</v>
      </c>
      <c r="B31" s="81">
        <f>IF(ISNA(VLOOKUP($A31,DD_Info!$A$1:$E$222,5,0)),0,VLOOKUP($A31,DD_Info!$A$1:$E$222,5,0))</f>
        <v>2</v>
      </c>
      <c r="C31" t="str">
        <f>IF(ISNA(VLOOKUP($A31,DD_Info!$A$1:$E$222,2,0)),0,VLOOKUP($A31,DD_Info!$A$1:$E$222,2,0))</f>
        <v>Armando R Vasquez</v>
      </c>
      <c r="D31" t="str">
        <f>IF(ISNA(VLOOKUP($A31,DD_Info!$A$1:$E$222,3,0)),0,VLOOKUP($A31,DD_Info!$A$1:$E$222,3,0))</f>
        <v>San Antonio</v>
      </c>
      <c r="E31">
        <f ca="1">ROUND(SUMIF(Councils!$C$6:$C$837,$A31,Councils!$E$6:$E$816),0)</f>
        <v>419</v>
      </c>
      <c r="F31">
        <f ca="1">ROUND(SUMIF(Councils!$C$6:$C$837,$A31,Councils!$F$6:$F$816)*0.7,0)</f>
        <v>15</v>
      </c>
      <c r="G31">
        <f ca="1">ROUND(SUMIF(Councils!$C$6:$C$837,$A31,Councils!$G$6:$G$816)*0.7,0)</f>
        <v>0</v>
      </c>
      <c r="H31">
        <f ca="1">ROUND(SUMIF(Councils!$C$6:$C$837,$A31,Councils!$H$6:$H$816)*0.7,0)</f>
        <v>0</v>
      </c>
      <c r="I31">
        <f ca="1">ROUND(SUMIF(Councils!$C$6:$C$837,$A31,Councils!$I$6:$I$816)*0.7,0)</f>
        <v>0</v>
      </c>
      <c r="J31">
        <f ca="1">ROUND(SUMIF(Councils!$C$6:$C$837,$A31,Councils!$J$6:$J$816)*0.7,0)</f>
        <v>0</v>
      </c>
      <c r="K31">
        <f ca="1">ROUND(SUMIF(Councils!$C$6:$C$837,$A31,Councils!$K$6:$K$816)*0.7,0)</f>
        <v>0</v>
      </c>
      <c r="L31">
        <f ca="1">ROUND(SUMIF(Councils!$C$6:$C$837,$A31,Councils!$L$6:$L$816)*0.7,0)</f>
        <v>0</v>
      </c>
      <c r="M31" s="63">
        <f t="shared" ca="1" si="0"/>
        <v>0</v>
      </c>
      <c r="N31">
        <f t="shared" ca="1" si="1"/>
        <v>127</v>
      </c>
    </row>
    <row r="32" spans="1:14">
      <c r="A32" s="67">
        <v>37</v>
      </c>
      <c r="B32" s="81">
        <f>IF(ISNA(VLOOKUP($A32,DD_Info!$A$1:$E$222,5,0)),0,VLOOKUP($A32,DD_Info!$A$1:$E$222,5,0))</f>
        <v>2</v>
      </c>
      <c r="C32" t="str">
        <f>IF(ISNA(VLOOKUP($A32,DD_Info!$A$1:$E$222,2,0)),0,VLOOKUP($A32,DD_Info!$A$1:$E$222,2,0))</f>
        <v>Ruben R Elizondo</v>
      </c>
      <c r="D32" t="str">
        <f>IF(ISNA(VLOOKUP($A32,DD_Info!$A$1:$E$222,3,0)),0,VLOOKUP($A32,DD_Info!$A$1:$E$222,3,0))</f>
        <v>San Antonio</v>
      </c>
      <c r="E32">
        <f ca="1">ROUND(SUMIF(Councils!$C$6:$C$837,$A32,Councils!$E$6:$E$816),0)</f>
        <v>463</v>
      </c>
      <c r="F32">
        <f ca="1">ROUND(SUMIF(Councils!$C$6:$C$837,$A32,Councils!$F$6:$F$816)*0.7,0)</f>
        <v>17</v>
      </c>
      <c r="G32">
        <f ca="1">ROUND(SUMIF(Councils!$C$6:$C$837,$A32,Councils!$G$6:$G$816)*0.7,0)</f>
        <v>0</v>
      </c>
      <c r="H32">
        <f ca="1">ROUND(SUMIF(Councils!$C$6:$C$837,$A32,Councils!$H$6:$H$816)*0.7,0)</f>
        <v>0</v>
      </c>
      <c r="I32">
        <f ca="1">ROUND(SUMIF(Councils!$C$6:$C$837,$A32,Councils!$I$6:$I$816)*0.7,0)</f>
        <v>0</v>
      </c>
      <c r="J32">
        <f ca="1">ROUND(SUMIF(Councils!$C$6:$C$837,$A32,Councils!$J$6:$J$816)*0.7,0)</f>
        <v>1</v>
      </c>
      <c r="K32">
        <f ca="1">ROUND(SUMIF(Councils!$C$6:$C$837,$A32,Councils!$K$6:$K$816)*0.7,0)</f>
        <v>0</v>
      </c>
      <c r="L32">
        <f ca="1">ROUND(SUMIF(Councils!$C$6:$C$837,$A32,Councils!$L$6:$L$816)*0.7,0)</f>
        <v>1</v>
      </c>
      <c r="M32" s="63">
        <f t="shared" ca="1" si="0"/>
        <v>5.8823529411764705E-2</v>
      </c>
      <c r="N32">
        <f t="shared" ca="1" si="1"/>
        <v>109</v>
      </c>
    </row>
    <row r="33" spans="1:14">
      <c r="A33" s="67">
        <v>38</v>
      </c>
      <c r="B33" s="81">
        <f>IF(ISNA(VLOOKUP($A33,DD_Info!$A$1:$E$222,5,0)),0,VLOOKUP($A33,DD_Info!$A$1:$E$222,5,0))</f>
        <v>2</v>
      </c>
      <c r="C33" t="str">
        <f>IF(ISNA(VLOOKUP($A33,DD_Info!$A$1:$E$222,2,0)),0,VLOOKUP($A33,DD_Info!$A$1:$E$222,2,0))</f>
        <v>Fernando  Herrera</v>
      </c>
      <c r="D33" t="str">
        <f>IF(ISNA(VLOOKUP($A33,DD_Info!$A$1:$E$222,3,0)),0,VLOOKUP($A33,DD_Info!$A$1:$E$222,3,0))</f>
        <v>San Antonio</v>
      </c>
      <c r="E33">
        <f ca="1">ROUND(SUMIF(Councils!$C$6:$C$837,$A33,Councils!$E$6:$E$816),0)</f>
        <v>338</v>
      </c>
      <c r="F33">
        <f ca="1">ROUND(SUMIF(Councils!$C$6:$C$837,$A33,Councils!$F$6:$F$816)*0.7,0)</f>
        <v>13</v>
      </c>
      <c r="G33">
        <f ca="1">ROUND(SUMIF(Councils!$C$6:$C$837,$A33,Councils!$G$6:$G$816)*0.7,0)</f>
        <v>0</v>
      </c>
      <c r="H33">
        <f ca="1">ROUND(SUMIF(Councils!$C$6:$C$837,$A33,Councils!$H$6:$H$816)*0.7,0)</f>
        <v>0</v>
      </c>
      <c r="I33">
        <f ca="1">ROUND(SUMIF(Councils!$C$6:$C$837,$A33,Councils!$I$6:$I$816)*0.7,0)</f>
        <v>0</v>
      </c>
      <c r="J33">
        <f ca="1">ROUND(SUMIF(Councils!$C$6:$C$837,$A33,Councils!$J$6:$J$816)*0.7,0)</f>
        <v>1</v>
      </c>
      <c r="K33">
        <f ca="1">ROUND(SUMIF(Councils!$C$6:$C$837,$A33,Councils!$K$6:$K$816)*0.7,0)</f>
        <v>0</v>
      </c>
      <c r="L33">
        <f ca="1">ROUND(SUMIF(Councils!$C$6:$C$837,$A33,Councils!$L$6:$L$816)*0.7,0)</f>
        <v>1</v>
      </c>
      <c r="M33" s="63">
        <f t="shared" ca="1" si="0"/>
        <v>7.6923076923076927E-2</v>
      </c>
      <c r="N33">
        <f t="shared" ca="1" si="1"/>
        <v>99</v>
      </c>
    </row>
    <row r="34" spans="1:14">
      <c r="A34" s="67">
        <v>39</v>
      </c>
      <c r="B34" s="81">
        <f>IF(ISNA(VLOOKUP($A34,DD_Info!$A$1:$E$222,5,0)),0,VLOOKUP($A34,DD_Info!$A$1:$E$222,5,0))</f>
        <v>2</v>
      </c>
      <c r="C34" t="str">
        <f>IF(ISNA(VLOOKUP($A34,DD_Info!$A$1:$E$222,2,0)),0,VLOOKUP($A34,DD_Info!$A$1:$E$222,2,0))</f>
        <v>Carlos  Delgado</v>
      </c>
      <c r="D34" t="str">
        <f>IF(ISNA(VLOOKUP($A34,DD_Info!$A$1:$E$222,3,0)),0,VLOOKUP($A34,DD_Info!$A$1:$E$222,3,0))</f>
        <v>San Antonio</v>
      </c>
      <c r="E34">
        <f ca="1">ROUND(SUMIF(Councils!$C$6:$C$837,$A34,Councils!$E$6:$E$816),0)</f>
        <v>405</v>
      </c>
      <c r="F34">
        <f ca="1">ROUND(SUMIF(Councils!$C$6:$C$837,$A34,Councils!$F$6:$F$816)*0.7,0)</f>
        <v>15</v>
      </c>
      <c r="G34">
        <f ca="1">ROUND(SUMIF(Councils!$C$6:$C$837,$A34,Councils!$G$6:$G$816)*0.7,0)</f>
        <v>0</v>
      </c>
      <c r="H34">
        <f ca="1">ROUND(SUMIF(Councils!$C$6:$C$837,$A34,Councils!$H$6:$H$816)*0.7,0)</f>
        <v>0</v>
      </c>
      <c r="I34">
        <f ca="1">ROUND(SUMIF(Councils!$C$6:$C$837,$A34,Councils!$I$6:$I$816)*0.7,0)</f>
        <v>0</v>
      </c>
      <c r="J34">
        <f ca="1">ROUND(SUMIF(Councils!$C$6:$C$837,$A34,Councils!$J$6:$J$816)*0.7,0)</f>
        <v>1</v>
      </c>
      <c r="K34">
        <f ca="1">ROUND(SUMIF(Councils!$C$6:$C$837,$A34,Councils!$K$6:$K$816)*0.7,0)</f>
        <v>0</v>
      </c>
      <c r="L34">
        <f ca="1">ROUND(SUMIF(Councils!$C$6:$C$837,$A34,Councils!$L$6:$L$816)*0.7,0)</f>
        <v>1</v>
      </c>
      <c r="M34" s="63">
        <f t="shared" ca="1" si="0"/>
        <v>6.6666666666666666E-2</v>
      </c>
      <c r="N34">
        <f t="shared" ca="1" si="1"/>
        <v>104</v>
      </c>
    </row>
    <row r="35" spans="1:14">
      <c r="A35" s="67">
        <v>40</v>
      </c>
      <c r="B35" s="81">
        <f>IF(ISNA(VLOOKUP($A35,DD_Info!$A$1:$E$222,5,0)),0,VLOOKUP($A35,DD_Info!$A$1:$E$222,5,0))</f>
        <v>1</v>
      </c>
      <c r="C35" t="str">
        <f>IF(ISNA(VLOOKUP($A35,DD_Info!$A$1:$E$222,2,0)),0,VLOOKUP($A35,DD_Info!$A$1:$E$222,2,0))</f>
        <v>Dan  Rangel</v>
      </c>
      <c r="D35" t="str">
        <f>IF(ISNA(VLOOKUP($A35,DD_Info!$A$1:$E$222,3,0)),0,VLOOKUP($A35,DD_Info!$A$1:$E$222,3,0))</f>
        <v>San Antonio</v>
      </c>
      <c r="E35">
        <f ca="1">ROUND(SUMIF(Councils!$C$6:$C$837,$A35,Councils!$E$6:$E$816),0)</f>
        <v>1035</v>
      </c>
      <c r="F35">
        <f ca="1">ROUND(SUMIF(Councils!$C$6:$C$837,$A35,Councils!$F$6:$F$816)*0.7,0)</f>
        <v>35</v>
      </c>
      <c r="G35">
        <f ca="1">ROUND(SUMIF(Councils!$C$6:$C$837,$A35,Councils!$G$6:$G$816)*0.7,0)</f>
        <v>1</v>
      </c>
      <c r="H35">
        <f ca="1">ROUND(SUMIF(Councils!$C$6:$C$837,$A35,Councils!$H$6:$H$816)*0.7,0)</f>
        <v>1</v>
      </c>
      <c r="I35">
        <f ca="1">ROUND(SUMIF(Councils!$C$6:$C$837,$A35,Councils!$I$6:$I$816)*0.7,0)</f>
        <v>-1</v>
      </c>
      <c r="J35">
        <f ca="1">ROUND(SUMIF(Councils!$C$6:$C$837,$A35,Councils!$J$6:$J$816)*0.7,0)</f>
        <v>10</v>
      </c>
      <c r="K35">
        <f ca="1">ROUND(SUMIF(Councils!$C$6:$C$837,$A35,Councils!$K$6:$K$816)*0.7,0)</f>
        <v>18</v>
      </c>
      <c r="L35">
        <f ca="1">ROUND(SUMIF(Councils!$C$6:$C$837,$A35,Councils!$L$6:$L$816)*0.7,0)</f>
        <v>-8</v>
      </c>
      <c r="M35" s="63">
        <f t="shared" ca="1" si="0"/>
        <v>-0.22857142857142856</v>
      </c>
      <c r="N35">
        <f t="shared" ca="1" si="1"/>
        <v>190</v>
      </c>
    </row>
    <row r="36" spans="1:14">
      <c r="A36" s="67">
        <v>41</v>
      </c>
      <c r="B36" s="81">
        <f>IF(ISNA(VLOOKUP($A36,DD_Info!$A$1:$E$222,5,0)),0,VLOOKUP($A36,DD_Info!$A$1:$E$222,5,0))</f>
        <v>1</v>
      </c>
      <c r="C36" t="str">
        <f>IF(ISNA(VLOOKUP($A36,DD_Info!$A$1:$E$222,2,0)),0,VLOOKUP($A36,DD_Info!$A$1:$E$222,2,0))</f>
        <v>Jaime  Piedra</v>
      </c>
      <c r="D36" t="str">
        <f>IF(ISNA(VLOOKUP($A36,DD_Info!$A$1:$E$222,3,0)),0,VLOOKUP($A36,DD_Info!$A$1:$E$222,3,0))</f>
        <v>San Antonio</v>
      </c>
      <c r="E36">
        <f ca="1">ROUND(SUMIF(Councils!$C$6:$C$837,$A36,Councils!$E$6:$E$816),0)</f>
        <v>698</v>
      </c>
      <c r="F36">
        <f ca="1">ROUND(SUMIF(Councils!$C$6:$C$837,$A36,Councils!$F$6:$F$816)*0.7,0)</f>
        <v>25</v>
      </c>
      <c r="G36">
        <f ca="1">ROUND(SUMIF(Councils!$C$6:$C$837,$A36,Councils!$G$6:$G$816)*0.7,0)</f>
        <v>0</v>
      </c>
      <c r="H36">
        <f ca="1">ROUND(SUMIF(Councils!$C$6:$C$837,$A36,Councils!$H$6:$H$816)*0.7,0)</f>
        <v>0</v>
      </c>
      <c r="I36">
        <f ca="1">ROUND(SUMIF(Councils!$C$6:$C$837,$A36,Councils!$I$6:$I$816)*0.7,0)</f>
        <v>0</v>
      </c>
      <c r="J36">
        <f ca="1">ROUND(SUMIF(Councils!$C$6:$C$837,$A36,Councils!$J$6:$J$816)*0.7,0)</f>
        <v>2</v>
      </c>
      <c r="K36">
        <f ca="1">ROUND(SUMIF(Councils!$C$6:$C$837,$A36,Councils!$K$6:$K$816)*0.7,0)</f>
        <v>24</v>
      </c>
      <c r="L36">
        <f ca="1">ROUND(SUMIF(Councils!$C$6:$C$837,$A36,Councils!$L$6:$L$816)*0.7,0)</f>
        <v>-22</v>
      </c>
      <c r="M36" s="63">
        <f t="shared" ca="1" si="0"/>
        <v>-0.88</v>
      </c>
      <c r="N36">
        <f t="shared" ca="1" si="1"/>
        <v>204</v>
      </c>
    </row>
    <row r="37" spans="1:14">
      <c r="A37" s="67">
        <v>42</v>
      </c>
      <c r="B37" s="81">
        <f>IF(ISNA(VLOOKUP($A37,DD_Info!$A$1:$E$222,5,0)),0,VLOOKUP($A37,DD_Info!$A$1:$E$222,5,0))</f>
        <v>1</v>
      </c>
      <c r="C37" t="str">
        <f>IF(ISNA(VLOOKUP($A37,DD_Info!$A$1:$E$222,2,0)),0,VLOOKUP($A37,DD_Info!$A$1:$E$222,2,0))</f>
        <v>Michael W Trevino</v>
      </c>
      <c r="D37" t="str">
        <f>IF(ISNA(VLOOKUP($A37,DD_Info!$A$1:$E$222,3,0)),0,VLOOKUP($A37,DD_Info!$A$1:$E$222,3,0))</f>
        <v>San Antonio</v>
      </c>
      <c r="E37">
        <f ca="1">ROUND(SUMIF(Councils!$C$6:$C$837,$A37,Councils!$E$6:$E$816),0)</f>
        <v>926</v>
      </c>
      <c r="F37">
        <f ca="1">ROUND(SUMIF(Councils!$C$6:$C$837,$A37,Councils!$F$6:$F$816)*0.7,0)</f>
        <v>31</v>
      </c>
      <c r="G37">
        <f ca="1">ROUND(SUMIF(Councils!$C$6:$C$837,$A37,Councils!$G$6:$G$816)*0.7,0)</f>
        <v>1</v>
      </c>
      <c r="H37">
        <f ca="1">ROUND(SUMIF(Councils!$C$6:$C$837,$A37,Councils!$H$6:$H$816)*0.7,0)</f>
        <v>2</v>
      </c>
      <c r="I37">
        <f ca="1">ROUND(SUMIF(Councils!$C$6:$C$837,$A37,Councils!$I$6:$I$816)*0.7,0)</f>
        <v>-1</v>
      </c>
      <c r="J37">
        <f ca="1">ROUND(SUMIF(Councils!$C$6:$C$837,$A37,Councils!$J$6:$J$816)*0.7,0)</f>
        <v>4</v>
      </c>
      <c r="K37">
        <f ca="1">ROUND(SUMIF(Councils!$C$6:$C$837,$A37,Councils!$K$6:$K$816)*0.7,0)</f>
        <v>16</v>
      </c>
      <c r="L37">
        <f ca="1">ROUND(SUMIF(Councils!$C$6:$C$837,$A37,Councils!$L$6:$L$816)*0.7,0)</f>
        <v>-12</v>
      </c>
      <c r="M37" s="63">
        <f t="shared" ca="1" si="0"/>
        <v>-0.38709677419354838</v>
      </c>
      <c r="N37">
        <f t="shared" ca="1" si="1"/>
        <v>197</v>
      </c>
    </row>
    <row r="38" spans="1:14">
      <c r="A38" s="67">
        <v>43</v>
      </c>
      <c r="B38" s="81">
        <f>IF(ISNA(VLOOKUP($A38,DD_Info!$A$1:$E$222,5,0)),0,VLOOKUP($A38,DD_Info!$A$1:$E$222,5,0))</f>
        <v>1</v>
      </c>
      <c r="C38" t="str">
        <f>IF(ISNA(VLOOKUP($A38,DD_Info!$A$1:$E$222,2,0)),0,VLOOKUP($A38,DD_Info!$A$1:$E$222,2,0))</f>
        <v>William A Torres</v>
      </c>
      <c r="D38" t="str">
        <f>IF(ISNA(VLOOKUP($A38,DD_Info!$A$1:$E$222,3,0)),0,VLOOKUP($A38,DD_Info!$A$1:$E$222,3,0))</f>
        <v>San Antonio</v>
      </c>
      <c r="E38">
        <f ca="1">ROUND(SUMIF(Councils!$C$6:$C$837,$A38,Councils!$E$6:$E$816),0)</f>
        <v>1403</v>
      </c>
      <c r="F38">
        <f ca="1">ROUND(SUMIF(Councils!$C$6:$C$837,$A38,Councils!$F$6:$F$816)*0.7,0)</f>
        <v>45</v>
      </c>
      <c r="G38">
        <f ca="1">ROUND(SUMIF(Councils!$C$6:$C$837,$A38,Councils!$G$6:$G$816)*0.7,0)</f>
        <v>0</v>
      </c>
      <c r="H38">
        <f ca="1">ROUND(SUMIF(Councils!$C$6:$C$837,$A38,Councils!$H$6:$H$816)*0.7,0)</f>
        <v>5</v>
      </c>
      <c r="I38">
        <f ca="1">ROUND(SUMIF(Councils!$C$6:$C$837,$A38,Councils!$I$6:$I$816)*0.7,0)</f>
        <v>-5</v>
      </c>
      <c r="J38">
        <f ca="1">ROUND(SUMIF(Councils!$C$6:$C$837,$A38,Councils!$J$6:$J$816)*0.7,0)</f>
        <v>13</v>
      </c>
      <c r="K38">
        <f ca="1">ROUND(SUMIF(Councils!$C$6:$C$837,$A38,Councils!$K$6:$K$816)*0.7,0)</f>
        <v>12</v>
      </c>
      <c r="L38">
        <f ca="1">ROUND(SUMIF(Councils!$C$6:$C$837,$A38,Councils!$L$6:$L$816)*0.7,0)</f>
        <v>1</v>
      </c>
      <c r="M38" s="63">
        <f t="shared" ca="1" si="0"/>
        <v>2.2222222222222223E-2</v>
      </c>
      <c r="N38">
        <f t="shared" ca="1" si="1"/>
        <v>126</v>
      </c>
    </row>
    <row r="39" spans="1:14">
      <c r="A39" s="67">
        <v>44</v>
      </c>
      <c r="B39" s="81">
        <f>IF(ISNA(VLOOKUP($A39,DD_Info!$A$1:$E$222,5,0)),0,VLOOKUP($A39,DD_Info!$A$1:$E$222,5,0))</f>
        <v>3</v>
      </c>
      <c r="C39" t="str">
        <f>IF(ISNA(VLOOKUP($A39,DD_Info!$A$1:$E$222,2,0)),0,VLOOKUP($A39,DD_Info!$A$1:$E$222,2,0))</f>
        <v>James A Matz</v>
      </c>
      <c r="D39" t="str">
        <f>IF(ISNA(VLOOKUP($A39,DD_Info!$A$1:$E$222,3,0)),0,VLOOKUP($A39,DD_Info!$A$1:$E$222,3,0))</f>
        <v>San Antonio</v>
      </c>
      <c r="E39">
        <f ca="1">ROUND(SUMIF(Councils!$C$6:$C$837,$A39,Councils!$E$6:$E$816),0)</f>
        <v>296</v>
      </c>
      <c r="F39">
        <f ca="1">ROUND(SUMIF(Councils!$C$6:$C$837,$A39,Councils!$F$6:$F$816)*0.7,0)</f>
        <v>11</v>
      </c>
      <c r="G39">
        <f ca="1">ROUND(SUMIF(Councils!$C$6:$C$837,$A39,Councils!$G$6:$G$816)*0.7,0)</f>
        <v>0</v>
      </c>
      <c r="H39">
        <f ca="1">ROUND(SUMIF(Councils!$C$6:$C$837,$A39,Councils!$H$6:$H$816)*0.7,0)</f>
        <v>13</v>
      </c>
      <c r="I39">
        <f ca="1">ROUND(SUMIF(Councils!$C$6:$C$837,$A39,Councils!$I$6:$I$816)*0.7,0)</f>
        <v>-13</v>
      </c>
      <c r="J39">
        <f ca="1">ROUND(SUMIF(Councils!$C$6:$C$837,$A39,Councils!$J$6:$J$816)*0.7,0)</f>
        <v>1</v>
      </c>
      <c r="K39">
        <f ca="1">ROUND(SUMIF(Councils!$C$6:$C$837,$A39,Councils!$K$6:$K$816)*0.7,0)</f>
        <v>13</v>
      </c>
      <c r="L39">
        <f ca="1">ROUND(SUMIF(Councils!$C$6:$C$837,$A39,Councils!$L$6:$L$816)*0.7,0)</f>
        <v>-11</v>
      </c>
      <c r="M39" s="63">
        <f t="shared" ca="1" si="0"/>
        <v>-1</v>
      </c>
      <c r="N39">
        <f t="shared" ca="1" si="1"/>
        <v>208</v>
      </c>
    </row>
    <row r="40" spans="1:14">
      <c r="A40" s="67">
        <v>45</v>
      </c>
      <c r="B40" s="81">
        <f>IF(ISNA(VLOOKUP($A40,DD_Info!$A$1:$E$222,5,0)),0,VLOOKUP($A40,DD_Info!$A$1:$E$222,5,0))</f>
        <v>1</v>
      </c>
      <c r="C40" t="str">
        <f>IF(ISNA(VLOOKUP($A40,DD_Info!$A$1:$E$222,2,0)),0,VLOOKUP($A40,DD_Info!$A$1:$E$222,2,0))</f>
        <v>Joseph L Zimmer</v>
      </c>
      <c r="D40" t="str">
        <f>IF(ISNA(VLOOKUP($A40,DD_Info!$A$1:$E$222,3,0)),0,VLOOKUP($A40,DD_Info!$A$1:$E$222,3,0))</f>
        <v>San Antonio</v>
      </c>
      <c r="E40">
        <f ca="1">ROUND(SUMIF(Councils!$C$6:$C$837,$A40,Councils!$E$6:$E$816),0)</f>
        <v>909</v>
      </c>
      <c r="F40">
        <f ca="1">ROUND(SUMIF(Councils!$C$6:$C$837,$A40,Councils!$F$6:$F$816)*0.7,0)</f>
        <v>29</v>
      </c>
      <c r="G40">
        <f ca="1">ROUND(SUMIF(Councils!$C$6:$C$837,$A40,Councils!$G$6:$G$816)*0.7,0)</f>
        <v>1</v>
      </c>
      <c r="H40">
        <f ca="1">ROUND(SUMIF(Councils!$C$6:$C$837,$A40,Councils!$H$6:$H$816)*0.7,0)</f>
        <v>0</v>
      </c>
      <c r="I40">
        <f ca="1">ROUND(SUMIF(Councils!$C$6:$C$837,$A40,Councils!$I$6:$I$816)*0.7,0)</f>
        <v>1</v>
      </c>
      <c r="J40">
        <f ca="1">ROUND(SUMIF(Councils!$C$6:$C$837,$A40,Councils!$J$6:$J$816)*0.7,0)</f>
        <v>10</v>
      </c>
      <c r="K40">
        <f ca="1">ROUND(SUMIF(Councils!$C$6:$C$837,$A40,Councils!$K$6:$K$816)*0.7,0)</f>
        <v>5</v>
      </c>
      <c r="L40">
        <f ca="1">ROUND(SUMIF(Councils!$C$6:$C$837,$A40,Councils!$L$6:$L$816)*0.7,0)</f>
        <v>5</v>
      </c>
      <c r="M40" s="63">
        <f t="shared" ca="1" si="0"/>
        <v>0.17241379310344829</v>
      </c>
      <c r="N40">
        <f t="shared" ca="1" si="1"/>
        <v>64</v>
      </c>
    </row>
    <row r="41" spans="1:14">
      <c r="A41" s="67">
        <v>46</v>
      </c>
      <c r="B41" s="81">
        <f>IF(ISNA(VLOOKUP($A41,DD_Info!$A$1:$E$222,5,0)),0,VLOOKUP($A41,DD_Info!$A$1:$E$222,5,0))</f>
        <v>1</v>
      </c>
      <c r="C41" t="str">
        <f>IF(ISNA(VLOOKUP($A41,DD_Info!$A$1:$E$222,2,0)),0,VLOOKUP($A41,DD_Info!$A$1:$E$222,2,0))</f>
        <v>Hermilo  Silva</v>
      </c>
      <c r="D41" t="str">
        <f>IF(ISNA(VLOOKUP($A41,DD_Info!$A$1:$E$222,3,0)),0,VLOOKUP($A41,DD_Info!$A$1:$E$222,3,0))</f>
        <v>San Antonio</v>
      </c>
      <c r="E41">
        <f ca="1">ROUND(SUMIF(Councils!$C$6:$C$837,$A41,Councils!$E$6:$E$816),0)</f>
        <v>705</v>
      </c>
      <c r="F41">
        <f ca="1">ROUND(SUMIF(Councils!$C$6:$C$837,$A41,Councils!$F$6:$F$816)*0.7,0)</f>
        <v>24</v>
      </c>
      <c r="G41">
        <f ca="1">ROUND(SUMIF(Councils!$C$6:$C$837,$A41,Councils!$G$6:$G$816)*0.7,0)</f>
        <v>0</v>
      </c>
      <c r="H41">
        <f ca="1">ROUND(SUMIF(Councils!$C$6:$C$837,$A41,Councils!$H$6:$H$816)*0.7,0)</f>
        <v>0</v>
      </c>
      <c r="I41">
        <f ca="1">ROUND(SUMIF(Councils!$C$6:$C$837,$A41,Councils!$I$6:$I$816)*0.7,0)</f>
        <v>0</v>
      </c>
      <c r="J41">
        <f ca="1">ROUND(SUMIF(Councils!$C$6:$C$837,$A41,Councils!$J$6:$J$816)*0.7,0)</f>
        <v>4</v>
      </c>
      <c r="K41">
        <f ca="1">ROUND(SUMIF(Councils!$C$6:$C$837,$A41,Councils!$K$6:$K$816)*0.7,0)</f>
        <v>0</v>
      </c>
      <c r="L41">
        <f ca="1">ROUND(SUMIF(Councils!$C$6:$C$837,$A41,Councils!$L$6:$L$816)*0.7,0)</f>
        <v>4</v>
      </c>
      <c r="M41" s="63">
        <f t="shared" ca="1" si="0"/>
        <v>0.16666666666666666</v>
      </c>
      <c r="N41">
        <f t="shared" ca="1" si="1"/>
        <v>65</v>
      </c>
    </row>
    <row r="42" spans="1:14">
      <c r="A42" s="67">
        <v>47</v>
      </c>
      <c r="B42" s="81">
        <f>IF(ISNA(VLOOKUP($A42,DD_Info!$A$1:$E$222,5,0)),0,VLOOKUP($A42,DD_Info!$A$1:$E$222,5,0))</f>
        <v>2</v>
      </c>
      <c r="C42" t="str">
        <f>IF(ISNA(VLOOKUP($A42,DD_Info!$A$1:$E$222,2,0)),0,VLOOKUP($A42,DD_Info!$A$1:$E$222,2,0))</f>
        <v>George H Cheney</v>
      </c>
      <c r="D42" t="str">
        <f>IF(ISNA(VLOOKUP($A42,DD_Info!$A$1:$E$222,3,0)),0,VLOOKUP($A42,DD_Info!$A$1:$E$222,3,0))</f>
        <v>San Antonio</v>
      </c>
      <c r="E42">
        <f ca="1">ROUND(SUMIF(Councils!$C$6:$C$837,$A42,Councils!$E$6:$E$816),0)</f>
        <v>513</v>
      </c>
      <c r="F42">
        <f ca="1">ROUND(SUMIF(Councils!$C$6:$C$837,$A42,Councils!$F$6:$F$816)*0.7,0)</f>
        <v>19</v>
      </c>
      <c r="G42">
        <f ca="1">ROUND(SUMIF(Councils!$C$6:$C$837,$A42,Councils!$G$6:$G$816)*0.7,0)</f>
        <v>0</v>
      </c>
      <c r="H42">
        <f ca="1">ROUND(SUMIF(Councils!$C$6:$C$837,$A42,Councils!$H$6:$H$816)*0.7,0)</f>
        <v>0</v>
      </c>
      <c r="I42">
        <f ca="1">ROUND(SUMIF(Councils!$C$6:$C$837,$A42,Councils!$I$6:$I$816)*0.7,0)</f>
        <v>0</v>
      </c>
      <c r="J42">
        <f ca="1">ROUND(SUMIF(Councils!$C$6:$C$837,$A42,Councils!$J$6:$J$816)*0.7,0)</f>
        <v>5</v>
      </c>
      <c r="K42">
        <f ca="1">ROUND(SUMIF(Councils!$C$6:$C$837,$A42,Councils!$K$6:$K$816)*0.7,0)</f>
        <v>0</v>
      </c>
      <c r="L42">
        <f ca="1">ROUND(SUMIF(Councils!$C$6:$C$837,$A42,Councils!$L$6:$L$816)*0.7,0)</f>
        <v>5</v>
      </c>
      <c r="M42" s="63">
        <f t="shared" ca="1" si="0"/>
        <v>0.26315789473684209</v>
      </c>
      <c r="N42">
        <f t="shared" ca="1" si="1"/>
        <v>45</v>
      </c>
    </row>
    <row r="43" spans="1:14">
      <c r="A43" s="67">
        <v>48</v>
      </c>
      <c r="B43" s="81">
        <f>IF(ISNA(VLOOKUP($A43,DD_Info!$A$1:$E$222,5,0)),0,VLOOKUP($A43,DD_Info!$A$1:$E$222,5,0))</f>
        <v>1</v>
      </c>
      <c r="C43" t="str">
        <f>IF(ISNA(VLOOKUP($A43,DD_Info!$A$1:$E$222,2,0)),0,VLOOKUP($A43,DD_Info!$A$1:$E$222,2,0))</f>
        <v>Henry  Alves</v>
      </c>
      <c r="D43" t="str">
        <f>IF(ISNA(VLOOKUP($A43,DD_Info!$A$1:$E$222,3,0)),0,VLOOKUP($A43,DD_Info!$A$1:$E$222,3,0))</f>
        <v>San Antonio</v>
      </c>
      <c r="E43">
        <f ca="1">ROUND(SUMIF(Councils!$C$6:$C$837,$A43,Councils!$E$6:$E$816),0)</f>
        <v>659</v>
      </c>
      <c r="F43">
        <f ca="1">ROUND(SUMIF(Councils!$C$6:$C$837,$A43,Councils!$F$6:$F$816)*0.7,0)</f>
        <v>22</v>
      </c>
      <c r="G43">
        <f ca="1">ROUND(SUMIF(Councils!$C$6:$C$837,$A43,Councils!$G$6:$G$816)*0.7,0)</f>
        <v>0</v>
      </c>
      <c r="H43">
        <f ca="1">ROUND(SUMIF(Councils!$C$6:$C$837,$A43,Councils!$H$6:$H$816)*0.7,0)</f>
        <v>0</v>
      </c>
      <c r="I43">
        <f ca="1">ROUND(SUMIF(Councils!$C$6:$C$837,$A43,Councils!$I$6:$I$816)*0.7,0)</f>
        <v>0</v>
      </c>
      <c r="J43">
        <f ca="1">ROUND(SUMIF(Councils!$C$6:$C$837,$A43,Councils!$J$6:$J$816)*0.7,0)</f>
        <v>6</v>
      </c>
      <c r="K43">
        <f ca="1">ROUND(SUMIF(Councils!$C$6:$C$837,$A43,Councils!$K$6:$K$816)*0.7,0)</f>
        <v>4</v>
      </c>
      <c r="L43">
        <f ca="1">ROUND(SUMIF(Councils!$C$6:$C$837,$A43,Councils!$L$6:$L$816)*0.7,0)</f>
        <v>2</v>
      </c>
      <c r="M43" s="63">
        <f t="shared" ca="1" si="0"/>
        <v>9.0909090909090912E-2</v>
      </c>
      <c r="N43">
        <f t="shared" ca="1" si="1"/>
        <v>88</v>
      </c>
    </row>
    <row r="44" spans="1:14">
      <c r="A44" s="67">
        <v>49</v>
      </c>
      <c r="B44" s="81">
        <f>IF(ISNA(VLOOKUP($A44,DD_Info!$A$1:$E$222,5,0)),0,VLOOKUP($A44,DD_Info!$A$1:$E$222,5,0))</f>
        <v>2</v>
      </c>
      <c r="C44" t="str">
        <f>IF(ISNA(VLOOKUP($A44,DD_Info!$A$1:$E$222,2,0)),0,VLOOKUP($A44,DD_Info!$A$1:$E$222,2,0))</f>
        <v>Oscar M Caballero</v>
      </c>
      <c r="D44" t="str">
        <f>IF(ISNA(VLOOKUP($A44,DD_Info!$A$1:$E$222,3,0)),0,VLOOKUP($A44,DD_Info!$A$1:$E$222,3,0))</f>
        <v>San Antonio</v>
      </c>
      <c r="E44">
        <f ca="1">ROUND(SUMIF(Councils!$C$6:$C$837,$A44,Councils!$E$6:$E$816),0)</f>
        <v>494</v>
      </c>
      <c r="F44">
        <f ca="1">ROUND(SUMIF(Councils!$C$6:$C$837,$A44,Councils!$F$6:$F$816)*0.7,0)</f>
        <v>18</v>
      </c>
      <c r="G44">
        <f ca="1">ROUND(SUMIF(Councils!$C$6:$C$837,$A44,Councils!$G$6:$G$816)*0.7,0)</f>
        <v>0</v>
      </c>
      <c r="H44">
        <f ca="1">ROUND(SUMIF(Councils!$C$6:$C$837,$A44,Councils!$H$6:$H$816)*0.7,0)</f>
        <v>0</v>
      </c>
      <c r="I44">
        <f ca="1">ROUND(SUMIF(Councils!$C$6:$C$837,$A44,Councils!$I$6:$I$816)*0.7,0)</f>
        <v>0</v>
      </c>
      <c r="J44">
        <f ca="1">ROUND(SUMIF(Councils!$C$6:$C$837,$A44,Councils!$J$6:$J$816)*0.7,0)</f>
        <v>1</v>
      </c>
      <c r="K44">
        <f ca="1">ROUND(SUMIF(Councils!$C$6:$C$837,$A44,Councils!$K$6:$K$816)*0.7,0)</f>
        <v>0</v>
      </c>
      <c r="L44">
        <f ca="1">ROUND(SUMIF(Councils!$C$6:$C$837,$A44,Councils!$L$6:$L$816)*0.7,0)</f>
        <v>1</v>
      </c>
      <c r="M44" s="63">
        <f t="shared" ca="1" si="0"/>
        <v>5.5555555555555552E-2</v>
      </c>
      <c r="N44">
        <f t="shared" ca="1" si="1"/>
        <v>110</v>
      </c>
    </row>
    <row r="45" spans="1:14">
      <c r="A45" s="67">
        <v>50</v>
      </c>
      <c r="B45" s="81">
        <f>IF(ISNA(VLOOKUP($A45,DD_Info!$A$1:$E$222,5,0)),0,VLOOKUP($A45,DD_Info!$A$1:$E$222,5,0))</f>
        <v>2</v>
      </c>
      <c r="C45" t="str">
        <f>IF(ISNA(VLOOKUP($A45,DD_Info!$A$1:$E$222,2,0)),0,VLOOKUP($A45,DD_Info!$A$1:$E$222,2,0))</f>
        <v>Phillip  Reyes</v>
      </c>
      <c r="D45" t="str">
        <f>IF(ISNA(VLOOKUP($A45,DD_Info!$A$1:$E$222,3,0)),0,VLOOKUP($A45,DD_Info!$A$1:$E$222,3,0))</f>
        <v>San Antonio</v>
      </c>
      <c r="E45">
        <f ca="1">ROUND(SUMIF(Councils!$C$6:$C$837,$A45,Councils!$E$6:$E$816),0)</f>
        <v>403</v>
      </c>
      <c r="F45">
        <f ca="1">ROUND(SUMIF(Councils!$C$6:$C$837,$A45,Councils!$F$6:$F$816)*0.7,0)</f>
        <v>15</v>
      </c>
      <c r="G45">
        <f ca="1">ROUND(SUMIF(Councils!$C$6:$C$837,$A45,Councils!$G$6:$G$816)*0.7,0)</f>
        <v>0</v>
      </c>
      <c r="H45">
        <f ca="1">ROUND(SUMIF(Councils!$C$6:$C$837,$A45,Councils!$H$6:$H$816)*0.7,0)</f>
        <v>0</v>
      </c>
      <c r="I45">
        <f ca="1">ROUND(SUMIF(Councils!$C$6:$C$837,$A45,Councils!$I$6:$I$816)*0.7,0)</f>
        <v>0</v>
      </c>
      <c r="J45">
        <f ca="1">ROUND(SUMIF(Councils!$C$6:$C$837,$A45,Councils!$J$6:$J$816)*0.7,0)</f>
        <v>0</v>
      </c>
      <c r="K45">
        <f ca="1">ROUND(SUMIF(Councils!$C$6:$C$837,$A45,Councils!$K$6:$K$816)*0.7,0)</f>
        <v>0</v>
      </c>
      <c r="L45">
        <f ca="1">ROUND(SUMIF(Councils!$C$6:$C$837,$A45,Councils!$L$6:$L$816)*0.7,0)</f>
        <v>0</v>
      </c>
      <c r="M45" s="63">
        <f t="shared" ca="1" si="0"/>
        <v>0</v>
      </c>
      <c r="N45">
        <f t="shared" ca="1" si="1"/>
        <v>127</v>
      </c>
    </row>
    <row r="46" spans="1:14">
      <c r="A46" s="67">
        <v>51</v>
      </c>
      <c r="B46" s="81">
        <f>IF(ISNA(VLOOKUP($A46,DD_Info!$A$1:$E$222,5,0)),0,VLOOKUP($A46,DD_Info!$A$1:$E$222,5,0))</f>
        <v>1</v>
      </c>
      <c r="C46" t="str">
        <f>IF(ISNA(VLOOKUP($A46,DD_Info!$A$1:$E$222,2,0)),0,VLOOKUP($A46,DD_Info!$A$1:$E$222,2,0))</f>
        <v>Edvardo  Garcia</v>
      </c>
      <c r="D46" t="str">
        <f>IF(ISNA(VLOOKUP($A46,DD_Info!$A$1:$E$222,3,0)),0,VLOOKUP($A46,DD_Info!$A$1:$E$222,3,0))</f>
        <v>San Antonio</v>
      </c>
      <c r="E46">
        <f ca="1">ROUND(SUMIF(Councils!$C$6:$C$837,$A46,Councils!$E$6:$E$816),0)</f>
        <v>970</v>
      </c>
      <c r="F46">
        <f ca="1">ROUND(SUMIF(Councils!$C$6:$C$837,$A46,Councils!$F$6:$F$816)*0.7,0)</f>
        <v>33</v>
      </c>
      <c r="G46">
        <f ca="1">ROUND(SUMIF(Councils!$C$6:$C$837,$A46,Councils!$G$6:$G$816)*0.7,0)</f>
        <v>3</v>
      </c>
      <c r="H46">
        <f ca="1">ROUND(SUMIF(Councils!$C$6:$C$837,$A46,Councils!$H$6:$H$816)*0.7,0)</f>
        <v>0</v>
      </c>
      <c r="I46">
        <f ca="1">ROUND(SUMIF(Councils!$C$6:$C$837,$A46,Councils!$I$6:$I$816)*0.7,0)</f>
        <v>3</v>
      </c>
      <c r="J46">
        <f ca="1">ROUND(SUMIF(Councils!$C$6:$C$837,$A46,Councils!$J$6:$J$816)*0.7,0)</f>
        <v>13</v>
      </c>
      <c r="K46">
        <f ca="1">ROUND(SUMIF(Councils!$C$6:$C$837,$A46,Councils!$K$6:$K$816)*0.7,0)</f>
        <v>1</v>
      </c>
      <c r="L46">
        <f ca="1">ROUND(SUMIF(Councils!$C$6:$C$837,$A46,Councils!$L$6:$L$816)*0.7,0)</f>
        <v>12</v>
      </c>
      <c r="M46" s="63">
        <f t="shared" ca="1" si="0"/>
        <v>0.36363636363636365</v>
      </c>
      <c r="N46">
        <f t="shared" ca="1" si="1"/>
        <v>29</v>
      </c>
    </row>
    <row r="47" spans="1:14">
      <c r="A47" s="67">
        <v>52</v>
      </c>
      <c r="B47" s="81">
        <f>IF(ISNA(VLOOKUP($A47,DD_Info!$A$1:$E$222,5,0)),0,VLOOKUP($A47,DD_Info!$A$1:$E$222,5,0))</f>
        <v>2</v>
      </c>
      <c r="C47" t="str">
        <f>IF(ISNA(VLOOKUP($A47,DD_Info!$A$1:$E$222,2,0)),0,VLOOKUP($A47,DD_Info!$A$1:$E$222,2,0))</f>
        <v>Ruben  Gallegos</v>
      </c>
      <c r="D47" t="str">
        <f>IF(ISNA(VLOOKUP($A47,DD_Info!$A$1:$E$222,3,0)),0,VLOOKUP($A47,DD_Info!$A$1:$E$222,3,0))</f>
        <v>San Antonio</v>
      </c>
      <c r="E47">
        <f ca="1">ROUND(SUMIF(Councils!$C$6:$C$837,$A47,Councils!$E$6:$E$816),0)</f>
        <v>302</v>
      </c>
      <c r="F47">
        <f ca="1">ROUND(SUMIF(Councils!$C$6:$C$837,$A47,Councils!$F$6:$F$816)*0.7,0)</f>
        <v>12</v>
      </c>
      <c r="G47">
        <f ca="1">ROUND(SUMIF(Councils!$C$6:$C$837,$A47,Councils!$G$6:$G$816)*0.7,0)</f>
        <v>0</v>
      </c>
      <c r="H47">
        <f ca="1">ROUND(SUMIF(Councils!$C$6:$C$837,$A47,Councils!$H$6:$H$816)*0.7,0)</f>
        <v>0</v>
      </c>
      <c r="I47">
        <f ca="1">ROUND(SUMIF(Councils!$C$6:$C$837,$A47,Councils!$I$6:$I$816)*0.7,0)</f>
        <v>0</v>
      </c>
      <c r="J47">
        <f ca="1">ROUND(SUMIF(Councils!$C$6:$C$837,$A47,Councils!$J$6:$J$816)*0.7,0)</f>
        <v>1</v>
      </c>
      <c r="K47">
        <f ca="1">ROUND(SUMIF(Councils!$C$6:$C$837,$A47,Councils!$K$6:$K$816)*0.7,0)</f>
        <v>0</v>
      </c>
      <c r="L47">
        <f ca="1">ROUND(SUMIF(Councils!$C$6:$C$837,$A47,Councils!$L$6:$L$816)*0.7,0)</f>
        <v>1</v>
      </c>
      <c r="M47" s="63">
        <f t="shared" ca="1" si="0"/>
        <v>8.3333333333333329E-2</v>
      </c>
      <c r="N47">
        <f t="shared" ca="1" si="1"/>
        <v>96</v>
      </c>
    </row>
    <row r="48" spans="1:14">
      <c r="A48" s="67">
        <v>53</v>
      </c>
      <c r="B48" s="81">
        <f>IF(ISNA(VLOOKUP($A48,DD_Info!$A$1:$E$222,5,0)),0,VLOOKUP($A48,DD_Info!$A$1:$E$222,5,0))</f>
        <v>3</v>
      </c>
      <c r="C48" t="str">
        <f>IF(ISNA(VLOOKUP($A48,DD_Info!$A$1:$E$222,2,0)),0,VLOOKUP($A48,DD_Info!$A$1:$E$222,2,0))</f>
        <v>Jim  Irwin</v>
      </c>
      <c r="D48" t="str">
        <f>IF(ISNA(VLOOKUP($A48,DD_Info!$A$1:$E$222,3,0)),0,VLOOKUP($A48,DD_Info!$A$1:$E$222,3,0))</f>
        <v>San Antonio</v>
      </c>
      <c r="E48">
        <f ca="1">ROUND(SUMIF(Councils!$C$6:$C$837,$A48,Councils!$E$6:$E$816),0)</f>
        <v>276</v>
      </c>
      <c r="F48">
        <f ca="1">ROUND(SUMIF(Councils!$C$6:$C$837,$A48,Councils!$F$6:$F$816)*0.7,0)</f>
        <v>11</v>
      </c>
      <c r="G48">
        <f ca="1">ROUND(SUMIF(Councils!$C$6:$C$837,$A48,Councils!$G$6:$G$816)*0.7,0)</f>
        <v>0</v>
      </c>
      <c r="H48">
        <f ca="1">ROUND(SUMIF(Councils!$C$6:$C$837,$A48,Councils!$H$6:$H$816)*0.7,0)</f>
        <v>0</v>
      </c>
      <c r="I48">
        <f ca="1">ROUND(SUMIF(Councils!$C$6:$C$837,$A48,Councils!$I$6:$I$816)*0.7,0)</f>
        <v>0</v>
      </c>
      <c r="J48">
        <f ca="1">ROUND(SUMIF(Councils!$C$6:$C$837,$A48,Councils!$J$6:$J$816)*0.7,0)</f>
        <v>3</v>
      </c>
      <c r="K48">
        <f ca="1">ROUND(SUMIF(Councils!$C$6:$C$837,$A48,Councils!$K$6:$K$816)*0.7,0)</f>
        <v>0</v>
      </c>
      <c r="L48">
        <f ca="1">ROUND(SUMIF(Councils!$C$6:$C$837,$A48,Councils!$L$6:$L$816)*0.7,0)</f>
        <v>3</v>
      </c>
      <c r="M48" s="63">
        <f t="shared" ca="1" si="0"/>
        <v>0.27272727272727271</v>
      </c>
      <c r="N48">
        <f t="shared" ca="1" si="1"/>
        <v>42</v>
      </c>
    </row>
    <row r="49" spans="1:14">
      <c r="A49" s="67">
        <v>54</v>
      </c>
      <c r="B49" s="81">
        <f>IF(ISNA(VLOOKUP($A49,DD_Info!$A$1:$E$222,5,0)),0,VLOOKUP($A49,DD_Info!$A$1:$E$222,5,0))</f>
        <v>2</v>
      </c>
      <c r="C49" t="str">
        <f>IF(ISNA(VLOOKUP($A49,DD_Info!$A$1:$E$222,2,0)),0,VLOOKUP($A49,DD_Info!$A$1:$E$222,2,0))</f>
        <v>Jesse J Aguilar</v>
      </c>
      <c r="D49" t="str">
        <f>IF(ISNA(VLOOKUP($A49,DD_Info!$A$1:$E$222,3,0)),0,VLOOKUP($A49,DD_Info!$A$1:$E$222,3,0))</f>
        <v>San Antonio</v>
      </c>
      <c r="E49">
        <f ca="1">ROUND(SUMIF(Councils!$C$6:$C$837,$A49,Councils!$E$6:$E$816),0)</f>
        <v>440</v>
      </c>
      <c r="F49">
        <f ca="1">ROUND(SUMIF(Councils!$C$6:$C$837,$A49,Councils!$F$6:$F$816)*0.7,0)</f>
        <v>17</v>
      </c>
      <c r="G49">
        <f ca="1">ROUND(SUMIF(Councils!$C$6:$C$837,$A49,Councils!$G$6:$G$816)*0.7,0)</f>
        <v>0</v>
      </c>
      <c r="H49">
        <f ca="1">ROUND(SUMIF(Councils!$C$6:$C$837,$A49,Councils!$H$6:$H$816)*0.7,0)</f>
        <v>0</v>
      </c>
      <c r="I49">
        <f ca="1">ROUND(SUMIF(Councils!$C$6:$C$837,$A49,Councils!$I$6:$I$816)*0.7,0)</f>
        <v>0</v>
      </c>
      <c r="J49">
        <f ca="1">ROUND(SUMIF(Councils!$C$6:$C$837,$A49,Councils!$J$6:$J$816)*0.7,0)</f>
        <v>2</v>
      </c>
      <c r="K49">
        <f ca="1">ROUND(SUMIF(Councils!$C$6:$C$837,$A49,Councils!$K$6:$K$816)*0.7,0)</f>
        <v>0</v>
      </c>
      <c r="L49">
        <f ca="1">ROUND(SUMIF(Councils!$C$6:$C$837,$A49,Councils!$L$6:$L$816)*0.7,0)</f>
        <v>2</v>
      </c>
      <c r="M49" s="63">
        <f t="shared" ca="1" si="0"/>
        <v>0.11764705882352941</v>
      </c>
      <c r="N49">
        <f t="shared" ca="1" si="1"/>
        <v>80</v>
      </c>
    </row>
    <row r="50" spans="1:14">
      <c r="A50" s="67">
        <v>55</v>
      </c>
      <c r="B50" s="81">
        <f>IF(ISNA(VLOOKUP($A50,DD_Info!$A$1:$E$222,5,0)),0,VLOOKUP($A50,DD_Info!$A$1:$E$222,5,0))</f>
        <v>2</v>
      </c>
      <c r="C50" t="str">
        <f>IF(ISNA(VLOOKUP($A50,DD_Info!$A$1:$E$222,2,0)),0,VLOOKUP($A50,DD_Info!$A$1:$E$222,2,0))</f>
        <v>Javier  Martinez</v>
      </c>
      <c r="D50" t="str">
        <f>IF(ISNA(VLOOKUP($A50,DD_Info!$A$1:$E$222,3,0)),0,VLOOKUP($A50,DD_Info!$A$1:$E$222,3,0))</f>
        <v>San Antonio</v>
      </c>
      <c r="E50">
        <f ca="1">ROUND(SUMIF(Councils!$C$6:$C$837,$A50,Councils!$E$6:$E$816),0)</f>
        <v>423</v>
      </c>
      <c r="F50">
        <f ca="1">ROUND(SUMIF(Councils!$C$6:$C$837,$A50,Councils!$F$6:$F$816)*0.7,0)</f>
        <v>15</v>
      </c>
      <c r="G50">
        <f ca="1">ROUND(SUMIF(Councils!$C$6:$C$837,$A50,Councils!$G$6:$G$816)*0.7,0)</f>
        <v>0</v>
      </c>
      <c r="H50">
        <f ca="1">ROUND(SUMIF(Councils!$C$6:$C$837,$A50,Councils!$H$6:$H$816)*0.7,0)</f>
        <v>0</v>
      </c>
      <c r="I50">
        <f ca="1">ROUND(SUMIF(Councils!$C$6:$C$837,$A50,Councils!$I$6:$I$816)*0.7,0)</f>
        <v>0</v>
      </c>
      <c r="J50">
        <f ca="1">ROUND(SUMIF(Councils!$C$6:$C$837,$A50,Councils!$J$6:$J$816)*0.7,0)</f>
        <v>2</v>
      </c>
      <c r="K50">
        <f ca="1">ROUND(SUMIF(Councils!$C$6:$C$837,$A50,Councils!$K$6:$K$816)*0.7,0)</f>
        <v>0</v>
      </c>
      <c r="L50">
        <f ca="1">ROUND(SUMIF(Councils!$C$6:$C$837,$A50,Councils!$L$6:$L$816)*0.7,0)</f>
        <v>2</v>
      </c>
      <c r="M50" s="63">
        <f t="shared" ca="1" si="0"/>
        <v>0.13333333333333333</v>
      </c>
      <c r="N50">
        <f t="shared" ca="1" si="1"/>
        <v>72</v>
      </c>
    </row>
    <row r="51" spans="1:14">
      <c r="A51" s="67">
        <v>56</v>
      </c>
      <c r="B51" s="81">
        <f>IF(ISNA(VLOOKUP($A51,DD_Info!$A$1:$E$222,5,0)),0,VLOOKUP($A51,DD_Info!$A$1:$E$222,5,0))</f>
        <v>2</v>
      </c>
      <c r="C51" t="str">
        <f>IF(ISNA(VLOOKUP($A51,DD_Info!$A$1:$E$222,2,0)),0,VLOOKUP($A51,DD_Info!$A$1:$E$222,2,0))</f>
        <v>Carlos J Gonzalez</v>
      </c>
      <c r="D51" t="str">
        <f>IF(ISNA(VLOOKUP($A51,DD_Info!$A$1:$E$222,3,0)),0,VLOOKUP($A51,DD_Info!$A$1:$E$222,3,0))</f>
        <v>San Antonio</v>
      </c>
      <c r="E51">
        <f ca="1">ROUND(SUMIF(Councils!$C$6:$C$837,$A51,Councils!$E$6:$E$816),0)</f>
        <v>333</v>
      </c>
      <c r="F51">
        <f ca="1">ROUND(SUMIF(Councils!$C$6:$C$837,$A51,Councils!$F$6:$F$816)*0.7,0)</f>
        <v>13</v>
      </c>
      <c r="G51">
        <f ca="1">ROUND(SUMIF(Councils!$C$6:$C$837,$A51,Councils!$G$6:$G$816)*0.7,0)</f>
        <v>0</v>
      </c>
      <c r="H51">
        <f ca="1">ROUND(SUMIF(Councils!$C$6:$C$837,$A51,Councils!$H$6:$H$816)*0.7,0)</f>
        <v>0</v>
      </c>
      <c r="I51">
        <f ca="1">ROUND(SUMIF(Councils!$C$6:$C$837,$A51,Councils!$I$6:$I$816)*0.7,0)</f>
        <v>0</v>
      </c>
      <c r="J51">
        <f ca="1">ROUND(SUMIF(Councils!$C$6:$C$837,$A51,Councils!$J$6:$J$816)*0.7,0)</f>
        <v>0</v>
      </c>
      <c r="K51">
        <f ca="1">ROUND(SUMIF(Councils!$C$6:$C$837,$A51,Councils!$K$6:$K$816)*0.7,0)</f>
        <v>3</v>
      </c>
      <c r="L51">
        <f ca="1">ROUND(SUMIF(Councils!$C$6:$C$837,$A51,Councils!$L$6:$L$816)*0.7,0)</f>
        <v>-3</v>
      </c>
      <c r="M51" s="63">
        <f t="shared" ca="1" si="0"/>
        <v>-0.23076923076923078</v>
      </c>
      <c r="N51">
        <f t="shared" ca="1" si="1"/>
        <v>191</v>
      </c>
    </row>
    <row r="52" spans="1:14">
      <c r="A52" s="67">
        <v>57</v>
      </c>
      <c r="B52" s="81">
        <f>IF(ISNA(VLOOKUP($A52,DD_Info!$A$1:$E$222,5,0)),0,VLOOKUP($A52,DD_Info!$A$1:$E$222,5,0))</f>
        <v>2</v>
      </c>
      <c r="C52" t="str">
        <f>IF(ISNA(VLOOKUP($A52,DD_Info!$A$1:$E$222,2,0)),0,VLOOKUP($A52,DD_Info!$A$1:$E$222,2,0))</f>
        <v>Willie  Leal Jr</v>
      </c>
      <c r="D52" t="str">
        <f>IF(ISNA(VLOOKUP($A52,DD_Info!$A$1:$E$222,3,0)),0,VLOOKUP($A52,DD_Info!$A$1:$E$222,3,0))</f>
        <v>San Antonio</v>
      </c>
      <c r="E52">
        <f ca="1">ROUND(SUMIF(Councils!$C$6:$C$837,$A52,Councils!$E$6:$E$816),0)</f>
        <v>328</v>
      </c>
      <c r="F52">
        <f ca="1">ROUND(SUMIF(Councils!$C$6:$C$837,$A52,Councils!$F$6:$F$816)*0.7,0)</f>
        <v>13</v>
      </c>
      <c r="G52">
        <f ca="1">ROUND(SUMIF(Councils!$C$6:$C$837,$A52,Councils!$G$6:$G$816)*0.7,0)</f>
        <v>0</v>
      </c>
      <c r="H52">
        <f ca="1">ROUND(SUMIF(Councils!$C$6:$C$837,$A52,Councils!$H$6:$H$816)*0.7,0)</f>
        <v>4</v>
      </c>
      <c r="I52">
        <f ca="1">ROUND(SUMIF(Councils!$C$6:$C$837,$A52,Councils!$I$6:$I$816)*0.7,0)</f>
        <v>-4</v>
      </c>
      <c r="J52">
        <f ca="1">ROUND(SUMIF(Councils!$C$6:$C$837,$A52,Councils!$J$6:$J$816)*0.7,0)</f>
        <v>1</v>
      </c>
      <c r="K52">
        <f ca="1">ROUND(SUMIF(Councils!$C$6:$C$837,$A52,Councils!$K$6:$K$816)*0.7,0)</f>
        <v>4</v>
      </c>
      <c r="L52">
        <f ca="1">ROUND(SUMIF(Councils!$C$6:$C$837,$A52,Councils!$L$6:$L$816)*0.7,0)</f>
        <v>-3</v>
      </c>
      <c r="M52" s="63">
        <f t="shared" ca="1" si="0"/>
        <v>-0.23076923076923078</v>
      </c>
      <c r="N52">
        <f t="shared" ca="1" si="1"/>
        <v>191</v>
      </c>
    </row>
    <row r="53" spans="1:14">
      <c r="A53" s="67">
        <v>58</v>
      </c>
      <c r="B53" s="81">
        <f>IF(ISNA(VLOOKUP($A53,DD_Info!$A$1:$E$222,5,0)),0,VLOOKUP($A53,DD_Info!$A$1:$E$222,5,0))</f>
        <v>2</v>
      </c>
      <c r="C53" t="str">
        <f>IF(ISNA(VLOOKUP($A53,DD_Info!$A$1:$E$222,2,0)),0,VLOOKUP($A53,DD_Info!$A$1:$E$222,2,0))</f>
        <v>Louis C Soriano</v>
      </c>
      <c r="D53" t="str">
        <f>IF(ISNA(VLOOKUP($A53,DD_Info!$A$1:$E$222,3,0)),0,VLOOKUP($A53,DD_Info!$A$1:$E$222,3,0))</f>
        <v>San Antonio</v>
      </c>
      <c r="E53">
        <f ca="1">ROUND(SUMIF(Councils!$C$6:$C$837,$A53,Councils!$E$6:$E$816),0)</f>
        <v>334</v>
      </c>
      <c r="F53">
        <f ca="1">ROUND(SUMIF(Councils!$C$6:$C$837,$A53,Councils!$F$6:$F$816)*0.7,0)</f>
        <v>11</v>
      </c>
      <c r="G53">
        <f ca="1">ROUND(SUMIF(Councils!$C$6:$C$837,$A53,Councils!$G$6:$G$816)*0.7,0)</f>
        <v>0</v>
      </c>
      <c r="H53">
        <f ca="1">ROUND(SUMIF(Councils!$C$6:$C$837,$A53,Councils!$H$6:$H$816)*0.7,0)</f>
        <v>0</v>
      </c>
      <c r="I53">
        <f ca="1">ROUND(SUMIF(Councils!$C$6:$C$837,$A53,Councils!$I$6:$I$816)*0.7,0)</f>
        <v>0</v>
      </c>
      <c r="J53">
        <f ca="1">ROUND(SUMIF(Councils!$C$6:$C$837,$A53,Councils!$J$6:$J$816)*0.7,0)</f>
        <v>1</v>
      </c>
      <c r="K53">
        <f ca="1">ROUND(SUMIF(Councils!$C$6:$C$837,$A53,Councils!$K$6:$K$816)*0.7,0)</f>
        <v>0</v>
      </c>
      <c r="L53">
        <f ca="1">ROUND(SUMIF(Councils!$C$6:$C$837,$A53,Councils!$L$6:$L$816)*0.7,0)</f>
        <v>1</v>
      </c>
      <c r="M53" s="63">
        <f t="shared" ca="1" si="0"/>
        <v>9.0909090909090912E-2</v>
      </c>
      <c r="N53">
        <f t="shared" ca="1" si="1"/>
        <v>88</v>
      </c>
    </row>
    <row r="54" spans="1:14">
      <c r="A54" s="67">
        <v>59</v>
      </c>
      <c r="B54" s="81">
        <f>IF(ISNA(VLOOKUP($A54,DD_Info!$A$1:$E$222,5,0)),0,VLOOKUP($A54,DD_Info!$A$1:$E$222,5,0))</f>
        <v>1</v>
      </c>
      <c r="C54" t="str">
        <f>IF(ISNA(VLOOKUP($A54,DD_Info!$A$1:$E$222,2,0)),0,VLOOKUP($A54,DD_Info!$A$1:$E$222,2,0))</f>
        <v>Butch J Rodriguez</v>
      </c>
      <c r="D54" t="str">
        <f>IF(ISNA(VLOOKUP($A54,DD_Info!$A$1:$E$222,3,0)),0,VLOOKUP($A54,DD_Info!$A$1:$E$222,3,0))</f>
        <v>San Antonio</v>
      </c>
      <c r="E54">
        <f ca="1">ROUND(SUMIF(Councils!$C$6:$C$837,$A54,Councils!$E$6:$E$816),0)</f>
        <v>575</v>
      </c>
      <c r="F54">
        <f ca="1">ROUND(SUMIF(Councils!$C$6:$C$837,$A54,Councils!$F$6:$F$816)*0.7,0)</f>
        <v>19</v>
      </c>
      <c r="G54">
        <f ca="1">ROUND(SUMIF(Councils!$C$6:$C$837,$A54,Councils!$G$6:$G$816)*0.7,0)</f>
        <v>0</v>
      </c>
      <c r="H54">
        <f ca="1">ROUND(SUMIF(Councils!$C$6:$C$837,$A54,Councils!$H$6:$H$816)*0.7,0)</f>
        <v>0</v>
      </c>
      <c r="I54">
        <f ca="1">ROUND(SUMIF(Councils!$C$6:$C$837,$A54,Councils!$I$6:$I$816)*0.7,0)</f>
        <v>0</v>
      </c>
      <c r="J54">
        <f ca="1">ROUND(SUMIF(Councils!$C$6:$C$837,$A54,Councils!$J$6:$J$816)*0.7,0)</f>
        <v>1</v>
      </c>
      <c r="K54">
        <f ca="1">ROUND(SUMIF(Councils!$C$6:$C$837,$A54,Councils!$K$6:$K$816)*0.7,0)</f>
        <v>1</v>
      </c>
      <c r="L54">
        <f ca="1">ROUND(SUMIF(Councils!$C$6:$C$837,$A54,Councils!$L$6:$L$816)*0.7,0)</f>
        <v>1</v>
      </c>
      <c r="M54" s="63">
        <f t="shared" ca="1" si="0"/>
        <v>5.2631578947368418E-2</v>
      </c>
      <c r="N54">
        <f t="shared" ca="1" si="1"/>
        <v>115</v>
      </c>
    </row>
    <row r="55" spans="1:14">
      <c r="A55" s="67">
        <v>60</v>
      </c>
      <c r="B55" s="81">
        <f>IF(ISNA(VLOOKUP($A55,DD_Info!$A$1:$E$222,5,0)),0,VLOOKUP($A55,DD_Info!$A$1:$E$222,5,0))</f>
        <v>3</v>
      </c>
      <c r="C55" t="str">
        <f>IF(ISNA(VLOOKUP($A55,DD_Info!$A$1:$E$222,2,0)),0,VLOOKUP($A55,DD_Info!$A$1:$E$222,2,0))</f>
        <v>Ruben C Gomez</v>
      </c>
      <c r="D55" t="str">
        <f>IF(ISNA(VLOOKUP($A55,DD_Info!$A$1:$E$222,3,0)),0,VLOOKUP($A55,DD_Info!$A$1:$E$222,3,0))</f>
        <v>San Antonio</v>
      </c>
      <c r="E55">
        <f ca="1">ROUND(SUMIF(Councils!$C$6:$C$837,$A55,Councils!$E$6:$E$816),0)</f>
        <v>285</v>
      </c>
      <c r="F55">
        <f ca="1">ROUND(SUMIF(Councils!$C$6:$C$837,$A55,Councils!$F$6:$F$816)*0.7,0)</f>
        <v>10</v>
      </c>
      <c r="G55">
        <f ca="1">ROUND(SUMIF(Councils!$C$6:$C$837,$A55,Councils!$G$6:$G$816)*0.7,0)</f>
        <v>0</v>
      </c>
      <c r="H55">
        <f ca="1">ROUND(SUMIF(Councils!$C$6:$C$837,$A55,Councils!$H$6:$H$816)*0.7,0)</f>
        <v>0</v>
      </c>
      <c r="I55">
        <f ca="1">ROUND(SUMIF(Councils!$C$6:$C$837,$A55,Councils!$I$6:$I$816)*0.7,0)</f>
        <v>0</v>
      </c>
      <c r="J55">
        <f ca="1">ROUND(SUMIF(Councils!$C$6:$C$837,$A55,Councils!$J$6:$J$816)*0.7,0)</f>
        <v>1</v>
      </c>
      <c r="K55">
        <f ca="1">ROUND(SUMIF(Councils!$C$6:$C$837,$A55,Councils!$K$6:$K$816)*0.7,0)</f>
        <v>0</v>
      </c>
      <c r="L55">
        <f ca="1">ROUND(SUMIF(Councils!$C$6:$C$837,$A55,Councils!$L$6:$L$816)*0.7,0)</f>
        <v>1</v>
      </c>
      <c r="M55" s="63">
        <f t="shared" ca="1" si="0"/>
        <v>0.1</v>
      </c>
      <c r="N55">
        <f t="shared" ca="1" si="1"/>
        <v>86</v>
      </c>
    </row>
    <row r="56" spans="1:14">
      <c r="A56" s="67">
        <v>61</v>
      </c>
      <c r="B56" s="81">
        <f>IF(ISNA(VLOOKUP($A56,DD_Info!$A$1:$E$222,5,0)),0,VLOOKUP($A56,DD_Info!$A$1:$E$222,5,0))</f>
        <v>3</v>
      </c>
      <c r="C56" t="str">
        <f>IF(ISNA(VLOOKUP($A56,DD_Info!$A$1:$E$222,2,0)),0,VLOOKUP($A56,DD_Info!$A$1:$E$222,2,0))</f>
        <v>Joe  Torres</v>
      </c>
      <c r="D56" t="str">
        <f>IF(ISNA(VLOOKUP($A56,DD_Info!$A$1:$E$222,3,0)),0,VLOOKUP($A56,DD_Info!$A$1:$E$222,3,0))</f>
        <v>San Antonio</v>
      </c>
      <c r="E56">
        <f ca="1">ROUND(SUMIF(Councils!$C$6:$C$837,$A56,Councils!$E$6:$E$816),0)</f>
        <v>112</v>
      </c>
      <c r="F56">
        <f ca="1">ROUND(SUMIF(Councils!$C$6:$C$837,$A56,Councils!$F$6:$F$816)*0.7,0)</f>
        <v>6</v>
      </c>
      <c r="G56">
        <f ca="1">ROUND(SUMIF(Councils!$C$6:$C$837,$A56,Councils!$G$6:$G$816)*0.7,0)</f>
        <v>1</v>
      </c>
      <c r="H56">
        <f ca="1">ROUND(SUMIF(Councils!$C$6:$C$837,$A56,Councils!$H$6:$H$816)*0.7,0)</f>
        <v>0</v>
      </c>
      <c r="I56">
        <f ca="1">ROUND(SUMIF(Councils!$C$6:$C$837,$A56,Councils!$I$6:$I$816)*0.7,0)</f>
        <v>1</v>
      </c>
      <c r="J56">
        <f ca="1">ROUND(SUMIF(Councils!$C$6:$C$837,$A56,Councils!$J$6:$J$816)*0.7,0)</f>
        <v>1</v>
      </c>
      <c r="K56">
        <f ca="1">ROUND(SUMIF(Councils!$C$6:$C$837,$A56,Councils!$K$6:$K$816)*0.7,0)</f>
        <v>0</v>
      </c>
      <c r="L56">
        <f ca="1">ROUND(SUMIF(Councils!$C$6:$C$837,$A56,Councils!$L$6:$L$816)*0.7,0)</f>
        <v>1</v>
      </c>
      <c r="M56" s="63">
        <f t="shared" ca="1" si="0"/>
        <v>0.16666666666666666</v>
      </c>
      <c r="N56">
        <f t="shared" ca="1" si="1"/>
        <v>65</v>
      </c>
    </row>
    <row r="57" spans="1:14">
      <c r="A57" s="67">
        <v>62</v>
      </c>
      <c r="B57" s="81">
        <f>IF(ISNA(VLOOKUP($A57,DD_Info!$A$1:$E$222,5,0)),0,VLOOKUP($A57,DD_Info!$A$1:$E$222,5,0))</f>
        <v>3</v>
      </c>
      <c r="C57" t="str">
        <f>IF(ISNA(VLOOKUP($A57,DD_Info!$A$1:$E$222,2,0)),0,VLOOKUP($A57,DD_Info!$A$1:$E$222,2,0))</f>
        <v>David D Colton</v>
      </c>
      <c r="D57" t="str">
        <f>IF(ISNA(VLOOKUP($A57,DD_Info!$A$1:$E$222,3,0)),0,VLOOKUP($A57,DD_Info!$A$1:$E$222,3,0))</f>
        <v>San Antonio</v>
      </c>
      <c r="E57">
        <f ca="1">ROUND(SUMIF(Councils!$C$6:$C$837,$A57,Councils!$E$6:$E$816),0)</f>
        <v>69</v>
      </c>
      <c r="F57">
        <f ca="1">ROUND(SUMIF(Councils!$C$6:$C$837,$A57,Councils!$F$6:$F$816)*0.7,0)</f>
        <v>4</v>
      </c>
      <c r="G57">
        <f ca="1">ROUND(SUMIF(Councils!$C$6:$C$837,$A57,Councils!$G$6:$G$816)*0.7,0)</f>
        <v>0</v>
      </c>
      <c r="H57">
        <f ca="1">ROUND(SUMIF(Councils!$C$6:$C$837,$A57,Councils!$H$6:$H$816)*0.7,0)</f>
        <v>0</v>
      </c>
      <c r="I57">
        <f ca="1">ROUND(SUMIF(Councils!$C$6:$C$837,$A57,Councils!$I$6:$I$816)*0.7,0)</f>
        <v>0</v>
      </c>
      <c r="J57">
        <f ca="1">ROUND(SUMIF(Councils!$C$6:$C$837,$A57,Councils!$J$6:$J$816)*0.7,0)</f>
        <v>0</v>
      </c>
      <c r="K57">
        <f ca="1">ROUND(SUMIF(Councils!$C$6:$C$837,$A57,Councils!$K$6:$K$816)*0.7,0)</f>
        <v>0</v>
      </c>
      <c r="L57">
        <f ca="1">ROUND(SUMIF(Councils!$C$6:$C$837,$A57,Councils!$L$6:$L$816)*0.7,0)</f>
        <v>0</v>
      </c>
      <c r="M57" s="63">
        <f t="shared" ca="1" si="0"/>
        <v>0</v>
      </c>
      <c r="N57">
        <f t="shared" ca="1" si="1"/>
        <v>127</v>
      </c>
    </row>
    <row r="58" spans="1:14">
      <c r="A58" s="67">
        <v>63</v>
      </c>
      <c r="B58" s="81">
        <f>IF(ISNA(VLOOKUP($A58,DD_Info!$A$1:$E$222,5,0)),0,VLOOKUP($A58,DD_Info!$A$1:$E$222,5,0))</f>
        <v>3</v>
      </c>
      <c r="C58" t="str">
        <f>IF(ISNA(VLOOKUP($A58,DD_Info!$A$1:$E$222,2,0)),0,VLOOKUP($A58,DD_Info!$A$1:$E$222,2,0))</f>
        <v>Joe  Hernandez</v>
      </c>
      <c r="D58" t="str">
        <f>IF(ISNA(VLOOKUP($A58,DD_Info!$A$1:$E$222,3,0)),0,VLOOKUP($A58,DD_Info!$A$1:$E$222,3,0))</f>
        <v>San Antonio</v>
      </c>
      <c r="E58">
        <f ca="1">ROUND(SUMIF(Councils!$C$6:$C$837,$A58,Councils!$E$6:$E$816),0)</f>
        <v>108</v>
      </c>
      <c r="F58">
        <f ca="1">ROUND(SUMIF(Councils!$C$6:$C$837,$A58,Councils!$F$6:$F$816)*0.7,0)</f>
        <v>4</v>
      </c>
      <c r="G58">
        <f ca="1">ROUND(SUMIF(Councils!$C$6:$C$837,$A58,Councils!$G$6:$G$816)*0.7,0)</f>
        <v>0</v>
      </c>
      <c r="H58">
        <f ca="1">ROUND(SUMIF(Councils!$C$6:$C$837,$A58,Councils!$H$6:$H$816)*0.7,0)</f>
        <v>0</v>
      </c>
      <c r="I58">
        <f ca="1">ROUND(SUMIF(Councils!$C$6:$C$837,$A58,Councils!$I$6:$I$816)*0.7,0)</f>
        <v>0</v>
      </c>
      <c r="J58">
        <f ca="1">ROUND(SUMIF(Councils!$C$6:$C$837,$A58,Councils!$J$6:$J$816)*0.7,0)</f>
        <v>0</v>
      </c>
      <c r="K58">
        <f ca="1">ROUND(SUMIF(Councils!$C$6:$C$837,$A58,Councils!$K$6:$K$816)*0.7,0)</f>
        <v>0</v>
      </c>
      <c r="L58">
        <f ca="1">ROUND(SUMIF(Councils!$C$6:$C$837,$A58,Councils!$L$6:$L$816)*0.7,0)</f>
        <v>0</v>
      </c>
      <c r="M58" s="63">
        <f t="shared" ca="1" si="0"/>
        <v>0</v>
      </c>
      <c r="N58">
        <f t="shared" ca="1" si="1"/>
        <v>127</v>
      </c>
    </row>
    <row r="59" spans="1:14">
      <c r="A59" s="67">
        <v>64</v>
      </c>
      <c r="B59" s="81">
        <f>IF(ISNA(VLOOKUP($A59,DD_Info!$A$1:$E$222,5,0)),0,VLOOKUP($A59,DD_Info!$A$1:$E$222,5,0))</f>
        <v>3</v>
      </c>
      <c r="C59" t="str">
        <f>IF(ISNA(VLOOKUP($A59,DD_Info!$A$1:$E$222,2,0)),0,VLOOKUP($A59,DD_Info!$A$1:$E$222,2,0))</f>
        <v>Rafael 'RC' Canamar</v>
      </c>
      <c r="D59" t="str">
        <f>IF(ISNA(VLOOKUP($A59,DD_Info!$A$1:$E$222,3,0)),0,VLOOKUP($A59,DD_Info!$A$1:$E$222,3,0))</f>
        <v>Galv/Hous</v>
      </c>
      <c r="E59">
        <f ca="1">ROUND(SUMIF(Councils!$C$6:$C$837,$A59,Councils!$E$6:$E$816),0)</f>
        <v>123</v>
      </c>
      <c r="F59">
        <f ca="1">ROUND(SUMIF(Councils!$C$6:$C$837,$A59,Councils!$F$6:$F$816)*0.7,0)</f>
        <v>4</v>
      </c>
      <c r="G59">
        <f ca="1">ROUND(SUMIF(Councils!$C$6:$C$837,$A59,Councils!$G$6:$G$816)*0.7,0)</f>
        <v>0</v>
      </c>
      <c r="H59">
        <f ca="1">ROUND(SUMIF(Councils!$C$6:$C$837,$A59,Councils!$H$6:$H$816)*0.7,0)</f>
        <v>0</v>
      </c>
      <c r="I59">
        <f ca="1">ROUND(SUMIF(Councils!$C$6:$C$837,$A59,Councils!$I$6:$I$816)*0.7,0)</f>
        <v>0</v>
      </c>
      <c r="J59">
        <f ca="1">ROUND(SUMIF(Councils!$C$6:$C$837,$A59,Councils!$J$6:$J$816)*0.7,0)</f>
        <v>0</v>
      </c>
      <c r="K59">
        <f ca="1">ROUND(SUMIF(Councils!$C$6:$C$837,$A59,Councils!$K$6:$K$816)*0.7,0)</f>
        <v>0</v>
      </c>
      <c r="L59">
        <f ca="1">ROUND(SUMIF(Councils!$C$6:$C$837,$A59,Councils!$L$6:$L$816)*0.7,0)</f>
        <v>0</v>
      </c>
      <c r="M59" s="63">
        <f ca="1">IFERROR(L59/F59,0)</f>
        <v>0</v>
      </c>
      <c r="N59">
        <f t="shared" ca="1" si="1"/>
        <v>127</v>
      </c>
    </row>
    <row r="60" spans="1:14">
      <c r="A60" s="67">
        <v>66</v>
      </c>
      <c r="B60" s="81">
        <f>IF(ISNA(VLOOKUP($A60,DD_Info!$A$1:$E$222,5,0)),0,VLOOKUP($A60,DD_Info!$A$1:$E$222,5,0))</f>
        <v>1</v>
      </c>
      <c r="C60" t="str">
        <f>IF(ISNA(VLOOKUP($A60,DD_Info!$A$1:$E$222,2,0)),0,VLOOKUP($A60,DD_Info!$A$1:$E$222,2,0))</f>
        <v>Mark L Jasek</v>
      </c>
      <c r="D60" t="str">
        <f>IF(ISNA(VLOOKUP($A60,DD_Info!$A$1:$E$222,3,0)),0,VLOOKUP($A60,DD_Info!$A$1:$E$222,3,0))</f>
        <v>Galv/Hous</v>
      </c>
      <c r="E60">
        <f ca="1">ROUND(SUMIF(Councils!$C$6:$C$837,$A60,Councils!$E$6:$E$816),0)</f>
        <v>671</v>
      </c>
      <c r="F60">
        <f ca="1">ROUND(SUMIF(Councils!$C$6:$C$837,$A60,Councils!$F$6:$F$816)*0.7,0)</f>
        <v>22</v>
      </c>
      <c r="G60">
        <f ca="1">ROUND(SUMIF(Councils!$C$6:$C$837,$A60,Councils!$G$6:$G$816)*0.7,0)</f>
        <v>0</v>
      </c>
      <c r="H60">
        <f ca="1">ROUND(SUMIF(Councils!$C$6:$C$837,$A60,Councils!$H$6:$H$816)*0.7,0)</f>
        <v>0</v>
      </c>
      <c r="I60">
        <f ca="1">ROUND(SUMIF(Councils!$C$6:$C$837,$A60,Councils!$I$6:$I$816)*0.7,0)</f>
        <v>0</v>
      </c>
      <c r="J60">
        <f ca="1">ROUND(SUMIF(Councils!$C$6:$C$837,$A60,Councils!$J$6:$J$816)*0.7,0)</f>
        <v>1</v>
      </c>
      <c r="K60">
        <f ca="1">ROUND(SUMIF(Councils!$C$6:$C$837,$A60,Councils!$K$6:$K$816)*0.7,0)</f>
        <v>0</v>
      </c>
      <c r="L60">
        <f ca="1">ROUND(SUMIF(Councils!$C$6:$C$837,$A60,Councils!$L$6:$L$816)*0.7,0)</f>
        <v>1</v>
      </c>
      <c r="M60" s="63">
        <f t="shared" ca="1" si="0"/>
        <v>4.5454545454545456E-2</v>
      </c>
      <c r="N60">
        <f t="shared" ca="1" si="1"/>
        <v>120</v>
      </c>
    </row>
    <row r="61" spans="1:14">
      <c r="A61" s="67">
        <v>67</v>
      </c>
      <c r="B61" s="81">
        <f>IF(ISNA(VLOOKUP($A61,DD_Info!$A$1:$E$222,5,0)),0,VLOOKUP($A61,DD_Info!$A$1:$E$222,5,0))</f>
        <v>2</v>
      </c>
      <c r="C61" t="str">
        <f>IF(ISNA(VLOOKUP($A61,DD_Info!$A$1:$E$222,2,0)),0,VLOOKUP($A61,DD_Info!$A$1:$E$222,2,0))</f>
        <v>Raul R Maldonado</v>
      </c>
      <c r="D61" t="str">
        <f>IF(ISNA(VLOOKUP($A61,DD_Info!$A$1:$E$222,3,0)),0,VLOOKUP($A61,DD_Info!$A$1:$E$222,3,0))</f>
        <v>Galv/Hous</v>
      </c>
      <c r="E61">
        <f ca="1">ROUND(SUMIF(Councils!$C$6:$C$837,$A61,Councils!$E$6:$E$816),0)</f>
        <v>489</v>
      </c>
      <c r="F61">
        <f ca="1">ROUND(SUMIF(Councils!$C$6:$C$837,$A61,Councils!$F$6:$F$816)*0.7,0)</f>
        <v>17</v>
      </c>
      <c r="G61">
        <f ca="1">ROUND(SUMIF(Councils!$C$6:$C$837,$A61,Councils!$G$6:$G$816)*0.7,0)</f>
        <v>0</v>
      </c>
      <c r="H61">
        <f ca="1">ROUND(SUMIF(Councils!$C$6:$C$837,$A61,Councils!$H$6:$H$816)*0.7,0)</f>
        <v>0</v>
      </c>
      <c r="I61">
        <f ca="1">ROUND(SUMIF(Councils!$C$6:$C$837,$A61,Councils!$I$6:$I$816)*0.7,0)</f>
        <v>0</v>
      </c>
      <c r="J61">
        <f ca="1">ROUND(SUMIF(Councils!$C$6:$C$837,$A61,Councils!$J$6:$J$816)*0.7,0)</f>
        <v>2</v>
      </c>
      <c r="K61">
        <f ca="1">ROUND(SUMIF(Councils!$C$6:$C$837,$A61,Councils!$K$6:$K$816)*0.7,0)</f>
        <v>0</v>
      </c>
      <c r="L61">
        <f ca="1">ROUND(SUMIF(Councils!$C$6:$C$837,$A61,Councils!$L$6:$L$816)*0.7,0)</f>
        <v>2</v>
      </c>
      <c r="M61" s="63">
        <f t="shared" ca="1" si="0"/>
        <v>0.11764705882352941</v>
      </c>
      <c r="N61">
        <f t="shared" ca="1" si="1"/>
        <v>80</v>
      </c>
    </row>
    <row r="62" spans="1:14">
      <c r="A62" s="67">
        <v>68</v>
      </c>
      <c r="B62" s="81">
        <f>IF(ISNA(VLOOKUP($A62,DD_Info!$A$1:$E$222,5,0)),0,VLOOKUP($A62,DD_Info!$A$1:$E$222,5,0))</f>
        <v>1</v>
      </c>
      <c r="C62" t="str">
        <f>IF(ISNA(VLOOKUP($A62,DD_Info!$A$1:$E$222,2,0)),0,VLOOKUP($A62,DD_Info!$A$1:$E$222,2,0))</f>
        <v>Dennis J Doherty</v>
      </c>
      <c r="D62" t="str">
        <f>IF(ISNA(VLOOKUP($A62,DD_Info!$A$1:$E$222,3,0)),0,VLOOKUP($A62,DD_Info!$A$1:$E$222,3,0))</f>
        <v>Galv/Hous</v>
      </c>
      <c r="E62">
        <f ca="1">ROUND(SUMIF(Councils!$C$6:$C$837,$A62,Councils!$E$6:$E$816),0)</f>
        <v>949</v>
      </c>
      <c r="F62">
        <f ca="1">ROUND(SUMIF(Councils!$C$6:$C$837,$A62,Councils!$F$6:$F$816)*0.7,0)</f>
        <v>32</v>
      </c>
      <c r="G62">
        <f ca="1">ROUND(SUMIF(Councils!$C$6:$C$837,$A62,Councils!$G$6:$G$816)*0.7,0)</f>
        <v>1</v>
      </c>
      <c r="H62">
        <f ca="1">ROUND(SUMIF(Councils!$C$6:$C$837,$A62,Councils!$H$6:$H$816)*0.7,0)</f>
        <v>1</v>
      </c>
      <c r="I62">
        <f ca="1">ROUND(SUMIF(Councils!$C$6:$C$837,$A62,Councils!$I$6:$I$816)*0.7,0)</f>
        <v>0</v>
      </c>
      <c r="J62">
        <f ca="1">ROUND(SUMIF(Councils!$C$6:$C$837,$A62,Councils!$J$6:$J$816)*0.7,0)</f>
        <v>4</v>
      </c>
      <c r="K62">
        <f ca="1">ROUND(SUMIF(Councils!$C$6:$C$837,$A62,Councils!$K$6:$K$816)*0.7,0)</f>
        <v>1</v>
      </c>
      <c r="L62">
        <f ca="1">ROUND(SUMIF(Councils!$C$6:$C$837,$A62,Councils!$L$6:$L$816)*0.7,0)</f>
        <v>3</v>
      </c>
      <c r="M62" s="63">
        <f t="shared" ca="1" si="0"/>
        <v>9.375E-2</v>
      </c>
      <c r="N62">
        <f t="shared" ca="1" si="1"/>
        <v>87</v>
      </c>
    </row>
    <row r="63" spans="1:14">
      <c r="A63" s="67">
        <v>69</v>
      </c>
      <c r="B63" s="81">
        <f>IF(ISNA(VLOOKUP($A63,DD_Info!$A$1:$E$222,5,0)),0,VLOOKUP($A63,DD_Info!$A$1:$E$222,5,0))</f>
        <v>1</v>
      </c>
      <c r="C63" t="str">
        <f>IF(ISNA(VLOOKUP($A63,DD_Info!$A$1:$E$222,2,0)),0,VLOOKUP($A63,DD_Info!$A$1:$E$222,2,0))</f>
        <v>Robert  Guerrero Jr</v>
      </c>
      <c r="D63" t="str">
        <f>IF(ISNA(VLOOKUP($A63,DD_Info!$A$1:$E$222,3,0)),0,VLOOKUP($A63,DD_Info!$A$1:$E$222,3,0))</f>
        <v>Galv/Hous</v>
      </c>
      <c r="E63">
        <f ca="1">ROUND(SUMIF(Councils!$C$6:$C$837,$A63,Councils!$E$6:$E$816),0)</f>
        <v>607</v>
      </c>
      <c r="F63">
        <f ca="1">ROUND(SUMIF(Councils!$C$6:$C$837,$A63,Councils!$F$6:$F$816)*0.7,0)</f>
        <v>20</v>
      </c>
      <c r="G63">
        <f ca="1">ROUND(SUMIF(Councils!$C$6:$C$837,$A63,Councils!$G$6:$G$816)*0.7,0)</f>
        <v>0</v>
      </c>
      <c r="H63">
        <f ca="1">ROUND(SUMIF(Councils!$C$6:$C$837,$A63,Councils!$H$6:$H$816)*0.7,0)</f>
        <v>0</v>
      </c>
      <c r="I63">
        <f ca="1">ROUND(SUMIF(Councils!$C$6:$C$837,$A63,Councils!$I$6:$I$816)*0.7,0)</f>
        <v>0</v>
      </c>
      <c r="J63">
        <f ca="1">ROUND(SUMIF(Councils!$C$6:$C$837,$A63,Councils!$J$6:$J$816)*0.7,0)</f>
        <v>3</v>
      </c>
      <c r="K63">
        <f ca="1">ROUND(SUMIF(Councils!$C$6:$C$837,$A63,Councils!$K$6:$K$816)*0.7,0)</f>
        <v>16</v>
      </c>
      <c r="L63">
        <f ca="1">ROUND(SUMIF(Councils!$C$6:$C$837,$A63,Councils!$L$6:$L$816)*0.7,0)</f>
        <v>-13</v>
      </c>
      <c r="M63" s="63">
        <f t="shared" ca="1" si="0"/>
        <v>-0.65</v>
      </c>
      <c r="N63">
        <f t="shared" ca="1" si="1"/>
        <v>201</v>
      </c>
    </row>
    <row r="64" spans="1:14">
      <c r="A64" s="67">
        <v>70</v>
      </c>
      <c r="B64" s="81">
        <f>IF(ISNA(VLOOKUP($A64,DD_Info!$A$1:$E$222,5,0)),0,VLOOKUP($A64,DD_Info!$A$1:$E$222,5,0))</f>
        <v>1</v>
      </c>
      <c r="C64" t="str">
        <f>IF(ISNA(VLOOKUP($A64,DD_Info!$A$1:$E$222,2,0)),0,VLOOKUP($A64,DD_Info!$A$1:$E$222,2,0))</f>
        <v>Joseph E Maloy</v>
      </c>
      <c r="D64" t="str">
        <f>IF(ISNA(VLOOKUP($A64,DD_Info!$A$1:$E$222,3,0)),0,VLOOKUP($A64,DD_Info!$A$1:$E$222,3,0))</f>
        <v>Galv/Hous</v>
      </c>
      <c r="E64">
        <f ca="1">ROUND(SUMIF(Councils!$C$6:$C$837,$A64,Councils!$E$6:$E$816),0)</f>
        <v>643</v>
      </c>
      <c r="F64">
        <f ca="1">ROUND(SUMIF(Councils!$C$6:$C$837,$A64,Councils!$F$6:$F$816)*0.7,0)</f>
        <v>22</v>
      </c>
      <c r="G64">
        <f ca="1">ROUND(SUMIF(Councils!$C$6:$C$837,$A64,Councils!$G$6:$G$816)*0.7,0)</f>
        <v>0</v>
      </c>
      <c r="H64">
        <f ca="1">ROUND(SUMIF(Councils!$C$6:$C$837,$A64,Councils!$H$6:$H$816)*0.7,0)</f>
        <v>0</v>
      </c>
      <c r="I64">
        <f ca="1">ROUND(SUMIF(Councils!$C$6:$C$837,$A64,Councils!$I$6:$I$816)*0.7,0)</f>
        <v>0</v>
      </c>
      <c r="J64">
        <f ca="1">ROUND(SUMIF(Councils!$C$6:$C$837,$A64,Councils!$J$6:$J$816)*0.7,0)</f>
        <v>8</v>
      </c>
      <c r="K64">
        <f ca="1">ROUND(SUMIF(Councils!$C$6:$C$837,$A64,Councils!$K$6:$K$816)*0.7,0)</f>
        <v>0</v>
      </c>
      <c r="L64">
        <f ca="1">ROUND(SUMIF(Councils!$C$6:$C$837,$A64,Councils!$L$6:$L$816)*0.7,0)</f>
        <v>8</v>
      </c>
      <c r="M64" s="63">
        <f t="shared" ca="1" si="0"/>
        <v>0.36363636363636365</v>
      </c>
      <c r="N64">
        <f t="shared" ca="1" si="1"/>
        <v>29</v>
      </c>
    </row>
    <row r="65" spans="1:14">
      <c r="A65" s="67">
        <v>71</v>
      </c>
      <c r="B65" s="81">
        <f>IF(ISNA(VLOOKUP($A65,DD_Info!$A$1:$E$222,5,0)),0,VLOOKUP($A65,DD_Info!$A$1:$E$222,5,0))</f>
        <v>1</v>
      </c>
      <c r="C65" t="str">
        <f>IF(ISNA(VLOOKUP($A65,DD_Info!$A$1:$E$222,2,0)),0,VLOOKUP($A65,DD_Info!$A$1:$E$222,2,0))</f>
        <v>E.J. "Jerry"  Moch Jr</v>
      </c>
      <c r="D65" t="str">
        <f>IF(ISNA(VLOOKUP($A65,DD_Info!$A$1:$E$222,3,0)),0,VLOOKUP($A65,DD_Info!$A$1:$E$222,3,0))</f>
        <v>Galv/Hous</v>
      </c>
      <c r="E65">
        <f ca="1">ROUND(SUMIF(Councils!$C$6:$C$837,$A65,Councils!$E$6:$E$816),0)</f>
        <v>707</v>
      </c>
      <c r="F65">
        <f ca="1">ROUND(SUMIF(Councils!$C$6:$C$837,$A65,Councils!$F$6:$F$816)*0.7,0)</f>
        <v>25</v>
      </c>
      <c r="G65">
        <f ca="1">ROUND(SUMIF(Councils!$C$6:$C$837,$A65,Councils!$G$6:$G$816)*0.7,0)</f>
        <v>1</v>
      </c>
      <c r="H65">
        <f ca="1">ROUND(SUMIF(Councils!$C$6:$C$837,$A65,Councils!$H$6:$H$816)*0.7,0)</f>
        <v>0</v>
      </c>
      <c r="I65">
        <f ca="1">ROUND(SUMIF(Councils!$C$6:$C$837,$A65,Councils!$I$6:$I$816)*0.7,0)</f>
        <v>1</v>
      </c>
      <c r="J65">
        <f ca="1">ROUND(SUMIF(Councils!$C$6:$C$837,$A65,Councils!$J$6:$J$816)*0.7,0)</f>
        <v>10</v>
      </c>
      <c r="K65">
        <f ca="1">ROUND(SUMIF(Councils!$C$6:$C$837,$A65,Councils!$K$6:$K$816)*0.7,0)</f>
        <v>1</v>
      </c>
      <c r="L65">
        <f ca="1">ROUND(SUMIF(Councils!$C$6:$C$837,$A65,Councils!$L$6:$L$816)*0.7,0)</f>
        <v>9</v>
      </c>
      <c r="M65" s="63">
        <f t="shared" ca="1" si="0"/>
        <v>0.36</v>
      </c>
      <c r="N65">
        <f t="shared" ca="1" si="1"/>
        <v>33</v>
      </c>
    </row>
    <row r="66" spans="1:14">
      <c r="A66" s="67">
        <v>72</v>
      </c>
      <c r="B66" s="81">
        <f>IF(ISNA(VLOOKUP($A66,DD_Info!$A$1:$E$222,5,0)),0,VLOOKUP($A66,DD_Info!$A$1:$E$222,5,0))</f>
        <v>2</v>
      </c>
      <c r="C66" t="str">
        <f>IF(ISNA(VLOOKUP($A66,DD_Info!$A$1:$E$222,2,0)),0,VLOOKUP($A66,DD_Info!$A$1:$E$222,2,0))</f>
        <v>Anthony P Scarpa</v>
      </c>
      <c r="D66" t="str">
        <f>IF(ISNA(VLOOKUP($A66,DD_Info!$A$1:$E$222,3,0)),0,VLOOKUP($A66,DD_Info!$A$1:$E$222,3,0))</f>
        <v>Galv/Hous</v>
      </c>
      <c r="E66">
        <f ca="1">ROUND(SUMIF(Councils!$C$6:$C$837,$A66,Councils!$E$6:$E$816),0)</f>
        <v>508</v>
      </c>
      <c r="F66">
        <f ca="1">ROUND(SUMIF(Councils!$C$6:$C$837,$A66,Councils!$F$6:$F$816)*0.7,0)</f>
        <v>17</v>
      </c>
      <c r="G66">
        <f ca="1">ROUND(SUMIF(Councils!$C$6:$C$837,$A66,Councils!$G$6:$G$816)*0.7,0)</f>
        <v>0</v>
      </c>
      <c r="H66">
        <f ca="1">ROUND(SUMIF(Councils!$C$6:$C$837,$A66,Councils!$H$6:$H$816)*0.7,0)</f>
        <v>0</v>
      </c>
      <c r="I66">
        <f ca="1">ROUND(SUMIF(Councils!$C$6:$C$837,$A66,Councils!$I$6:$I$816)*0.7,0)</f>
        <v>0</v>
      </c>
      <c r="J66">
        <f ca="1">ROUND(SUMIF(Councils!$C$6:$C$837,$A66,Councils!$J$6:$J$816)*0.7,0)</f>
        <v>0</v>
      </c>
      <c r="K66">
        <f ca="1">ROUND(SUMIF(Councils!$C$6:$C$837,$A66,Councils!$K$6:$K$816)*0.7,0)</f>
        <v>0</v>
      </c>
      <c r="L66">
        <f ca="1">ROUND(SUMIF(Councils!$C$6:$C$837,$A66,Councils!$L$6:$L$816)*0.7,0)</f>
        <v>0</v>
      </c>
      <c r="M66" s="63">
        <f t="shared" ca="1" si="0"/>
        <v>0</v>
      </c>
      <c r="N66">
        <f t="shared" ref="N66:N130" ca="1" si="2">RANK(M66,$M$2:$M$212,0)</f>
        <v>127</v>
      </c>
    </row>
    <row r="67" spans="1:14">
      <c r="A67" s="67">
        <v>73</v>
      </c>
      <c r="B67" s="81">
        <f>IF(ISNA(VLOOKUP($A67,DD_Info!$A$1:$E$222,5,0)),0,VLOOKUP($A67,DD_Info!$A$1:$E$222,5,0))</f>
        <v>2</v>
      </c>
      <c r="C67" t="str">
        <f>IF(ISNA(VLOOKUP($A67,DD_Info!$A$1:$E$222,2,0)),0,VLOOKUP($A67,DD_Info!$A$1:$E$222,2,0))</f>
        <v>Rudy  Ordaz</v>
      </c>
      <c r="D67" t="str">
        <f>IF(ISNA(VLOOKUP($A67,DD_Info!$A$1:$E$222,3,0)),0,VLOOKUP($A67,DD_Info!$A$1:$E$222,3,0))</f>
        <v>Galv/Hous</v>
      </c>
      <c r="E67">
        <f ca="1">ROUND(SUMIF(Councils!$C$6:$C$837,$A67,Councils!$E$6:$E$816),0)</f>
        <v>461</v>
      </c>
      <c r="F67">
        <f ca="1">ROUND(SUMIF(Councils!$C$6:$C$837,$A67,Councils!$F$6:$F$816)*0.7,0)</f>
        <v>16</v>
      </c>
      <c r="G67">
        <f ca="1">ROUND(SUMIF(Councils!$C$6:$C$837,$A67,Councils!$G$6:$G$816)*0.7,0)</f>
        <v>0</v>
      </c>
      <c r="H67">
        <f ca="1">ROUND(SUMIF(Councils!$C$6:$C$837,$A67,Councils!$H$6:$H$816)*0.7,0)</f>
        <v>0</v>
      </c>
      <c r="I67">
        <f ca="1">ROUND(SUMIF(Councils!$C$6:$C$837,$A67,Councils!$I$6:$I$816)*0.7,0)</f>
        <v>0</v>
      </c>
      <c r="J67">
        <f ca="1">ROUND(SUMIF(Councils!$C$6:$C$837,$A67,Councils!$J$6:$J$816)*0.7,0)</f>
        <v>1</v>
      </c>
      <c r="K67">
        <f ca="1">ROUND(SUMIF(Councils!$C$6:$C$837,$A67,Councils!$K$6:$K$816)*0.7,0)</f>
        <v>16</v>
      </c>
      <c r="L67">
        <f ca="1">ROUND(SUMIF(Councils!$C$6:$C$837,$A67,Councils!$L$6:$L$816)*0.7,0)</f>
        <v>-15</v>
      </c>
      <c r="M67" s="63">
        <f t="shared" ca="1" si="0"/>
        <v>-0.9375</v>
      </c>
      <c r="N67">
        <f t="shared" ca="1" si="2"/>
        <v>207</v>
      </c>
    </row>
    <row r="68" spans="1:14">
      <c r="A68" s="67">
        <v>74</v>
      </c>
      <c r="B68" s="81">
        <f>IF(ISNA(VLOOKUP($A68,DD_Info!$A$1:$E$222,5,0)),0,VLOOKUP($A68,DD_Info!$A$1:$E$222,5,0))</f>
        <v>1</v>
      </c>
      <c r="C68" t="str">
        <f>IF(ISNA(VLOOKUP($A68,DD_Info!$A$1:$E$222,2,0)),0,VLOOKUP($A68,DD_Info!$A$1:$E$222,2,0))</f>
        <v>Brian  Kozel</v>
      </c>
      <c r="D68" t="str">
        <f>IF(ISNA(VLOOKUP($A68,DD_Info!$A$1:$E$222,3,0)),0,VLOOKUP($A68,DD_Info!$A$1:$E$222,3,0))</f>
        <v>Galv/Hous</v>
      </c>
      <c r="E68">
        <f ca="1">ROUND(SUMIF(Councils!$C$6:$C$837,$A68,Councils!$E$6:$E$816),0)</f>
        <v>1114</v>
      </c>
      <c r="F68">
        <f ca="1">ROUND(SUMIF(Councils!$C$6:$C$837,$A68,Councils!$F$6:$F$816)*0.7,0)</f>
        <v>35</v>
      </c>
      <c r="G68">
        <f ca="1">ROUND(SUMIF(Councils!$C$6:$C$837,$A68,Councils!$G$6:$G$816)*0.7,0)</f>
        <v>0</v>
      </c>
      <c r="H68">
        <f ca="1">ROUND(SUMIF(Councils!$C$6:$C$837,$A68,Councils!$H$6:$H$816)*0.7,0)</f>
        <v>1</v>
      </c>
      <c r="I68">
        <f ca="1">ROUND(SUMIF(Councils!$C$6:$C$837,$A68,Councils!$I$6:$I$816)*0.7,0)</f>
        <v>-1</v>
      </c>
      <c r="J68">
        <f ca="1">ROUND(SUMIF(Councils!$C$6:$C$837,$A68,Councils!$J$6:$J$816)*0.7,0)</f>
        <v>5</v>
      </c>
      <c r="K68">
        <f ca="1">ROUND(SUMIF(Councils!$C$6:$C$837,$A68,Councils!$K$6:$K$816)*0.7,0)</f>
        <v>36</v>
      </c>
      <c r="L68">
        <f ca="1">ROUND(SUMIF(Councils!$C$6:$C$837,$A68,Councils!$L$6:$L$816)*0.7,0)</f>
        <v>-32</v>
      </c>
      <c r="M68" s="63">
        <f t="shared" ca="1" si="0"/>
        <v>-0.91428571428571426</v>
      </c>
      <c r="N68">
        <f t="shared" ca="1" si="2"/>
        <v>206</v>
      </c>
    </row>
    <row r="69" spans="1:14">
      <c r="A69" s="67">
        <v>75</v>
      </c>
      <c r="B69" s="81">
        <f>IF(ISNA(VLOOKUP($A69,DD_Info!$A$1:$E$222,5,0)),0,VLOOKUP($A69,DD_Info!$A$1:$E$222,5,0))</f>
        <v>1</v>
      </c>
      <c r="C69" t="str">
        <f>IF(ISNA(VLOOKUP($A69,DD_Info!$A$1:$E$222,2,0)),0,VLOOKUP($A69,DD_Info!$A$1:$E$222,2,0))</f>
        <v>Michael  Appling</v>
      </c>
      <c r="D69" t="str">
        <f>IF(ISNA(VLOOKUP($A69,DD_Info!$A$1:$E$222,3,0)),0,VLOOKUP($A69,DD_Info!$A$1:$E$222,3,0))</f>
        <v>Galv/Hous</v>
      </c>
      <c r="E69">
        <f ca="1">ROUND(SUMIF(Councils!$C$6:$C$837,$A69,Councils!$E$6:$E$816),0)</f>
        <v>1120</v>
      </c>
      <c r="F69">
        <f ca="1">ROUND(SUMIF(Councils!$C$6:$C$837,$A69,Councils!$F$6:$F$816)*0.7,0)</f>
        <v>39</v>
      </c>
      <c r="G69">
        <f ca="1">ROUND(SUMIF(Councils!$C$6:$C$837,$A69,Councils!$G$6:$G$816)*0.7,0)</f>
        <v>1</v>
      </c>
      <c r="H69">
        <f ca="1">ROUND(SUMIF(Councils!$C$6:$C$837,$A69,Councils!$H$6:$H$816)*0.7,0)</f>
        <v>2</v>
      </c>
      <c r="I69">
        <f ca="1">ROUND(SUMIF(Councils!$C$6:$C$837,$A69,Councils!$I$6:$I$816)*0.7,0)</f>
        <v>-1</v>
      </c>
      <c r="J69">
        <f ca="1">ROUND(SUMIF(Councils!$C$6:$C$837,$A69,Councils!$J$6:$J$816)*0.7,0)</f>
        <v>4</v>
      </c>
      <c r="K69">
        <f ca="1">ROUND(SUMIF(Councils!$C$6:$C$837,$A69,Councils!$K$6:$K$816)*0.7,0)</f>
        <v>4</v>
      </c>
      <c r="L69">
        <f ca="1">ROUND(SUMIF(Councils!$C$6:$C$837,$A69,Councils!$L$6:$L$816)*0.7,0)</f>
        <v>0</v>
      </c>
      <c r="M69" s="63">
        <f t="shared" ref="M69:M133" ca="1" si="3">IFERROR(L69/F69,0)</f>
        <v>0</v>
      </c>
      <c r="N69">
        <f t="shared" ca="1" si="2"/>
        <v>127</v>
      </c>
    </row>
    <row r="70" spans="1:14">
      <c r="A70" s="67">
        <v>76</v>
      </c>
      <c r="B70" s="81">
        <f>IF(ISNA(VLOOKUP($A70,DD_Info!$A$1:$E$222,5,0)),0,VLOOKUP($A70,DD_Info!$A$1:$E$222,5,0))</f>
        <v>3</v>
      </c>
      <c r="C70" t="str">
        <f>IF(ISNA(VLOOKUP($A70,DD_Info!$A$1:$E$222,2,0)),0,VLOOKUP($A70,DD_Info!$A$1:$E$222,2,0))</f>
        <v>Francisco  Carpinteyro</v>
      </c>
      <c r="D70" t="str">
        <f>IF(ISNA(VLOOKUP($A70,DD_Info!$A$1:$E$222,3,0)),0,VLOOKUP($A70,DD_Info!$A$1:$E$222,3,0))</f>
        <v>Galv/Hous</v>
      </c>
      <c r="E70">
        <f ca="1">ROUND(SUMIF(Councils!$C$6:$C$837,$A70,Councils!$E$6:$E$816),0)</f>
        <v>200</v>
      </c>
      <c r="F70">
        <f ca="1">ROUND(SUMIF(Councils!$C$6:$C$837,$A70,Councils!$F$6:$F$816)*0.7,0)</f>
        <v>7</v>
      </c>
      <c r="G70">
        <f ca="1">ROUND(SUMIF(Councils!$C$6:$C$837,$A70,Councils!$G$6:$G$816)*0.7,0)</f>
        <v>0</v>
      </c>
      <c r="H70">
        <f ca="1">ROUND(SUMIF(Councils!$C$6:$C$837,$A70,Councils!$H$6:$H$816)*0.7,0)</f>
        <v>0</v>
      </c>
      <c r="I70">
        <f ca="1">ROUND(SUMIF(Councils!$C$6:$C$837,$A70,Councils!$I$6:$I$816)*0.7,0)</f>
        <v>0</v>
      </c>
      <c r="J70">
        <f ca="1">ROUND(SUMIF(Councils!$C$6:$C$837,$A70,Councils!$J$6:$J$816)*0.7,0)</f>
        <v>0</v>
      </c>
      <c r="K70">
        <f ca="1">ROUND(SUMIF(Councils!$C$6:$C$837,$A70,Councils!$K$6:$K$816)*0.7,0)</f>
        <v>0</v>
      </c>
      <c r="L70">
        <f ca="1">ROUND(SUMIF(Councils!$C$6:$C$837,$A70,Councils!$L$6:$L$816)*0.7,0)</f>
        <v>0</v>
      </c>
      <c r="M70" s="63">
        <f t="shared" ca="1" si="3"/>
        <v>0</v>
      </c>
      <c r="N70">
        <f t="shared" ca="1" si="2"/>
        <v>127</v>
      </c>
    </row>
    <row r="71" spans="1:14">
      <c r="A71" s="67">
        <v>77</v>
      </c>
      <c r="B71" s="81">
        <f>IF(ISNA(VLOOKUP($A71,DD_Info!$A$1:$E$222,5,0)),0,VLOOKUP($A71,DD_Info!$A$1:$E$222,5,0))</f>
        <v>2</v>
      </c>
      <c r="C71" t="str">
        <f>IF(ISNA(VLOOKUP($A71,DD_Info!$A$1:$E$222,2,0)),0,VLOOKUP($A71,DD_Info!$A$1:$E$222,2,0))</f>
        <v>Manuel  Cervantes</v>
      </c>
      <c r="D71" t="str">
        <f>IF(ISNA(VLOOKUP($A71,DD_Info!$A$1:$E$222,3,0)),0,VLOOKUP($A71,DD_Info!$A$1:$E$222,3,0))</f>
        <v>Galv/Hous</v>
      </c>
      <c r="E71">
        <f ca="1">ROUND(SUMIF(Councils!$C$6:$C$837,$A71,Councils!$E$6:$E$816),0)</f>
        <v>368</v>
      </c>
      <c r="F71">
        <f ca="1">ROUND(SUMIF(Councils!$C$6:$C$837,$A71,Councils!$F$6:$F$816)*0.7,0)</f>
        <v>13</v>
      </c>
      <c r="G71">
        <f ca="1">ROUND(SUMIF(Councils!$C$6:$C$837,$A71,Councils!$G$6:$G$816)*0.7,0)</f>
        <v>3</v>
      </c>
      <c r="H71">
        <f ca="1">ROUND(SUMIF(Councils!$C$6:$C$837,$A71,Councils!$H$6:$H$816)*0.7,0)</f>
        <v>0</v>
      </c>
      <c r="I71">
        <f ca="1">ROUND(SUMIF(Councils!$C$6:$C$837,$A71,Councils!$I$6:$I$816)*0.7,0)</f>
        <v>3</v>
      </c>
      <c r="J71">
        <f ca="1">ROUND(SUMIF(Councils!$C$6:$C$837,$A71,Councils!$J$6:$J$816)*0.7,0)</f>
        <v>15</v>
      </c>
      <c r="K71">
        <f ca="1">ROUND(SUMIF(Councils!$C$6:$C$837,$A71,Councils!$K$6:$K$816)*0.7,0)</f>
        <v>0</v>
      </c>
      <c r="L71">
        <f ca="1">ROUND(SUMIF(Councils!$C$6:$C$837,$A71,Councils!$L$6:$L$816)*0.7,0)</f>
        <v>15</v>
      </c>
      <c r="M71" s="63">
        <f t="shared" ca="1" si="3"/>
        <v>1.1538461538461537</v>
      </c>
      <c r="N71">
        <f t="shared" ca="1" si="2"/>
        <v>2</v>
      </c>
    </row>
    <row r="72" spans="1:14">
      <c r="A72" s="67">
        <v>78</v>
      </c>
      <c r="B72" s="81">
        <f>IF(ISNA(VLOOKUP($A72,DD_Info!$A$1:$E$222,5,0)),0,VLOOKUP($A72,DD_Info!$A$1:$E$222,5,0))</f>
        <v>3</v>
      </c>
      <c r="C72" t="str">
        <f>IF(ISNA(VLOOKUP($A72,DD_Info!$A$1:$E$222,2,0)),0,VLOOKUP($A72,DD_Info!$A$1:$E$222,2,0))</f>
        <v>Ernest Garcia</v>
      </c>
      <c r="D72" t="str">
        <f>IF(ISNA(VLOOKUP($A72,DD_Info!$A$1:$E$222,3,0)),0,VLOOKUP($A72,DD_Info!$A$1:$E$222,3,0))</f>
        <v>Galv/Hous</v>
      </c>
      <c r="E72">
        <f ca="1">ROUND(SUMIF(Councils!$C$6:$C$837,$A72,Councils!$E$6:$E$816),0)</f>
        <v>223</v>
      </c>
      <c r="F72">
        <f ca="1">ROUND(SUMIF(Councils!$C$6:$C$837,$A72,Councils!$F$6:$F$816)*0.7,0)</f>
        <v>8</v>
      </c>
      <c r="G72">
        <f ca="1">ROUND(SUMIF(Councils!$C$6:$C$837,$A72,Councils!$G$6:$G$816)*0.7,0)</f>
        <v>0</v>
      </c>
      <c r="H72">
        <f ca="1">ROUND(SUMIF(Councils!$C$6:$C$837,$A72,Councils!$H$6:$H$816)*0.7,0)</f>
        <v>0</v>
      </c>
      <c r="I72">
        <f ca="1">ROUND(SUMIF(Councils!$C$6:$C$837,$A72,Councils!$I$6:$I$816)*0.7,0)</f>
        <v>0</v>
      </c>
      <c r="J72">
        <f ca="1">ROUND(SUMIF(Councils!$C$6:$C$837,$A72,Councils!$J$6:$J$816)*0.7,0)</f>
        <v>1</v>
      </c>
      <c r="K72">
        <f ca="1">ROUND(SUMIF(Councils!$C$6:$C$837,$A72,Councils!$K$6:$K$816)*0.7,0)</f>
        <v>0</v>
      </c>
      <c r="L72">
        <f ca="1">ROUND(SUMIF(Councils!$C$6:$C$837,$A72,Councils!$L$6:$L$816)*0.7,0)</f>
        <v>1</v>
      </c>
      <c r="M72" s="63">
        <f t="shared" ca="1" si="3"/>
        <v>0.125</v>
      </c>
      <c r="N72">
        <f t="shared" ca="1" si="2"/>
        <v>74</v>
      </c>
    </row>
    <row r="73" spans="1:14">
      <c r="A73" s="67">
        <v>79</v>
      </c>
      <c r="B73" s="81">
        <f>IF(ISNA(VLOOKUP($A73,DD_Info!$A$1:$E$222,5,0)),0,VLOOKUP($A73,DD_Info!$A$1:$E$222,5,0))</f>
        <v>1</v>
      </c>
      <c r="C73" t="str">
        <f>IF(ISNA(VLOOKUP($A73,DD_Info!$A$1:$E$222,2,0)),0,VLOOKUP($A73,DD_Info!$A$1:$E$222,2,0))</f>
        <v>Samuel  Gonzalez</v>
      </c>
      <c r="D73" t="str">
        <f>IF(ISNA(VLOOKUP($A73,DD_Info!$A$1:$E$222,3,0)),0,VLOOKUP($A73,DD_Info!$A$1:$E$222,3,0))</f>
        <v>Galv/Hous</v>
      </c>
      <c r="E73">
        <f ca="1">ROUND(SUMIF(Councils!$C$6:$C$837,$A73,Councils!$E$6:$E$816),0)</f>
        <v>1599</v>
      </c>
      <c r="F73">
        <f ca="1">ROUND(SUMIF(Councils!$C$6:$C$837,$A73,Councils!$F$6:$F$816)*0.7,0)</f>
        <v>53</v>
      </c>
      <c r="G73">
        <f ca="1">ROUND(SUMIF(Councils!$C$6:$C$837,$A73,Councils!$G$6:$G$816)*0.7,0)</f>
        <v>0</v>
      </c>
      <c r="H73">
        <f ca="1">ROUND(SUMIF(Councils!$C$6:$C$837,$A73,Councils!$H$6:$H$816)*0.7,0)</f>
        <v>5</v>
      </c>
      <c r="I73">
        <f ca="1">ROUND(SUMIF(Councils!$C$6:$C$837,$A73,Councils!$I$6:$I$816)*0.7,0)</f>
        <v>-5</v>
      </c>
      <c r="J73">
        <f ca="1">ROUND(SUMIF(Councils!$C$6:$C$837,$A73,Councils!$J$6:$J$816)*0.7,0)</f>
        <v>8</v>
      </c>
      <c r="K73">
        <f ca="1">ROUND(SUMIF(Councils!$C$6:$C$837,$A73,Councils!$K$6:$K$816)*0.7,0)</f>
        <v>17</v>
      </c>
      <c r="L73">
        <f ca="1">ROUND(SUMIF(Councils!$C$6:$C$837,$A73,Councils!$L$6:$L$816)*0.7,0)</f>
        <v>-8</v>
      </c>
      <c r="M73" s="63">
        <f t="shared" ca="1" si="3"/>
        <v>-0.15094339622641509</v>
      </c>
      <c r="N73">
        <f t="shared" ca="1" si="2"/>
        <v>186</v>
      </c>
    </row>
    <row r="74" spans="1:14">
      <c r="A74" s="67">
        <v>80</v>
      </c>
      <c r="B74" s="81">
        <f>IF(ISNA(VLOOKUP($A74,DD_Info!$A$1:$E$222,5,0)),0,VLOOKUP($A74,DD_Info!$A$1:$E$222,5,0))</f>
        <v>1</v>
      </c>
      <c r="C74" t="str">
        <f>IF(ISNA(VLOOKUP($A74,DD_Info!$A$1:$E$222,2,0)),0,VLOOKUP($A74,DD_Info!$A$1:$E$222,2,0))</f>
        <v>Vincent C Stasio</v>
      </c>
      <c r="D74" t="str">
        <f>IF(ISNA(VLOOKUP($A74,DD_Info!$A$1:$E$222,3,0)),0,VLOOKUP($A74,DD_Info!$A$1:$E$222,3,0))</f>
        <v>Galv/Hous</v>
      </c>
      <c r="E74">
        <f ca="1">ROUND(SUMIF(Councils!$C$6:$C$837,$A74,Councils!$E$6:$E$816),0)</f>
        <v>914</v>
      </c>
      <c r="F74">
        <f ca="1">ROUND(SUMIF(Councils!$C$6:$C$837,$A74,Councils!$F$6:$F$816)*0.7,0)</f>
        <v>31</v>
      </c>
      <c r="G74">
        <f ca="1">ROUND(SUMIF(Councils!$C$6:$C$837,$A74,Councils!$G$6:$G$816)*0.7,0)</f>
        <v>1</v>
      </c>
      <c r="H74">
        <f ca="1">ROUND(SUMIF(Councils!$C$6:$C$837,$A74,Councils!$H$6:$H$816)*0.7,0)</f>
        <v>1</v>
      </c>
      <c r="I74">
        <f ca="1">ROUND(SUMIF(Councils!$C$6:$C$837,$A74,Councils!$I$6:$I$816)*0.7,0)</f>
        <v>0</v>
      </c>
      <c r="J74">
        <f ca="1">ROUND(SUMIF(Councils!$C$6:$C$837,$A74,Councils!$J$6:$J$816)*0.7,0)</f>
        <v>4</v>
      </c>
      <c r="K74">
        <f ca="1">ROUND(SUMIF(Councils!$C$6:$C$837,$A74,Councils!$K$6:$K$816)*0.7,0)</f>
        <v>2</v>
      </c>
      <c r="L74">
        <f ca="1">ROUND(SUMIF(Councils!$C$6:$C$837,$A74,Councils!$L$6:$L$816)*0.7,0)</f>
        <v>1</v>
      </c>
      <c r="M74" s="63">
        <f t="shared" ca="1" si="3"/>
        <v>3.2258064516129031E-2</v>
      </c>
      <c r="N74">
        <f t="shared" ca="1" si="2"/>
        <v>124</v>
      </c>
    </row>
    <row r="75" spans="1:14">
      <c r="A75" s="67">
        <v>81</v>
      </c>
      <c r="B75" s="81">
        <f>IF(ISNA(VLOOKUP($A75,DD_Info!$A$1:$E$222,5,0)),0,VLOOKUP($A75,DD_Info!$A$1:$E$222,5,0))</f>
        <v>2</v>
      </c>
      <c r="C75" t="str">
        <f>IF(ISNA(VLOOKUP($A75,DD_Info!$A$1:$E$222,2,0)),0,VLOOKUP($A75,DD_Info!$A$1:$E$222,2,0))</f>
        <v>Mario Rodriguez</v>
      </c>
      <c r="D75" t="str">
        <f>IF(ISNA(VLOOKUP($A75,DD_Info!$A$1:$E$222,3,0)),0,VLOOKUP($A75,DD_Info!$A$1:$E$222,3,0))</f>
        <v>Galv/Hous</v>
      </c>
      <c r="E75">
        <f ca="1">ROUND(SUMIF(Councils!$C$6:$C$837,$A75,Councils!$E$6:$E$816),0)</f>
        <v>435</v>
      </c>
      <c r="F75">
        <f ca="1">ROUND(SUMIF(Councils!$C$6:$C$837,$A75,Councils!$F$6:$F$816)*0.7,0)</f>
        <v>15</v>
      </c>
      <c r="G75">
        <f ca="1">ROUND(SUMIF(Councils!$C$6:$C$837,$A75,Councils!$G$6:$G$816)*0.7,0)</f>
        <v>0</v>
      </c>
      <c r="H75">
        <f ca="1">ROUND(SUMIF(Councils!$C$6:$C$837,$A75,Councils!$H$6:$H$816)*0.7,0)</f>
        <v>0</v>
      </c>
      <c r="I75">
        <f ca="1">ROUND(SUMIF(Councils!$C$6:$C$837,$A75,Councils!$I$6:$I$816)*0.7,0)</f>
        <v>0</v>
      </c>
      <c r="J75">
        <f ca="1">ROUND(SUMIF(Councils!$C$6:$C$837,$A75,Councils!$J$6:$J$816)*0.7,0)</f>
        <v>2</v>
      </c>
      <c r="K75">
        <f ca="1">ROUND(SUMIF(Councils!$C$6:$C$837,$A75,Councils!$K$6:$K$816)*0.7,0)</f>
        <v>0</v>
      </c>
      <c r="L75">
        <f ca="1">ROUND(SUMIF(Councils!$C$6:$C$837,$A75,Councils!$L$6:$L$816)*0.7,0)</f>
        <v>2</v>
      </c>
      <c r="M75" s="63">
        <f t="shared" ca="1" si="3"/>
        <v>0.13333333333333333</v>
      </c>
      <c r="N75">
        <f t="shared" ca="1" si="2"/>
        <v>72</v>
      </c>
    </row>
    <row r="76" spans="1:14">
      <c r="A76" s="67">
        <v>82</v>
      </c>
      <c r="B76" s="81">
        <f>IF(ISNA(VLOOKUP($A76,DD_Info!$A$1:$E$222,5,0)),0,VLOOKUP($A76,DD_Info!$A$1:$E$222,5,0))</f>
        <v>1</v>
      </c>
      <c r="C76" t="str">
        <f>IF(ISNA(VLOOKUP($A76,DD_Info!$A$1:$E$222,2,0)),0,VLOOKUP($A76,DD_Info!$A$1:$E$222,2,0))</f>
        <v>Michael  Akiboh</v>
      </c>
      <c r="D76" t="str">
        <f>IF(ISNA(VLOOKUP($A76,DD_Info!$A$1:$E$222,3,0)),0,VLOOKUP($A76,DD_Info!$A$1:$E$222,3,0))</f>
        <v>Galv/Hous</v>
      </c>
      <c r="E76">
        <f ca="1">ROUND(SUMIF(Councils!$C$6:$C$837,$A76,Councils!$E$6:$E$816),0)</f>
        <v>795</v>
      </c>
      <c r="F76">
        <f ca="1">ROUND(SUMIF(Councils!$C$6:$C$837,$A76,Councils!$F$6:$F$816)*0.7,0)</f>
        <v>28</v>
      </c>
      <c r="G76">
        <f ca="1">ROUND(SUMIF(Councils!$C$6:$C$837,$A76,Councils!$G$6:$G$816)*0.7,0)</f>
        <v>0</v>
      </c>
      <c r="H76">
        <f ca="1">ROUND(SUMIF(Councils!$C$6:$C$837,$A76,Councils!$H$6:$H$816)*0.7,0)</f>
        <v>4</v>
      </c>
      <c r="I76">
        <f ca="1">ROUND(SUMIF(Councils!$C$6:$C$837,$A76,Councils!$I$6:$I$816)*0.7,0)</f>
        <v>-4</v>
      </c>
      <c r="J76">
        <f ca="1">ROUND(SUMIF(Councils!$C$6:$C$837,$A76,Councils!$J$6:$J$816)*0.7,0)</f>
        <v>6</v>
      </c>
      <c r="K76">
        <f ca="1">ROUND(SUMIF(Councils!$C$6:$C$837,$A76,Councils!$K$6:$K$816)*0.7,0)</f>
        <v>15</v>
      </c>
      <c r="L76">
        <f ca="1">ROUND(SUMIF(Councils!$C$6:$C$837,$A76,Councils!$L$6:$L$816)*0.7,0)</f>
        <v>-8</v>
      </c>
      <c r="M76" s="63">
        <f t="shared" ca="1" si="3"/>
        <v>-0.2857142857142857</v>
      </c>
      <c r="N76">
        <f t="shared" ca="1" si="2"/>
        <v>193</v>
      </c>
    </row>
    <row r="77" spans="1:14">
      <c r="A77" s="67">
        <v>83</v>
      </c>
      <c r="B77" s="81">
        <f>IF(ISNA(VLOOKUP($A77,DD_Info!$A$1:$E$222,5,0)),0,VLOOKUP($A77,DD_Info!$A$1:$E$222,5,0))</f>
        <v>1</v>
      </c>
      <c r="C77" t="str">
        <f>IF(ISNA(VLOOKUP($A77,DD_Info!$A$1:$E$222,2,0)),0,VLOOKUP($A77,DD_Info!$A$1:$E$222,2,0))</f>
        <v>Don  Huml</v>
      </c>
      <c r="D77" t="str">
        <f>IF(ISNA(VLOOKUP($A77,DD_Info!$A$1:$E$222,3,0)),0,VLOOKUP($A77,DD_Info!$A$1:$E$222,3,0))</f>
        <v>Galv/Hous</v>
      </c>
      <c r="E77">
        <f ca="1">ROUND(SUMIF(Councils!$C$6:$C$837,$A77,Councils!$E$6:$E$816),0)</f>
        <v>633</v>
      </c>
      <c r="F77">
        <f ca="1">ROUND(SUMIF(Councils!$C$6:$C$837,$A77,Councils!$F$6:$F$816)*0.7,0)</f>
        <v>22</v>
      </c>
      <c r="G77">
        <f ca="1">ROUND(SUMIF(Councils!$C$6:$C$837,$A77,Councils!$G$6:$G$816)*0.7,0)</f>
        <v>1</v>
      </c>
      <c r="H77">
        <f ca="1">ROUND(SUMIF(Councils!$C$6:$C$837,$A77,Councils!$H$6:$H$816)*0.7,0)</f>
        <v>2</v>
      </c>
      <c r="I77">
        <f ca="1">ROUND(SUMIF(Councils!$C$6:$C$837,$A77,Councils!$I$6:$I$816)*0.7,0)</f>
        <v>-1</v>
      </c>
      <c r="J77">
        <f ca="1">ROUND(SUMIF(Councils!$C$6:$C$837,$A77,Councils!$J$6:$J$816)*0.7,0)</f>
        <v>1</v>
      </c>
      <c r="K77">
        <f ca="1">ROUND(SUMIF(Councils!$C$6:$C$837,$A77,Councils!$K$6:$K$816)*0.7,0)</f>
        <v>3</v>
      </c>
      <c r="L77">
        <f ca="1">ROUND(SUMIF(Councils!$C$6:$C$837,$A77,Councils!$L$6:$L$816)*0.7,0)</f>
        <v>-2</v>
      </c>
      <c r="M77" s="63">
        <f t="shared" ca="1" si="3"/>
        <v>-9.0909090909090912E-2</v>
      </c>
      <c r="N77">
        <f t="shared" ca="1" si="2"/>
        <v>181</v>
      </c>
    </row>
    <row r="78" spans="1:14">
      <c r="A78" s="67">
        <v>84</v>
      </c>
      <c r="B78" s="81">
        <f>IF(ISNA(VLOOKUP($A78,DD_Info!$A$1:$E$222,5,0)),0,VLOOKUP($A78,DD_Info!$A$1:$E$222,5,0))</f>
        <v>3</v>
      </c>
      <c r="C78" t="str">
        <f>IF(ISNA(VLOOKUP($A78,DD_Info!$A$1:$E$222,2,0)),0,VLOOKUP($A78,DD_Info!$A$1:$E$222,2,0))</f>
        <v>Thomas J. Gooney</v>
      </c>
      <c r="D78" t="str">
        <f>IF(ISNA(VLOOKUP($A78,DD_Info!$A$1:$E$222,3,0)),0,VLOOKUP($A78,DD_Info!$A$1:$E$222,3,0))</f>
        <v>Galv/Hous</v>
      </c>
      <c r="E78">
        <f ca="1">ROUND(SUMIF(Councils!$C$6:$C$837,$A78,Councils!$E$6:$E$816),0)</f>
        <v>288</v>
      </c>
      <c r="F78">
        <f ca="1">ROUND(SUMIF(Councils!$C$6:$C$837,$A78,Councils!$F$6:$F$816)*0.7,0)</f>
        <v>10</v>
      </c>
      <c r="G78">
        <f ca="1">ROUND(SUMIF(Councils!$C$6:$C$837,$A78,Councils!$G$6:$G$816)*0.7,0)</f>
        <v>0</v>
      </c>
      <c r="H78">
        <f ca="1">ROUND(SUMIF(Councils!$C$6:$C$837,$A78,Councils!$H$6:$H$816)*0.7,0)</f>
        <v>0</v>
      </c>
      <c r="I78">
        <f ca="1">ROUND(SUMIF(Councils!$C$6:$C$837,$A78,Councils!$I$6:$I$816)*0.7,0)</f>
        <v>0</v>
      </c>
      <c r="J78">
        <f ca="1">ROUND(SUMIF(Councils!$C$6:$C$837,$A78,Councils!$J$6:$J$816)*0.7,0)</f>
        <v>4</v>
      </c>
      <c r="K78">
        <f ca="1">ROUND(SUMIF(Councils!$C$6:$C$837,$A78,Councils!$K$6:$K$816)*0.7,0)</f>
        <v>0</v>
      </c>
      <c r="L78">
        <f ca="1">ROUND(SUMIF(Councils!$C$6:$C$837,$A78,Councils!$L$6:$L$816)*0.7,0)</f>
        <v>4</v>
      </c>
      <c r="M78" s="63">
        <f t="shared" ca="1" si="3"/>
        <v>0.4</v>
      </c>
      <c r="N78">
        <f t="shared" ca="1" si="2"/>
        <v>25</v>
      </c>
    </row>
    <row r="79" spans="1:14">
      <c r="A79" s="67">
        <v>85</v>
      </c>
      <c r="B79" s="81">
        <f>IF(ISNA(VLOOKUP($A79,DD_Info!$A$1:$E$222,5,0)),0,VLOOKUP($A79,DD_Info!$A$1:$E$222,5,0))</f>
        <v>1</v>
      </c>
      <c r="C79" t="str">
        <f>IF(ISNA(VLOOKUP($A79,DD_Info!$A$1:$E$222,2,0)),0,VLOOKUP($A79,DD_Info!$A$1:$E$222,2,0))</f>
        <v>Patrick L Russek</v>
      </c>
      <c r="D79" t="str">
        <f>IF(ISNA(VLOOKUP($A79,DD_Info!$A$1:$E$222,3,0)),0,VLOOKUP($A79,DD_Info!$A$1:$E$222,3,0))</f>
        <v>Galv/Hous</v>
      </c>
      <c r="E79">
        <f ca="1">ROUND(SUMIF(Councils!$C$6:$C$837,$A79,Councils!$E$6:$E$816),0)</f>
        <v>1301</v>
      </c>
      <c r="F79">
        <f ca="1">ROUND(SUMIF(Councils!$C$6:$C$837,$A79,Councils!$F$6:$F$816)*0.7,0)</f>
        <v>44</v>
      </c>
      <c r="G79">
        <f ca="1">ROUND(SUMIF(Councils!$C$6:$C$837,$A79,Councils!$G$6:$G$816)*0.7,0)</f>
        <v>0</v>
      </c>
      <c r="H79">
        <f ca="1">ROUND(SUMIF(Councils!$C$6:$C$837,$A79,Councils!$H$6:$H$816)*0.7,0)</f>
        <v>4</v>
      </c>
      <c r="I79">
        <f ca="1">ROUND(SUMIF(Councils!$C$6:$C$837,$A79,Councils!$I$6:$I$816)*0.7,0)</f>
        <v>-4</v>
      </c>
      <c r="J79">
        <f ca="1">ROUND(SUMIF(Councils!$C$6:$C$837,$A79,Councils!$J$6:$J$816)*0.7,0)</f>
        <v>1</v>
      </c>
      <c r="K79">
        <f ca="1">ROUND(SUMIF(Councils!$C$6:$C$837,$A79,Councils!$K$6:$K$816)*0.7,0)</f>
        <v>28</v>
      </c>
      <c r="L79">
        <f ca="1">ROUND(SUMIF(Councils!$C$6:$C$837,$A79,Councils!$L$6:$L$816)*0.7,0)</f>
        <v>-27</v>
      </c>
      <c r="M79" s="63">
        <f t="shared" ca="1" si="3"/>
        <v>-0.61363636363636365</v>
      </c>
      <c r="N79">
        <f t="shared" ca="1" si="2"/>
        <v>200</v>
      </c>
    </row>
    <row r="80" spans="1:14">
      <c r="A80" s="67">
        <v>86</v>
      </c>
      <c r="B80" s="81">
        <f>IF(ISNA(VLOOKUP($A80,DD_Info!$A$1:$E$222,5,0)),0,VLOOKUP($A80,DD_Info!$A$1:$E$222,5,0))</f>
        <v>1</v>
      </c>
      <c r="C80" t="str">
        <f>IF(ISNA(VLOOKUP($A80,DD_Info!$A$1:$E$222,2,0)),0,VLOOKUP($A80,DD_Info!$A$1:$E$222,2,0))</f>
        <v>Clarence "CJ"  Hattier</v>
      </c>
      <c r="D80" t="str">
        <f>IF(ISNA(VLOOKUP($A80,DD_Info!$A$1:$E$222,3,0)),0,VLOOKUP($A80,DD_Info!$A$1:$E$222,3,0))</f>
        <v>Galv/Hous</v>
      </c>
      <c r="E80">
        <f ca="1">ROUND(SUMIF(Councils!$C$6:$C$837,$A80,Councils!$E$6:$E$816),0)</f>
        <v>614</v>
      </c>
      <c r="F80">
        <f ca="1">ROUND(SUMIF(Councils!$C$6:$C$837,$A80,Councils!$F$6:$F$816)*0.7,0)</f>
        <v>21</v>
      </c>
      <c r="G80">
        <f ca="1">ROUND(SUMIF(Councils!$C$6:$C$837,$A80,Councils!$G$6:$G$816)*0.7,0)</f>
        <v>0</v>
      </c>
      <c r="H80">
        <f ca="1">ROUND(SUMIF(Councils!$C$6:$C$837,$A80,Councils!$H$6:$H$816)*0.7,0)</f>
        <v>0</v>
      </c>
      <c r="I80">
        <f ca="1">ROUND(SUMIF(Councils!$C$6:$C$837,$A80,Councils!$I$6:$I$816)*0.7,0)</f>
        <v>0</v>
      </c>
      <c r="J80">
        <f ca="1">ROUND(SUMIF(Councils!$C$6:$C$837,$A80,Councils!$J$6:$J$816)*0.7,0)</f>
        <v>0</v>
      </c>
      <c r="K80">
        <f ca="1">ROUND(SUMIF(Councils!$C$6:$C$837,$A80,Councils!$K$6:$K$816)*0.7,0)</f>
        <v>0</v>
      </c>
      <c r="L80">
        <f ca="1">ROUND(SUMIF(Councils!$C$6:$C$837,$A80,Councils!$L$6:$L$816)*0.7,0)</f>
        <v>0</v>
      </c>
      <c r="M80" s="63">
        <f t="shared" ca="1" si="3"/>
        <v>0</v>
      </c>
      <c r="N80">
        <f t="shared" ca="1" si="2"/>
        <v>127</v>
      </c>
    </row>
    <row r="81" spans="1:14">
      <c r="A81" s="67">
        <v>87</v>
      </c>
      <c r="B81" s="81">
        <f>IF(ISNA(VLOOKUP($A81,DD_Info!$A$1:$E$222,5,0)),0,VLOOKUP($A81,DD_Info!$A$1:$E$222,5,0))</f>
        <v>1</v>
      </c>
      <c r="C81" t="str">
        <f>IF(ISNA(VLOOKUP($A81,DD_Info!$A$1:$E$222,2,0)),0,VLOOKUP($A81,DD_Info!$A$1:$E$222,2,0))</f>
        <v>Juan A Perez</v>
      </c>
      <c r="D81" t="str">
        <f>IF(ISNA(VLOOKUP($A81,DD_Info!$A$1:$E$222,3,0)),0,VLOOKUP($A81,DD_Info!$A$1:$E$222,3,0))</f>
        <v>Galv/Hous</v>
      </c>
      <c r="E81">
        <f ca="1">ROUND(SUMIF(Councils!$C$6:$C$837,$A81,Councils!$E$6:$E$816),0)</f>
        <v>583</v>
      </c>
      <c r="F81">
        <f ca="1">ROUND(SUMIF(Councils!$C$6:$C$837,$A81,Councils!$F$6:$F$816)*0.7,0)</f>
        <v>20</v>
      </c>
      <c r="G81">
        <f ca="1">ROUND(SUMIF(Councils!$C$6:$C$837,$A81,Councils!$G$6:$G$816)*0.7,0)</f>
        <v>2</v>
      </c>
      <c r="H81">
        <f ca="1">ROUND(SUMIF(Councils!$C$6:$C$837,$A81,Councils!$H$6:$H$816)*0.7,0)</f>
        <v>0</v>
      </c>
      <c r="I81">
        <f ca="1">ROUND(SUMIF(Councils!$C$6:$C$837,$A81,Councils!$I$6:$I$816)*0.7,0)</f>
        <v>2</v>
      </c>
      <c r="J81">
        <f ca="1">ROUND(SUMIF(Councils!$C$6:$C$837,$A81,Councils!$J$6:$J$816)*0.7,0)</f>
        <v>9</v>
      </c>
      <c r="K81">
        <f ca="1">ROUND(SUMIF(Councils!$C$6:$C$837,$A81,Councils!$K$6:$K$816)*0.7,0)</f>
        <v>0</v>
      </c>
      <c r="L81">
        <f ca="1">ROUND(SUMIF(Councils!$C$6:$C$837,$A81,Councils!$L$6:$L$816)*0.7,0)</f>
        <v>9</v>
      </c>
      <c r="M81" s="63">
        <f t="shared" ca="1" si="3"/>
        <v>0.45</v>
      </c>
      <c r="N81">
        <f t="shared" ca="1" si="2"/>
        <v>20</v>
      </c>
    </row>
    <row r="82" spans="1:14">
      <c r="A82" s="67">
        <v>88</v>
      </c>
      <c r="B82" s="81">
        <f>IF(ISNA(VLOOKUP($A82,DD_Info!$A$1:$E$222,5,0)),0,VLOOKUP($A82,DD_Info!$A$1:$E$222,5,0))</f>
        <v>1</v>
      </c>
      <c r="C82" t="str">
        <f>IF(ISNA(VLOOKUP($A82,DD_Info!$A$1:$E$222,2,0)),0,VLOOKUP($A82,DD_Info!$A$1:$E$222,2,0))</f>
        <v>Larry  Ordaz</v>
      </c>
      <c r="D82" t="str">
        <f>IF(ISNA(VLOOKUP($A82,DD_Info!$A$1:$E$222,3,0)),0,VLOOKUP($A82,DD_Info!$A$1:$E$222,3,0))</f>
        <v>Galv/Hous</v>
      </c>
      <c r="E82">
        <f ca="1">ROUND(SUMIF(Councils!$C$6:$C$837,$A82,Councils!$E$6:$E$816),0)</f>
        <v>897</v>
      </c>
      <c r="F82">
        <f ca="1">ROUND(SUMIF(Councils!$C$6:$C$837,$A82,Councils!$F$6:$F$816)*0.7,0)</f>
        <v>28</v>
      </c>
      <c r="G82">
        <f ca="1">ROUND(SUMIF(Councils!$C$6:$C$837,$A82,Councils!$G$6:$G$816)*0.7,0)</f>
        <v>1</v>
      </c>
      <c r="H82">
        <f ca="1">ROUND(SUMIF(Councils!$C$6:$C$837,$A82,Councils!$H$6:$H$816)*0.7,0)</f>
        <v>0</v>
      </c>
      <c r="I82">
        <f ca="1">ROUND(SUMIF(Councils!$C$6:$C$837,$A82,Councils!$I$6:$I$816)*0.7,0)</f>
        <v>1</v>
      </c>
      <c r="J82">
        <f ca="1">ROUND(SUMIF(Councils!$C$6:$C$837,$A82,Councils!$J$6:$J$816)*0.7,0)</f>
        <v>6</v>
      </c>
      <c r="K82">
        <f ca="1">ROUND(SUMIF(Councils!$C$6:$C$837,$A82,Councils!$K$6:$K$816)*0.7,0)</f>
        <v>0</v>
      </c>
      <c r="L82">
        <f ca="1">ROUND(SUMIF(Councils!$C$6:$C$837,$A82,Councils!$L$6:$L$816)*0.7,0)</f>
        <v>6</v>
      </c>
      <c r="M82" s="63">
        <f t="shared" ca="1" si="3"/>
        <v>0.21428571428571427</v>
      </c>
      <c r="N82">
        <f t="shared" ca="1" si="2"/>
        <v>54</v>
      </c>
    </row>
    <row r="83" spans="1:14">
      <c r="A83" s="67">
        <v>89</v>
      </c>
      <c r="B83" s="81">
        <f>IF(ISNA(VLOOKUP($A83,DD_Info!$A$1:$E$222,5,0)),0,VLOOKUP($A83,DD_Info!$A$1:$E$222,5,0))</f>
        <v>3</v>
      </c>
      <c r="C83" t="str">
        <f>IF(ISNA(VLOOKUP($A83,DD_Info!$A$1:$E$222,2,0)),0,VLOOKUP($A83,DD_Info!$A$1:$E$222,2,0))</f>
        <v>Abner  Brown Jr</v>
      </c>
      <c r="D83" t="str">
        <f>IF(ISNA(VLOOKUP($A83,DD_Info!$A$1:$E$222,3,0)),0,VLOOKUP($A83,DD_Info!$A$1:$E$222,3,0))</f>
        <v>Galv/Hous</v>
      </c>
      <c r="E83">
        <f ca="1">ROUND(SUMIF(Councils!$C$6:$C$837,$A83,Councils!$E$6:$E$816),0)</f>
        <v>204</v>
      </c>
      <c r="F83">
        <f ca="1">ROUND(SUMIF(Councils!$C$6:$C$837,$A83,Councils!$F$6:$F$816)*0.7,0)</f>
        <v>8</v>
      </c>
      <c r="G83">
        <f ca="1">ROUND(SUMIF(Councils!$C$6:$C$837,$A83,Councils!$G$6:$G$816)*0.7,0)</f>
        <v>0</v>
      </c>
      <c r="H83">
        <f ca="1">ROUND(SUMIF(Councils!$C$6:$C$837,$A83,Councils!$H$6:$H$816)*0.7,0)</f>
        <v>0</v>
      </c>
      <c r="I83">
        <f ca="1">ROUND(SUMIF(Councils!$C$6:$C$837,$A83,Councils!$I$6:$I$816)*0.7,0)</f>
        <v>0</v>
      </c>
      <c r="J83">
        <f ca="1">ROUND(SUMIF(Councils!$C$6:$C$837,$A83,Councils!$J$6:$J$816)*0.7,0)</f>
        <v>1</v>
      </c>
      <c r="K83">
        <f ca="1">ROUND(SUMIF(Councils!$C$6:$C$837,$A83,Councils!$K$6:$K$816)*0.7,0)</f>
        <v>0</v>
      </c>
      <c r="L83">
        <f ca="1">ROUND(SUMIF(Councils!$C$6:$C$837,$A83,Councils!$L$6:$L$816)*0.7,0)</f>
        <v>1</v>
      </c>
      <c r="M83" s="63">
        <f t="shared" ca="1" si="3"/>
        <v>0.125</v>
      </c>
      <c r="N83">
        <f t="shared" ca="1" si="2"/>
        <v>74</v>
      </c>
    </row>
    <row r="84" spans="1:14">
      <c r="A84" s="67">
        <v>90</v>
      </c>
      <c r="B84" s="81">
        <f>IF(ISNA(VLOOKUP($A84,DD_Info!$A$1:$E$222,5,0)),0,VLOOKUP($A84,DD_Info!$A$1:$E$222,5,0))</f>
        <v>1</v>
      </c>
      <c r="C84" t="str">
        <f>IF(ISNA(VLOOKUP($A84,DD_Info!$A$1:$E$222,2,0)),0,VLOOKUP($A84,DD_Info!$A$1:$E$222,2,0))</f>
        <v>Reggie  Vasquez</v>
      </c>
      <c r="D84" t="str">
        <f>IF(ISNA(VLOOKUP($A84,DD_Info!$A$1:$E$222,3,0)),0,VLOOKUP($A84,DD_Info!$A$1:$E$222,3,0))</f>
        <v>Galv/Hous</v>
      </c>
      <c r="E84">
        <f ca="1">ROUND(SUMIF(Councils!$C$6:$C$837,$A84,Councils!$E$6:$E$816),0)</f>
        <v>1236</v>
      </c>
      <c r="F84">
        <f ca="1">ROUND(SUMIF(Councils!$C$6:$C$837,$A84,Councils!$F$6:$F$816)*0.7,0)</f>
        <v>31</v>
      </c>
      <c r="G84">
        <f ca="1">ROUND(SUMIF(Councils!$C$6:$C$837,$A84,Councils!$G$6:$G$816)*0.7,0)</f>
        <v>1</v>
      </c>
      <c r="H84">
        <f ca="1">ROUND(SUMIF(Councils!$C$6:$C$837,$A84,Councils!$H$6:$H$816)*0.7,0)</f>
        <v>1</v>
      </c>
      <c r="I84">
        <f ca="1">ROUND(SUMIF(Councils!$C$6:$C$837,$A84,Councils!$I$6:$I$816)*0.7,0)</f>
        <v>0</v>
      </c>
      <c r="J84">
        <f ca="1">ROUND(SUMIF(Councils!$C$6:$C$837,$A84,Councils!$J$6:$J$816)*0.7,0)</f>
        <v>3</v>
      </c>
      <c r="K84">
        <f ca="1">ROUND(SUMIF(Councils!$C$6:$C$837,$A84,Councils!$K$6:$K$816)*0.7,0)</f>
        <v>1</v>
      </c>
      <c r="L84">
        <f ca="1">ROUND(SUMIF(Councils!$C$6:$C$837,$A84,Councils!$L$6:$L$816)*0.7,0)</f>
        <v>1</v>
      </c>
      <c r="M84" s="63">
        <f t="shared" ca="1" si="3"/>
        <v>3.2258064516129031E-2</v>
      </c>
      <c r="N84">
        <f t="shared" ca="1" si="2"/>
        <v>124</v>
      </c>
    </row>
    <row r="85" spans="1:14">
      <c r="A85" s="67">
        <v>91</v>
      </c>
      <c r="B85" s="81">
        <f>IF(ISNA(VLOOKUP($A85,DD_Info!$A$1:$E$222,5,0)),0,VLOOKUP($A85,DD_Info!$A$1:$E$222,5,0))</f>
        <v>1</v>
      </c>
      <c r="C85" t="str">
        <f>IF(ISNA(VLOOKUP($A85,DD_Info!$A$1:$E$222,2,0)),0,VLOOKUP($A85,DD_Info!$A$1:$E$222,2,0))</f>
        <v>John Anthony  Martinez</v>
      </c>
      <c r="D85" t="str">
        <f>IF(ISNA(VLOOKUP($A85,DD_Info!$A$1:$E$222,3,0)),0,VLOOKUP($A85,DD_Info!$A$1:$E$222,3,0))</f>
        <v>Galv/Hous</v>
      </c>
      <c r="E85">
        <f ca="1">ROUND(SUMIF(Councils!$C$6:$C$837,$A85,Councils!$E$6:$E$816),0)</f>
        <v>694</v>
      </c>
      <c r="F85">
        <f ca="1">ROUND(SUMIF(Councils!$C$6:$C$837,$A85,Councils!$F$6:$F$816)*0.7,0)</f>
        <v>20</v>
      </c>
      <c r="G85">
        <f ca="1">ROUND(SUMIF(Councils!$C$6:$C$837,$A85,Councils!$G$6:$G$816)*0.7,0)</f>
        <v>0</v>
      </c>
      <c r="H85">
        <f ca="1">ROUND(SUMIF(Councils!$C$6:$C$837,$A85,Councils!$H$6:$H$816)*0.7,0)</f>
        <v>1</v>
      </c>
      <c r="I85">
        <f ca="1">ROUND(SUMIF(Councils!$C$6:$C$837,$A85,Councils!$I$6:$I$816)*0.7,0)</f>
        <v>-1</v>
      </c>
      <c r="J85">
        <f ca="1">ROUND(SUMIF(Councils!$C$6:$C$837,$A85,Councils!$J$6:$J$816)*0.7,0)</f>
        <v>4</v>
      </c>
      <c r="K85">
        <f ca="1">ROUND(SUMIF(Councils!$C$6:$C$837,$A85,Councils!$K$6:$K$816)*0.7,0)</f>
        <v>5</v>
      </c>
      <c r="L85">
        <f ca="1">ROUND(SUMIF(Councils!$C$6:$C$837,$A85,Councils!$L$6:$L$816)*0.7,0)</f>
        <v>-1</v>
      </c>
      <c r="M85" s="63">
        <f t="shared" ca="1" si="3"/>
        <v>-0.05</v>
      </c>
      <c r="N85">
        <f t="shared" ca="1" si="2"/>
        <v>176</v>
      </c>
    </row>
    <row r="86" spans="1:14">
      <c r="A86" s="67">
        <v>92</v>
      </c>
      <c r="B86" s="81">
        <f>IF(ISNA(VLOOKUP($A86,DD_Info!$A$1:$E$222,5,0)),0,VLOOKUP($A86,DD_Info!$A$1:$E$222,5,0))</f>
        <v>1</v>
      </c>
      <c r="C86" t="str">
        <f>IF(ISNA(VLOOKUP($A86,DD_Info!$A$1:$E$222,2,0)),0,VLOOKUP($A86,DD_Info!$A$1:$E$222,2,0))</f>
        <v>Robert "Bob" H Schmidt</v>
      </c>
      <c r="D86" t="str">
        <f>IF(ISNA(VLOOKUP($A86,DD_Info!$A$1:$E$222,3,0)),0,VLOOKUP($A86,DD_Info!$A$1:$E$222,3,0))</f>
        <v>Galv/Hous</v>
      </c>
      <c r="E86">
        <f ca="1">ROUND(SUMIF(Councils!$C$6:$C$837,$A86,Councils!$E$6:$E$816),0)</f>
        <v>1159</v>
      </c>
      <c r="F86">
        <f ca="1">ROUND(SUMIF(Councils!$C$6:$C$837,$A86,Councils!$F$6:$F$816)*0.7,0)</f>
        <v>30</v>
      </c>
      <c r="G86">
        <f ca="1">ROUND(SUMIF(Councils!$C$6:$C$837,$A86,Councils!$G$6:$G$816)*0.7,0)</f>
        <v>1</v>
      </c>
      <c r="H86">
        <f ca="1">ROUND(SUMIF(Councils!$C$6:$C$837,$A86,Councils!$H$6:$H$816)*0.7,0)</f>
        <v>0</v>
      </c>
      <c r="I86">
        <f ca="1">ROUND(SUMIF(Councils!$C$6:$C$837,$A86,Councils!$I$6:$I$816)*0.7,0)</f>
        <v>1</v>
      </c>
      <c r="J86">
        <f ca="1">ROUND(SUMIF(Councils!$C$6:$C$837,$A86,Councils!$J$6:$J$816)*0.7,0)</f>
        <v>12</v>
      </c>
      <c r="K86">
        <f ca="1">ROUND(SUMIF(Councils!$C$6:$C$837,$A86,Councils!$K$6:$K$816)*0.7,0)</f>
        <v>0</v>
      </c>
      <c r="L86">
        <f ca="1">ROUND(SUMIF(Councils!$C$6:$C$837,$A86,Councils!$L$6:$L$816)*0.7,0)</f>
        <v>12</v>
      </c>
      <c r="M86" s="63">
        <f t="shared" ca="1" si="3"/>
        <v>0.4</v>
      </c>
      <c r="N86">
        <f t="shared" ca="1" si="2"/>
        <v>25</v>
      </c>
    </row>
    <row r="87" spans="1:14">
      <c r="A87" s="67">
        <v>93</v>
      </c>
      <c r="B87" s="81">
        <f>IF(ISNA(VLOOKUP($A87,DD_Info!$A$1:$E$222,5,0)),0,VLOOKUP($A87,DD_Info!$A$1:$E$222,5,0))</f>
        <v>1</v>
      </c>
      <c r="C87" t="str">
        <f>IF(ISNA(VLOOKUP($A87,DD_Info!$A$1:$E$222,2,0)),0,VLOOKUP($A87,DD_Info!$A$1:$E$222,2,0))</f>
        <v>TBD</v>
      </c>
      <c r="D87" t="str">
        <f>IF(ISNA(VLOOKUP($A87,DD_Info!$A$1:$E$222,3,0)),0,VLOOKUP($A87,DD_Info!$A$1:$E$222,3,0))</f>
        <v>Galv/Hous</v>
      </c>
      <c r="E87">
        <f ca="1">ROUND(SUMIF(Councils!$C$6:$C$837,$A87,Councils!$E$6:$E$816),0)</f>
        <v>1121</v>
      </c>
      <c r="F87">
        <f ca="1">ROUND(SUMIF(Councils!$C$6:$C$837,$A87,Councils!$F$6:$F$816)*0.7,0)</f>
        <v>37</v>
      </c>
      <c r="G87">
        <f ca="1">ROUND(SUMIF(Councils!$C$6:$C$837,$A87,Councils!$G$6:$G$816)*0.7,0)</f>
        <v>1</v>
      </c>
      <c r="H87">
        <f ca="1">ROUND(SUMIF(Councils!$C$6:$C$837,$A87,Councils!$H$6:$H$816)*0.7,0)</f>
        <v>1</v>
      </c>
      <c r="I87">
        <f ca="1">ROUND(SUMIF(Councils!$C$6:$C$837,$A87,Councils!$I$6:$I$816)*0.7,0)</f>
        <v>0</v>
      </c>
      <c r="J87">
        <f ca="1">ROUND(SUMIF(Councils!$C$6:$C$837,$A87,Councils!$J$6:$J$816)*0.7,0)</f>
        <v>9</v>
      </c>
      <c r="K87">
        <f ca="1">ROUND(SUMIF(Councils!$C$6:$C$837,$A87,Councils!$K$6:$K$816)*0.7,0)</f>
        <v>1</v>
      </c>
      <c r="L87">
        <f ca="1">ROUND(SUMIF(Councils!$C$6:$C$837,$A87,Councils!$L$6:$L$816)*0.7,0)</f>
        <v>8</v>
      </c>
      <c r="M87" s="63">
        <f t="shared" ca="1" si="3"/>
        <v>0.21621621621621623</v>
      </c>
      <c r="N87">
        <f t="shared" ca="1" si="2"/>
        <v>53</v>
      </c>
    </row>
    <row r="88" spans="1:14">
      <c r="A88" s="67">
        <v>94</v>
      </c>
      <c r="B88" s="81">
        <f>IF(ISNA(VLOOKUP($A88,DD_Info!$A$1:$E$222,5,0)),0,VLOOKUP($A88,DD_Info!$A$1:$E$222,5,0))</f>
        <v>1</v>
      </c>
      <c r="C88" t="str">
        <f>IF(ISNA(VLOOKUP($A88,DD_Info!$A$1:$E$222,2,0)),0,VLOOKUP($A88,DD_Info!$A$1:$E$222,2,0))</f>
        <v>Larry  Pellerito</v>
      </c>
      <c r="D88" t="str">
        <f>IF(ISNA(VLOOKUP($A88,DD_Info!$A$1:$E$222,3,0)),0,VLOOKUP($A88,DD_Info!$A$1:$E$222,3,0))</f>
        <v>Galv/Hous</v>
      </c>
      <c r="E88">
        <f ca="1">ROUND(SUMIF(Councils!$C$6:$C$837,$A88,Councils!$E$6:$E$816),0)</f>
        <v>848</v>
      </c>
      <c r="F88">
        <f ca="1">ROUND(SUMIF(Councils!$C$6:$C$837,$A88,Councils!$F$6:$F$816)*0.7,0)</f>
        <v>27</v>
      </c>
      <c r="G88">
        <f ca="1">ROUND(SUMIF(Councils!$C$6:$C$837,$A88,Councils!$G$6:$G$816)*0.7,0)</f>
        <v>1</v>
      </c>
      <c r="H88">
        <f ca="1">ROUND(SUMIF(Councils!$C$6:$C$837,$A88,Councils!$H$6:$H$816)*0.7,0)</f>
        <v>0</v>
      </c>
      <c r="I88">
        <f ca="1">ROUND(SUMIF(Councils!$C$6:$C$837,$A88,Councils!$I$6:$I$816)*0.7,0)</f>
        <v>1</v>
      </c>
      <c r="J88">
        <f ca="1">ROUND(SUMIF(Councils!$C$6:$C$837,$A88,Councils!$J$6:$J$816)*0.7,0)</f>
        <v>4</v>
      </c>
      <c r="K88">
        <f ca="1">ROUND(SUMIF(Councils!$C$6:$C$837,$A88,Councils!$K$6:$K$816)*0.7,0)</f>
        <v>1</v>
      </c>
      <c r="L88">
        <f ca="1">ROUND(SUMIF(Councils!$C$6:$C$837,$A88,Councils!$L$6:$L$816)*0.7,0)</f>
        <v>3</v>
      </c>
      <c r="M88" s="63">
        <f t="shared" ca="1" si="3"/>
        <v>0.1111111111111111</v>
      </c>
      <c r="N88">
        <f t="shared" ca="1" si="2"/>
        <v>82</v>
      </c>
    </row>
    <row r="89" spans="1:14">
      <c r="A89" s="67">
        <v>95</v>
      </c>
      <c r="B89" s="81">
        <f>IF(ISNA(VLOOKUP($A89,DD_Info!$A$1:$E$222,5,0)),0,VLOOKUP($A89,DD_Info!$A$1:$E$222,5,0))</f>
        <v>2</v>
      </c>
      <c r="C89" t="str">
        <f>IF(ISNA(VLOOKUP($A89,DD_Info!$A$1:$E$222,2,0)),0,VLOOKUP($A89,DD_Info!$A$1:$E$222,2,0))</f>
        <v>Joseph A Geiman</v>
      </c>
      <c r="D89" t="str">
        <f>IF(ISNA(VLOOKUP($A89,DD_Info!$A$1:$E$222,3,0)),0,VLOOKUP($A89,DD_Info!$A$1:$E$222,3,0))</f>
        <v>Galv/Hous</v>
      </c>
      <c r="E89">
        <f ca="1">ROUND(SUMIF(Councils!$C$6:$C$837,$A89,Councils!$E$6:$E$816),0)</f>
        <v>411</v>
      </c>
      <c r="F89">
        <f ca="1">ROUND(SUMIF(Councils!$C$6:$C$837,$A89,Councils!$F$6:$F$816)*0.7,0)</f>
        <v>15</v>
      </c>
      <c r="G89">
        <f ca="1">ROUND(SUMIF(Councils!$C$6:$C$837,$A89,Councils!$G$6:$G$816)*0.7,0)</f>
        <v>0</v>
      </c>
      <c r="H89">
        <f ca="1">ROUND(SUMIF(Councils!$C$6:$C$837,$A89,Councils!$H$6:$H$816)*0.7,0)</f>
        <v>0</v>
      </c>
      <c r="I89">
        <f ca="1">ROUND(SUMIF(Councils!$C$6:$C$837,$A89,Councils!$I$6:$I$816)*0.7,0)</f>
        <v>0</v>
      </c>
      <c r="J89">
        <f ca="1">ROUND(SUMIF(Councils!$C$6:$C$837,$A89,Councils!$J$6:$J$816)*0.7,0)</f>
        <v>1</v>
      </c>
      <c r="K89">
        <f ca="1">ROUND(SUMIF(Councils!$C$6:$C$837,$A89,Councils!$K$6:$K$816)*0.7,0)</f>
        <v>0</v>
      </c>
      <c r="L89">
        <f ca="1">ROUND(SUMIF(Councils!$C$6:$C$837,$A89,Councils!$L$6:$L$816)*0.7,0)</f>
        <v>1</v>
      </c>
      <c r="M89" s="63">
        <f t="shared" ca="1" si="3"/>
        <v>6.6666666666666666E-2</v>
      </c>
      <c r="N89">
        <f t="shared" ca="1" si="2"/>
        <v>104</v>
      </c>
    </row>
    <row r="90" spans="1:14">
      <c r="A90" s="67">
        <v>96</v>
      </c>
      <c r="B90" s="81">
        <f>IF(ISNA(VLOOKUP($A90,DD_Info!$A$1:$E$222,5,0)),0,VLOOKUP($A90,DD_Info!$A$1:$E$222,5,0))</f>
        <v>3</v>
      </c>
      <c r="C90" t="str">
        <f>IF(ISNA(VLOOKUP($A90,DD_Info!$A$1:$E$222,2,0)),0,VLOOKUP($A90,DD_Info!$A$1:$E$222,2,0))</f>
        <v>John G Hinojosa</v>
      </c>
      <c r="D90" t="str">
        <f>IF(ISNA(VLOOKUP($A90,DD_Info!$A$1:$E$222,3,0)),0,VLOOKUP($A90,DD_Info!$A$1:$E$222,3,0))</f>
        <v>Galv/Hous</v>
      </c>
      <c r="E90">
        <f ca="1">ROUND(SUMIF(Councils!$C$6:$C$837,$A90,Councils!$E$6:$E$816),0)</f>
        <v>172</v>
      </c>
      <c r="F90">
        <f ca="1">ROUND(SUMIF(Councils!$C$6:$C$837,$A90,Councils!$F$6:$F$816)*0.7,0)</f>
        <v>6</v>
      </c>
      <c r="G90">
        <f ca="1">ROUND(SUMIF(Councils!$C$6:$C$837,$A90,Councils!$G$6:$G$816)*0.7,0)</f>
        <v>0</v>
      </c>
      <c r="H90">
        <f ca="1">ROUND(SUMIF(Councils!$C$6:$C$837,$A90,Councils!$H$6:$H$816)*0.7,0)</f>
        <v>0</v>
      </c>
      <c r="I90">
        <f ca="1">ROUND(SUMIF(Councils!$C$6:$C$837,$A90,Councils!$I$6:$I$816)*0.7,0)</f>
        <v>0</v>
      </c>
      <c r="J90">
        <f ca="1">ROUND(SUMIF(Councils!$C$6:$C$837,$A90,Councils!$J$6:$J$816)*0.7,0)</f>
        <v>0</v>
      </c>
      <c r="K90">
        <f ca="1">ROUND(SUMIF(Councils!$C$6:$C$837,$A90,Councils!$K$6:$K$816)*0.7,0)</f>
        <v>0</v>
      </c>
      <c r="L90">
        <f ca="1">ROUND(SUMIF(Councils!$C$6:$C$837,$A90,Councils!$L$6:$L$816)*0.7,0)</f>
        <v>0</v>
      </c>
      <c r="M90" s="63">
        <f t="shared" ca="1" si="3"/>
        <v>0</v>
      </c>
      <c r="N90">
        <f t="shared" ca="1" si="2"/>
        <v>127</v>
      </c>
    </row>
    <row r="91" spans="1:14">
      <c r="A91" s="67">
        <v>97</v>
      </c>
      <c r="B91" s="81">
        <f>IF(ISNA(VLOOKUP($A91,DD_Info!$A$1:$E$222,5,0)),0,VLOOKUP($A91,DD_Info!$A$1:$E$222,5,0))</f>
        <v>3</v>
      </c>
      <c r="C91" t="str">
        <f>IF(ISNA(VLOOKUP($A91,DD_Info!$A$1:$E$222,2,0)),0,VLOOKUP($A91,DD_Info!$A$1:$E$222,2,0))</f>
        <v>James A Hatcher</v>
      </c>
      <c r="D91" t="str">
        <f>IF(ISNA(VLOOKUP($A91,DD_Info!$A$1:$E$222,3,0)),0,VLOOKUP($A91,DD_Info!$A$1:$E$222,3,0))</f>
        <v>Galv/Hous</v>
      </c>
      <c r="E91">
        <f ca="1">ROUND(SUMIF(Councils!$C$6:$C$837,$A91,Councils!$E$6:$E$816),0)</f>
        <v>58</v>
      </c>
      <c r="F91">
        <f ca="1">ROUND(SUMIF(Councils!$C$6:$C$837,$A91,Councils!$F$6:$F$816)*0.7,0)</f>
        <v>5</v>
      </c>
      <c r="G91">
        <f ca="1">ROUND(SUMIF(Councils!$C$6:$C$837,$A91,Councils!$G$6:$G$816)*0.7,0)</f>
        <v>0</v>
      </c>
      <c r="H91">
        <f ca="1">ROUND(SUMIF(Councils!$C$6:$C$837,$A91,Councils!$H$6:$H$816)*0.7,0)</f>
        <v>0</v>
      </c>
      <c r="I91">
        <f ca="1">ROUND(SUMIF(Councils!$C$6:$C$837,$A91,Councils!$I$6:$I$816)*0.7,0)</f>
        <v>0</v>
      </c>
      <c r="J91">
        <f ca="1">ROUND(SUMIF(Councils!$C$6:$C$837,$A91,Councils!$J$6:$J$816)*0.7,0)</f>
        <v>0</v>
      </c>
      <c r="K91">
        <f ca="1">ROUND(SUMIF(Councils!$C$6:$C$837,$A91,Councils!$K$6:$K$816)*0.7,0)</f>
        <v>0</v>
      </c>
      <c r="L91">
        <f ca="1">ROUND(SUMIF(Councils!$C$6:$C$837,$A91,Councils!$L$6:$L$816)*0.7,0)</f>
        <v>0</v>
      </c>
      <c r="M91" s="63">
        <f t="shared" ca="1" si="3"/>
        <v>0</v>
      </c>
      <c r="N91">
        <f t="shared" ca="1" si="2"/>
        <v>127</v>
      </c>
    </row>
    <row r="92" spans="1:14">
      <c r="A92" s="67">
        <v>98</v>
      </c>
      <c r="B92" s="81">
        <f>IF(ISNA(VLOOKUP($A92,DD_Info!$A$1:$E$222,5,0)),0,VLOOKUP($A92,DD_Info!$A$1:$E$222,5,0))</f>
        <v>3</v>
      </c>
      <c r="C92" t="str">
        <f>IF(ISNA(VLOOKUP($A92,DD_Info!$A$1:$E$222,2,0)),0,VLOOKUP($A92,DD_Info!$A$1:$E$222,2,0))</f>
        <v>Ron  Frerich</v>
      </c>
      <c r="D92" t="str">
        <f>IF(ISNA(VLOOKUP($A92,DD_Info!$A$1:$E$222,3,0)),0,VLOOKUP($A92,DD_Info!$A$1:$E$222,3,0))</f>
        <v>Galv/Hous</v>
      </c>
      <c r="E92">
        <f ca="1">ROUND(SUMIF(Councils!$C$6:$C$837,$A92,Councils!$E$6:$E$816),0)</f>
        <v>273</v>
      </c>
      <c r="F92">
        <f ca="1">ROUND(SUMIF(Councils!$C$6:$C$837,$A92,Councils!$F$6:$F$816)*0.7,0)</f>
        <v>13</v>
      </c>
      <c r="G92">
        <f ca="1">ROUND(SUMIF(Councils!$C$6:$C$837,$A92,Councils!$G$6:$G$816)*0.7,0)</f>
        <v>0</v>
      </c>
      <c r="H92">
        <f ca="1">ROUND(SUMIF(Councils!$C$6:$C$837,$A92,Councils!$H$6:$H$816)*0.7,0)</f>
        <v>0</v>
      </c>
      <c r="I92">
        <f ca="1">ROUND(SUMIF(Councils!$C$6:$C$837,$A92,Councils!$I$6:$I$816)*0.7,0)</f>
        <v>0</v>
      </c>
      <c r="J92">
        <f ca="1">ROUND(SUMIF(Councils!$C$6:$C$837,$A92,Councils!$J$6:$J$816)*0.7,0)</f>
        <v>0</v>
      </c>
      <c r="K92">
        <f ca="1">ROUND(SUMIF(Councils!$C$6:$C$837,$A92,Councils!$K$6:$K$816)*0.7,0)</f>
        <v>0</v>
      </c>
      <c r="L92">
        <f ca="1">ROUND(SUMIF(Councils!$C$6:$C$837,$A92,Councils!$L$6:$L$816)*0.7,0)</f>
        <v>0</v>
      </c>
      <c r="M92" s="63">
        <f t="shared" ca="1" si="3"/>
        <v>0</v>
      </c>
      <c r="N92">
        <f t="shared" ca="1" si="2"/>
        <v>127</v>
      </c>
    </row>
    <row r="93" spans="1:14">
      <c r="A93" s="67">
        <v>101</v>
      </c>
      <c r="B93" s="81">
        <f>IF(ISNA(VLOOKUP($A93,DD_Info!$A$1:$E$222,5,0)),0,VLOOKUP($A93,DD_Info!$A$1:$E$222,5,0))</f>
        <v>2</v>
      </c>
      <c r="C93" t="str">
        <f>IF(ISNA(VLOOKUP($A93,DD_Info!$A$1:$E$222,2,0)),0,VLOOKUP($A93,DD_Info!$A$1:$E$222,2,0))</f>
        <v>Gary L Walton</v>
      </c>
      <c r="D93" t="str">
        <f>IF(ISNA(VLOOKUP($A93,DD_Info!$A$1:$E$222,3,0)),0,VLOOKUP($A93,DD_Info!$A$1:$E$222,3,0))</f>
        <v>Dallas</v>
      </c>
      <c r="E93">
        <f ca="1">ROUND(SUMIF(Councils!$C$6:$C$837,$A93,Councils!$E$6:$E$816),0)</f>
        <v>458</v>
      </c>
      <c r="F93">
        <f ca="1">ROUND(SUMIF(Councils!$C$6:$C$837,$A93,Councils!$F$6:$F$816)*0.7,0)</f>
        <v>15</v>
      </c>
      <c r="G93">
        <f ca="1">ROUND(SUMIF(Councils!$C$6:$C$837,$A93,Councils!$G$6:$G$816)*0.7,0)</f>
        <v>1</v>
      </c>
      <c r="H93">
        <f ca="1">ROUND(SUMIF(Councils!$C$6:$C$837,$A93,Councils!$H$6:$H$816)*0.7,0)</f>
        <v>6</v>
      </c>
      <c r="I93">
        <f ca="1">ROUND(SUMIF(Councils!$C$6:$C$837,$A93,Councils!$I$6:$I$816)*0.7,0)</f>
        <v>-6</v>
      </c>
      <c r="J93">
        <f ca="1">ROUND(SUMIF(Councils!$C$6:$C$837,$A93,Councils!$J$6:$J$816)*0.7,0)</f>
        <v>5</v>
      </c>
      <c r="K93">
        <f ca="1">ROUND(SUMIF(Councils!$C$6:$C$837,$A93,Councils!$K$6:$K$816)*0.7,0)</f>
        <v>6</v>
      </c>
      <c r="L93">
        <f ca="1">ROUND(SUMIF(Councils!$C$6:$C$837,$A93,Councils!$L$6:$L$816)*0.7,0)</f>
        <v>-1</v>
      </c>
      <c r="M93" s="63">
        <f t="shared" ca="1" si="3"/>
        <v>-6.6666666666666666E-2</v>
      </c>
      <c r="N93">
        <f t="shared" ca="1" si="2"/>
        <v>179</v>
      </c>
    </row>
    <row r="94" spans="1:14">
      <c r="A94" s="67">
        <v>102</v>
      </c>
      <c r="B94" s="81">
        <f>IF(ISNA(VLOOKUP($A94,DD_Info!$A$1:$E$222,5,0)),0,VLOOKUP($A94,DD_Info!$A$1:$E$222,5,0))</f>
        <v>1</v>
      </c>
      <c r="C94" t="str">
        <f>IF(ISNA(VLOOKUP($A94,DD_Info!$A$1:$E$222,2,0)),0,VLOOKUP($A94,DD_Info!$A$1:$E$222,2,0))</f>
        <v>Jose "John" J Casarez</v>
      </c>
      <c r="D94" t="str">
        <f>IF(ISNA(VLOOKUP($A94,DD_Info!$A$1:$E$222,3,0)),0,VLOOKUP($A94,DD_Info!$A$1:$E$222,3,0))</f>
        <v>Dallas</v>
      </c>
      <c r="E94">
        <f ca="1">ROUND(SUMIF(Councils!$C$6:$C$837,$A94,Councils!$E$6:$E$816),0)</f>
        <v>767</v>
      </c>
      <c r="F94">
        <f ca="1">ROUND(SUMIF(Councils!$C$6:$C$837,$A94,Councils!$F$6:$F$816)*0.7,0)</f>
        <v>26</v>
      </c>
      <c r="G94">
        <f ca="1">ROUND(SUMIF(Councils!$C$6:$C$837,$A94,Councils!$G$6:$G$816)*0.7,0)</f>
        <v>1</v>
      </c>
      <c r="H94">
        <f ca="1">ROUND(SUMIF(Councils!$C$6:$C$837,$A94,Councils!$H$6:$H$816)*0.7,0)</f>
        <v>0</v>
      </c>
      <c r="I94">
        <f ca="1">ROUND(SUMIF(Councils!$C$6:$C$837,$A94,Councils!$I$6:$I$816)*0.7,0)</f>
        <v>1</v>
      </c>
      <c r="J94">
        <f ca="1">ROUND(SUMIF(Councils!$C$6:$C$837,$A94,Councils!$J$6:$J$816)*0.7,0)</f>
        <v>8</v>
      </c>
      <c r="K94">
        <f ca="1">ROUND(SUMIF(Councils!$C$6:$C$837,$A94,Councils!$K$6:$K$816)*0.7,0)</f>
        <v>3</v>
      </c>
      <c r="L94">
        <f ca="1">ROUND(SUMIF(Councils!$C$6:$C$837,$A94,Councils!$L$6:$L$816)*0.7,0)</f>
        <v>5</v>
      </c>
      <c r="M94" s="63">
        <f t="shared" ca="1" si="3"/>
        <v>0.19230769230769232</v>
      </c>
      <c r="N94">
        <f t="shared" ca="1" si="2"/>
        <v>63</v>
      </c>
    </row>
    <row r="95" spans="1:14">
      <c r="A95" s="67">
        <v>103</v>
      </c>
      <c r="B95" s="81">
        <f>IF(ISNA(VLOOKUP($A95,DD_Info!$A$1:$E$222,5,0)),0,VLOOKUP($A95,DD_Info!$A$1:$E$222,5,0))</f>
        <v>1</v>
      </c>
      <c r="C95" t="str">
        <f>IF(ISNA(VLOOKUP($A95,DD_Info!$A$1:$E$222,2,0)),0,VLOOKUP($A95,DD_Info!$A$1:$E$222,2,0))</f>
        <v>Kevin  Quinn</v>
      </c>
      <c r="D95" t="str">
        <f>IF(ISNA(VLOOKUP($A95,DD_Info!$A$1:$E$222,3,0)),0,VLOOKUP($A95,DD_Info!$A$1:$E$222,3,0))</f>
        <v>Dallas</v>
      </c>
      <c r="E95">
        <f ca="1">ROUND(SUMIF(Councils!$C$6:$C$837,$A95,Councils!$E$6:$E$816),0)</f>
        <v>888</v>
      </c>
      <c r="F95">
        <f ca="1">ROUND(SUMIF(Councils!$C$6:$C$837,$A95,Councils!$F$6:$F$816)*0.7,0)</f>
        <v>31</v>
      </c>
      <c r="G95">
        <f ca="1">ROUND(SUMIF(Councils!$C$6:$C$837,$A95,Councils!$G$6:$G$816)*0.7,0)</f>
        <v>1</v>
      </c>
      <c r="H95">
        <f ca="1">ROUND(SUMIF(Councils!$C$6:$C$837,$A95,Councils!$H$6:$H$816)*0.7,0)</f>
        <v>0</v>
      </c>
      <c r="I95">
        <f ca="1">ROUND(SUMIF(Councils!$C$6:$C$837,$A95,Councils!$I$6:$I$816)*0.7,0)</f>
        <v>1</v>
      </c>
      <c r="J95">
        <f ca="1">ROUND(SUMIF(Councils!$C$6:$C$837,$A95,Councils!$J$6:$J$816)*0.7,0)</f>
        <v>7</v>
      </c>
      <c r="K95">
        <f ca="1">ROUND(SUMIF(Councils!$C$6:$C$837,$A95,Councils!$K$6:$K$816)*0.7,0)</f>
        <v>5</v>
      </c>
      <c r="L95">
        <f ca="1">ROUND(SUMIF(Councils!$C$6:$C$837,$A95,Councils!$L$6:$L$816)*0.7,0)</f>
        <v>2</v>
      </c>
      <c r="M95" s="63">
        <f t="shared" ca="1" si="3"/>
        <v>6.4516129032258063E-2</v>
      </c>
      <c r="N95">
        <f t="shared" ca="1" si="2"/>
        <v>106</v>
      </c>
    </row>
    <row r="96" spans="1:14">
      <c r="A96" s="67">
        <v>104</v>
      </c>
      <c r="B96" s="81">
        <f>IF(ISNA(VLOOKUP($A96,DD_Info!$A$1:$E$222,5,0)),0,VLOOKUP($A96,DD_Info!$A$1:$E$222,5,0))</f>
        <v>1</v>
      </c>
      <c r="C96" t="str">
        <f>IF(ISNA(VLOOKUP($A96,DD_Info!$A$1:$E$222,2,0)),0,VLOOKUP($A96,DD_Info!$A$1:$E$222,2,0))</f>
        <v>Scott  Brkovich</v>
      </c>
      <c r="D96" t="str">
        <f>IF(ISNA(VLOOKUP($A96,DD_Info!$A$1:$E$222,3,0)),0,VLOOKUP($A96,DD_Info!$A$1:$E$222,3,0))</f>
        <v>Dallas</v>
      </c>
      <c r="E96">
        <f ca="1">ROUND(SUMIF(Councils!$C$6:$C$837,$A96,Councils!$E$6:$E$816),0)</f>
        <v>2177</v>
      </c>
      <c r="F96">
        <f ca="1">ROUND(SUMIF(Councils!$C$6:$C$837,$A96,Councils!$F$6:$F$816)*0.7,0)</f>
        <v>31</v>
      </c>
      <c r="G96">
        <f ca="1">ROUND(SUMIF(Councils!$C$6:$C$837,$A96,Councils!$G$6:$G$816)*0.7,0)</f>
        <v>1</v>
      </c>
      <c r="H96">
        <f ca="1">ROUND(SUMIF(Councils!$C$6:$C$837,$A96,Councils!$H$6:$H$816)*0.7,0)</f>
        <v>2</v>
      </c>
      <c r="I96">
        <f ca="1">ROUND(SUMIF(Councils!$C$6:$C$837,$A96,Councils!$I$6:$I$816)*0.7,0)</f>
        <v>-1</v>
      </c>
      <c r="J96">
        <f ca="1">ROUND(SUMIF(Councils!$C$6:$C$837,$A96,Councils!$J$6:$J$816)*0.7,0)</f>
        <v>4</v>
      </c>
      <c r="K96">
        <f ca="1">ROUND(SUMIF(Councils!$C$6:$C$837,$A96,Councils!$K$6:$K$816)*0.7,0)</f>
        <v>6</v>
      </c>
      <c r="L96">
        <f ca="1">ROUND(SUMIF(Councils!$C$6:$C$837,$A96,Councils!$L$6:$L$816)*0.7,0)</f>
        <v>-2</v>
      </c>
      <c r="M96" s="63">
        <f t="shared" ca="1" si="3"/>
        <v>-6.4516129032258063E-2</v>
      </c>
      <c r="N96">
        <f t="shared" ca="1" si="2"/>
        <v>178</v>
      </c>
    </row>
    <row r="97" spans="1:14">
      <c r="A97" s="67">
        <v>105</v>
      </c>
      <c r="B97" s="81">
        <f>IF(ISNA(VLOOKUP($A97,DD_Info!$A$1:$E$222,5,0)),0,VLOOKUP($A97,DD_Info!$A$1:$E$222,5,0))</f>
        <v>1</v>
      </c>
      <c r="C97" t="str">
        <f>IF(ISNA(VLOOKUP($A97,DD_Info!$A$1:$E$222,2,0)),0,VLOOKUP($A97,DD_Info!$A$1:$E$222,2,0))</f>
        <v>Royce G Cheek</v>
      </c>
      <c r="D97" t="str">
        <f>IF(ISNA(VLOOKUP($A97,DD_Info!$A$1:$E$222,3,0)),0,VLOOKUP($A97,DD_Info!$A$1:$E$222,3,0))</f>
        <v>Dallas</v>
      </c>
      <c r="E97">
        <f ca="1">ROUND(SUMIF(Councils!$C$6:$C$837,$A97,Councils!$E$6:$E$816),0)</f>
        <v>661</v>
      </c>
      <c r="F97">
        <f ca="1">ROUND(SUMIF(Councils!$C$6:$C$837,$A97,Councils!$F$6:$F$816)*0.7,0)</f>
        <v>22</v>
      </c>
      <c r="G97">
        <f ca="1">ROUND(SUMIF(Councils!$C$6:$C$837,$A97,Councils!$G$6:$G$816)*0.7,0)</f>
        <v>0</v>
      </c>
      <c r="H97">
        <f ca="1">ROUND(SUMIF(Councils!$C$6:$C$837,$A97,Councils!$H$6:$H$816)*0.7,0)</f>
        <v>0</v>
      </c>
      <c r="I97">
        <f ca="1">ROUND(SUMIF(Councils!$C$6:$C$837,$A97,Councils!$I$6:$I$816)*0.7,0)</f>
        <v>0</v>
      </c>
      <c r="J97">
        <f ca="1">ROUND(SUMIF(Councils!$C$6:$C$837,$A97,Councils!$J$6:$J$816)*0.7,0)</f>
        <v>1</v>
      </c>
      <c r="K97">
        <f ca="1">ROUND(SUMIF(Councils!$C$6:$C$837,$A97,Councils!$K$6:$K$816)*0.7,0)</f>
        <v>11</v>
      </c>
      <c r="L97">
        <f ca="1">ROUND(SUMIF(Councils!$C$6:$C$837,$A97,Councils!$L$6:$L$816)*0.7,0)</f>
        <v>-10</v>
      </c>
      <c r="M97" s="63">
        <f t="shared" ca="1" si="3"/>
        <v>-0.45454545454545453</v>
      </c>
      <c r="N97">
        <f t="shared" ca="1" si="2"/>
        <v>198</v>
      </c>
    </row>
    <row r="98" spans="1:14">
      <c r="A98" s="67">
        <v>106</v>
      </c>
      <c r="B98" s="81">
        <f>IF(ISNA(VLOOKUP($A98,DD_Info!$A$1:$E$222,5,0)),0,VLOOKUP($A98,DD_Info!$A$1:$E$222,5,0))</f>
        <v>1</v>
      </c>
      <c r="C98" t="str">
        <f>IF(ISNA(VLOOKUP($A98,DD_Info!$A$1:$E$222,2,0)),0,VLOOKUP($A98,DD_Info!$A$1:$E$222,2,0))</f>
        <v>Dan  Stoffel</v>
      </c>
      <c r="D98" t="str">
        <f>IF(ISNA(VLOOKUP($A98,DD_Info!$A$1:$E$222,3,0)),0,VLOOKUP($A98,DD_Info!$A$1:$E$222,3,0))</f>
        <v>Dallas</v>
      </c>
      <c r="E98">
        <f ca="1">ROUND(SUMIF(Councils!$C$6:$C$837,$A98,Councils!$E$6:$E$816),0)</f>
        <v>940</v>
      </c>
      <c r="F98">
        <f ca="1">ROUND(SUMIF(Councils!$C$6:$C$837,$A98,Councils!$F$6:$F$816)*0.7,0)</f>
        <v>31</v>
      </c>
      <c r="G98">
        <f ca="1">ROUND(SUMIF(Councils!$C$6:$C$837,$A98,Councils!$G$6:$G$816)*0.7,0)</f>
        <v>0</v>
      </c>
      <c r="H98">
        <f ca="1">ROUND(SUMIF(Councils!$C$6:$C$837,$A98,Councils!$H$6:$H$816)*0.7,0)</f>
        <v>0</v>
      </c>
      <c r="I98">
        <f ca="1">ROUND(SUMIF(Councils!$C$6:$C$837,$A98,Councils!$I$6:$I$816)*0.7,0)</f>
        <v>0</v>
      </c>
      <c r="J98">
        <f ca="1">ROUND(SUMIF(Councils!$C$6:$C$837,$A98,Councils!$J$6:$J$816)*0.7,0)</f>
        <v>8</v>
      </c>
      <c r="K98">
        <f ca="1">ROUND(SUMIF(Councils!$C$6:$C$837,$A98,Councils!$K$6:$K$816)*0.7,0)</f>
        <v>9</v>
      </c>
      <c r="L98">
        <f ca="1">ROUND(SUMIF(Councils!$C$6:$C$837,$A98,Councils!$L$6:$L$816)*0.7,0)</f>
        <v>-1</v>
      </c>
      <c r="M98" s="63">
        <f t="shared" ca="1" si="3"/>
        <v>-3.2258064516129031E-2</v>
      </c>
      <c r="N98">
        <f t="shared" ca="1" si="2"/>
        <v>173</v>
      </c>
    </row>
    <row r="99" spans="1:14">
      <c r="A99" s="67">
        <v>107</v>
      </c>
      <c r="B99" s="81">
        <f>IF(ISNA(VLOOKUP($A99,DD_Info!$A$1:$E$222,5,0)),0,VLOOKUP($A99,DD_Info!$A$1:$E$222,5,0))</f>
        <v>2</v>
      </c>
      <c r="C99" t="str">
        <f>IF(ISNA(VLOOKUP($A99,DD_Info!$A$1:$E$222,2,0)),0,VLOOKUP($A99,DD_Info!$A$1:$E$222,2,0))</f>
        <v>Robert M Repka Jr</v>
      </c>
      <c r="D99" t="str">
        <f>IF(ISNA(VLOOKUP($A99,DD_Info!$A$1:$E$222,3,0)),0,VLOOKUP($A99,DD_Info!$A$1:$E$222,3,0))</f>
        <v>Dallas</v>
      </c>
      <c r="E99">
        <f ca="1">ROUND(SUMIF(Councils!$C$6:$C$837,$A99,Councils!$E$6:$E$816),0)</f>
        <v>459</v>
      </c>
      <c r="F99">
        <f ca="1">ROUND(SUMIF(Councils!$C$6:$C$837,$A99,Councils!$F$6:$F$816)*0.7,0)</f>
        <v>16</v>
      </c>
      <c r="G99">
        <f ca="1">ROUND(SUMIF(Councils!$C$6:$C$837,$A99,Councils!$G$6:$G$816)*0.7,0)</f>
        <v>0</v>
      </c>
      <c r="H99">
        <f ca="1">ROUND(SUMIF(Councils!$C$6:$C$837,$A99,Councils!$H$6:$H$816)*0.7,0)</f>
        <v>0</v>
      </c>
      <c r="I99">
        <f ca="1">ROUND(SUMIF(Councils!$C$6:$C$837,$A99,Councils!$I$6:$I$816)*0.7,0)</f>
        <v>0</v>
      </c>
      <c r="J99">
        <f ca="1">ROUND(SUMIF(Councils!$C$6:$C$837,$A99,Councils!$J$6:$J$816)*0.7,0)</f>
        <v>2</v>
      </c>
      <c r="K99">
        <f ca="1">ROUND(SUMIF(Councils!$C$6:$C$837,$A99,Councils!$K$6:$K$816)*0.7,0)</f>
        <v>0</v>
      </c>
      <c r="L99">
        <f ca="1">ROUND(SUMIF(Councils!$C$6:$C$837,$A99,Councils!$L$6:$L$816)*0.7,0)</f>
        <v>2</v>
      </c>
      <c r="M99" s="63">
        <f t="shared" ca="1" si="3"/>
        <v>0.125</v>
      </c>
      <c r="N99">
        <f t="shared" ca="1" si="2"/>
        <v>74</v>
      </c>
    </row>
    <row r="100" spans="1:14">
      <c r="A100" s="67">
        <v>108</v>
      </c>
      <c r="B100" s="81">
        <f>IF(ISNA(VLOOKUP($A100,DD_Info!$A$1:$E$222,5,0)),0,VLOOKUP($A100,DD_Info!$A$1:$E$222,5,0))</f>
        <v>1</v>
      </c>
      <c r="C100" t="str">
        <f>IF(ISNA(VLOOKUP($A100,DD_Info!$A$1:$E$222,2,0)),0,VLOOKUP($A100,DD_Info!$A$1:$E$222,2,0))</f>
        <v>John "Jack" G Ayers</v>
      </c>
      <c r="D100" t="str">
        <f>IF(ISNA(VLOOKUP($A100,DD_Info!$A$1:$E$222,3,0)),0,VLOOKUP($A100,DD_Info!$A$1:$E$222,3,0))</f>
        <v>Dallas</v>
      </c>
      <c r="E100">
        <f ca="1">ROUND(SUMIF(Councils!$C$6:$C$837,$A100,Councils!$E$6:$E$816),0)</f>
        <v>822</v>
      </c>
      <c r="F100">
        <f ca="1">ROUND(SUMIF(Councils!$C$6:$C$837,$A100,Councils!$F$6:$F$816)*0.7,0)</f>
        <v>28</v>
      </c>
      <c r="G100">
        <f ca="1">ROUND(SUMIF(Councils!$C$6:$C$837,$A100,Councils!$G$6:$G$816)*0.7,0)</f>
        <v>1</v>
      </c>
      <c r="H100">
        <f ca="1">ROUND(SUMIF(Councils!$C$6:$C$837,$A100,Councils!$H$6:$H$816)*0.7,0)</f>
        <v>0</v>
      </c>
      <c r="I100">
        <f ca="1">ROUND(SUMIF(Councils!$C$6:$C$837,$A100,Councils!$I$6:$I$816)*0.7,0)</f>
        <v>1</v>
      </c>
      <c r="J100">
        <f ca="1">ROUND(SUMIF(Councils!$C$6:$C$837,$A100,Councils!$J$6:$J$816)*0.7,0)</f>
        <v>3</v>
      </c>
      <c r="K100">
        <f ca="1">ROUND(SUMIF(Councils!$C$6:$C$837,$A100,Councils!$K$6:$K$816)*0.7,0)</f>
        <v>1</v>
      </c>
      <c r="L100">
        <f ca="1">ROUND(SUMIF(Councils!$C$6:$C$837,$A100,Councils!$L$6:$L$816)*0.7,0)</f>
        <v>2</v>
      </c>
      <c r="M100" s="63">
        <f t="shared" ca="1" si="3"/>
        <v>7.1428571428571425E-2</v>
      </c>
      <c r="N100">
        <f t="shared" ca="1" si="2"/>
        <v>102</v>
      </c>
    </row>
    <row r="101" spans="1:14">
      <c r="A101" s="67">
        <v>109</v>
      </c>
      <c r="B101" s="81">
        <f>IF(ISNA(VLOOKUP($A101,DD_Info!$A$1:$E$222,5,0)),0,VLOOKUP($A101,DD_Info!$A$1:$E$222,5,0))</f>
        <v>2</v>
      </c>
      <c r="C101" t="str">
        <f>IF(ISNA(VLOOKUP($A101,DD_Info!$A$1:$E$222,2,0)),0,VLOOKUP($A101,DD_Info!$A$1:$E$222,2,0))</f>
        <v>Kebran W Alexander</v>
      </c>
      <c r="D101" t="str">
        <f>IF(ISNA(VLOOKUP($A101,DD_Info!$A$1:$E$222,3,0)),0,VLOOKUP($A101,DD_Info!$A$1:$E$222,3,0))</f>
        <v>Dallas</v>
      </c>
      <c r="E101">
        <f ca="1">ROUND(SUMIF(Councils!$C$6:$C$837,$A101,Councils!$E$6:$E$816),0)</f>
        <v>482</v>
      </c>
      <c r="F101">
        <f ca="1">ROUND(SUMIF(Councils!$C$6:$C$837,$A101,Councils!$F$6:$F$816)*0.7,0)</f>
        <v>16</v>
      </c>
      <c r="G101">
        <f ca="1">ROUND(SUMIF(Councils!$C$6:$C$837,$A101,Councils!$G$6:$G$816)*0.7,0)</f>
        <v>0</v>
      </c>
      <c r="H101">
        <f ca="1">ROUND(SUMIF(Councils!$C$6:$C$837,$A101,Councils!$H$6:$H$816)*0.7,0)</f>
        <v>0</v>
      </c>
      <c r="I101">
        <f ca="1">ROUND(SUMIF(Councils!$C$6:$C$837,$A101,Councils!$I$6:$I$816)*0.7,0)</f>
        <v>0</v>
      </c>
      <c r="J101">
        <f ca="1">ROUND(SUMIF(Councils!$C$6:$C$837,$A101,Councils!$J$6:$J$816)*0.7,0)</f>
        <v>4</v>
      </c>
      <c r="K101">
        <f ca="1">ROUND(SUMIF(Councils!$C$6:$C$837,$A101,Councils!$K$6:$K$816)*0.7,0)</f>
        <v>0</v>
      </c>
      <c r="L101">
        <f ca="1">ROUND(SUMIF(Councils!$C$6:$C$837,$A101,Councils!$L$6:$L$816)*0.7,0)</f>
        <v>4</v>
      </c>
      <c r="M101" s="63">
        <f t="shared" ca="1" si="3"/>
        <v>0.25</v>
      </c>
      <c r="N101">
        <f t="shared" ca="1" si="2"/>
        <v>46</v>
      </c>
    </row>
    <row r="102" spans="1:14">
      <c r="A102" s="67">
        <v>110</v>
      </c>
      <c r="B102" s="81">
        <f>IF(ISNA(VLOOKUP($A102,DD_Info!$A$1:$E$222,5,0)),0,VLOOKUP($A102,DD_Info!$A$1:$E$222,5,0))</f>
        <v>2</v>
      </c>
      <c r="C102" t="str">
        <f>IF(ISNA(VLOOKUP($A102,DD_Info!$A$1:$E$222,2,0)),0,VLOOKUP($A102,DD_Info!$A$1:$E$222,2,0))</f>
        <v>Richard C Frasco</v>
      </c>
      <c r="D102" t="str">
        <f>IF(ISNA(VLOOKUP($A102,DD_Info!$A$1:$E$222,3,0)),0,VLOOKUP($A102,DD_Info!$A$1:$E$222,3,0))</f>
        <v>Dallas</v>
      </c>
      <c r="E102">
        <f ca="1">ROUND(SUMIF(Councils!$C$6:$C$837,$A102,Councils!$E$6:$E$816),0)</f>
        <v>557</v>
      </c>
      <c r="F102">
        <f ca="1">ROUND(SUMIF(Councils!$C$6:$C$837,$A102,Councils!$F$6:$F$816)*0.7,0)</f>
        <v>20</v>
      </c>
      <c r="G102">
        <f ca="1">ROUND(SUMIF(Councils!$C$6:$C$837,$A102,Councils!$G$6:$G$816)*0.7,0)</f>
        <v>0</v>
      </c>
      <c r="H102">
        <f ca="1">ROUND(SUMIF(Councils!$C$6:$C$837,$A102,Councils!$H$6:$H$816)*0.7,0)</f>
        <v>0</v>
      </c>
      <c r="I102">
        <f ca="1">ROUND(SUMIF(Councils!$C$6:$C$837,$A102,Councils!$I$6:$I$816)*0.7,0)</f>
        <v>0</v>
      </c>
      <c r="J102">
        <f ca="1">ROUND(SUMIF(Councils!$C$6:$C$837,$A102,Councils!$J$6:$J$816)*0.7,0)</f>
        <v>5</v>
      </c>
      <c r="K102">
        <f ca="1">ROUND(SUMIF(Councils!$C$6:$C$837,$A102,Councils!$K$6:$K$816)*0.7,0)</f>
        <v>1</v>
      </c>
      <c r="L102">
        <f ca="1">ROUND(SUMIF(Councils!$C$6:$C$837,$A102,Councils!$L$6:$L$816)*0.7,0)</f>
        <v>4</v>
      </c>
      <c r="M102" s="63">
        <f t="shared" ca="1" si="3"/>
        <v>0.2</v>
      </c>
      <c r="N102">
        <f t="shared" ca="1" si="2"/>
        <v>58</v>
      </c>
    </row>
    <row r="103" spans="1:14">
      <c r="A103" s="67">
        <v>111</v>
      </c>
      <c r="B103" s="81">
        <f>IF(ISNA(VLOOKUP($A103,DD_Info!$A$1:$E$222,5,0)),0,VLOOKUP($A103,DD_Info!$A$1:$E$222,5,0))</f>
        <v>1</v>
      </c>
      <c r="C103" t="str">
        <f>IF(ISNA(VLOOKUP($A103,DD_Info!$A$1:$E$222,2,0)),0,VLOOKUP($A103,DD_Info!$A$1:$E$222,2,0))</f>
        <v>Edward J Stankunas</v>
      </c>
      <c r="D103" t="str">
        <f>IF(ISNA(VLOOKUP($A103,DD_Info!$A$1:$E$222,3,0)),0,VLOOKUP($A103,DD_Info!$A$1:$E$222,3,0))</f>
        <v>Dallas</v>
      </c>
      <c r="E103">
        <f ca="1">ROUND(SUMIF(Councils!$C$6:$C$837,$A103,Councils!$E$6:$E$816),0)</f>
        <v>1531</v>
      </c>
      <c r="F103">
        <f ca="1">ROUND(SUMIF(Councils!$C$6:$C$837,$A103,Councils!$F$6:$F$816)*0.7,0)</f>
        <v>46</v>
      </c>
      <c r="G103">
        <f ca="1">ROUND(SUMIF(Councils!$C$6:$C$837,$A103,Councils!$G$6:$G$816)*0.7,0)</f>
        <v>0</v>
      </c>
      <c r="H103">
        <f ca="1">ROUND(SUMIF(Councils!$C$6:$C$837,$A103,Councils!$H$6:$H$816)*0.7,0)</f>
        <v>34</v>
      </c>
      <c r="I103">
        <f ca="1">ROUND(SUMIF(Councils!$C$6:$C$837,$A103,Councils!$I$6:$I$816)*0.7,0)</f>
        <v>-34</v>
      </c>
      <c r="J103">
        <f ca="1">ROUND(SUMIF(Councils!$C$6:$C$837,$A103,Councils!$J$6:$J$816)*0.7,0)</f>
        <v>12</v>
      </c>
      <c r="K103">
        <f ca="1">ROUND(SUMIF(Councils!$C$6:$C$837,$A103,Councils!$K$6:$K$816)*0.7,0)</f>
        <v>53</v>
      </c>
      <c r="L103">
        <f ca="1">ROUND(SUMIF(Councils!$C$6:$C$837,$A103,Councils!$L$6:$L$816)*0.7,0)</f>
        <v>-41</v>
      </c>
      <c r="M103" s="63">
        <f t="shared" ca="1" si="3"/>
        <v>-0.89130434782608692</v>
      </c>
      <c r="N103">
        <f t="shared" ca="1" si="2"/>
        <v>205</v>
      </c>
    </row>
    <row r="104" spans="1:14">
      <c r="A104" s="67">
        <v>112</v>
      </c>
      <c r="B104" s="81">
        <f>IF(ISNA(VLOOKUP($A104,DD_Info!$A$1:$E$222,5,0)),0,VLOOKUP($A104,DD_Info!$A$1:$E$222,5,0))</f>
        <v>3</v>
      </c>
      <c r="C104" t="str">
        <f>IF(ISNA(VLOOKUP($A104,DD_Info!$A$1:$E$222,2,0)),0,VLOOKUP($A104,DD_Info!$A$1:$E$222,2,0))</f>
        <v>Alberto  Castro</v>
      </c>
      <c r="D104" t="str">
        <f>IF(ISNA(VLOOKUP($A104,DD_Info!$A$1:$E$222,3,0)),0,VLOOKUP($A104,DD_Info!$A$1:$E$222,3,0))</f>
        <v>Dallas</v>
      </c>
      <c r="E104">
        <f ca="1">ROUND(SUMIF(Councils!$C$6:$C$837,$A104,Councils!$E$6:$E$816),0)</f>
        <v>266</v>
      </c>
      <c r="F104">
        <f ca="1">ROUND(SUMIF(Councils!$C$6:$C$837,$A104,Councils!$F$6:$F$816)*0.7,0)</f>
        <v>11</v>
      </c>
      <c r="G104">
        <f ca="1">ROUND(SUMIF(Councils!$C$6:$C$837,$A104,Councils!$G$6:$G$816)*0.7,0)</f>
        <v>1</v>
      </c>
      <c r="H104">
        <f ca="1">ROUND(SUMIF(Councils!$C$6:$C$837,$A104,Councils!$H$6:$H$816)*0.7,0)</f>
        <v>0</v>
      </c>
      <c r="I104">
        <f ca="1">ROUND(SUMIF(Councils!$C$6:$C$837,$A104,Councils!$I$6:$I$816)*0.7,0)</f>
        <v>1</v>
      </c>
      <c r="J104">
        <f ca="1">ROUND(SUMIF(Councils!$C$6:$C$837,$A104,Councils!$J$6:$J$816)*0.7,0)</f>
        <v>6</v>
      </c>
      <c r="K104">
        <f ca="1">ROUND(SUMIF(Councils!$C$6:$C$837,$A104,Councils!$K$6:$K$816)*0.7,0)</f>
        <v>0</v>
      </c>
      <c r="L104">
        <f ca="1">ROUND(SUMIF(Councils!$C$6:$C$837,$A104,Councils!$L$6:$L$816)*0.7,0)</f>
        <v>6</v>
      </c>
      <c r="M104" s="63">
        <f t="shared" ca="1" si="3"/>
        <v>0.54545454545454541</v>
      </c>
      <c r="N104">
        <f t="shared" ca="1" si="2"/>
        <v>12</v>
      </c>
    </row>
    <row r="105" spans="1:14">
      <c r="A105" s="67">
        <v>113</v>
      </c>
      <c r="B105" s="81">
        <f>IF(ISNA(VLOOKUP($A105,DD_Info!$A$1:$E$222,5,0)),0,VLOOKUP($A105,DD_Info!$A$1:$E$222,5,0))</f>
        <v>2</v>
      </c>
      <c r="C105" t="str">
        <f>IF(ISNA(VLOOKUP($A105,DD_Info!$A$1:$E$222,2,0)),0,VLOOKUP($A105,DD_Info!$A$1:$E$222,2,0))</f>
        <v>Nick  Flores</v>
      </c>
      <c r="D105" t="str">
        <f>IF(ISNA(VLOOKUP($A105,DD_Info!$A$1:$E$222,3,0)),0,VLOOKUP($A105,DD_Info!$A$1:$E$222,3,0))</f>
        <v>Dallas</v>
      </c>
      <c r="E105">
        <f ca="1">ROUND(SUMIF(Councils!$C$6:$C$837,$A105,Councils!$E$6:$E$816),0)</f>
        <v>369</v>
      </c>
      <c r="F105">
        <f ca="1">ROUND(SUMIF(Councils!$C$6:$C$837,$A105,Councils!$F$6:$F$816)*0.7,0)</f>
        <v>13</v>
      </c>
      <c r="G105">
        <f ca="1">ROUND(SUMIF(Councils!$C$6:$C$837,$A105,Councils!$G$6:$G$816)*0.7,0)</f>
        <v>0</v>
      </c>
      <c r="H105">
        <f ca="1">ROUND(SUMIF(Councils!$C$6:$C$837,$A105,Councils!$H$6:$H$816)*0.7,0)</f>
        <v>0</v>
      </c>
      <c r="I105">
        <f ca="1">ROUND(SUMIF(Councils!$C$6:$C$837,$A105,Councils!$I$6:$I$816)*0.7,0)</f>
        <v>0</v>
      </c>
      <c r="J105">
        <f ca="1">ROUND(SUMIF(Councils!$C$6:$C$837,$A105,Councils!$J$6:$J$816)*0.7,0)</f>
        <v>0</v>
      </c>
      <c r="K105">
        <f ca="1">ROUND(SUMIF(Councils!$C$6:$C$837,$A105,Councils!$K$6:$K$816)*0.7,0)</f>
        <v>0</v>
      </c>
      <c r="L105">
        <f ca="1">ROUND(SUMIF(Councils!$C$6:$C$837,$A105,Councils!$L$6:$L$816)*0.7,0)</f>
        <v>0</v>
      </c>
      <c r="M105" s="63">
        <f t="shared" ca="1" si="3"/>
        <v>0</v>
      </c>
      <c r="N105">
        <f t="shared" ca="1" si="2"/>
        <v>127</v>
      </c>
    </row>
    <row r="106" spans="1:14">
      <c r="A106" s="67">
        <v>114</v>
      </c>
      <c r="B106" s="81">
        <f>IF(ISNA(VLOOKUP($A106,DD_Info!$A$1:$E$222,5,0)),0,VLOOKUP($A106,DD_Info!$A$1:$E$222,5,0))</f>
        <v>1</v>
      </c>
      <c r="C106" t="str">
        <f>IF(ISNA(VLOOKUP($A106,DD_Info!$A$1:$E$222,2,0)),0,VLOOKUP($A106,DD_Info!$A$1:$E$222,2,0))</f>
        <v>Michael  Steffens</v>
      </c>
      <c r="D106" t="str">
        <f>IF(ISNA(VLOOKUP($A106,DD_Info!$A$1:$E$222,3,0)),0,VLOOKUP($A106,DD_Info!$A$1:$E$222,3,0))</f>
        <v>Dallas</v>
      </c>
      <c r="E106">
        <f ca="1">ROUND(SUMIF(Councils!$C$6:$C$837,$A106,Councils!$E$6:$E$816),0)</f>
        <v>1138</v>
      </c>
      <c r="F106">
        <f ca="1">ROUND(SUMIF(Councils!$C$6:$C$837,$A106,Councils!$F$6:$F$816)*0.7,0)</f>
        <v>36</v>
      </c>
      <c r="G106">
        <f ca="1">ROUND(SUMIF(Councils!$C$6:$C$837,$A106,Councils!$G$6:$G$816)*0.7,0)</f>
        <v>4</v>
      </c>
      <c r="H106">
        <f ca="1">ROUND(SUMIF(Councils!$C$6:$C$837,$A106,Councils!$H$6:$H$816)*0.7,0)</f>
        <v>4</v>
      </c>
      <c r="I106">
        <f ca="1">ROUND(SUMIF(Councils!$C$6:$C$837,$A106,Councils!$I$6:$I$816)*0.7,0)</f>
        <v>0</v>
      </c>
      <c r="J106">
        <f ca="1">ROUND(SUMIF(Councils!$C$6:$C$837,$A106,Councils!$J$6:$J$816)*0.7,0)</f>
        <v>7</v>
      </c>
      <c r="K106">
        <f ca="1">ROUND(SUMIF(Councils!$C$6:$C$837,$A106,Councils!$K$6:$K$816)*0.7,0)</f>
        <v>4</v>
      </c>
      <c r="L106">
        <f ca="1">ROUND(SUMIF(Councils!$C$6:$C$837,$A106,Councils!$L$6:$L$816)*0.7,0)</f>
        <v>3</v>
      </c>
      <c r="M106" s="63">
        <f t="shared" ca="1" si="3"/>
        <v>8.3333333333333329E-2</v>
      </c>
      <c r="N106">
        <f t="shared" ca="1" si="2"/>
        <v>96</v>
      </c>
    </row>
    <row r="107" spans="1:14">
      <c r="A107" s="67">
        <v>115</v>
      </c>
      <c r="B107" s="81">
        <f>IF(ISNA(VLOOKUP($A107,DD_Info!$A$1:$E$222,5,0)),0,VLOOKUP($A107,DD_Info!$A$1:$E$222,5,0))</f>
        <v>2</v>
      </c>
      <c r="C107" t="str">
        <f>IF(ISNA(VLOOKUP($A107,DD_Info!$A$1:$E$222,2,0)),0,VLOOKUP($A107,DD_Info!$A$1:$E$222,2,0))</f>
        <v>Ed  Romack</v>
      </c>
      <c r="D107" t="str">
        <f>IF(ISNA(VLOOKUP($A107,DD_Info!$A$1:$E$222,3,0)),0,VLOOKUP($A107,DD_Info!$A$1:$E$222,3,0))</f>
        <v>Dallas</v>
      </c>
      <c r="E107">
        <f ca="1">ROUND(SUMIF(Councils!$C$6:$C$837,$A107,Councils!$E$6:$E$816),0)</f>
        <v>462</v>
      </c>
      <c r="F107">
        <f ca="1">ROUND(SUMIF(Councils!$C$6:$C$837,$A107,Councils!$F$6:$F$816)*0.7,0)</f>
        <v>17</v>
      </c>
      <c r="G107">
        <f ca="1">ROUND(SUMIF(Councils!$C$6:$C$837,$A107,Councils!$G$6:$G$816)*0.7,0)</f>
        <v>0</v>
      </c>
      <c r="H107">
        <f ca="1">ROUND(SUMIF(Councils!$C$6:$C$837,$A107,Councils!$H$6:$H$816)*0.7,0)</f>
        <v>0</v>
      </c>
      <c r="I107">
        <f ca="1">ROUND(SUMIF(Councils!$C$6:$C$837,$A107,Councils!$I$6:$I$816)*0.7,0)</f>
        <v>0</v>
      </c>
      <c r="J107">
        <f ca="1">ROUND(SUMIF(Councils!$C$6:$C$837,$A107,Councils!$J$6:$J$816)*0.7,0)</f>
        <v>6</v>
      </c>
      <c r="K107">
        <f ca="1">ROUND(SUMIF(Councils!$C$6:$C$837,$A107,Councils!$K$6:$K$816)*0.7,0)</f>
        <v>27</v>
      </c>
      <c r="L107">
        <f ca="1">ROUND(SUMIF(Councils!$C$6:$C$837,$A107,Councils!$L$6:$L$816)*0.7,0)</f>
        <v>-20</v>
      </c>
      <c r="M107" s="63">
        <f t="shared" ca="1" si="3"/>
        <v>-1.1764705882352942</v>
      </c>
      <c r="N107">
        <f t="shared" ca="1" si="2"/>
        <v>209</v>
      </c>
    </row>
    <row r="108" spans="1:14">
      <c r="A108" s="67">
        <v>116</v>
      </c>
      <c r="B108" s="81">
        <f>IF(ISNA(VLOOKUP($A108,DD_Info!$A$1:$E$222,5,0)),0,VLOOKUP($A108,DD_Info!$A$1:$E$222,5,0))</f>
        <v>3</v>
      </c>
      <c r="C108" t="str">
        <f>IF(ISNA(VLOOKUP($A108,DD_Info!$A$1:$E$222,2,0)),0,VLOOKUP($A108,DD_Info!$A$1:$E$222,2,0))</f>
        <v>Mike  Courtney</v>
      </c>
      <c r="D108" t="str">
        <f>IF(ISNA(VLOOKUP($A108,DD_Info!$A$1:$E$222,3,0)),0,VLOOKUP($A108,DD_Info!$A$1:$E$222,3,0))</f>
        <v>Dallas</v>
      </c>
      <c r="E108">
        <f ca="1">ROUND(SUMIF(Councils!$C$6:$C$837,$A108,Councils!$E$6:$E$816),0)</f>
        <v>171</v>
      </c>
      <c r="F108">
        <f ca="1">ROUND(SUMIF(Councils!$C$6:$C$837,$A108,Councils!$F$6:$F$816)*0.7,0)</f>
        <v>8</v>
      </c>
      <c r="G108">
        <f ca="1">ROUND(SUMIF(Councils!$C$6:$C$837,$A108,Councils!$G$6:$G$816)*0.7,0)</f>
        <v>0</v>
      </c>
      <c r="H108">
        <f ca="1">ROUND(SUMIF(Councils!$C$6:$C$837,$A108,Councils!$H$6:$H$816)*0.7,0)</f>
        <v>0</v>
      </c>
      <c r="I108">
        <f ca="1">ROUND(SUMIF(Councils!$C$6:$C$837,$A108,Councils!$I$6:$I$816)*0.7,0)</f>
        <v>0</v>
      </c>
      <c r="J108">
        <f ca="1">ROUND(SUMIF(Councils!$C$6:$C$837,$A108,Councils!$J$6:$J$816)*0.7,0)</f>
        <v>0</v>
      </c>
      <c r="K108">
        <f ca="1">ROUND(SUMIF(Councils!$C$6:$C$837,$A108,Councils!$K$6:$K$816)*0.7,0)</f>
        <v>0</v>
      </c>
      <c r="L108">
        <f ca="1">ROUND(SUMIF(Councils!$C$6:$C$837,$A108,Councils!$L$6:$L$816)*0.7,0)</f>
        <v>0</v>
      </c>
      <c r="M108" s="63">
        <f t="shared" ref="M108" ca="1" si="4">IFERROR(L108/F108,0)</f>
        <v>0</v>
      </c>
      <c r="N108">
        <f t="shared" ref="N108" ca="1" si="5">RANK(M108,$M$2:$M$212,0)</f>
        <v>127</v>
      </c>
    </row>
    <row r="109" spans="1:14">
      <c r="A109" s="67">
        <v>121</v>
      </c>
      <c r="B109" s="81">
        <f>IF(ISNA(VLOOKUP($A109,DD_Info!$A$1:$E$222,5,0)),0,VLOOKUP($A109,DD_Info!$A$1:$E$222,5,0))</f>
        <v>2</v>
      </c>
      <c r="C109" t="str">
        <f>IF(ISNA(VLOOKUP($A109,DD_Info!$A$1:$E$222,2,0)),0,VLOOKUP($A109,DD_Info!$A$1:$E$222,2,0))</f>
        <v>Philip  Chauvin</v>
      </c>
      <c r="D109" t="str">
        <f>IF(ISNA(VLOOKUP($A109,DD_Info!$A$1:$E$222,3,0)),0,VLOOKUP($A109,DD_Info!$A$1:$E$222,3,0))</f>
        <v>Beaumont</v>
      </c>
      <c r="E109">
        <f ca="1">ROUND(SUMIF(Councils!$C$6:$C$837,$A109,Councils!$E$6:$E$816),0)</f>
        <v>418</v>
      </c>
      <c r="F109">
        <f ca="1">ROUND(SUMIF(Councils!$C$6:$C$837,$A109,Councils!$F$6:$F$816)*0.7,0)</f>
        <v>15</v>
      </c>
      <c r="G109">
        <f ca="1">ROUND(SUMIF(Councils!$C$6:$C$837,$A109,Councils!$G$6:$G$816)*0.7,0)</f>
        <v>0</v>
      </c>
      <c r="H109">
        <f ca="1">ROUND(SUMIF(Councils!$C$6:$C$837,$A109,Councils!$H$6:$H$816)*0.7,0)</f>
        <v>1</v>
      </c>
      <c r="I109">
        <f ca="1">ROUND(SUMIF(Councils!$C$6:$C$837,$A109,Councils!$I$6:$I$816)*0.7,0)</f>
        <v>-1</v>
      </c>
      <c r="J109">
        <f ca="1">ROUND(SUMIF(Councils!$C$6:$C$837,$A109,Councils!$J$6:$J$816)*0.7,0)</f>
        <v>4</v>
      </c>
      <c r="K109">
        <f ca="1">ROUND(SUMIF(Councils!$C$6:$C$837,$A109,Councils!$K$6:$K$816)*0.7,0)</f>
        <v>4</v>
      </c>
      <c r="L109">
        <f ca="1">ROUND(SUMIF(Councils!$C$6:$C$837,$A109,Councils!$L$6:$L$816)*0.7,0)</f>
        <v>0</v>
      </c>
      <c r="M109" s="63">
        <f t="shared" ca="1" si="3"/>
        <v>0</v>
      </c>
      <c r="N109">
        <f t="shared" ca="1" si="2"/>
        <v>127</v>
      </c>
    </row>
    <row r="110" spans="1:14">
      <c r="A110" s="67">
        <v>122</v>
      </c>
      <c r="B110" s="81">
        <f>IF(ISNA(VLOOKUP($A110,DD_Info!$A$1:$E$222,5,0)),0,VLOOKUP($A110,DD_Info!$A$1:$E$222,5,0))</f>
        <v>1</v>
      </c>
      <c r="C110" t="str">
        <f>IF(ISNA(VLOOKUP($A110,DD_Info!$A$1:$E$222,2,0)),0,VLOOKUP($A110,DD_Info!$A$1:$E$222,2,0))</f>
        <v>Jason L Kelley</v>
      </c>
      <c r="D110" t="str">
        <f>IF(ISNA(VLOOKUP($A110,DD_Info!$A$1:$E$222,3,0)),0,VLOOKUP($A110,DD_Info!$A$1:$E$222,3,0))</f>
        <v>Beaumont</v>
      </c>
      <c r="E110">
        <f ca="1">ROUND(SUMIF(Councils!$C$6:$C$837,$A110,Councils!$E$6:$E$816),0)</f>
        <v>988</v>
      </c>
      <c r="F110">
        <f ca="1">ROUND(SUMIF(Councils!$C$6:$C$837,$A110,Councils!$F$6:$F$816)*0.7,0)</f>
        <v>33</v>
      </c>
      <c r="G110">
        <f ca="1">ROUND(SUMIF(Councils!$C$6:$C$837,$A110,Councils!$G$6:$G$816)*0.7,0)</f>
        <v>1</v>
      </c>
      <c r="H110">
        <f ca="1">ROUND(SUMIF(Councils!$C$6:$C$837,$A110,Councils!$H$6:$H$816)*0.7,0)</f>
        <v>0</v>
      </c>
      <c r="I110">
        <f ca="1">ROUND(SUMIF(Councils!$C$6:$C$837,$A110,Councils!$I$6:$I$816)*0.7,0)</f>
        <v>1</v>
      </c>
      <c r="J110">
        <f ca="1">ROUND(SUMIF(Councils!$C$6:$C$837,$A110,Councils!$J$6:$J$816)*0.7,0)</f>
        <v>11</v>
      </c>
      <c r="K110">
        <f ca="1">ROUND(SUMIF(Councils!$C$6:$C$837,$A110,Councils!$K$6:$K$816)*0.7,0)</f>
        <v>1</v>
      </c>
      <c r="L110">
        <f ca="1">ROUND(SUMIF(Councils!$C$6:$C$837,$A110,Councils!$L$6:$L$816)*0.7,0)</f>
        <v>9</v>
      </c>
      <c r="M110" s="63">
        <f t="shared" ca="1" si="3"/>
        <v>0.27272727272727271</v>
      </c>
      <c r="N110">
        <f t="shared" ca="1" si="2"/>
        <v>42</v>
      </c>
    </row>
    <row r="111" spans="1:14">
      <c r="A111" s="67">
        <v>123</v>
      </c>
      <c r="B111" s="81">
        <f>IF(ISNA(VLOOKUP($A111,DD_Info!$A$1:$E$222,5,0)),0,VLOOKUP($A111,DD_Info!$A$1:$E$222,5,0))</f>
        <v>3</v>
      </c>
      <c r="C111" t="str">
        <f>IF(ISNA(VLOOKUP($A111,DD_Info!$A$1:$E$222,2,0)),0,VLOOKUP($A111,DD_Info!$A$1:$E$222,2,0))</f>
        <v>Robert "Bobby"  Wilson</v>
      </c>
      <c r="D111" t="str">
        <f>IF(ISNA(VLOOKUP($A111,DD_Info!$A$1:$E$222,3,0)),0,VLOOKUP($A111,DD_Info!$A$1:$E$222,3,0))</f>
        <v>Beaumont</v>
      </c>
      <c r="E111">
        <f ca="1">ROUND(SUMIF(Councils!$C$6:$C$837,$A111,Councils!$E$6:$E$816),0)</f>
        <v>260</v>
      </c>
      <c r="F111">
        <f ca="1">ROUND(SUMIF(Councils!$C$6:$C$837,$A111,Councils!$F$6:$F$816)*0.7,0)</f>
        <v>9</v>
      </c>
      <c r="G111">
        <f ca="1">ROUND(SUMIF(Councils!$C$6:$C$837,$A111,Councils!$G$6:$G$816)*0.7,0)</f>
        <v>0</v>
      </c>
      <c r="H111">
        <f ca="1">ROUND(SUMIF(Councils!$C$6:$C$837,$A111,Councils!$H$6:$H$816)*0.7,0)</f>
        <v>0</v>
      </c>
      <c r="I111">
        <f ca="1">ROUND(SUMIF(Councils!$C$6:$C$837,$A111,Councils!$I$6:$I$816)*0.7,0)</f>
        <v>0</v>
      </c>
      <c r="J111">
        <f ca="1">ROUND(SUMIF(Councils!$C$6:$C$837,$A111,Councils!$J$6:$J$816)*0.7,0)</f>
        <v>1</v>
      </c>
      <c r="K111">
        <f ca="1">ROUND(SUMIF(Councils!$C$6:$C$837,$A111,Councils!$K$6:$K$816)*0.7,0)</f>
        <v>0</v>
      </c>
      <c r="L111">
        <f ca="1">ROUND(SUMIF(Councils!$C$6:$C$837,$A111,Councils!$L$6:$L$816)*0.7,0)</f>
        <v>1</v>
      </c>
      <c r="M111" s="63">
        <f t="shared" ca="1" si="3"/>
        <v>0.1111111111111111</v>
      </c>
      <c r="N111">
        <f t="shared" ca="1" si="2"/>
        <v>82</v>
      </c>
    </row>
    <row r="112" spans="1:14">
      <c r="A112" s="67">
        <v>124</v>
      </c>
      <c r="B112" s="81">
        <f>IF(ISNA(VLOOKUP($A112,DD_Info!$A$1:$E$222,5,0)),0,VLOOKUP($A112,DD_Info!$A$1:$E$222,5,0))</f>
        <v>2</v>
      </c>
      <c r="C112" t="str">
        <f>IF(ISNA(VLOOKUP($A112,DD_Info!$A$1:$E$222,2,0)),0,VLOOKUP($A112,DD_Info!$A$1:$E$222,2,0))</f>
        <v>John  Badeaux Sr</v>
      </c>
      <c r="D112" t="str">
        <f>IF(ISNA(VLOOKUP($A112,DD_Info!$A$1:$E$222,3,0)),0,VLOOKUP($A112,DD_Info!$A$1:$E$222,3,0))</f>
        <v>Beaumont</v>
      </c>
      <c r="E112">
        <f ca="1">ROUND(SUMIF(Councils!$C$6:$C$837,$A112,Councils!$E$6:$E$816),0)</f>
        <v>456</v>
      </c>
      <c r="F112">
        <f ca="1">ROUND(SUMIF(Councils!$C$6:$C$837,$A112,Councils!$F$6:$F$816)*0.7,0)</f>
        <v>21</v>
      </c>
      <c r="G112">
        <f ca="1">ROUND(SUMIF(Councils!$C$6:$C$837,$A112,Councils!$G$6:$G$816)*0.7,0)</f>
        <v>0</v>
      </c>
      <c r="H112">
        <f ca="1">ROUND(SUMIF(Councils!$C$6:$C$837,$A112,Councils!$H$6:$H$816)*0.7,0)</f>
        <v>1</v>
      </c>
      <c r="I112">
        <f ca="1">ROUND(SUMIF(Councils!$C$6:$C$837,$A112,Councils!$I$6:$I$816)*0.7,0)</f>
        <v>-1</v>
      </c>
      <c r="J112">
        <f ca="1">ROUND(SUMIF(Councils!$C$6:$C$837,$A112,Councils!$J$6:$J$816)*0.7,0)</f>
        <v>0</v>
      </c>
      <c r="K112">
        <f ca="1">ROUND(SUMIF(Councils!$C$6:$C$837,$A112,Councils!$K$6:$K$816)*0.7,0)</f>
        <v>1</v>
      </c>
      <c r="L112">
        <f ca="1">ROUND(SUMIF(Councils!$C$6:$C$837,$A112,Councils!$L$6:$L$816)*0.7,0)</f>
        <v>-1</v>
      </c>
      <c r="M112" s="63">
        <f t="shared" ca="1" si="3"/>
        <v>-4.7619047619047616E-2</v>
      </c>
      <c r="N112">
        <f t="shared" ca="1" si="2"/>
        <v>175</v>
      </c>
    </row>
    <row r="113" spans="1:14">
      <c r="A113" s="67">
        <v>125</v>
      </c>
      <c r="B113" s="81">
        <f>IF(ISNA(VLOOKUP($A113,DD_Info!$A$1:$E$222,5,0)),0,VLOOKUP($A113,DD_Info!$A$1:$E$222,5,0))</f>
        <v>1</v>
      </c>
      <c r="C113" t="str">
        <f>IF(ISNA(VLOOKUP($A113,DD_Info!$A$1:$E$222,2,0)),0,VLOOKUP($A113,DD_Info!$A$1:$E$222,2,0))</f>
        <v>Marcus A James</v>
      </c>
      <c r="D113" t="str">
        <f>IF(ISNA(VLOOKUP($A113,DD_Info!$A$1:$E$222,3,0)),0,VLOOKUP($A113,DD_Info!$A$1:$E$222,3,0))</f>
        <v>Beaumont</v>
      </c>
      <c r="E113">
        <f ca="1">ROUND(SUMIF(Councils!$C$6:$C$837,$A113,Councils!$E$6:$E$816),0)</f>
        <v>595</v>
      </c>
      <c r="F113">
        <f ca="1">ROUND(SUMIF(Councils!$C$6:$C$837,$A113,Councils!$F$6:$F$816)*0.7,0)</f>
        <v>19</v>
      </c>
      <c r="G113">
        <f ca="1">ROUND(SUMIF(Councils!$C$6:$C$837,$A113,Councils!$G$6:$G$816)*0.7,0)</f>
        <v>0</v>
      </c>
      <c r="H113">
        <f ca="1">ROUND(SUMIF(Councils!$C$6:$C$837,$A113,Councils!$H$6:$H$816)*0.7,0)</f>
        <v>0</v>
      </c>
      <c r="I113">
        <f ca="1">ROUND(SUMIF(Councils!$C$6:$C$837,$A113,Councils!$I$6:$I$816)*0.7,0)</f>
        <v>0</v>
      </c>
      <c r="J113">
        <f ca="1">ROUND(SUMIF(Councils!$C$6:$C$837,$A113,Councils!$J$6:$J$816)*0.7,0)</f>
        <v>1</v>
      </c>
      <c r="K113">
        <f ca="1">ROUND(SUMIF(Councils!$C$6:$C$837,$A113,Councils!$K$6:$K$816)*0.7,0)</f>
        <v>0</v>
      </c>
      <c r="L113">
        <f ca="1">ROUND(SUMIF(Councils!$C$6:$C$837,$A113,Councils!$L$6:$L$816)*0.7,0)</f>
        <v>1</v>
      </c>
      <c r="M113" s="63">
        <f t="shared" ca="1" si="3"/>
        <v>5.2631578947368418E-2</v>
      </c>
      <c r="N113">
        <f t="shared" ca="1" si="2"/>
        <v>115</v>
      </c>
    </row>
    <row r="114" spans="1:14">
      <c r="A114" s="67">
        <v>126</v>
      </c>
      <c r="B114" s="81">
        <f>IF(ISNA(VLOOKUP($A114,DD_Info!$A$1:$E$222,5,0)),0,VLOOKUP($A114,DD_Info!$A$1:$E$222,5,0))</f>
        <v>2</v>
      </c>
      <c r="C114" t="str">
        <f>IF(ISNA(VLOOKUP($A114,DD_Info!$A$1:$E$222,2,0)),0,VLOOKUP($A114,DD_Info!$A$1:$E$222,2,0))</f>
        <v>James M Langford</v>
      </c>
      <c r="D114" t="str">
        <f>IF(ISNA(VLOOKUP($A114,DD_Info!$A$1:$E$222,3,0)),0,VLOOKUP($A114,DD_Info!$A$1:$E$222,3,0))</f>
        <v>Beaumont</v>
      </c>
      <c r="E114">
        <f ca="1">ROUND(SUMIF(Councils!$C$6:$C$837,$A114,Councils!$E$6:$E$816),0)</f>
        <v>410</v>
      </c>
      <c r="F114">
        <f ca="1">ROUND(SUMIF(Councils!$C$6:$C$837,$A114,Councils!$F$6:$F$816)*0.7,0)</f>
        <v>15</v>
      </c>
      <c r="G114">
        <f ca="1">ROUND(SUMIF(Councils!$C$6:$C$837,$A114,Councils!$G$6:$G$816)*0.7,0)</f>
        <v>0</v>
      </c>
      <c r="H114">
        <f ca="1">ROUND(SUMIF(Councils!$C$6:$C$837,$A114,Councils!$H$6:$H$816)*0.7,0)</f>
        <v>0</v>
      </c>
      <c r="I114">
        <f ca="1">ROUND(SUMIF(Councils!$C$6:$C$837,$A114,Councils!$I$6:$I$816)*0.7,0)</f>
        <v>0</v>
      </c>
      <c r="J114">
        <f ca="1">ROUND(SUMIF(Councils!$C$6:$C$837,$A114,Councils!$J$6:$J$816)*0.7,0)</f>
        <v>4</v>
      </c>
      <c r="K114">
        <f ca="1">ROUND(SUMIF(Councils!$C$6:$C$837,$A114,Councils!$K$6:$K$816)*0.7,0)</f>
        <v>0</v>
      </c>
      <c r="L114">
        <f ca="1">ROUND(SUMIF(Councils!$C$6:$C$837,$A114,Councils!$L$6:$L$816)*0.7,0)</f>
        <v>4</v>
      </c>
      <c r="M114" s="63">
        <f t="shared" ca="1" si="3"/>
        <v>0.26666666666666666</v>
      </c>
      <c r="N114">
        <f t="shared" ca="1" si="2"/>
        <v>44</v>
      </c>
    </row>
    <row r="115" spans="1:14">
      <c r="A115" s="67">
        <v>127</v>
      </c>
      <c r="B115" s="81">
        <f>IF(ISNA(VLOOKUP($A115,DD_Info!$A$1:$E$222,5,0)),0,VLOOKUP($A115,DD_Info!$A$1:$E$222,5,0))</f>
        <v>3</v>
      </c>
      <c r="C115" t="str">
        <f>IF(ISNA(VLOOKUP($A115,DD_Info!$A$1:$E$222,2,0)),0,VLOOKUP($A115,DD_Info!$A$1:$E$222,2,0))</f>
        <v>Charles D Trahan</v>
      </c>
      <c r="D115" t="str">
        <f>IF(ISNA(VLOOKUP($A115,DD_Info!$A$1:$E$222,3,0)),0,VLOOKUP($A115,DD_Info!$A$1:$E$222,3,0))</f>
        <v>Beaumont</v>
      </c>
      <c r="E115">
        <f ca="1">ROUND(SUMIF(Councils!$C$6:$C$837,$A115,Councils!$E$6:$E$816),0)</f>
        <v>37</v>
      </c>
      <c r="F115">
        <f ca="1">ROUND(SUMIF(Councils!$C$6:$C$837,$A115,Councils!$F$6:$F$816)*0.7,0)</f>
        <v>10</v>
      </c>
      <c r="G115">
        <f ca="1">ROUND(SUMIF(Councils!$C$6:$C$837,$A115,Councils!$G$6:$G$816)*0.7,0)</f>
        <v>0</v>
      </c>
      <c r="H115">
        <f ca="1">ROUND(SUMIF(Councils!$C$6:$C$837,$A115,Councils!$H$6:$H$816)*0.7,0)</f>
        <v>0</v>
      </c>
      <c r="I115">
        <f ca="1">ROUND(SUMIF(Councils!$C$6:$C$837,$A115,Councils!$I$6:$I$816)*0.7,0)</f>
        <v>0</v>
      </c>
      <c r="J115">
        <f ca="1">ROUND(SUMIF(Councils!$C$6:$C$837,$A115,Councils!$J$6:$J$816)*0.7,0)</f>
        <v>0</v>
      </c>
      <c r="K115">
        <f ca="1">ROUND(SUMIF(Councils!$C$6:$C$837,$A115,Councils!$K$6:$K$816)*0.7,0)</f>
        <v>0</v>
      </c>
      <c r="L115">
        <f ca="1">ROUND(SUMIF(Councils!$C$6:$C$837,$A115,Councils!$L$6:$L$816)*0.7,0)</f>
        <v>0</v>
      </c>
      <c r="M115" s="63">
        <f t="shared" ca="1" si="3"/>
        <v>0</v>
      </c>
      <c r="N115">
        <f t="shared" ca="1" si="2"/>
        <v>127</v>
      </c>
    </row>
    <row r="116" spans="1:14">
      <c r="A116" s="67">
        <v>131</v>
      </c>
      <c r="B116" s="81">
        <f>IF(ISNA(VLOOKUP($A116,DD_Info!$A$1:$E$222,5,0)),0,VLOOKUP($A116,DD_Info!$A$1:$E$222,5,0))</f>
        <v>3</v>
      </c>
      <c r="C116" t="str">
        <f>IF(ISNA(VLOOKUP($A116,DD_Info!$A$1:$E$222,2,0)),0,VLOOKUP($A116,DD_Info!$A$1:$E$222,2,0))</f>
        <v>Lawrence E Pfeifer</v>
      </c>
      <c r="D116" t="str">
        <f>IF(ISNA(VLOOKUP($A116,DD_Info!$A$1:$E$222,3,0)),0,VLOOKUP($A116,DD_Info!$A$1:$E$222,3,0))</f>
        <v>Tyler</v>
      </c>
      <c r="E116">
        <f ca="1">ROUND(SUMIF(Councils!$C$6:$C$837,$A116,Councils!$E$6:$E$816),0)</f>
        <v>265</v>
      </c>
      <c r="F116">
        <f ca="1">ROUND(SUMIF(Councils!$C$6:$C$837,$A116,Councils!$F$6:$F$816)*0.7,0)</f>
        <v>10</v>
      </c>
      <c r="G116">
        <f ca="1">ROUND(SUMIF(Councils!$C$6:$C$837,$A116,Councils!$G$6:$G$816)*0.7,0)</f>
        <v>0</v>
      </c>
      <c r="H116">
        <f ca="1">ROUND(SUMIF(Councils!$C$6:$C$837,$A116,Councils!$H$6:$H$816)*0.7,0)</f>
        <v>0</v>
      </c>
      <c r="I116">
        <f ca="1">ROUND(SUMIF(Councils!$C$6:$C$837,$A116,Councils!$I$6:$I$816)*0.7,0)</f>
        <v>0</v>
      </c>
      <c r="J116">
        <f ca="1">ROUND(SUMIF(Councils!$C$6:$C$837,$A116,Councils!$J$6:$J$816)*0.7,0)</f>
        <v>5</v>
      </c>
      <c r="K116">
        <f ca="1">ROUND(SUMIF(Councils!$C$6:$C$837,$A116,Councils!$K$6:$K$816)*0.7,0)</f>
        <v>1</v>
      </c>
      <c r="L116">
        <f ca="1">ROUND(SUMIF(Councils!$C$6:$C$837,$A116,Councils!$L$6:$L$816)*0.7,0)</f>
        <v>4</v>
      </c>
      <c r="M116" s="63">
        <f t="shared" ca="1" si="3"/>
        <v>0.4</v>
      </c>
      <c r="N116">
        <f t="shared" ca="1" si="2"/>
        <v>25</v>
      </c>
    </row>
    <row r="117" spans="1:14">
      <c r="A117" s="67">
        <v>132</v>
      </c>
      <c r="B117" s="81">
        <f>IF(ISNA(VLOOKUP($A117,DD_Info!$A$1:$E$222,5,0)),0,VLOOKUP($A117,DD_Info!$A$1:$E$222,5,0))</f>
        <v>3</v>
      </c>
      <c r="C117" t="str">
        <f>IF(ISNA(VLOOKUP($A117,DD_Info!$A$1:$E$222,2,0)),0,VLOOKUP($A117,DD_Info!$A$1:$E$222,2,0))</f>
        <v>Mark J Freund</v>
      </c>
      <c r="D117" t="str">
        <f>IF(ISNA(VLOOKUP($A117,DD_Info!$A$1:$E$222,3,0)),0,VLOOKUP($A117,DD_Info!$A$1:$E$222,3,0))</f>
        <v>Tyler</v>
      </c>
      <c r="E117">
        <f ca="1">ROUND(SUMIF(Councils!$C$6:$C$837,$A117,Councils!$E$6:$E$816),0)</f>
        <v>254</v>
      </c>
      <c r="F117">
        <f ca="1">ROUND(SUMIF(Councils!$C$6:$C$837,$A117,Councils!$F$6:$F$816)*0.7,0)</f>
        <v>9</v>
      </c>
      <c r="G117">
        <f ca="1">ROUND(SUMIF(Councils!$C$6:$C$837,$A117,Councils!$G$6:$G$816)*0.7,0)</f>
        <v>1</v>
      </c>
      <c r="H117">
        <f ca="1">ROUND(SUMIF(Councils!$C$6:$C$837,$A117,Councils!$H$6:$H$816)*0.7,0)</f>
        <v>0</v>
      </c>
      <c r="I117">
        <f ca="1">ROUND(SUMIF(Councils!$C$6:$C$837,$A117,Councils!$I$6:$I$816)*0.7,0)</f>
        <v>1</v>
      </c>
      <c r="J117">
        <f ca="1">ROUND(SUMIF(Councils!$C$6:$C$837,$A117,Councils!$J$6:$J$816)*0.7,0)</f>
        <v>5</v>
      </c>
      <c r="K117">
        <f ca="1">ROUND(SUMIF(Councils!$C$6:$C$837,$A117,Councils!$K$6:$K$816)*0.7,0)</f>
        <v>2</v>
      </c>
      <c r="L117">
        <f ca="1">ROUND(SUMIF(Councils!$C$6:$C$837,$A117,Councils!$L$6:$L$816)*0.7,0)</f>
        <v>3</v>
      </c>
      <c r="M117" s="63">
        <f t="shared" ca="1" si="3"/>
        <v>0.33333333333333331</v>
      </c>
      <c r="N117">
        <f t="shared" ca="1" si="2"/>
        <v>35</v>
      </c>
    </row>
    <row r="118" spans="1:14">
      <c r="A118" s="67">
        <v>133</v>
      </c>
      <c r="B118" s="81">
        <f>IF(ISNA(VLOOKUP($A118,DD_Info!$A$1:$E$222,5,0)),0,VLOOKUP($A118,DD_Info!$A$1:$E$222,5,0))</f>
        <v>1</v>
      </c>
      <c r="C118" t="str">
        <f>IF(ISNA(VLOOKUP($A118,DD_Info!$A$1:$E$222,2,0)),0,VLOOKUP($A118,DD_Info!$A$1:$E$222,2,0))</f>
        <v>John S Evans</v>
      </c>
      <c r="D118" t="str">
        <f>IF(ISNA(VLOOKUP($A118,DD_Info!$A$1:$E$222,3,0)),0,VLOOKUP($A118,DD_Info!$A$1:$E$222,3,0))</f>
        <v>Tyler</v>
      </c>
      <c r="E118">
        <f ca="1">ROUND(SUMIF(Councils!$C$6:$C$837,$A118,Councils!$E$6:$E$816),0)</f>
        <v>655</v>
      </c>
      <c r="F118">
        <f ca="1">ROUND(SUMIF(Councils!$C$6:$C$837,$A118,Councils!$F$6:$F$816)*0.7,0)</f>
        <v>23</v>
      </c>
      <c r="G118">
        <f ca="1">ROUND(SUMIF(Councils!$C$6:$C$837,$A118,Councils!$G$6:$G$816)*0.7,0)</f>
        <v>0</v>
      </c>
      <c r="H118">
        <f ca="1">ROUND(SUMIF(Councils!$C$6:$C$837,$A118,Councils!$H$6:$H$816)*0.7,0)</f>
        <v>1</v>
      </c>
      <c r="I118">
        <f ca="1">ROUND(SUMIF(Councils!$C$6:$C$837,$A118,Councils!$I$6:$I$816)*0.7,0)</f>
        <v>-1</v>
      </c>
      <c r="J118">
        <f ca="1">ROUND(SUMIF(Councils!$C$6:$C$837,$A118,Councils!$J$6:$J$816)*0.7,0)</f>
        <v>8</v>
      </c>
      <c r="K118">
        <f ca="1">ROUND(SUMIF(Councils!$C$6:$C$837,$A118,Councils!$K$6:$K$816)*0.7,0)</f>
        <v>1</v>
      </c>
      <c r="L118">
        <f ca="1">ROUND(SUMIF(Councils!$C$6:$C$837,$A118,Councils!$L$6:$L$816)*0.7,0)</f>
        <v>8</v>
      </c>
      <c r="M118" s="63">
        <f t="shared" ca="1" si="3"/>
        <v>0.34782608695652173</v>
      </c>
      <c r="N118">
        <f t="shared" ca="1" si="2"/>
        <v>34</v>
      </c>
    </row>
    <row r="119" spans="1:14">
      <c r="A119" s="67">
        <v>134</v>
      </c>
      <c r="B119" s="81">
        <f>IF(ISNA(VLOOKUP($A119,DD_Info!$A$1:$E$222,5,0)),0,VLOOKUP($A119,DD_Info!$A$1:$E$222,5,0))</f>
        <v>2</v>
      </c>
      <c r="C119" t="str">
        <f>IF(ISNA(VLOOKUP($A119,DD_Info!$A$1:$E$222,2,0)),0,VLOOKUP($A119,DD_Info!$A$1:$E$222,2,0))</f>
        <v>Damian Christopher  Oldmixon</v>
      </c>
      <c r="D119" t="str">
        <f>IF(ISNA(VLOOKUP($A119,DD_Info!$A$1:$E$222,3,0)),0,VLOOKUP($A119,DD_Info!$A$1:$E$222,3,0))</f>
        <v>Tyler</v>
      </c>
      <c r="E119">
        <f ca="1">ROUND(SUMIF(Councils!$C$6:$C$837,$A119,Councils!$E$6:$E$816),0)</f>
        <v>433</v>
      </c>
      <c r="F119">
        <f ca="1">ROUND(SUMIF(Councils!$C$6:$C$837,$A119,Councils!$F$6:$F$816)*0.7,0)</f>
        <v>16</v>
      </c>
      <c r="G119">
        <f ca="1">ROUND(SUMIF(Councils!$C$6:$C$837,$A119,Councils!$G$6:$G$816)*0.7,0)</f>
        <v>0</v>
      </c>
      <c r="H119">
        <f ca="1">ROUND(SUMIF(Councils!$C$6:$C$837,$A119,Councils!$H$6:$H$816)*0.7,0)</f>
        <v>0</v>
      </c>
      <c r="I119">
        <f ca="1">ROUND(SUMIF(Councils!$C$6:$C$837,$A119,Councils!$I$6:$I$816)*0.7,0)</f>
        <v>0</v>
      </c>
      <c r="J119">
        <f ca="1">ROUND(SUMIF(Councils!$C$6:$C$837,$A119,Councils!$J$6:$J$816)*0.7,0)</f>
        <v>6</v>
      </c>
      <c r="K119">
        <f ca="1">ROUND(SUMIF(Councils!$C$6:$C$837,$A119,Councils!$K$6:$K$816)*0.7,0)</f>
        <v>29</v>
      </c>
      <c r="L119">
        <f ca="1">ROUND(SUMIF(Councils!$C$6:$C$837,$A119,Councils!$L$6:$L$816)*0.7,0)</f>
        <v>-23</v>
      </c>
      <c r="M119" s="63">
        <f t="shared" ca="1" si="3"/>
        <v>-1.4375</v>
      </c>
      <c r="N119">
        <f t="shared" ca="1" si="2"/>
        <v>211</v>
      </c>
    </row>
    <row r="120" spans="1:14">
      <c r="A120" s="67">
        <v>135</v>
      </c>
      <c r="B120" s="81">
        <f>IF(ISNA(VLOOKUP($A120,DD_Info!$A$1:$E$222,5,0)),0,VLOOKUP($A120,DD_Info!$A$1:$E$222,5,0))</f>
        <v>3</v>
      </c>
      <c r="C120" t="str">
        <f>IF(ISNA(VLOOKUP($A120,DD_Info!$A$1:$E$222,2,0)),0,VLOOKUP($A120,DD_Info!$A$1:$E$222,2,0))</f>
        <v>James  Kennerly</v>
      </c>
      <c r="D120" t="str">
        <f>IF(ISNA(VLOOKUP($A120,DD_Info!$A$1:$E$222,3,0)),0,VLOOKUP($A120,DD_Info!$A$1:$E$222,3,0))</f>
        <v>Tyler</v>
      </c>
      <c r="E120">
        <f ca="1">ROUND(SUMIF(Councils!$C$6:$C$837,$A120,Councils!$E$6:$E$816),0)</f>
        <v>292</v>
      </c>
      <c r="F120">
        <f ca="1">ROUND(SUMIF(Councils!$C$6:$C$837,$A120,Councils!$F$6:$F$816)*0.7,0)</f>
        <v>11</v>
      </c>
      <c r="G120">
        <f ca="1">ROUND(SUMIF(Councils!$C$6:$C$837,$A120,Councils!$G$6:$G$816)*0.7,0)</f>
        <v>0</v>
      </c>
      <c r="H120">
        <f ca="1">ROUND(SUMIF(Councils!$C$6:$C$837,$A120,Councils!$H$6:$H$816)*0.7,0)</f>
        <v>2</v>
      </c>
      <c r="I120">
        <f ca="1">ROUND(SUMIF(Councils!$C$6:$C$837,$A120,Councils!$I$6:$I$816)*0.7,0)</f>
        <v>-2</v>
      </c>
      <c r="J120">
        <f ca="1">ROUND(SUMIF(Councils!$C$6:$C$837,$A120,Councils!$J$6:$J$816)*0.7,0)</f>
        <v>1</v>
      </c>
      <c r="K120">
        <f ca="1">ROUND(SUMIF(Councils!$C$6:$C$837,$A120,Councils!$K$6:$K$816)*0.7,0)</f>
        <v>17</v>
      </c>
      <c r="L120">
        <f ca="1">ROUND(SUMIF(Councils!$C$6:$C$837,$A120,Councils!$L$6:$L$816)*0.7,0)</f>
        <v>-15</v>
      </c>
      <c r="M120" s="63">
        <f t="shared" ca="1" si="3"/>
        <v>-1.3636363636363635</v>
      </c>
      <c r="N120">
        <f t="shared" ca="1" si="2"/>
        <v>210</v>
      </c>
    </row>
    <row r="121" spans="1:14">
      <c r="A121" s="67">
        <v>136</v>
      </c>
      <c r="B121" s="81">
        <f>IF(ISNA(VLOOKUP($A121,DD_Info!$A$1:$E$222,5,0)),0,VLOOKUP($A121,DD_Info!$A$1:$E$222,5,0))</f>
        <v>3</v>
      </c>
      <c r="C121" t="str">
        <f>IF(ISNA(VLOOKUP($A121,DD_Info!$A$1:$E$222,2,0)),0,VLOOKUP($A121,DD_Info!$A$1:$E$222,2,0))</f>
        <v>Travis  Desjarlais</v>
      </c>
      <c r="D121" t="str">
        <f>IF(ISNA(VLOOKUP($A121,DD_Info!$A$1:$E$222,3,0)),0,VLOOKUP($A121,DD_Info!$A$1:$E$222,3,0))</f>
        <v>Tyler</v>
      </c>
      <c r="E121">
        <f ca="1">ROUND(SUMIF(Councils!$C$6:$C$837,$A121,Councils!$E$6:$E$816),0)</f>
        <v>288</v>
      </c>
      <c r="F121">
        <f ca="1">ROUND(SUMIF(Councils!$C$6:$C$837,$A121,Councils!$F$6:$F$816)*0.7,0)</f>
        <v>11</v>
      </c>
      <c r="G121">
        <f ca="1">ROUND(SUMIF(Councils!$C$6:$C$837,$A121,Councils!$G$6:$G$816)*0.7,0)</f>
        <v>0</v>
      </c>
      <c r="H121">
        <f ca="1">ROUND(SUMIF(Councils!$C$6:$C$837,$A121,Councils!$H$6:$H$816)*0.7,0)</f>
        <v>1</v>
      </c>
      <c r="I121">
        <f ca="1">ROUND(SUMIF(Councils!$C$6:$C$837,$A121,Councils!$I$6:$I$816)*0.7,0)</f>
        <v>-1</v>
      </c>
      <c r="J121">
        <f ca="1">ROUND(SUMIF(Councils!$C$6:$C$837,$A121,Councils!$J$6:$J$816)*0.7,0)</f>
        <v>1</v>
      </c>
      <c r="K121">
        <f ca="1">ROUND(SUMIF(Councils!$C$6:$C$837,$A121,Councils!$K$6:$K$816)*0.7,0)</f>
        <v>1</v>
      </c>
      <c r="L121">
        <f ca="1">ROUND(SUMIF(Councils!$C$6:$C$837,$A121,Councils!$L$6:$L$816)*0.7,0)</f>
        <v>0</v>
      </c>
      <c r="M121" s="63">
        <f t="shared" ca="1" si="3"/>
        <v>0</v>
      </c>
      <c r="N121">
        <f t="shared" ca="1" si="2"/>
        <v>127</v>
      </c>
    </row>
    <row r="122" spans="1:14">
      <c r="A122" s="67">
        <v>137</v>
      </c>
      <c r="B122" s="81">
        <f>IF(ISNA(VLOOKUP($A122,DD_Info!$A$1:$E$222,5,0)),0,VLOOKUP($A122,DD_Info!$A$1:$E$222,5,0))</f>
        <v>2</v>
      </c>
      <c r="C122" t="str">
        <f>IF(ISNA(VLOOKUP($A122,DD_Info!$A$1:$E$222,2,0)),0,VLOOKUP($A122,DD_Info!$A$1:$E$222,2,0))</f>
        <v>Jeffrey  Allen</v>
      </c>
      <c r="D122" t="str">
        <f>IF(ISNA(VLOOKUP($A122,DD_Info!$A$1:$E$222,3,0)),0,VLOOKUP($A122,DD_Info!$A$1:$E$222,3,0))</f>
        <v>Tyler</v>
      </c>
      <c r="E122">
        <f ca="1">ROUND(SUMIF(Councils!$C$6:$C$837,$A122,Councils!$E$6:$E$816),0)</f>
        <v>314</v>
      </c>
      <c r="F122">
        <f ca="1">ROUND(SUMIF(Councils!$C$6:$C$837,$A122,Councils!$F$6:$F$816)*0.7,0)</f>
        <v>11</v>
      </c>
      <c r="G122">
        <f ca="1">ROUND(SUMIF(Councils!$C$6:$C$837,$A122,Councils!$G$6:$G$816)*0.7,0)</f>
        <v>0</v>
      </c>
      <c r="H122">
        <f ca="1">ROUND(SUMIF(Councils!$C$6:$C$837,$A122,Councils!$H$6:$H$816)*0.7,0)</f>
        <v>5</v>
      </c>
      <c r="I122">
        <f ca="1">ROUND(SUMIF(Councils!$C$6:$C$837,$A122,Councils!$I$6:$I$816)*0.7,0)</f>
        <v>-5</v>
      </c>
      <c r="J122">
        <f ca="1">ROUND(SUMIF(Councils!$C$6:$C$837,$A122,Councils!$J$6:$J$816)*0.7,0)</f>
        <v>4</v>
      </c>
      <c r="K122">
        <f ca="1">ROUND(SUMIF(Councils!$C$6:$C$837,$A122,Councils!$K$6:$K$816)*0.7,0)</f>
        <v>5</v>
      </c>
      <c r="L122">
        <f ca="1">ROUND(SUMIF(Councils!$C$6:$C$837,$A122,Councils!$L$6:$L$816)*0.7,0)</f>
        <v>-1</v>
      </c>
      <c r="M122" s="63">
        <f t="shared" ca="1" si="3"/>
        <v>-9.0909090909090912E-2</v>
      </c>
      <c r="N122">
        <f t="shared" ca="1" si="2"/>
        <v>181</v>
      </c>
    </row>
    <row r="123" spans="1:14">
      <c r="A123" s="67">
        <v>138</v>
      </c>
      <c r="B123" s="81">
        <f>IF(ISNA(VLOOKUP($A123,DD_Info!$A$1:$E$222,5,0)),0,VLOOKUP($A123,DD_Info!$A$1:$E$222,5,0))</f>
        <v>3</v>
      </c>
      <c r="C123" t="str">
        <f>IF(ISNA(VLOOKUP($A123,DD_Info!$A$1:$E$222,2,0)),0,VLOOKUP($A123,DD_Info!$A$1:$E$222,2,0))</f>
        <v>Alan  Mebes</v>
      </c>
      <c r="D123" t="str">
        <f>IF(ISNA(VLOOKUP($A123,DD_Info!$A$1:$E$222,3,0)),0,VLOOKUP($A123,DD_Info!$A$1:$E$222,3,0))</f>
        <v>Tyler</v>
      </c>
      <c r="E123">
        <f ca="1">ROUND(SUMIF(Councils!$C$6:$C$837,$A123,Councils!$E$6:$E$816),0)</f>
        <v>159</v>
      </c>
      <c r="F123">
        <f ca="1">ROUND(SUMIF(Councils!$C$6:$C$837,$A123,Councils!$F$6:$F$816)*0.7,0)</f>
        <v>8</v>
      </c>
      <c r="G123">
        <f ca="1">ROUND(SUMIF(Councils!$C$6:$C$837,$A123,Councils!$G$6:$G$816)*0.7,0)</f>
        <v>0</v>
      </c>
      <c r="H123">
        <f ca="1">ROUND(SUMIF(Councils!$C$6:$C$837,$A123,Councils!$H$6:$H$816)*0.7,0)</f>
        <v>0</v>
      </c>
      <c r="I123">
        <f ca="1">ROUND(SUMIF(Councils!$C$6:$C$837,$A123,Councils!$I$6:$I$816)*0.7,0)</f>
        <v>0</v>
      </c>
      <c r="J123">
        <f ca="1">ROUND(SUMIF(Councils!$C$6:$C$837,$A123,Councils!$J$6:$J$816)*0.7,0)</f>
        <v>1</v>
      </c>
      <c r="K123">
        <f ca="1">ROUND(SUMIF(Councils!$C$6:$C$837,$A123,Councils!$K$6:$K$816)*0.7,0)</f>
        <v>2</v>
      </c>
      <c r="L123">
        <f ca="1">ROUND(SUMIF(Councils!$C$6:$C$837,$A123,Councils!$L$6:$L$816)*0.7,0)</f>
        <v>-1</v>
      </c>
      <c r="M123" s="63">
        <f t="shared" ca="1" si="3"/>
        <v>-0.125</v>
      </c>
      <c r="N123">
        <f t="shared" ca="1" si="2"/>
        <v>184</v>
      </c>
    </row>
    <row r="124" spans="1:14">
      <c r="A124" s="67">
        <v>141</v>
      </c>
      <c r="B124" s="81">
        <f>IF(ISNA(VLOOKUP($A124,DD_Info!$A$1:$E$222,5,0)),0,VLOOKUP($A124,DD_Info!$A$1:$E$222,5,0))</f>
        <v>1</v>
      </c>
      <c r="C124" t="str">
        <f>IF(ISNA(VLOOKUP($A124,DD_Info!$A$1:$E$222,2,0)),0,VLOOKUP($A124,DD_Info!$A$1:$E$222,2,0))</f>
        <v>Kenneth  Ratajczak</v>
      </c>
      <c r="D124" t="str">
        <f>IF(ISNA(VLOOKUP($A124,DD_Info!$A$1:$E$222,3,0)),0,VLOOKUP($A124,DD_Info!$A$1:$E$222,3,0))</f>
        <v>Austin</v>
      </c>
      <c r="E124">
        <f ca="1">ROUND(SUMIF(Councils!$C$6:$C$837,$A124,Councils!$E$6:$E$816),0)</f>
        <v>1017</v>
      </c>
      <c r="F124">
        <f ca="1">ROUND(SUMIF(Councils!$C$6:$C$837,$A124,Councils!$F$6:$F$816)*0.7,0)</f>
        <v>31</v>
      </c>
      <c r="G124">
        <f ca="1">ROUND(SUMIF(Councils!$C$6:$C$837,$A124,Councils!$G$6:$G$816)*0.7,0)</f>
        <v>0</v>
      </c>
      <c r="H124">
        <f ca="1">ROUND(SUMIF(Councils!$C$6:$C$837,$A124,Councils!$H$6:$H$816)*0.7,0)</f>
        <v>0</v>
      </c>
      <c r="I124">
        <f ca="1">ROUND(SUMIF(Councils!$C$6:$C$837,$A124,Councils!$I$6:$I$816)*0.7,0)</f>
        <v>0</v>
      </c>
      <c r="J124">
        <f ca="1">ROUND(SUMIF(Councils!$C$6:$C$837,$A124,Councils!$J$6:$J$816)*0.7,0)</f>
        <v>3</v>
      </c>
      <c r="K124">
        <f ca="1">ROUND(SUMIF(Councils!$C$6:$C$837,$A124,Councils!$K$6:$K$816)*0.7,0)</f>
        <v>1</v>
      </c>
      <c r="L124">
        <f ca="1">ROUND(SUMIF(Councils!$C$6:$C$837,$A124,Councils!$L$6:$L$816)*0.7,0)</f>
        <v>2</v>
      </c>
      <c r="M124" s="63">
        <f t="shared" ca="1" si="3"/>
        <v>6.4516129032258063E-2</v>
      </c>
      <c r="N124">
        <f t="shared" ca="1" si="2"/>
        <v>106</v>
      </c>
    </row>
    <row r="125" spans="1:14">
      <c r="A125" s="67">
        <v>142</v>
      </c>
      <c r="B125" s="81">
        <f>IF(ISNA(VLOOKUP($A125,DD_Info!$A$1:$E$222,5,0)),0,VLOOKUP($A125,DD_Info!$A$1:$E$222,5,0))</f>
        <v>2</v>
      </c>
      <c r="C125" t="str">
        <f>IF(ISNA(VLOOKUP($A125,DD_Info!$A$1:$E$222,2,0)),0,VLOOKUP($A125,DD_Info!$A$1:$E$222,2,0))</f>
        <v>Bernard F Ott Jr</v>
      </c>
      <c r="D125" t="str">
        <f>IF(ISNA(VLOOKUP($A125,DD_Info!$A$1:$E$222,3,0)),0,VLOOKUP($A125,DD_Info!$A$1:$E$222,3,0))</f>
        <v>Austin</v>
      </c>
      <c r="E125">
        <f ca="1">ROUND(SUMIF(Councils!$C$6:$C$837,$A125,Councils!$E$6:$E$816),0)</f>
        <v>368</v>
      </c>
      <c r="F125">
        <f ca="1">ROUND(SUMIF(Councils!$C$6:$C$837,$A125,Councils!$F$6:$F$816)*0.7,0)</f>
        <v>14</v>
      </c>
      <c r="G125">
        <f ca="1">ROUND(SUMIF(Councils!$C$6:$C$837,$A125,Councils!$G$6:$G$816)*0.7,0)</f>
        <v>0</v>
      </c>
      <c r="H125">
        <f ca="1">ROUND(SUMIF(Councils!$C$6:$C$837,$A125,Councils!$H$6:$H$816)*0.7,0)</f>
        <v>0</v>
      </c>
      <c r="I125">
        <f ca="1">ROUND(SUMIF(Councils!$C$6:$C$837,$A125,Councils!$I$6:$I$816)*0.7,0)</f>
        <v>0</v>
      </c>
      <c r="J125">
        <f ca="1">ROUND(SUMIF(Councils!$C$6:$C$837,$A125,Councils!$J$6:$J$816)*0.7,0)</f>
        <v>6</v>
      </c>
      <c r="K125">
        <f ca="1">ROUND(SUMIF(Councils!$C$6:$C$837,$A125,Councils!$K$6:$K$816)*0.7,0)</f>
        <v>3</v>
      </c>
      <c r="L125">
        <f ca="1">ROUND(SUMIF(Councils!$C$6:$C$837,$A125,Councils!$L$6:$L$816)*0.7,0)</f>
        <v>3</v>
      </c>
      <c r="M125" s="63">
        <f t="shared" ca="1" si="3"/>
        <v>0.21428571428571427</v>
      </c>
      <c r="N125">
        <f t="shared" ca="1" si="2"/>
        <v>54</v>
      </c>
    </row>
    <row r="126" spans="1:14">
      <c r="A126" s="67">
        <v>143</v>
      </c>
      <c r="B126" s="81">
        <f>IF(ISNA(VLOOKUP($A126,DD_Info!$A$1:$E$222,5,0)),0,VLOOKUP($A126,DD_Info!$A$1:$E$222,5,0))</f>
        <v>1</v>
      </c>
      <c r="C126" t="str">
        <f>IF(ISNA(VLOOKUP($A126,DD_Info!$A$1:$E$222,2,0)),0,VLOOKUP($A126,DD_Info!$A$1:$E$222,2,0))</f>
        <v>Eugene  Presta</v>
      </c>
      <c r="D126" t="str">
        <f>IF(ISNA(VLOOKUP($A126,DD_Info!$A$1:$E$222,3,0)),0,VLOOKUP($A126,DD_Info!$A$1:$E$222,3,0))</f>
        <v>Austin</v>
      </c>
      <c r="E126">
        <f ca="1">ROUND(SUMIF(Councils!$C$6:$C$837,$A126,Councils!$E$6:$E$816),0)</f>
        <v>743</v>
      </c>
      <c r="F126">
        <f ca="1">ROUND(SUMIF(Councils!$C$6:$C$837,$A126,Councils!$F$6:$F$816)*0.7,0)</f>
        <v>25</v>
      </c>
      <c r="G126">
        <f ca="1">ROUND(SUMIF(Councils!$C$6:$C$837,$A126,Councils!$G$6:$G$816)*0.7,0)</f>
        <v>1</v>
      </c>
      <c r="H126">
        <f ca="1">ROUND(SUMIF(Councils!$C$6:$C$837,$A126,Councils!$H$6:$H$816)*0.7,0)</f>
        <v>0</v>
      </c>
      <c r="I126">
        <f ca="1">ROUND(SUMIF(Councils!$C$6:$C$837,$A126,Councils!$I$6:$I$816)*0.7,0)</f>
        <v>1</v>
      </c>
      <c r="J126">
        <f ca="1">ROUND(SUMIF(Councils!$C$6:$C$837,$A126,Councils!$J$6:$J$816)*0.7,0)</f>
        <v>7</v>
      </c>
      <c r="K126">
        <f ca="1">ROUND(SUMIF(Councils!$C$6:$C$837,$A126,Councils!$K$6:$K$816)*0.7,0)</f>
        <v>0</v>
      </c>
      <c r="L126">
        <f ca="1">ROUND(SUMIF(Councils!$C$6:$C$837,$A126,Councils!$L$6:$L$816)*0.7,0)</f>
        <v>7</v>
      </c>
      <c r="M126" s="63">
        <f t="shared" ca="1" si="3"/>
        <v>0.28000000000000003</v>
      </c>
      <c r="N126">
        <f t="shared" ca="1" si="2"/>
        <v>41</v>
      </c>
    </row>
    <row r="127" spans="1:14">
      <c r="A127" s="67">
        <v>144</v>
      </c>
      <c r="B127" s="81">
        <f>IF(ISNA(VLOOKUP($A127,DD_Info!$A$1:$E$222,5,0)),0,VLOOKUP($A127,DD_Info!$A$1:$E$222,5,0))</f>
        <v>3</v>
      </c>
      <c r="C127" t="str">
        <f>IF(ISNA(VLOOKUP($A127,DD_Info!$A$1:$E$222,2,0)),0,VLOOKUP($A127,DD_Info!$A$1:$E$222,2,0))</f>
        <v>TO BE APPOINTED</v>
      </c>
      <c r="D127" t="str">
        <f>IF(ISNA(VLOOKUP($A127,DD_Info!$A$1:$E$222,3,0)),0,VLOOKUP($A127,DD_Info!$A$1:$E$222,3,0))</f>
        <v>Austin</v>
      </c>
      <c r="E127">
        <f ca="1">ROUND(SUMIF(Councils!$C$6:$C$837,$A127,Councils!$E$6:$E$816),0)</f>
        <v>266</v>
      </c>
      <c r="F127">
        <f ca="1">ROUND(SUMIF(Councils!$C$6:$C$837,$A127,Councils!$F$6:$F$816)*0.7,0)</f>
        <v>8</v>
      </c>
      <c r="G127">
        <f ca="1">ROUND(SUMIF(Councils!$C$6:$C$837,$A127,Councils!$G$6:$G$816)*0.7,0)</f>
        <v>1</v>
      </c>
      <c r="H127">
        <f ca="1">ROUND(SUMIF(Councils!$C$6:$C$837,$A127,Councils!$H$6:$H$816)*0.7,0)</f>
        <v>0</v>
      </c>
      <c r="I127">
        <f ca="1">ROUND(SUMIF(Councils!$C$6:$C$837,$A127,Councils!$I$6:$I$816)*0.7,0)</f>
        <v>1</v>
      </c>
      <c r="J127">
        <f ca="1">ROUND(SUMIF(Councils!$C$6:$C$837,$A127,Councils!$J$6:$J$816)*0.7,0)</f>
        <v>1</v>
      </c>
      <c r="K127">
        <f ca="1">ROUND(SUMIF(Councils!$C$6:$C$837,$A127,Councils!$K$6:$K$816)*0.7,0)</f>
        <v>0</v>
      </c>
      <c r="L127">
        <f ca="1">ROUND(SUMIF(Councils!$C$6:$C$837,$A127,Councils!$L$6:$L$816)*0.7,0)</f>
        <v>1</v>
      </c>
      <c r="M127" s="63">
        <f t="shared" ca="1" si="3"/>
        <v>0.125</v>
      </c>
      <c r="N127">
        <f t="shared" ca="1" si="2"/>
        <v>74</v>
      </c>
    </row>
    <row r="128" spans="1:14">
      <c r="A128" s="67">
        <v>145</v>
      </c>
      <c r="B128" s="81">
        <f>IF(ISNA(VLOOKUP($A128,DD_Info!$A$1:$E$222,5,0)),0,VLOOKUP($A128,DD_Info!$A$1:$E$222,5,0))</f>
        <v>3</v>
      </c>
      <c r="C128" t="str">
        <f>IF(ISNA(VLOOKUP($A128,DD_Info!$A$1:$E$222,2,0)),0,VLOOKUP($A128,DD_Info!$A$1:$E$222,2,0))</f>
        <v>Wayne  McCart</v>
      </c>
      <c r="D128" t="str">
        <f>IF(ISNA(VLOOKUP($A128,DD_Info!$A$1:$E$222,3,0)),0,VLOOKUP($A128,DD_Info!$A$1:$E$222,3,0))</f>
        <v>Austin</v>
      </c>
      <c r="E128">
        <f ca="1">ROUND(SUMIF(Councils!$C$6:$C$837,$A128,Councils!$E$6:$E$816),0)</f>
        <v>80</v>
      </c>
      <c r="F128">
        <f ca="1">ROUND(SUMIF(Councils!$C$6:$C$837,$A128,Councils!$F$6:$F$816)*0.7,0)</f>
        <v>4</v>
      </c>
      <c r="G128">
        <f ca="1">ROUND(SUMIF(Councils!$C$6:$C$837,$A128,Councils!$G$6:$G$816)*0.7,0)</f>
        <v>0</v>
      </c>
      <c r="H128">
        <f ca="1">ROUND(SUMIF(Councils!$C$6:$C$837,$A128,Councils!$H$6:$H$816)*0.7,0)</f>
        <v>0</v>
      </c>
      <c r="I128">
        <f ca="1">ROUND(SUMIF(Councils!$C$6:$C$837,$A128,Councils!$I$6:$I$816)*0.7,0)</f>
        <v>0</v>
      </c>
      <c r="J128">
        <f ca="1">ROUND(SUMIF(Councils!$C$6:$C$837,$A128,Councils!$J$6:$J$816)*0.7,0)</f>
        <v>0</v>
      </c>
      <c r="K128">
        <f ca="1">ROUND(SUMIF(Councils!$C$6:$C$837,$A128,Councils!$K$6:$K$816)*0.7,0)</f>
        <v>0</v>
      </c>
      <c r="L128">
        <f ca="1">ROUND(SUMIF(Councils!$C$6:$C$837,$A128,Councils!$L$6:$L$816)*0.7,0)</f>
        <v>0</v>
      </c>
      <c r="M128" s="63">
        <f t="shared" ca="1" si="3"/>
        <v>0</v>
      </c>
      <c r="N128">
        <f t="shared" ca="1" si="2"/>
        <v>127</v>
      </c>
    </row>
    <row r="129" spans="1:14">
      <c r="A129" s="67">
        <v>146</v>
      </c>
      <c r="B129" s="81">
        <f>IF(ISNA(VLOOKUP($A129,DD_Info!$A$1:$E$222,5,0)),0,VLOOKUP($A129,DD_Info!$A$1:$E$222,5,0))</f>
        <v>1</v>
      </c>
      <c r="C129" t="str">
        <f>IF(ISNA(VLOOKUP($A129,DD_Info!$A$1:$E$222,2,0)),0,VLOOKUP($A129,DD_Info!$A$1:$E$222,2,0))</f>
        <v>David  Lamme</v>
      </c>
      <c r="D129" t="str">
        <f>IF(ISNA(VLOOKUP($A129,DD_Info!$A$1:$E$222,3,0)),0,VLOOKUP($A129,DD_Info!$A$1:$E$222,3,0))</f>
        <v>Austin</v>
      </c>
      <c r="E129">
        <f ca="1">ROUND(SUMIF(Councils!$C$6:$C$837,$A129,Councils!$E$6:$E$816),0)</f>
        <v>1148</v>
      </c>
      <c r="F129">
        <f ca="1">ROUND(SUMIF(Councils!$C$6:$C$837,$A129,Councils!$F$6:$F$816)*0.7,0)</f>
        <v>37</v>
      </c>
      <c r="G129">
        <f ca="1">ROUND(SUMIF(Councils!$C$6:$C$837,$A129,Councils!$G$6:$G$816)*0.7,0)</f>
        <v>0</v>
      </c>
      <c r="H129">
        <f ca="1">ROUND(SUMIF(Councils!$C$6:$C$837,$A129,Councils!$H$6:$H$816)*0.7,0)</f>
        <v>1</v>
      </c>
      <c r="I129">
        <f ca="1">ROUND(SUMIF(Councils!$C$6:$C$837,$A129,Councils!$I$6:$I$816)*0.7,0)</f>
        <v>-1</v>
      </c>
      <c r="J129">
        <f ca="1">ROUND(SUMIF(Councils!$C$6:$C$837,$A129,Councils!$J$6:$J$816)*0.7,0)</f>
        <v>26</v>
      </c>
      <c r="K129">
        <f ca="1">ROUND(SUMIF(Councils!$C$6:$C$837,$A129,Councils!$K$6:$K$816)*0.7,0)</f>
        <v>3</v>
      </c>
      <c r="L129">
        <f ca="1">ROUND(SUMIF(Councils!$C$6:$C$837,$A129,Councils!$L$6:$L$816)*0.7,0)</f>
        <v>23</v>
      </c>
      <c r="M129" s="63">
        <f t="shared" ca="1" si="3"/>
        <v>0.6216216216216216</v>
      </c>
      <c r="N129">
        <f t="shared" ca="1" si="2"/>
        <v>8</v>
      </c>
    </row>
    <row r="130" spans="1:14">
      <c r="A130" s="67">
        <v>147</v>
      </c>
      <c r="B130" s="81">
        <f>IF(ISNA(VLOOKUP($A130,DD_Info!$A$1:$E$222,5,0)),0,VLOOKUP($A130,DD_Info!$A$1:$E$222,5,0))</f>
        <v>1</v>
      </c>
      <c r="C130" t="str">
        <f>IF(ISNA(VLOOKUP($A130,DD_Info!$A$1:$E$222,2,0)),0,VLOOKUP($A130,DD_Info!$A$1:$E$222,2,0))</f>
        <v>Clarence  Troy</v>
      </c>
      <c r="D130" t="str">
        <f>IF(ISNA(VLOOKUP($A130,DD_Info!$A$1:$E$222,3,0)),0,VLOOKUP($A130,DD_Info!$A$1:$E$222,3,0))</f>
        <v>Austin</v>
      </c>
      <c r="E130">
        <f ca="1">ROUND(SUMIF(Councils!$C$6:$C$837,$A130,Councils!$E$6:$E$816),0)</f>
        <v>700</v>
      </c>
      <c r="F130">
        <f ca="1">ROUND(SUMIF(Councils!$C$6:$C$837,$A130,Councils!$F$6:$F$816)*0.7,0)</f>
        <v>23</v>
      </c>
      <c r="G130">
        <f ca="1">ROUND(SUMIF(Councils!$C$6:$C$837,$A130,Councils!$G$6:$G$816)*0.7,0)</f>
        <v>0</v>
      </c>
      <c r="H130">
        <f ca="1">ROUND(SUMIF(Councils!$C$6:$C$837,$A130,Councils!$H$6:$H$816)*0.7,0)</f>
        <v>1</v>
      </c>
      <c r="I130">
        <f ca="1">ROUND(SUMIF(Councils!$C$6:$C$837,$A130,Councils!$I$6:$I$816)*0.7,0)</f>
        <v>-1</v>
      </c>
      <c r="J130">
        <f ca="1">ROUND(SUMIF(Councils!$C$6:$C$837,$A130,Councils!$J$6:$J$816)*0.7,0)</f>
        <v>1</v>
      </c>
      <c r="K130">
        <f ca="1">ROUND(SUMIF(Councils!$C$6:$C$837,$A130,Councils!$K$6:$K$816)*0.7,0)</f>
        <v>6</v>
      </c>
      <c r="L130">
        <f ca="1">ROUND(SUMIF(Councils!$C$6:$C$837,$A130,Councils!$L$6:$L$816)*0.7,0)</f>
        <v>-4</v>
      </c>
      <c r="M130" s="63">
        <f t="shared" ca="1" si="3"/>
        <v>-0.17391304347826086</v>
      </c>
      <c r="N130">
        <f t="shared" ca="1" si="2"/>
        <v>189</v>
      </c>
    </row>
    <row r="131" spans="1:14">
      <c r="A131" s="67">
        <v>148</v>
      </c>
      <c r="B131" s="81">
        <f>IF(ISNA(VLOOKUP($A131,DD_Info!$A$1:$E$222,5,0)),0,VLOOKUP($A131,DD_Info!$A$1:$E$222,5,0))</f>
        <v>1</v>
      </c>
      <c r="C131" t="str">
        <f>IF(ISNA(VLOOKUP($A131,DD_Info!$A$1:$E$222,2,0)),0,VLOOKUP($A131,DD_Info!$A$1:$E$222,2,0))</f>
        <v>Maurice  Jurena</v>
      </c>
      <c r="D131" t="str">
        <f>IF(ISNA(VLOOKUP($A131,DD_Info!$A$1:$E$222,3,0)),0,VLOOKUP($A131,DD_Info!$A$1:$E$222,3,0))</f>
        <v>Austin</v>
      </c>
      <c r="E131">
        <f ca="1">ROUND(SUMIF(Councils!$C$6:$C$837,$A131,Councils!$E$6:$E$816),0)</f>
        <v>575</v>
      </c>
      <c r="F131">
        <f ca="1">ROUND(SUMIF(Councils!$C$6:$C$837,$A131,Councils!$F$6:$F$816)*0.7,0)</f>
        <v>20</v>
      </c>
      <c r="G131">
        <f ca="1">ROUND(SUMIF(Councils!$C$6:$C$837,$A131,Councils!$G$6:$G$816)*0.7,0)</f>
        <v>0</v>
      </c>
      <c r="H131">
        <f ca="1">ROUND(SUMIF(Councils!$C$6:$C$837,$A131,Councils!$H$6:$H$816)*0.7,0)</f>
        <v>0</v>
      </c>
      <c r="I131">
        <f ca="1">ROUND(SUMIF(Councils!$C$6:$C$837,$A131,Councils!$I$6:$I$816)*0.7,0)</f>
        <v>0</v>
      </c>
      <c r="J131">
        <f ca="1">ROUND(SUMIF(Councils!$C$6:$C$837,$A131,Councils!$J$6:$J$816)*0.7,0)</f>
        <v>0</v>
      </c>
      <c r="K131">
        <f ca="1">ROUND(SUMIF(Councils!$C$6:$C$837,$A131,Councils!$K$6:$K$816)*0.7,0)</f>
        <v>0</v>
      </c>
      <c r="L131">
        <f ca="1">ROUND(SUMIF(Councils!$C$6:$C$837,$A131,Councils!$L$6:$L$816)*0.7,0)</f>
        <v>0</v>
      </c>
      <c r="M131" s="63">
        <f t="shared" ca="1" si="3"/>
        <v>0</v>
      </c>
      <c r="N131">
        <f t="shared" ref="N131:N194" ca="1" si="6">RANK(M131,$M$2:$M$212,0)</f>
        <v>127</v>
      </c>
    </row>
    <row r="132" spans="1:14">
      <c r="A132" s="67">
        <v>149</v>
      </c>
      <c r="B132" s="81">
        <f>IF(ISNA(VLOOKUP($A132,DD_Info!$A$1:$E$222,5,0)),0,VLOOKUP($A132,DD_Info!$A$1:$E$222,5,0))</f>
        <v>1</v>
      </c>
      <c r="C132" t="str">
        <f>IF(ISNA(VLOOKUP($A132,DD_Info!$A$1:$E$222,2,0)),0,VLOOKUP($A132,DD_Info!$A$1:$E$222,2,0))</f>
        <v>Vince  Verdicchio</v>
      </c>
      <c r="D132" t="str">
        <f>IF(ISNA(VLOOKUP($A132,DD_Info!$A$1:$E$222,3,0)),0,VLOOKUP($A132,DD_Info!$A$1:$E$222,3,0))</f>
        <v>Austin</v>
      </c>
      <c r="E132">
        <f ca="1">ROUND(SUMIF(Councils!$C$6:$C$837,$A132,Councils!$E$6:$E$816),0)</f>
        <v>683</v>
      </c>
      <c r="F132">
        <f ca="1">ROUND(SUMIF(Councils!$C$6:$C$837,$A132,Councils!$F$6:$F$816)*0.7,0)</f>
        <v>25</v>
      </c>
      <c r="G132">
        <f ca="1">ROUND(SUMIF(Councils!$C$6:$C$837,$A132,Councils!$G$6:$G$816)*0.7,0)</f>
        <v>0</v>
      </c>
      <c r="H132">
        <f ca="1">ROUND(SUMIF(Councils!$C$6:$C$837,$A132,Councils!$H$6:$H$816)*0.7,0)</f>
        <v>0</v>
      </c>
      <c r="I132">
        <f ca="1">ROUND(SUMIF(Councils!$C$6:$C$837,$A132,Councils!$I$6:$I$816)*0.7,0)</f>
        <v>0</v>
      </c>
      <c r="J132">
        <f ca="1">ROUND(SUMIF(Councils!$C$6:$C$837,$A132,Councils!$J$6:$J$816)*0.7,0)</f>
        <v>3</v>
      </c>
      <c r="K132">
        <f ca="1">ROUND(SUMIF(Councils!$C$6:$C$837,$A132,Councils!$K$6:$K$816)*0.7,0)</f>
        <v>0</v>
      </c>
      <c r="L132">
        <f ca="1">ROUND(SUMIF(Councils!$C$6:$C$837,$A132,Councils!$L$6:$L$816)*0.7,0)</f>
        <v>3</v>
      </c>
      <c r="M132" s="63">
        <f t="shared" ca="1" si="3"/>
        <v>0.12</v>
      </c>
      <c r="N132">
        <f t="shared" ca="1" si="6"/>
        <v>79</v>
      </c>
    </row>
    <row r="133" spans="1:14">
      <c r="A133" s="67">
        <v>150</v>
      </c>
      <c r="B133" s="81">
        <f>IF(ISNA(VLOOKUP($A133,DD_Info!$A$1:$E$222,5,0)),0,VLOOKUP($A133,DD_Info!$A$1:$E$222,5,0))</f>
        <v>1</v>
      </c>
      <c r="C133" t="str">
        <f>IF(ISNA(VLOOKUP($A133,DD_Info!$A$1:$E$222,2,0)),0,VLOOKUP($A133,DD_Info!$A$1:$E$222,2,0))</f>
        <v>Michael  Barnett</v>
      </c>
      <c r="D133" t="str">
        <f>IF(ISNA(VLOOKUP($A133,DD_Info!$A$1:$E$222,3,0)),0,VLOOKUP($A133,DD_Info!$A$1:$E$222,3,0))</f>
        <v>Austin</v>
      </c>
      <c r="E133">
        <f ca="1">ROUND(SUMIF(Councils!$C$6:$C$837,$A133,Councils!$E$6:$E$816),0)</f>
        <v>837</v>
      </c>
      <c r="F133">
        <f ca="1">ROUND(SUMIF(Councils!$C$6:$C$837,$A133,Councils!$F$6:$F$816)*0.7,0)</f>
        <v>29</v>
      </c>
      <c r="G133">
        <f ca="1">ROUND(SUMIF(Councils!$C$6:$C$837,$A133,Councils!$G$6:$G$816)*0.7,0)</f>
        <v>1</v>
      </c>
      <c r="H133">
        <f ca="1">ROUND(SUMIF(Councils!$C$6:$C$837,$A133,Councils!$H$6:$H$816)*0.7,0)</f>
        <v>0</v>
      </c>
      <c r="I133">
        <f ca="1">ROUND(SUMIF(Councils!$C$6:$C$837,$A133,Councils!$I$6:$I$816)*0.7,0)</f>
        <v>1</v>
      </c>
      <c r="J133">
        <f ca="1">ROUND(SUMIF(Councils!$C$6:$C$837,$A133,Councils!$J$6:$J$816)*0.7,0)</f>
        <v>7</v>
      </c>
      <c r="K133">
        <f ca="1">ROUND(SUMIF(Councils!$C$6:$C$837,$A133,Councils!$K$6:$K$816)*0.7,0)</f>
        <v>0</v>
      </c>
      <c r="L133">
        <f ca="1">ROUND(SUMIF(Councils!$C$6:$C$837,$A133,Councils!$L$6:$L$816)*0.7,0)</f>
        <v>7</v>
      </c>
      <c r="M133" s="63">
        <f t="shared" ca="1" si="3"/>
        <v>0.2413793103448276</v>
      </c>
      <c r="N133">
        <f t="shared" ca="1" si="6"/>
        <v>50</v>
      </c>
    </row>
    <row r="134" spans="1:14">
      <c r="A134" s="67">
        <v>151</v>
      </c>
      <c r="B134" s="81">
        <f>IF(ISNA(VLOOKUP($A134,DD_Info!$A$1:$E$222,5,0)),0,VLOOKUP($A134,DD_Info!$A$1:$E$222,5,0))</f>
        <v>1</v>
      </c>
      <c r="C134" t="str">
        <f>IF(ISNA(VLOOKUP($A134,DD_Info!$A$1:$E$222,2,0)),0,VLOOKUP($A134,DD_Info!$A$1:$E$222,2,0))</f>
        <v>John W Hicks</v>
      </c>
      <c r="D134" t="str">
        <f>IF(ISNA(VLOOKUP($A134,DD_Info!$A$1:$E$222,3,0)),0,VLOOKUP($A134,DD_Info!$A$1:$E$222,3,0))</f>
        <v>Austin</v>
      </c>
      <c r="E134">
        <f ca="1">ROUND(SUMIF(Councils!$C$6:$C$837,$A134,Councils!$E$6:$E$816),0)</f>
        <v>673</v>
      </c>
      <c r="F134">
        <f ca="1">ROUND(SUMIF(Councils!$C$6:$C$837,$A134,Councils!$F$6:$F$816)*0.7,0)</f>
        <v>23</v>
      </c>
      <c r="G134">
        <f ca="1">ROUND(SUMIF(Councils!$C$6:$C$837,$A134,Councils!$G$6:$G$816)*0.7,0)</f>
        <v>1</v>
      </c>
      <c r="H134">
        <f ca="1">ROUND(SUMIF(Councils!$C$6:$C$837,$A134,Councils!$H$6:$H$816)*0.7,0)</f>
        <v>0</v>
      </c>
      <c r="I134">
        <f ca="1">ROUND(SUMIF(Councils!$C$6:$C$837,$A134,Councils!$I$6:$I$816)*0.7,0)</f>
        <v>1</v>
      </c>
      <c r="J134">
        <f ca="1">ROUND(SUMIF(Councils!$C$6:$C$837,$A134,Councils!$J$6:$J$816)*0.7,0)</f>
        <v>13</v>
      </c>
      <c r="K134">
        <f ca="1">ROUND(SUMIF(Councils!$C$6:$C$837,$A134,Councils!$K$6:$K$816)*0.7,0)</f>
        <v>2</v>
      </c>
      <c r="L134">
        <f ca="1">ROUND(SUMIF(Councils!$C$6:$C$837,$A134,Councils!$L$6:$L$816)*0.7,0)</f>
        <v>11</v>
      </c>
      <c r="M134" s="63">
        <f t="shared" ref="M134:M197" ca="1" si="7">IFERROR(L134/F134,0)</f>
        <v>0.47826086956521741</v>
      </c>
      <c r="N134">
        <f t="shared" ca="1" si="6"/>
        <v>16</v>
      </c>
    </row>
    <row r="135" spans="1:14">
      <c r="A135" s="67">
        <v>152</v>
      </c>
      <c r="B135" s="81">
        <f>IF(ISNA(VLOOKUP($A135,DD_Info!$A$1:$E$222,5,0)),0,VLOOKUP($A135,DD_Info!$A$1:$E$222,5,0))</f>
        <v>2</v>
      </c>
      <c r="C135" t="str">
        <f>IF(ISNA(VLOOKUP($A135,DD_Info!$A$1:$E$222,2,0)),0,VLOOKUP($A135,DD_Info!$A$1:$E$222,2,0))</f>
        <v>Michael  D'Antonio</v>
      </c>
      <c r="D135" t="str">
        <f>IF(ISNA(VLOOKUP($A135,DD_Info!$A$1:$E$222,3,0)),0,VLOOKUP($A135,DD_Info!$A$1:$E$222,3,0))</f>
        <v>Austin</v>
      </c>
      <c r="E135">
        <f ca="1">ROUND(SUMIF(Councils!$C$6:$C$837,$A135,Councils!$E$6:$E$816),0)</f>
        <v>486</v>
      </c>
      <c r="F135">
        <f ca="1">ROUND(SUMIF(Councils!$C$6:$C$837,$A135,Councils!$F$6:$F$816)*0.7,0)</f>
        <v>16</v>
      </c>
      <c r="G135">
        <f ca="1">ROUND(SUMIF(Councils!$C$6:$C$837,$A135,Councils!$G$6:$G$816)*0.7,0)</f>
        <v>0</v>
      </c>
      <c r="H135">
        <f ca="1">ROUND(SUMIF(Councils!$C$6:$C$837,$A135,Councils!$H$6:$H$816)*0.7,0)</f>
        <v>0</v>
      </c>
      <c r="I135">
        <f ca="1">ROUND(SUMIF(Councils!$C$6:$C$837,$A135,Councils!$I$6:$I$816)*0.7,0)</f>
        <v>0</v>
      </c>
      <c r="J135">
        <f ca="1">ROUND(SUMIF(Councils!$C$6:$C$837,$A135,Councils!$J$6:$J$816)*0.7,0)</f>
        <v>4</v>
      </c>
      <c r="K135">
        <f ca="1">ROUND(SUMIF(Councils!$C$6:$C$837,$A135,Councils!$K$6:$K$816)*0.7,0)</f>
        <v>0</v>
      </c>
      <c r="L135">
        <f ca="1">ROUND(SUMIF(Councils!$C$6:$C$837,$A135,Councils!$L$6:$L$816)*0.7,0)</f>
        <v>4</v>
      </c>
      <c r="M135" s="63">
        <f t="shared" ca="1" si="7"/>
        <v>0.25</v>
      </c>
      <c r="N135">
        <f t="shared" ca="1" si="6"/>
        <v>46</v>
      </c>
    </row>
    <row r="136" spans="1:14">
      <c r="A136" s="67">
        <v>153</v>
      </c>
      <c r="B136" s="81">
        <f>IF(ISNA(VLOOKUP($A136,DD_Info!$A$1:$E$222,5,0)),0,VLOOKUP($A136,DD_Info!$A$1:$E$222,5,0))</f>
        <v>2</v>
      </c>
      <c r="C136" t="str">
        <f>IF(ISNA(VLOOKUP($A136,DD_Info!$A$1:$E$222,2,0)),0,VLOOKUP($A136,DD_Info!$A$1:$E$222,2,0))</f>
        <v>Alex  Martinez</v>
      </c>
      <c r="D136" t="str">
        <f>IF(ISNA(VLOOKUP($A136,DD_Info!$A$1:$E$222,3,0)),0,VLOOKUP($A136,DD_Info!$A$1:$E$222,3,0))</f>
        <v>Austin</v>
      </c>
      <c r="E136">
        <f ca="1">ROUND(SUMIF(Councils!$C$6:$C$837,$A136,Councils!$E$6:$E$816),0)</f>
        <v>325</v>
      </c>
      <c r="F136">
        <f ca="1">ROUND(SUMIF(Councils!$C$6:$C$837,$A136,Councils!$F$6:$F$816)*0.7,0)</f>
        <v>11</v>
      </c>
      <c r="G136">
        <f ca="1">ROUND(SUMIF(Councils!$C$6:$C$837,$A136,Councils!$G$6:$G$816)*0.7,0)</f>
        <v>0</v>
      </c>
      <c r="H136">
        <f ca="1">ROUND(SUMIF(Councils!$C$6:$C$837,$A136,Councils!$H$6:$H$816)*0.7,0)</f>
        <v>0</v>
      </c>
      <c r="I136">
        <f ca="1">ROUND(SUMIF(Councils!$C$6:$C$837,$A136,Councils!$I$6:$I$816)*0.7,0)</f>
        <v>0</v>
      </c>
      <c r="J136">
        <f ca="1">ROUND(SUMIF(Councils!$C$6:$C$837,$A136,Councils!$J$6:$J$816)*0.7,0)</f>
        <v>4</v>
      </c>
      <c r="K136">
        <f ca="1">ROUND(SUMIF(Councils!$C$6:$C$837,$A136,Councils!$K$6:$K$816)*0.7,0)</f>
        <v>0</v>
      </c>
      <c r="L136">
        <f ca="1">ROUND(SUMIF(Councils!$C$6:$C$837,$A136,Councils!$L$6:$L$816)*0.7,0)</f>
        <v>4</v>
      </c>
      <c r="M136" s="63">
        <f t="shared" ca="1" si="7"/>
        <v>0.36363636363636365</v>
      </c>
      <c r="N136">
        <f t="shared" ca="1" si="6"/>
        <v>29</v>
      </c>
    </row>
    <row r="137" spans="1:14">
      <c r="A137" s="67">
        <v>154</v>
      </c>
      <c r="B137" s="81">
        <f>IF(ISNA(VLOOKUP($A137,DD_Info!$A$1:$E$222,5,0)),0,VLOOKUP($A137,DD_Info!$A$1:$E$222,5,0))</f>
        <v>1</v>
      </c>
      <c r="C137" t="str">
        <f>IF(ISNA(VLOOKUP($A137,DD_Info!$A$1:$E$222,2,0)),0,VLOOKUP($A137,DD_Info!$A$1:$E$222,2,0))</f>
        <v>Darris  Chapple</v>
      </c>
      <c r="D137" t="str">
        <f>IF(ISNA(VLOOKUP($A137,DD_Info!$A$1:$E$222,3,0)),0,VLOOKUP($A137,DD_Info!$A$1:$E$222,3,0))</f>
        <v>Austin</v>
      </c>
      <c r="E137">
        <f ca="1">ROUND(SUMIF(Councils!$C$6:$C$837,$A137,Councils!$E$6:$E$816),0)</f>
        <v>855</v>
      </c>
      <c r="F137">
        <f ca="1">ROUND(SUMIF(Councils!$C$6:$C$837,$A137,Councils!$F$6:$F$816)*0.7,0)</f>
        <v>22</v>
      </c>
      <c r="G137">
        <f ca="1">ROUND(SUMIF(Councils!$C$6:$C$837,$A137,Councils!$G$6:$G$816)*0.7,0)</f>
        <v>1</v>
      </c>
      <c r="H137">
        <f ca="1">ROUND(SUMIF(Councils!$C$6:$C$837,$A137,Councils!$H$6:$H$816)*0.7,0)</f>
        <v>0</v>
      </c>
      <c r="I137">
        <f ca="1">ROUND(SUMIF(Councils!$C$6:$C$837,$A137,Councils!$I$6:$I$816)*0.7,0)</f>
        <v>1</v>
      </c>
      <c r="J137">
        <f ca="1">ROUND(SUMIF(Councils!$C$6:$C$837,$A137,Councils!$J$6:$J$816)*0.7,0)</f>
        <v>9</v>
      </c>
      <c r="K137">
        <f ca="1">ROUND(SUMIF(Councils!$C$6:$C$837,$A137,Councils!$K$6:$K$816)*0.7,0)</f>
        <v>0</v>
      </c>
      <c r="L137">
        <f ca="1">ROUND(SUMIF(Councils!$C$6:$C$837,$A137,Councils!$L$6:$L$816)*0.7,0)</f>
        <v>9</v>
      </c>
      <c r="M137" s="63">
        <f t="shared" ca="1" si="7"/>
        <v>0.40909090909090912</v>
      </c>
      <c r="N137">
        <f t="shared" ca="1" si="6"/>
        <v>24</v>
      </c>
    </row>
    <row r="138" spans="1:14">
      <c r="A138" s="67">
        <v>155</v>
      </c>
      <c r="B138" s="81">
        <f>IF(ISNA(VLOOKUP($A138,DD_Info!$A$1:$E$222,5,0)),0,VLOOKUP($A138,DD_Info!$A$1:$E$222,5,0))</f>
        <v>1</v>
      </c>
      <c r="C138" t="str">
        <f>IF(ISNA(VLOOKUP($A138,DD_Info!$A$1:$E$222,2,0)),0,VLOOKUP($A138,DD_Info!$A$1:$E$222,2,0))</f>
        <v>Joseph "Pat" P Ortiz</v>
      </c>
      <c r="D138" t="str">
        <f>IF(ISNA(VLOOKUP($A138,DD_Info!$A$1:$E$222,3,0)),0,VLOOKUP($A138,DD_Info!$A$1:$E$222,3,0))</f>
        <v>Austin</v>
      </c>
      <c r="E138">
        <f ca="1">ROUND(SUMIF(Councils!$C$6:$C$837,$A138,Councils!$E$6:$E$816),0)</f>
        <v>677</v>
      </c>
      <c r="F138">
        <f ca="1">ROUND(SUMIF(Councils!$C$6:$C$837,$A138,Councils!$F$6:$F$816)*0.7,0)</f>
        <v>25</v>
      </c>
      <c r="G138">
        <f ca="1">ROUND(SUMIF(Councils!$C$6:$C$837,$A138,Councils!$G$6:$G$816)*0.7,0)</f>
        <v>1</v>
      </c>
      <c r="H138">
        <f ca="1">ROUND(SUMIF(Councils!$C$6:$C$837,$A138,Councils!$H$6:$H$816)*0.7,0)</f>
        <v>0</v>
      </c>
      <c r="I138">
        <f ca="1">ROUND(SUMIF(Councils!$C$6:$C$837,$A138,Councils!$I$6:$I$816)*0.7,0)</f>
        <v>1</v>
      </c>
      <c r="J138">
        <f ca="1">ROUND(SUMIF(Councils!$C$6:$C$837,$A138,Councils!$J$6:$J$816)*0.7,0)</f>
        <v>2</v>
      </c>
      <c r="K138">
        <f ca="1">ROUND(SUMIF(Councils!$C$6:$C$837,$A138,Councils!$K$6:$K$816)*0.7,0)</f>
        <v>1</v>
      </c>
      <c r="L138">
        <f ca="1">ROUND(SUMIF(Councils!$C$6:$C$837,$A138,Councils!$L$6:$L$816)*0.7,0)</f>
        <v>1</v>
      </c>
      <c r="M138" s="63">
        <f t="shared" ca="1" si="7"/>
        <v>0.04</v>
      </c>
      <c r="N138">
        <f t="shared" ca="1" si="6"/>
        <v>122</v>
      </c>
    </row>
    <row r="139" spans="1:14">
      <c r="A139" s="67">
        <v>156</v>
      </c>
      <c r="B139" s="81">
        <f>IF(ISNA(VLOOKUP($A139,DD_Info!$A$1:$E$222,5,0)),0,VLOOKUP($A139,DD_Info!$A$1:$E$222,5,0))</f>
        <v>1</v>
      </c>
      <c r="C139" t="str">
        <f>IF(ISNA(VLOOKUP($A139,DD_Info!$A$1:$E$222,2,0)),0,VLOOKUP($A139,DD_Info!$A$1:$E$222,2,0))</f>
        <v>George G Scott</v>
      </c>
      <c r="D139" t="str">
        <f>IF(ISNA(VLOOKUP($A139,DD_Info!$A$1:$E$222,3,0)),0,VLOOKUP($A139,DD_Info!$A$1:$E$222,3,0))</f>
        <v>Austin</v>
      </c>
      <c r="E139">
        <f ca="1">ROUND(SUMIF(Councils!$C$6:$C$837,$A139,Councils!$E$6:$E$816),0)</f>
        <v>662</v>
      </c>
      <c r="F139">
        <f ca="1">ROUND(SUMIF(Councils!$C$6:$C$837,$A139,Councils!$F$6:$F$816)*0.7,0)</f>
        <v>22</v>
      </c>
      <c r="G139">
        <f ca="1">ROUND(SUMIF(Councils!$C$6:$C$837,$A139,Councils!$G$6:$G$816)*0.7,0)</f>
        <v>5</v>
      </c>
      <c r="H139">
        <f ca="1">ROUND(SUMIF(Councils!$C$6:$C$837,$A139,Councils!$H$6:$H$816)*0.7,0)</f>
        <v>1</v>
      </c>
      <c r="I139">
        <f ca="1">ROUND(SUMIF(Councils!$C$6:$C$837,$A139,Councils!$I$6:$I$816)*0.7,0)</f>
        <v>4</v>
      </c>
      <c r="J139">
        <f ca="1">ROUND(SUMIF(Councils!$C$6:$C$837,$A139,Councils!$J$6:$J$816)*0.7,0)</f>
        <v>18</v>
      </c>
      <c r="K139">
        <f ca="1">ROUND(SUMIF(Councils!$C$6:$C$837,$A139,Councils!$K$6:$K$816)*0.7,0)</f>
        <v>3</v>
      </c>
      <c r="L139">
        <f ca="1">ROUND(SUMIF(Councils!$C$6:$C$837,$A139,Councils!$L$6:$L$816)*0.7,0)</f>
        <v>15</v>
      </c>
      <c r="M139" s="63">
        <f t="shared" ca="1" si="7"/>
        <v>0.68181818181818177</v>
      </c>
      <c r="N139">
        <f t="shared" ca="1" si="6"/>
        <v>5</v>
      </c>
    </row>
    <row r="140" spans="1:14">
      <c r="A140" s="67">
        <v>157</v>
      </c>
      <c r="B140" s="81">
        <f>IF(ISNA(VLOOKUP($A140,DD_Info!$A$1:$E$222,5,0)),0,VLOOKUP($A140,DD_Info!$A$1:$E$222,5,0))</f>
        <v>2</v>
      </c>
      <c r="C140" t="str">
        <f>IF(ISNA(VLOOKUP($A140,DD_Info!$A$1:$E$222,2,0)),0,VLOOKUP($A140,DD_Info!$A$1:$E$222,2,0))</f>
        <v>TO BE APPOINTED</v>
      </c>
      <c r="D140" t="str">
        <f>IF(ISNA(VLOOKUP($A140,DD_Info!$A$1:$E$222,3,0)),0,VLOOKUP($A140,DD_Info!$A$1:$E$222,3,0))</f>
        <v>Austin</v>
      </c>
      <c r="E140">
        <f ca="1">ROUND(SUMIF(Councils!$C$6:$C$837,$A140,Councils!$E$6:$E$816),0)</f>
        <v>381</v>
      </c>
      <c r="F140">
        <f ca="1">ROUND(SUMIF(Councils!$C$6:$C$837,$A140,Councils!$F$6:$F$816)*0.7,0)</f>
        <v>13</v>
      </c>
      <c r="G140">
        <f ca="1">ROUND(SUMIF(Councils!$C$6:$C$837,$A140,Councils!$G$6:$G$816)*0.7,0)</f>
        <v>0</v>
      </c>
      <c r="H140">
        <f ca="1">ROUND(SUMIF(Councils!$C$6:$C$837,$A140,Councils!$H$6:$H$816)*0.7,0)</f>
        <v>0</v>
      </c>
      <c r="I140">
        <f ca="1">ROUND(SUMIF(Councils!$C$6:$C$837,$A140,Councils!$I$6:$I$816)*0.7,0)</f>
        <v>0</v>
      </c>
      <c r="J140">
        <f ca="1">ROUND(SUMIF(Councils!$C$6:$C$837,$A140,Councils!$J$6:$J$816)*0.7,0)</f>
        <v>0</v>
      </c>
      <c r="K140">
        <f ca="1">ROUND(SUMIF(Councils!$C$6:$C$837,$A140,Councils!$K$6:$K$816)*0.7,0)</f>
        <v>0</v>
      </c>
      <c r="L140">
        <f ca="1">ROUND(SUMIF(Councils!$C$6:$C$837,$A140,Councils!$L$6:$L$816)*0.7,0)</f>
        <v>0</v>
      </c>
      <c r="M140" s="63">
        <f t="shared" ca="1" si="7"/>
        <v>0</v>
      </c>
      <c r="N140">
        <f t="shared" ca="1" si="6"/>
        <v>127</v>
      </c>
    </row>
    <row r="141" spans="1:14">
      <c r="A141" s="67">
        <v>158</v>
      </c>
      <c r="B141" s="81">
        <f>IF(ISNA(VLOOKUP($A141,DD_Info!$A$1:$E$222,5,0)),0,VLOOKUP($A141,DD_Info!$A$1:$E$222,5,0))</f>
        <v>1</v>
      </c>
      <c r="C141" t="str">
        <f>IF(ISNA(VLOOKUP($A141,DD_Info!$A$1:$E$222,2,0)),0,VLOOKUP($A141,DD_Info!$A$1:$E$222,2,0))</f>
        <v>Kevin  Russell</v>
      </c>
      <c r="D141" t="str">
        <f>IF(ISNA(VLOOKUP($A141,DD_Info!$A$1:$E$222,3,0)),0,VLOOKUP($A141,DD_Info!$A$1:$E$222,3,0))</f>
        <v>Austin</v>
      </c>
      <c r="E141">
        <f ca="1">ROUND(SUMIF(Councils!$C$6:$C$837,$A141,Councils!$E$6:$E$816),0)</f>
        <v>767</v>
      </c>
      <c r="F141">
        <f ca="1">ROUND(SUMIF(Councils!$C$6:$C$837,$A141,Councils!$F$6:$F$816)*0.7,0)</f>
        <v>26</v>
      </c>
      <c r="G141">
        <f ca="1">ROUND(SUMIF(Councils!$C$6:$C$837,$A141,Councils!$G$6:$G$816)*0.7,0)</f>
        <v>0</v>
      </c>
      <c r="H141">
        <f ca="1">ROUND(SUMIF(Councils!$C$6:$C$837,$A141,Councils!$H$6:$H$816)*0.7,0)</f>
        <v>1</v>
      </c>
      <c r="I141">
        <f ca="1">ROUND(SUMIF(Councils!$C$6:$C$837,$A141,Councils!$I$6:$I$816)*0.7,0)</f>
        <v>-1</v>
      </c>
      <c r="J141">
        <f ca="1">ROUND(SUMIF(Councils!$C$6:$C$837,$A141,Councils!$J$6:$J$816)*0.7,0)</f>
        <v>0</v>
      </c>
      <c r="K141">
        <f ca="1">ROUND(SUMIF(Councils!$C$6:$C$837,$A141,Councils!$K$6:$K$816)*0.7,0)</f>
        <v>1</v>
      </c>
      <c r="L141">
        <f ca="1">ROUND(SUMIF(Councils!$C$6:$C$837,$A141,Councils!$L$6:$L$816)*0.7,0)</f>
        <v>-1</v>
      </c>
      <c r="M141" s="63">
        <f t="shared" ca="1" si="7"/>
        <v>-3.8461538461538464E-2</v>
      </c>
      <c r="N141">
        <f t="shared" ca="1" si="6"/>
        <v>174</v>
      </c>
    </row>
    <row r="142" spans="1:14">
      <c r="A142" s="67">
        <v>159</v>
      </c>
      <c r="B142" s="81">
        <f>IF(ISNA(VLOOKUP($A142,DD_Info!$A$1:$E$222,5,0)),0,VLOOKUP($A142,DD_Info!$A$1:$E$222,5,0))</f>
        <v>2</v>
      </c>
      <c r="C142" t="str">
        <f>IF(ISNA(VLOOKUP($A142,DD_Info!$A$1:$E$222,2,0)),0,VLOOKUP($A142,DD_Info!$A$1:$E$222,2,0))</f>
        <v>Tony  Grandinetti</v>
      </c>
      <c r="D142" t="str">
        <f>IF(ISNA(VLOOKUP($A142,DD_Info!$A$1:$E$222,3,0)),0,VLOOKUP($A142,DD_Info!$A$1:$E$222,3,0))</f>
        <v>Austin</v>
      </c>
      <c r="E142">
        <f ca="1">ROUND(SUMIF(Councils!$C$6:$C$837,$A142,Councils!$E$6:$E$816),0)</f>
        <v>573</v>
      </c>
      <c r="F142">
        <f ca="1">ROUND(SUMIF(Councils!$C$6:$C$837,$A142,Councils!$F$6:$F$816)*0.7,0)</f>
        <v>20</v>
      </c>
      <c r="G142">
        <f ca="1">ROUND(SUMIF(Councils!$C$6:$C$837,$A142,Councils!$G$6:$G$816)*0.7,0)</f>
        <v>0</v>
      </c>
      <c r="H142">
        <f ca="1">ROUND(SUMIF(Councils!$C$6:$C$837,$A142,Councils!$H$6:$H$816)*0.7,0)</f>
        <v>0</v>
      </c>
      <c r="I142">
        <f ca="1">ROUND(SUMIF(Councils!$C$6:$C$837,$A142,Councils!$I$6:$I$816)*0.7,0)</f>
        <v>0</v>
      </c>
      <c r="J142">
        <f ca="1">ROUND(SUMIF(Councils!$C$6:$C$837,$A142,Councils!$J$6:$J$816)*0.7,0)</f>
        <v>6</v>
      </c>
      <c r="K142">
        <f ca="1">ROUND(SUMIF(Councils!$C$6:$C$837,$A142,Councils!$K$6:$K$816)*0.7,0)</f>
        <v>2</v>
      </c>
      <c r="L142">
        <f ca="1">ROUND(SUMIF(Councils!$C$6:$C$837,$A142,Councils!$L$6:$L$816)*0.7,0)</f>
        <v>4</v>
      </c>
      <c r="M142" s="63">
        <f t="shared" ca="1" si="7"/>
        <v>0.2</v>
      </c>
      <c r="N142">
        <f t="shared" ca="1" si="6"/>
        <v>58</v>
      </c>
    </row>
    <row r="143" spans="1:14">
      <c r="A143" s="67">
        <v>160</v>
      </c>
      <c r="B143" s="81">
        <f>IF(ISNA(VLOOKUP($A143,DD_Info!$A$1:$E$222,5,0)),0,VLOOKUP($A143,DD_Info!$A$1:$E$222,5,0))</f>
        <v>2</v>
      </c>
      <c r="C143" t="str">
        <f>IF(ISNA(VLOOKUP($A143,DD_Info!$A$1:$E$222,2,0)),0,VLOOKUP($A143,DD_Info!$A$1:$E$222,2,0))</f>
        <v>Patrick J Quinlan</v>
      </c>
      <c r="D143" t="str">
        <f>IF(ISNA(VLOOKUP($A143,DD_Info!$A$1:$E$222,3,0)),0,VLOOKUP($A143,DD_Info!$A$1:$E$222,3,0))</f>
        <v>Austin</v>
      </c>
      <c r="E143">
        <f ca="1">ROUND(SUMIF(Councils!$C$6:$C$837,$A143,Councils!$E$6:$E$816),0)</f>
        <v>274</v>
      </c>
      <c r="F143">
        <f ca="1">ROUND(SUMIF(Councils!$C$6:$C$837,$A143,Councils!$F$6:$F$816)*0.7,0)</f>
        <v>9</v>
      </c>
      <c r="G143">
        <f ca="1">ROUND(SUMIF(Councils!$C$6:$C$837,$A143,Councils!$G$6:$G$816)*0.7,0)</f>
        <v>0</v>
      </c>
      <c r="H143">
        <f ca="1">ROUND(SUMIF(Councils!$C$6:$C$837,$A143,Councils!$H$6:$H$816)*0.7,0)</f>
        <v>0</v>
      </c>
      <c r="I143">
        <f ca="1">ROUND(SUMIF(Councils!$C$6:$C$837,$A143,Councils!$I$6:$I$816)*0.7,0)</f>
        <v>0</v>
      </c>
      <c r="J143">
        <f ca="1">ROUND(SUMIF(Councils!$C$6:$C$837,$A143,Councils!$J$6:$J$816)*0.7,0)</f>
        <v>1</v>
      </c>
      <c r="K143">
        <f ca="1">ROUND(SUMIF(Councils!$C$6:$C$837,$A143,Councils!$K$6:$K$816)*0.7,0)</f>
        <v>1</v>
      </c>
      <c r="L143">
        <f ca="1">ROUND(SUMIF(Councils!$C$6:$C$837,$A143,Councils!$L$6:$L$816)*0.7,0)</f>
        <v>0</v>
      </c>
      <c r="M143" s="63">
        <f t="shared" ca="1" si="7"/>
        <v>0</v>
      </c>
      <c r="N143">
        <f t="shared" ca="1" si="6"/>
        <v>127</v>
      </c>
    </row>
    <row r="144" spans="1:14">
      <c r="A144" s="67">
        <v>161</v>
      </c>
      <c r="B144" s="81">
        <f>IF(ISNA(VLOOKUP($A144,DD_Info!$A$1:$E$222,5,0)),0,VLOOKUP($A144,DD_Info!$A$1:$E$222,5,0))</f>
        <v>3</v>
      </c>
      <c r="C144" t="str">
        <f>IF(ISNA(VLOOKUP($A144,DD_Info!$A$1:$E$222,2,0)),0,VLOOKUP($A144,DD_Info!$A$1:$E$222,2,0))</f>
        <v>Armando  Montes Jr</v>
      </c>
      <c r="D144" t="str">
        <f>IF(ISNA(VLOOKUP($A144,DD_Info!$A$1:$E$222,3,0)),0,VLOOKUP($A144,DD_Info!$A$1:$E$222,3,0))</f>
        <v>Austin</v>
      </c>
      <c r="E144">
        <f ca="1">ROUND(SUMIF(Councils!$C$6:$C$837,$A144,Councils!$E$6:$E$816),0)</f>
        <v>242</v>
      </c>
      <c r="F144">
        <f ca="1">ROUND(SUMIF(Councils!$C$6:$C$837,$A144,Councils!$F$6:$F$816)*0.7,0)</f>
        <v>11</v>
      </c>
      <c r="G144">
        <f ca="1">ROUND(SUMIF(Councils!$C$6:$C$837,$A144,Councils!$G$6:$G$816)*0.7,0)</f>
        <v>0</v>
      </c>
      <c r="H144">
        <f ca="1">ROUND(SUMIF(Councils!$C$6:$C$837,$A144,Councils!$H$6:$H$816)*0.7,0)</f>
        <v>1</v>
      </c>
      <c r="I144">
        <f ca="1">ROUND(SUMIF(Councils!$C$6:$C$837,$A144,Councils!$I$6:$I$816)*0.7,0)</f>
        <v>-1</v>
      </c>
      <c r="J144">
        <f ca="1">ROUND(SUMIF(Councils!$C$6:$C$837,$A144,Councils!$J$6:$J$816)*0.7,0)</f>
        <v>1</v>
      </c>
      <c r="K144">
        <f ca="1">ROUND(SUMIF(Councils!$C$6:$C$837,$A144,Councils!$K$6:$K$816)*0.7,0)</f>
        <v>1</v>
      </c>
      <c r="L144">
        <f ca="1">ROUND(SUMIF(Councils!$C$6:$C$837,$A144,Councils!$L$6:$L$816)*0.7,0)</f>
        <v>1</v>
      </c>
      <c r="M144" s="63">
        <f t="shared" ca="1" si="7"/>
        <v>9.0909090909090912E-2</v>
      </c>
      <c r="N144">
        <f t="shared" ca="1" si="6"/>
        <v>88</v>
      </c>
    </row>
    <row r="145" spans="1:14">
      <c r="A145" s="67">
        <v>162</v>
      </c>
      <c r="B145" s="81">
        <f>IF(ISNA(VLOOKUP($A145,DD_Info!$A$1:$E$222,5,0)),0,VLOOKUP($A145,DD_Info!$A$1:$E$222,5,0))</f>
        <v>3</v>
      </c>
      <c r="C145" t="str">
        <f>IF(ISNA(VLOOKUP($A145,DD_Info!$A$1:$E$222,2,0)),0,VLOOKUP($A145,DD_Info!$A$1:$E$222,2,0))</f>
        <v>Edward  Tydings</v>
      </c>
      <c r="D145" t="str">
        <f>IF(ISNA(VLOOKUP($A145,DD_Info!$A$1:$E$222,3,0)),0,VLOOKUP($A145,DD_Info!$A$1:$E$222,3,0))</f>
        <v>Austin</v>
      </c>
      <c r="E145">
        <f ca="1">ROUND(SUMIF(Councils!$C$6:$C$837,$A145,Councils!$E$6:$E$816),0)</f>
        <v>131</v>
      </c>
      <c r="F145">
        <f ca="1">ROUND(SUMIF(Councils!$C$6:$C$837,$A145,Councils!$F$6:$F$816)*0.7,0)</f>
        <v>7</v>
      </c>
      <c r="G145">
        <f ca="1">ROUND(SUMIF(Councils!$C$6:$C$837,$A145,Councils!$G$6:$G$816)*0.7,0)</f>
        <v>0</v>
      </c>
      <c r="H145">
        <f ca="1">ROUND(SUMIF(Councils!$C$6:$C$837,$A145,Councils!$H$6:$H$816)*0.7,0)</f>
        <v>0</v>
      </c>
      <c r="I145">
        <f ca="1">ROUND(SUMIF(Councils!$C$6:$C$837,$A145,Councils!$I$6:$I$816)*0.7,0)</f>
        <v>0</v>
      </c>
      <c r="J145">
        <f ca="1">ROUND(SUMIF(Councils!$C$6:$C$837,$A145,Councils!$J$6:$J$816)*0.7,0)</f>
        <v>0</v>
      </c>
      <c r="K145">
        <f ca="1">ROUND(SUMIF(Councils!$C$6:$C$837,$A145,Councils!$K$6:$K$816)*0.7,0)</f>
        <v>0</v>
      </c>
      <c r="L145">
        <f ca="1">ROUND(SUMIF(Councils!$C$6:$C$837,$A145,Councils!$L$6:$L$816)*0.7,0)</f>
        <v>0</v>
      </c>
      <c r="M145" s="63">
        <f t="shared" ca="1" si="7"/>
        <v>0</v>
      </c>
      <c r="N145">
        <f t="shared" ca="1" si="6"/>
        <v>127</v>
      </c>
    </row>
    <row r="146" spans="1:14">
      <c r="A146" s="67">
        <v>166</v>
      </c>
      <c r="B146" s="81">
        <f>IF(ISNA(VLOOKUP($A146,DD_Info!$A$1:$E$222,5,0)),0,VLOOKUP($A146,DD_Info!$A$1:$E$222,5,0))</f>
        <v>3</v>
      </c>
      <c r="C146" t="str">
        <f>IF(ISNA(VLOOKUP($A146,DD_Info!$A$1:$E$222,2,0)),0,VLOOKUP($A146,DD_Info!$A$1:$E$222,2,0))</f>
        <v>TO BE APPOINETED</v>
      </c>
      <c r="D146" t="str">
        <f>IF(ISNA(VLOOKUP($A146,DD_Info!$A$1:$E$222,3,0)),0,VLOOKUP($A146,DD_Info!$A$1:$E$222,3,0))</f>
        <v>Corpus Christi</v>
      </c>
      <c r="E146">
        <f ca="1">ROUND(SUMIF(Councils!$C$6:$C$837,$A146,Councils!$E$6:$E$816),0)</f>
        <v>223</v>
      </c>
      <c r="F146">
        <f ca="1">ROUND(SUMIF(Councils!$C$6:$C$837,$A146,Councils!$F$6:$F$816)*0.7,0)</f>
        <v>10</v>
      </c>
      <c r="G146">
        <f ca="1">ROUND(SUMIF(Councils!$C$6:$C$837,$A146,Councils!$G$6:$G$816)*0.7,0)</f>
        <v>0</v>
      </c>
      <c r="H146">
        <f ca="1">ROUND(SUMIF(Councils!$C$6:$C$837,$A146,Councils!$H$6:$H$816)*0.7,0)</f>
        <v>0</v>
      </c>
      <c r="I146">
        <f ca="1">ROUND(SUMIF(Councils!$C$6:$C$837,$A146,Councils!$I$6:$I$816)*0.7,0)</f>
        <v>0</v>
      </c>
      <c r="J146">
        <f ca="1">ROUND(SUMIF(Councils!$C$6:$C$837,$A146,Councils!$J$6:$J$816)*0.7,0)</f>
        <v>0</v>
      </c>
      <c r="K146">
        <f ca="1">ROUND(SUMIF(Councils!$C$6:$C$837,$A146,Councils!$K$6:$K$816)*0.7,0)</f>
        <v>0</v>
      </c>
      <c r="L146">
        <f ca="1">ROUND(SUMIF(Councils!$C$6:$C$837,$A146,Councils!$L$6:$L$816)*0.7,0)</f>
        <v>0</v>
      </c>
      <c r="M146" s="63">
        <f t="shared" ca="1" si="7"/>
        <v>0</v>
      </c>
      <c r="N146">
        <f t="shared" ca="1" si="6"/>
        <v>127</v>
      </c>
    </row>
    <row r="147" spans="1:14">
      <c r="A147" s="67">
        <v>167</v>
      </c>
      <c r="B147" s="81">
        <f>IF(ISNA(VLOOKUP($A147,DD_Info!$A$1:$E$222,5,0)),0,VLOOKUP($A147,DD_Info!$A$1:$E$222,5,0))</f>
        <v>2</v>
      </c>
      <c r="C147" t="str">
        <f>IF(ISNA(VLOOKUP($A147,DD_Info!$A$1:$E$222,2,0)),0,VLOOKUP($A147,DD_Info!$A$1:$E$222,2,0))</f>
        <v>Joseph  Naderer</v>
      </c>
      <c r="D147" t="str">
        <f>IF(ISNA(VLOOKUP($A147,DD_Info!$A$1:$E$222,3,0)),0,VLOOKUP($A147,DD_Info!$A$1:$E$222,3,0))</f>
        <v>Corpus Christi</v>
      </c>
      <c r="E147">
        <f ca="1">ROUND(SUMIF(Councils!$C$6:$C$837,$A147,Councils!$E$6:$E$816),0)</f>
        <v>508</v>
      </c>
      <c r="F147">
        <f ca="1">ROUND(SUMIF(Councils!$C$6:$C$837,$A147,Councils!$F$6:$F$816)*0.7,0)</f>
        <v>18</v>
      </c>
      <c r="G147">
        <f ca="1">ROUND(SUMIF(Councils!$C$6:$C$837,$A147,Councils!$G$6:$G$816)*0.7,0)</f>
        <v>0</v>
      </c>
      <c r="H147">
        <f ca="1">ROUND(SUMIF(Councils!$C$6:$C$837,$A147,Councils!$H$6:$H$816)*0.7,0)</f>
        <v>1</v>
      </c>
      <c r="I147">
        <f ca="1">ROUND(SUMIF(Councils!$C$6:$C$837,$A147,Councils!$I$6:$I$816)*0.7,0)</f>
        <v>-1</v>
      </c>
      <c r="J147">
        <f ca="1">ROUND(SUMIF(Councils!$C$6:$C$837,$A147,Councils!$J$6:$J$816)*0.7,0)</f>
        <v>8</v>
      </c>
      <c r="K147">
        <f ca="1">ROUND(SUMIF(Councils!$C$6:$C$837,$A147,Councils!$K$6:$K$816)*0.7,0)</f>
        <v>1</v>
      </c>
      <c r="L147">
        <f ca="1">ROUND(SUMIF(Councils!$C$6:$C$837,$A147,Councils!$L$6:$L$816)*0.7,0)</f>
        <v>8</v>
      </c>
      <c r="M147" s="63">
        <f t="shared" ca="1" si="7"/>
        <v>0.44444444444444442</v>
      </c>
      <c r="N147">
        <f t="shared" ca="1" si="6"/>
        <v>21</v>
      </c>
    </row>
    <row r="148" spans="1:14">
      <c r="A148" s="67">
        <v>168</v>
      </c>
      <c r="B148" s="81">
        <f>IF(ISNA(VLOOKUP($A148,DD_Info!$A$1:$E$222,5,0)),0,VLOOKUP($A148,DD_Info!$A$1:$E$222,5,0))</f>
        <v>2</v>
      </c>
      <c r="C148" t="str">
        <f>IF(ISNA(VLOOKUP($A148,DD_Info!$A$1:$E$222,2,0)),0,VLOOKUP($A148,DD_Info!$A$1:$E$222,2,0))</f>
        <v>Paul  Hickey</v>
      </c>
      <c r="D148" t="str">
        <f>IF(ISNA(VLOOKUP($A148,DD_Info!$A$1:$E$222,3,0)),0,VLOOKUP($A148,DD_Info!$A$1:$E$222,3,0))</f>
        <v>Corpus Christi</v>
      </c>
      <c r="E148">
        <f ca="1">ROUND(SUMIF(Councils!$C$6:$C$837,$A148,Councils!$E$6:$E$816),0)</f>
        <v>314</v>
      </c>
      <c r="F148">
        <f ca="1">ROUND(SUMIF(Councils!$C$6:$C$837,$A148,Councils!$F$6:$F$816)*0.7,0)</f>
        <v>12</v>
      </c>
      <c r="G148">
        <f ca="1">ROUND(SUMIF(Councils!$C$6:$C$837,$A148,Councils!$G$6:$G$816)*0.7,0)</f>
        <v>0</v>
      </c>
      <c r="H148">
        <f ca="1">ROUND(SUMIF(Councils!$C$6:$C$837,$A148,Councils!$H$6:$H$816)*0.7,0)</f>
        <v>0</v>
      </c>
      <c r="I148">
        <f ca="1">ROUND(SUMIF(Councils!$C$6:$C$837,$A148,Councils!$I$6:$I$816)*0.7,0)</f>
        <v>0</v>
      </c>
      <c r="J148">
        <f ca="1">ROUND(SUMIF(Councils!$C$6:$C$837,$A148,Councils!$J$6:$J$816)*0.7,0)</f>
        <v>2</v>
      </c>
      <c r="K148">
        <f ca="1">ROUND(SUMIF(Councils!$C$6:$C$837,$A148,Councils!$K$6:$K$816)*0.7,0)</f>
        <v>0</v>
      </c>
      <c r="L148">
        <f ca="1">ROUND(SUMIF(Councils!$C$6:$C$837,$A148,Councils!$L$6:$L$816)*0.7,0)</f>
        <v>2</v>
      </c>
      <c r="M148" s="63">
        <f t="shared" ca="1" si="7"/>
        <v>0.16666666666666666</v>
      </c>
      <c r="N148">
        <f t="shared" ca="1" si="6"/>
        <v>65</v>
      </c>
    </row>
    <row r="149" spans="1:14">
      <c r="A149" s="67">
        <v>169</v>
      </c>
      <c r="B149" s="81">
        <f>IF(ISNA(VLOOKUP($A149,DD_Info!$A$1:$E$222,5,0)),0,VLOOKUP($A149,DD_Info!$A$1:$E$222,5,0))</f>
        <v>3</v>
      </c>
      <c r="C149" t="str">
        <f>IF(ISNA(VLOOKUP($A149,DD_Info!$A$1:$E$222,2,0)),0,VLOOKUP($A149,DD_Info!$A$1:$E$222,2,0))</f>
        <v>Luis M Cadena</v>
      </c>
      <c r="D149" t="str">
        <f>IF(ISNA(VLOOKUP($A149,DD_Info!$A$1:$E$222,3,0)),0,VLOOKUP($A149,DD_Info!$A$1:$E$222,3,0))</f>
        <v>Corpus Christi</v>
      </c>
      <c r="E149">
        <f ca="1">ROUND(SUMIF(Councils!$C$6:$C$837,$A149,Councils!$E$6:$E$816),0)</f>
        <v>235</v>
      </c>
      <c r="F149">
        <f ca="1">ROUND(SUMIF(Councils!$C$6:$C$837,$A149,Councils!$F$6:$F$816)*0.7,0)</f>
        <v>8</v>
      </c>
      <c r="G149">
        <f ca="1">ROUND(SUMIF(Councils!$C$6:$C$837,$A149,Councils!$G$6:$G$816)*0.7,0)</f>
        <v>0</v>
      </c>
      <c r="H149">
        <f ca="1">ROUND(SUMIF(Councils!$C$6:$C$837,$A149,Councils!$H$6:$H$816)*0.7,0)</f>
        <v>0</v>
      </c>
      <c r="I149">
        <f ca="1">ROUND(SUMIF(Councils!$C$6:$C$837,$A149,Councils!$I$6:$I$816)*0.7,0)</f>
        <v>0</v>
      </c>
      <c r="J149">
        <f ca="1">ROUND(SUMIF(Councils!$C$6:$C$837,$A149,Councils!$J$6:$J$816)*0.7,0)</f>
        <v>2</v>
      </c>
      <c r="K149">
        <f ca="1">ROUND(SUMIF(Councils!$C$6:$C$837,$A149,Councils!$K$6:$K$816)*0.7,0)</f>
        <v>0</v>
      </c>
      <c r="L149">
        <f ca="1">ROUND(SUMIF(Councils!$C$6:$C$837,$A149,Councils!$L$6:$L$816)*0.7,0)</f>
        <v>2</v>
      </c>
      <c r="M149" s="63">
        <f t="shared" ca="1" si="7"/>
        <v>0.25</v>
      </c>
      <c r="N149">
        <f t="shared" ca="1" si="6"/>
        <v>46</v>
      </c>
    </row>
    <row r="150" spans="1:14">
      <c r="A150" s="67">
        <v>170</v>
      </c>
      <c r="B150" s="81">
        <f>IF(ISNA(VLOOKUP($A150,DD_Info!$A$1:$E$222,5,0)),0,VLOOKUP($A150,DD_Info!$A$1:$E$222,5,0))</f>
        <v>3</v>
      </c>
      <c r="C150" t="str">
        <f>IF(ISNA(VLOOKUP($A150,DD_Info!$A$1:$E$222,2,0)),0,VLOOKUP($A150,DD_Info!$A$1:$E$222,2,0))</f>
        <v>Alfredo  Torres</v>
      </c>
      <c r="D150" t="str">
        <f>IF(ISNA(VLOOKUP($A150,DD_Info!$A$1:$E$222,3,0)),0,VLOOKUP($A150,DD_Info!$A$1:$E$222,3,0))</f>
        <v>Corpus Christi</v>
      </c>
      <c r="E150">
        <f ca="1">ROUND(SUMIF(Councils!$C$6:$C$837,$A150,Councils!$E$6:$E$816),0)</f>
        <v>275</v>
      </c>
      <c r="F150">
        <f ca="1">ROUND(SUMIF(Councils!$C$6:$C$837,$A150,Councils!$F$6:$F$816)*0.7,0)</f>
        <v>10</v>
      </c>
      <c r="G150">
        <f ca="1">ROUND(SUMIF(Councils!$C$6:$C$837,$A150,Councils!$G$6:$G$816)*0.7,0)</f>
        <v>0</v>
      </c>
      <c r="H150">
        <f ca="1">ROUND(SUMIF(Councils!$C$6:$C$837,$A150,Councils!$H$6:$H$816)*0.7,0)</f>
        <v>0</v>
      </c>
      <c r="I150">
        <f ca="1">ROUND(SUMIF(Councils!$C$6:$C$837,$A150,Councils!$I$6:$I$816)*0.7,0)</f>
        <v>0</v>
      </c>
      <c r="J150">
        <f ca="1">ROUND(SUMIF(Councils!$C$6:$C$837,$A150,Councils!$J$6:$J$816)*0.7,0)</f>
        <v>4</v>
      </c>
      <c r="K150">
        <f ca="1">ROUND(SUMIF(Councils!$C$6:$C$837,$A150,Councils!$K$6:$K$816)*0.7,0)</f>
        <v>0</v>
      </c>
      <c r="L150">
        <f ca="1">ROUND(SUMIF(Councils!$C$6:$C$837,$A150,Councils!$L$6:$L$816)*0.7,0)</f>
        <v>4</v>
      </c>
      <c r="M150" s="63">
        <f t="shared" ca="1" si="7"/>
        <v>0.4</v>
      </c>
      <c r="N150">
        <f t="shared" ca="1" si="6"/>
        <v>25</v>
      </c>
    </row>
    <row r="151" spans="1:14">
      <c r="A151" s="67">
        <v>171</v>
      </c>
      <c r="B151" s="81">
        <f>IF(ISNA(VLOOKUP($A151,DD_Info!$A$1:$E$222,5,0)),0,VLOOKUP($A151,DD_Info!$A$1:$E$222,5,0))</f>
        <v>2</v>
      </c>
      <c r="C151" t="str">
        <f>IF(ISNA(VLOOKUP($A151,DD_Info!$A$1:$E$222,2,0)),0,VLOOKUP($A151,DD_Info!$A$1:$E$222,2,0))</f>
        <v>William G Archambeault</v>
      </c>
      <c r="D151" t="str">
        <f>IF(ISNA(VLOOKUP($A151,DD_Info!$A$1:$E$222,3,0)),0,VLOOKUP($A151,DD_Info!$A$1:$E$222,3,0))</f>
        <v>Corpus Christi</v>
      </c>
      <c r="E151">
        <f ca="1">ROUND(SUMIF(Councils!$C$6:$C$837,$A151,Councils!$E$6:$E$816),0)</f>
        <v>444</v>
      </c>
      <c r="F151">
        <f ca="1">ROUND(SUMIF(Councils!$C$6:$C$837,$A151,Councils!$F$6:$F$816)*0.7,0)</f>
        <v>16</v>
      </c>
      <c r="G151">
        <f ca="1">ROUND(SUMIF(Councils!$C$6:$C$837,$A151,Councils!$G$6:$G$816)*0.7,0)</f>
        <v>1</v>
      </c>
      <c r="H151">
        <f ca="1">ROUND(SUMIF(Councils!$C$6:$C$837,$A151,Councils!$H$6:$H$816)*0.7,0)</f>
        <v>0</v>
      </c>
      <c r="I151">
        <f ca="1">ROUND(SUMIF(Councils!$C$6:$C$837,$A151,Councils!$I$6:$I$816)*0.7,0)</f>
        <v>1</v>
      </c>
      <c r="J151">
        <f ca="1">ROUND(SUMIF(Councils!$C$6:$C$837,$A151,Councils!$J$6:$J$816)*0.7,0)</f>
        <v>7</v>
      </c>
      <c r="K151">
        <f ca="1">ROUND(SUMIF(Councils!$C$6:$C$837,$A151,Councils!$K$6:$K$816)*0.7,0)</f>
        <v>0</v>
      </c>
      <c r="L151">
        <f ca="1">ROUND(SUMIF(Councils!$C$6:$C$837,$A151,Councils!$L$6:$L$816)*0.7,0)</f>
        <v>7</v>
      </c>
      <c r="M151" s="63">
        <f t="shared" ca="1" si="7"/>
        <v>0.4375</v>
      </c>
      <c r="N151">
        <f t="shared" ca="1" si="6"/>
        <v>23</v>
      </c>
    </row>
    <row r="152" spans="1:14">
      <c r="A152" s="67">
        <v>172</v>
      </c>
      <c r="B152" s="81">
        <f>IF(ISNA(VLOOKUP($A152,DD_Info!$A$1:$E$222,5,0)),0,VLOOKUP($A152,DD_Info!$A$1:$E$222,5,0))</f>
        <v>2</v>
      </c>
      <c r="C152" t="str">
        <f>IF(ISNA(VLOOKUP($A152,DD_Info!$A$1:$E$222,2,0)),0,VLOOKUP($A152,DD_Info!$A$1:$E$222,2,0))</f>
        <v>TO BE APPOINTED</v>
      </c>
      <c r="D152" t="str">
        <f>IF(ISNA(VLOOKUP($A152,DD_Info!$A$1:$E$222,3,0)),0,VLOOKUP($A152,DD_Info!$A$1:$E$222,3,0))</f>
        <v>Corpus Christi</v>
      </c>
      <c r="E152">
        <f ca="1">ROUND(SUMIF(Councils!$C$6:$C$837,$A152,Councils!$E$6:$E$816),0)</f>
        <v>472</v>
      </c>
      <c r="F152">
        <f ca="1">ROUND(SUMIF(Councils!$C$6:$C$837,$A152,Councils!$F$6:$F$816)*0.7,0)</f>
        <v>15</v>
      </c>
      <c r="G152">
        <f ca="1">ROUND(SUMIF(Councils!$C$6:$C$837,$A152,Councils!$G$6:$G$816)*0.7,0)</f>
        <v>0</v>
      </c>
      <c r="H152">
        <f ca="1">ROUND(SUMIF(Councils!$C$6:$C$837,$A152,Councils!$H$6:$H$816)*0.7,0)</f>
        <v>0</v>
      </c>
      <c r="I152">
        <f ca="1">ROUND(SUMIF(Councils!$C$6:$C$837,$A152,Councils!$I$6:$I$816)*0.7,0)</f>
        <v>0</v>
      </c>
      <c r="J152">
        <f ca="1">ROUND(SUMIF(Councils!$C$6:$C$837,$A152,Councils!$J$6:$J$816)*0.7,0)</f>
        <v>0</v>
      </c>
      <c r="K152">
        <f ca="1">ROUND(SUMIF(Councils!$C$6:$C$837,$A152,Councils!$K$6:$K$816)*0.7,0)</f>
        <v>0</v>
      </c>
      <c r="L152">
        <f ca="1">ROUND(SUMIF(Councils!$C$6:$C$837,$A152,Councils!$L$6:$L$816)*0.7,0)</f>
        <v>0</v>
      </c>
      <c r="M152" s="63">
        <f t="shared" ca="1" si="7"/>
        <v>0</v>
      </c>
      <c r="N152">
        <f t="shared" ca="1" si="6"/>
        <v>127</v>
      </c>
    </row>
    <row r="153" spans="1:14">
      <c r="A153" s="67">
        <v>173</v>
      </c>
      <c r="B153" s="81">
        <f>IF(ISNA(VLOOKUP($A153,DD_Info!$A$1:$E$222,5,0)),0,VLOOKUP($A153,DD_Info!$A$1:$E$222,5,0))</f>
        <v>2</v>
      </c>
      <c r="C153" t="str">
        <f>IF(ISNA(VLOOKUP($A153,DD_Info!$A$1:$E$222,2,0)),0,VLOOKUP($A153,DD_Info!$A$1:$E$222,2,0))</f>
        <v>Pedro  Gonzalez</v>
      </c>
      <c r="D153" t="str">
        <f>IF(ISNA(VLOOKUP($A153,DD_Info!$A$1:$E$222,3,0)),0,VLOOKUP($A153,DD_Info!$A$1:$E$222,3,0))</f>
        <v>Corpus Christi</v>
      </c>
      <c r="E153">
        <f ca="1">ROUND(SUMIF(Councils!$C$6:$C$837,$A153,Councils!$E$6:$E$816),0)</f>
        <v>505</v>
      </c>
      <c r="F153">
        <f ca="1">ROUND(SUMIF(Councils!$C$6:$C$837,$A153,Councils!$F$6:$F$816)*0.7,0)</f>
        <v>19</v>
      </c>
      <c r="G153">
        <f ca="1">ROUND(SUMIF(Councils!$C$6:$C$837,$A153,Councils!$G$6:$G$816)*0.7,0)</f>
        <v>0</v>
      </c>
      <c r="H153">
        <f ca="1">ROUND(SUMIF(Councils!$C$6:$C$837,$A153,Councils!$H$6:$H$816)*0.7,0)</f>
        <v>0</v>
      </c>
      <c r="I153">
        <f ca="1">ROUND(SUMIF(Councils!$C$6:$C$837,$A153,Councils!$I$6:$I$816)*0.7,0)</f>
        <v>0</v>
      </c>
      <c r="J153">
        <f ca="1">ROUND(SUMIF(Councils!$C$6:$C$837,$A153,Councils!$J$6:$J$816)*0.7,0)</f>
        <v>4</v>
      </c>
      <c r="K153">
        <f ca="1">ROUND(SUMIF(Councils!$C$6:$C$837,$A153,Councils!$K$6:$K$816)*0.7,0)</f>
        <v>0</v>
      </c>
      <c r="L153">
        <f ca="1">ROUND(SUMIF(Councils!$C$6:$C$837,$A153,Councils!$L$6:$L$816)*0.7,0)</f>
        <v>4</v>
      </c>
      <c r="M153" s="63">
        <f t="shared" ca="1" si="7"/>
        <v>0.21052631578947367</v>
      </c>
      <c r="N153">
        <f t="shared" ca="1" si="6"/>
        <v>57</v>
      </c>
    </row>
    <row r="154" spans="1:14">
      <c r="A154" s="67">
        <v>174</v>
      </c>
      <c r="B154" s="81">
        <f>IF(ISNA(VLOOKUP($A154,DD_Info!$A$1:$E$222,5,0)),0,VLOOKUP($A154,DD_Info!$A$1:$E$222,5,0))</f>
        <v>3</v>
      </c>
      <c r="C154" t="str">
        <f>IF(ISNA(VLOOKUP($A154,DD_Info!$A$1:$E$222,2,0)),0,VLOOKUP($A154,DD_Info!$A$1:$E$222,2,0))</f>
        <v>Christopher  Hernandez</v>
      </c>
      <c r="D154" t="str">
        <f>IF(ISNA(VLOOKUP($A154,DD_Info!$A$1:$E$222,3,0)),0,VLOOKUP($A154,DD_Info!$A$1:$E$222,3,0))</f>
        <v>Corpus Christi</v>
      </c>
      <c r="E154">
        <f ca="1">ROUND(SUMIF(Councils!$C$6:$C$837,$A154,Councils!$E$6:$E$816),0)</f>
        <v>281</v>
      </c>
      <c r="F154">
        <f ca="1">ROUND(SUMIF(Councils!$C$6:$C$837,$A154,Councils!$F$6:$F$816)*0.7,0)</f>
        <v>11</v>
      </c>
      <c r="G154">
        <f ca="1">ROUND(SUMIF(Councils!$C$6:$C$837,$A154,Councils!$G$6:$G$816)*0.7,0)</f>
        <v>0</v>
      </c>
      <c r="H154">
        <f ca="1">ROUND(SUMIF(Councils!$C$6:$C$837,$A154,Councils!$H$6:$H$816)*0.7,0)</f>
        <v>1</v>
      </c>
      <c r="I154">
        <f ca="1">ROUND(SUMIF(Councils!$C$6:$C$837,$A154,Councils!$I$6:$I$816)*0.7,0)</f>
        <v>-1</v>
      </c>
      <c r="J154">
        <f ca="1">ROUND(SUMIF(Councils!$C$6:$C$837,$A154,Councils!$J$6:$J$816)*0.7,0)</f>
        <v>3</v>
      </c>
      <c r="K154">
        <f ca="1">ROUND(SUMIF(Councils!$C$6:$C$837,$A154,Councils!$K$6:$K$816)*0.7,0)</f>
        <v>1</v>
      </c>
      <c r="L154">
        <f ca="1">ROUND(SUMIF(Councils!$C$6:$C$837,$A154,Councils!$L$6:$L$816)*0.7,0)</f>
        <v>1</v>
      </c>
      <c r="M154" s="63">
        <f t="shared" ca="1" si="7"/>
        <v>9.0909090909090912E-2</v>
      </c>
      <c r="N154">
        <f t="shared" ca="1" si="6"/>
        <v>88</v>
      </c>
    </row>
    <row r="155" spans="1:14">
      <c r="A155" s="67">
        <v>175</v>
      </c>
      <c r="B155" s="81">
        <f>IF(ISNA(VLOOKUP($A155,DD_Info!$A$1:$E$222,5,0)),0,VLOOKUP($A155,DD_Info!$A$1:$E$222,5,0))</f>
        <v>3</v>
      </c>
      <c r="C155" t="str">
        <f>IF(ISNA(VLOOKUP($A155,DD_Info!$A$1:$E$222,2,0)),0,VLOOKUP($A155,DD_Info!$A$1:$E$222,2,0))</f>
        <v>Abel  Gutierrez</v>
      </c>
      <c r="D155" t="str">
        <f>IF(ISNA(VLOOKUP($A155,DD_Info!$A$1:$E$222,3,0)),0,VLOOKUP($A155,DD_Info!$A$1:$E$222,3,0))</f>
        <v>Corpus Christi</v>
      </c>
      <c r="E155">
        <f ca="1">ROUND(SUMIF(Councils!$C$6:$C$837,$A155,Councils!$E$6:$E$816),0)</f>
        <v>225</v>
      </c>
      <c r="F155">
        <f ca="1">ROUND(SUMIF(Councils!$C$6:$C$837,$A155,Councils!$F$6:$F$816)*0.7,0)</f>
        <v>9</v>
      </c>
      <c r="G155">
        <f ca="1">ROUND(SUMIF(Councils!$C$6:$C$837,$A155,Councils!$G$6:$G$816)*0.7,0)</f>
        <v>0</v>
      </c>
      <c r="H155">
        <f ca="1">ROUND(SUMIF(Councils!$C$6:$C$837,$A155,Councils!$H$6:$H$816)*0.7,0)</f>
        <v>1</v>
      </c>
      <c r="I155">
        <f ca="1">ROUND(SUMIF(Councils!$C$6:$C$837,$A155,Councils!$I$6:$I$816)*0.7,0)</f>
        <v>-1</v>
      </c>
      <c r="J155">
        <f ca="1">ROUND(SUMIF(Councils!$C$6:$C$837,$A155,Councils!$J$6:$J$816)*0.7,0)</f>
        <v>0</v>
      </c>
      <c r="K155">
        <f ca="1">ROUND(SUMIF(Councils!$C$6:$C$837,$A155,Councils!$K$6:$K$816)*0.7,0)</f>
        <v>1</v>
      </c>
      <c r="L155">
        <f ca="1">ROUND(SUMIF(Councils!$C$6:$C$837,$A155,Councils!$L$6:$L$816)*0.7,0)</f>
        <v>-1</v>
      </c>
      <c r="M155" s="63">
        <f t="shared" ca="1" si="7"/>
        <v>-0.1111111111111111</v>
      </c>
      <c r="N155">
        <f t="shared" ca="1" si="6"/>
        <v>183</v>
      </c>
    </row>
    <row r="156" spans="1:14">
      <c r="A156" s="67">
        <v>176</v>
      </c>
      <c r="B156" s="81">
        <f>IF(ISNA(VLOOKUP($A156,DD_Info!$A$1:$E$222,5,0)),0,VLOOKUP($A156,DD_Info!$A$1:$E$222,5,0))</f>
        <v>3</v>
      </c>
      <c r="C156" t="str">
        <f>IF(ISNA(VLOOKUP($A156,DD_Info!$A$1:$E$222,2,0)),0,VLOOKUP($A156,DD_Info!$A$1:$E$222,2,0))</f>
        <v>Gilbert  Perez Sr</v>
      </c>
      <c r="D156" t="str">
        <f>IF(ISNA(VLOOKUP($A156,DD_Info!$A$1:$E$222,3,0)),0,VLOOKUP($A156,DD_Info!$A$1:$E$222,3,0))</f>
        <v>Corpus Christi</v>
      </c>
      <c r="E156">
        <f ca="1">ROUND(SUMIF(Councils!$C$6:$C$837,$A156,Councils!$E$6:$E$816),0)</f>
        <v>258</v>
      </c>
      <c r="F156">
        <f ca="1">ROUND(SUMIF(Councils!$C$6:$C$837,$A156,Councils!$F$6:$F$816)*0.7,0)</f>
        <v>10</v>
      </c>
      <c r="G156">
        <f ca="1">ROUND(SUMIF(Councils!$C$6:$C$837,$A156,Councils!$G$6:$G$816)*0.7,0)</f>
        <v>0</v>
      </c>
      <c r="H156">
        <f ca="1">ROUND(SUMIF(Councils!$C$6:$C$837,$A156,Councils!$H$6:$H$816)*0.7,0)</f>
        <v>0</v>
      </c>
      <c r="I156">
        <f ca="1">ROUND(SUMIF(Councils!$C$6:$C$837,$A156,Councils!$I$6:$I$816)*0.7,0)</f>
        <v>0</v>
      </c>
      <c r="J156">
        <f ca="1">ROUND(SUMIF(Councils!$C$6:$C$837,$A156,Councils!$J$6:$J$816)*0.7,0)</f>
        <v>7</v>
      </c>
      <c r="K156">
        <f ca="1">ROUND(SUMIF(Councils!$C$6:$C$837,$A156,Councils!$K$6:$K$816)*0.7,0)</f>
        <v>0</v>
      </c>
      <c r="L156">
        <f ca="1">ROUND(SUMIF(Councils!$C$6:$C$837,$A156,Councils!$L$6:$L$816)*0.7,0)</f>
        <v>7</v>
      </c>
      <c r="M156" s="63">
        <f t="shared" ca="1" si="7"/>
        <v>0.7</v>
      </c>
      <c r="N156">
        <f t="shared" ca="1" si="6"/>
        <v>4</v>
      </c>
    </row>
    <row r="157" spans="1:14">
      <c r="A157" s="67">
        <v>177</v>
      </c>
      <c r="B157" s="81">
        <f>IF(ISNA(VLOOKUP($A157,DD_Info!$A$1:$E$222,5,0)),0,VLOOKUP($A157,DD_Info!$A$1:$E$222,5,0))</f>
        <v>2</v>
      </c>
      <c r="C157" t="str">
        <f>IF(ISNA(VLOOKUP($A157,DD_Info!$A$1:$E$222,2,0)),0,VLOOKUP($A157,DD_Info!$A$1:$E$222,2,0))</f>
        <v>Juan M Hernandez</v>
      </c>
      <c r="D157" t="str">
        <f>IF(ISNA(VLOOKUP($A157,DD_Info!$A$1:$E$222,3,0)),0,VLOOKUP($A157,DD_Info!$A$1:$E$222,3,0))</f>
        <v>Corpus Christi</v>
      </c>
      <c r="E157">
        <f ca="1">ROUND(SUMIF(Councils!$C$6:$C$837,$A157,Councils!$E$6:$E$816),0)</f>
        <v>379</v>
      </c>
      <c r="F157">
        <f ca="1">ROUND(SUMIF(Councils!$C$6:$C$837,$A157,Councils!$F$6:$F$816)*0.7,0)</f>
        <v>13</v>
      </c>
      <c r="G157">
        <f ca="1">ROUND(SUMIF(Councils!$C$6:$C$837,$A157,Councils!$G$6:$G$816)*0.7,0)</f>
        <v>0</v>
      </c>
      <c r="H157">
        <f ca="1">ROUND(SUMIF(Councils!$C$6:$C$837,$A157,Councils!$H$6:$H$816)*0.7,0)</f>
        <v>0</v>
      </c>
      <c r="I157">
        <f ca="1">ROUND(SUMIF(Councils!$C$6:$C$837,$A157,Councils!$I$6:$I$816)*0.7,0)</f>
        <v>0</v>
      </c>
      <c r="J157">
        <f ca="1">ROUND(SUMIF(Councils!$C$6:$C$837,$A157,Councils!$J$6:$J$816)*0.7,0)</f>
        <v>0</v>
      </c>
      <c r="K157">
        <f ca="1">ROUND(SUMIF(Councils!$C$6:$C$837,$A157,Councils!$K$6:$K$816)*0.7,0)</f>
        <v>0</v>
      </c>
      <c r="L157">
        <f ca="1">ROUND(SUMIF(Councils!$C$6:$C$837,$A157,Councils!$L$6:$L$816)*0.7,0)</f>
        <v>0</v>
      </c>
      <c r="M157" s="63">
        <f t="shared" ca="1" si="7"/>
        <v>0</v>
      </c>
      <c r="N157">
        <f t="shared" ca="1" si="6"/>
        <v>127</v>
      </c>
    </row>
    <row r="158" spans="1:14">
      <c r="A158" s="67">
        <v>178</v>
      </c>
      <c r="B158" s="81">
        <f>IF(ISNA(VLOOKUP($A158,DD_Info!$A$1:$E$222,5,0)),0,VLOOKUP($A158,DD_Info!$A$1:$E$222,5,0))</f>
        <v>3</v>
      </c>
      <c r="C158" t="str">
        <f>IF(ISNA(VLOOKUP($A158,DD_Info!$A$1:$E$222,2,0)),0,VLOOKUP($A158,DD_Info!$A$1:$E$222,2,0))</f>
        <v>Ervey  Martinez</v>
      </c>
      <c r="D158" t="str">
        <f>IF(ISNA(VLOOKUP($A158,DD_Info!$A$1:$E$222,3,0)),0,VLOOKUP($A158,DD_Info!$A$1:$E$222,3,0))</f>
        <v>Corpus Christi</v>
      </c>
      <c r="E158">
        <f ca="1">ROUND(SUMIF(Councils!$C$6:$C$837,$A158,Councils!$E$6:$E$816),0)</f>
        <v>287</v>
      </c>
      <c r="F158">
        <f ca="1">ROUND(SUMIF(Councils!$C$6:$C$837,$A158,Councils!$F$6:$F$816)*0.7,0)</f>
        <v>11</v>
      </c>
      <c r="G158">
        <f ca="1">ROUND(SUMIF(Councils!$C$6:$C$837,$A158,Councils!$G$6:$G$816)*0.7,0)</f>
        <v>0</v>
      </c>
      <c r="H158">
        <f ca="1">ROUND(SUMIF(Councils!$C$6:$C$837,$A158,Councils!$H$6:$H$816)*0.7,0)</f>
        <v>0</v>
      </c>
      <c r="I158">
        <f ca="1">ROUND(SUMIF(Councils!$C$6:$C$837,$A158,Councils!$I$6:$I$816)*0.7,0)</f>
        <v>0</v>
      </c>
      <c r="J158">
        <f ca="1">ROUND(SUMIF(Councils!$C$6:$C$837,$A158,Councils!$J$6:$J$816)*0.7,0)</f>
        <v>0</v>
      </c>
      <c r="K158">
        <f ca="1">ROUND(SUMIF(Councils!$C$6:$C$837,$A158,Councils!$K$6:$K$816)*0.7,0)</f>
        <v>0</v>
      </c>
      <c r="L158">
        <f ca="1">ROUND(SUMIF(Councils!$C$6:$C$837,$A158,Councils!$L$6:$L$816)*0.7,0)</f>
        <v>0</v>
      </c>
      <c r="M158" s="63">
        <f t="shared" ca="1" si="7"/>
        <v>0</v>
      </c>
      <c r="N158">
        <f t="shared" ca="1" si="6"/>
        <v>127</v>
      </c>
    </row>
    <row r="159" spans="1:14">
      <c r="A159" s="67">
        <v>179</v>
      </c>
      <c r="B159" s="81">
        <f>IF(ISNA(VLOOKUP($A159,DD_Info!$A$1:$E$222,5,0)),0,VLOOKUP($A159,DD_Info!$A$1:$E$222,5,0))</f>
        <v>2</v>
      </c>
      <c r="C159" t="str">
        <f>IF(ISNA(VLOOKUP($A159,DD_Info!$A$1:$E$222,2,0)),0,VLOOKUP($A159,DD_Info!$A$1:$E$222,2,0))</f>
        <v>Jesse Q Garcia</v>
      </c>
      <c r="D159" t="str">
        <f>IF(ISNA(VLOOKUP($A159,DD_Info!$A$1:$E$222,3,0)),0,VLOOKUP($A159,DD_Info!$A$1:$E$222,3,0))</f>
        <v>Corpus Christi</v>
      </c>
      <c r="E159">
        <f ca="1">ROUND(SUMIF(Councils!$C$6:$C$837,$A159,Councils!$E$6:$E$816),0)</f>
        <v>318</v>
      </c>
      <c r="F159">
        <f ca="1">ROUND(SUMIF(Councils!$C$6:$C$837,$A159,Councils!$F$6:$F$816)*0.7,0)</f>
        <v>12</v>
      </c>
      <c r="G159">
        <f ca="1">ROUND(SUMIF(Councils!$C$6:$C$837,$A159,Councils!$G$6:$G$816)*0.7,0)</f>
        <v>0</v>
      </c>
      <c r="H159">
        <f ca="1">ROUND(SUMIF(Councils!$C$6:$C$837,$A159,Councils!$H$6:$H$816)*0.7,0)</f>
        <v>0</v>
      </c>
      <c r="I159">
        <f ca="1">ROUND(SUMIF(Councils!$C$6:$C$837,$A159,Councils!$I$6:$I$816)*0.7,0)</f>
        <v>0</v>
      </c>
      <c r="J159">
        <f ca="1">ROUND(SUMIF(Councils!$C$6:$C$837,$A159,Councils!$J$6:$J$816)*0.7,0)</f>
        <v>11</v>
      </c>
      <c r="K159">
        <f ca="1">ROUND(SUMIF(Councils!$C$6:$C$837,$A159,Councils!$K$6:$K$816)*0.7,0)</f>
        <v>0</v>
      </c>
      <c r="L159">
        <f ca="1">ROUND(SUMIF(Councils!$C$6:$C$837,$A159,Councils!$L$6:$L$816)*0.7,0)</f>
        <v>11</v>
      </c>
      <c r="M159" s="63">
        <f t="shared" ca="1" si="7"/>
        <v>0.91666666666666663</v>
      </c>
      <c r="N159">
        <f t="shared" ca="1" si="6"/>
        <v>3</v>
      </c>
    </row>
    <row r="160" spans="1:14">
      <c r="A160" s="67">
        <v>180</v>
      </c>
      <c r="B160" s="81">
        <f>IF(ISNA(VLOOKUP($A160,DD_Info!$A$1:$E$222,5,0)),0,VLOOKUP($A160,DD_Info!$A$1:$E$222,5,0))</f>
        <v>3</v>
      </c>
      <c r="C160" t="str">
        <f>IF(ISNA(VLOOKUP($A160,DD_Info!$A$1:$E$222,2,0)),0,VLOOKUP($A160,DD_Info!$A$1:$E$222,2,0))</f>
        <v>Rudy  Ortiz</v>
      </c>
      <c r="D160" t="str">
        <f>IF(ISNA(VLOOKUP($A160,DD_Info!$A$1:$E$222,3,0)),0,VLOOKUP($A160,DD_Info!$A$1:$E$222,3,0))</f>
        <v>Corpus Christi</v>
      </c>
      <c r="E160">
        <f ca="1">ROUND(SUMIF(Councils!$C$6:$C$837,$A160,Councils!$E$6:$E$816),0)</f>
        <v>170</v>
      </c>
      <c r="F160">
        <f ca="1">ROUND(SUMIF(Councils!$C$6:$C$837,$A160,Councils!$F$6:$F$816)*0.7,0)</f>
        <v>8</v>
      </c>
      <c r="G160">
        <f ca="1">ROUND(SUMIF(Councils!$C$6:$C$837,$A160,Councils!$G$6:$G$816)*0.7,0)</f>
        <v>0</v>
      </c>
      <c r="H160">
        <f ca="1">ROUND(SUMIF(Councils!$C$6:$C$837,$A160,Councils!$H$6:$H$816)*0.7,0)</f>
        <v>0</v>
      </c>
      <c r="I160">
        <f ca="1">ROUND(SUMIF(Councils!$C$6:$C$837,$A160,Councils!$I$6:$I$816)*0.7,0)</f>
        <v>0</v>
      </c>
      <c r="J160">
        <f ca="1">ROUND(SUMIF(Councils!$C$6:$C$837,$A160,Councils!$J$6:$J$816)*0.7,0)</f>
        <v>0</v>
      </c>
      <c r="K160">
        <f ca="1">ROUND(SUMIF(Councils!$C$6:$C$837,$A160,Councils!$K$6:$K$816)*0.7,0)</f>
        <v>0</v>
      </c>
      <c r="L160">
        <f ca="1">ROUND(SUMIF(Councils!$C$6:$C$837,$A160,Councils!$L$6:$L$816)*0.7,0)</f>
        <v>0</v>
      </c>
      <c r="M160" s="63">
        <f t="shared" ca="1" si="7"/>
        <v>0</v>
      </c>
      <c r="N160">
        <f t="shared" ca="1" si="6"/>
        <v>127</v>
      </c>
    </row>
    <row r="161" spans="1:14">
      <c r="A161" s="67">
        <v>186</v>
      </c>
      <c r="B161" s="81">
        <f>IF(ISNA(VLOOKUP($A161,DD_Info!$A$1:$E$222,5,0)),0,VLOOKUP($A161,DD_Info!$A$1:$E$222,5,0))</f>
        <v>2</v>
      </c>
      <c r="C161" t="str">
        <f>IF(ISNA(VLOOKUP($A161,DD_Info!$A$1:$E$222,2,0)),0,VLOOKUP($A161,DD_Info!$A$1:$E$222,2,0))</f>
        <v>Robert  Landry</v>
      </c>
      <c r="D161" t="str">
        <f>IF(ISNA(VLOOKUP($A161,DD_Info!$A$1:$E$222,3,0)),0,VLOOKUP($A161,DD_Info!$A$1:$E$222,3,0))</f>
        <v>Victoria</v>
      </c>
      <c r="E161">
        <f ca="1">ROUND(SUMIF(Councils!$C$6:$C$837,$A161,Councils!$E$6:$E$816),0)</f>
        <v>510</v>
      </c>
      <c r="F161">
        <f ca="1">ROUND(SUMIF(Councils!$C$6:$C$837,$A161,Councils!$F$6:$F$816)*0.7,0)</f>
        <v>18</v>
      </c>
      <c r="G161">
        <f ca="1">ROUND(SUMIF(Councils!$C$6:$C$837,$A161,Councils!$G$6:$G$816)*0.7,0)</f>
        <v>0</v>
      </c>
      <c r="H161">
        <f ca="1">ROUND(SUMIF(Councils!$C$6:$C$837,$A161,Councils!$H$6:$H$816)*0.7,0)</f>
        <v>0</v>
      </c>
      <c r="I161">
        <f ca="1">ROUND(SUMIF(Councils!$C$6:$C$837,$A161,Councils!$I$6:$I$816)*0.7,0)</f>
        <v>0</v>
      </c>
      <c r="J161">
        <f ca="1">ROUND(SUMIF(Councils!$C$6:$C$837,$A161,Councils!$J$6:$J$816)*0.7,0)</f>
        <v>10</v>
      </c>
      <c r="K161">
        <f ca="1">ROUND(SUMIF(Councils!$C$6:$C$837,$A161,Councils!$K$6:$K$816)*0.7,0)</f>
        <v>0</v>
      </c>
      <c r="L161">
        <f ca="1">ROUND(SUMIF(Councils!$C$6:$C$837,$A161,Councils!$L$6:$L$816)*0.7,0)</f>
        <v>10</v>
      </c>
      <c r="M161" s="63">
        <f t="shared" ca="1" si="7"/>
        <v>0.55555555555555558</v>
      </c>
      <c r="N161">
        <f t="shared" ca="1" si="6"/>
        <v>11</v>
      </c>
    </row>
    <row r="162" spans="1:14">
      <c r="A162" s="67">
        <v>187</v>
      </c>
      <c r="B162" s="81">
        <f>IF(ISNA(VLOOKUP($A162,DD_Info!$A$1:$E$222,5,0)),0,VLOOKUP($A162,DD_Info!$A$1:$E$222,5,0))</f>
        <v>2</v>
      </c>
      <c r="C162" t="str">
        <f>IF(ISNA(VLOOKUP($A162,DD_Info!$A$1:$E$222,2,0)),0,VLOOKUP($A162,DD_Info!$A$1:$E$222,2,0))</f>
        <v>Harry A Isenberger</v>
      </c>
      <c r="D162" t="str">
        <f>IF(ISNA(VLOOKUP($A162,DD_Info!$A$1:$E$222,3,0)),0,VLOOKUP($A162,DD_Info!$A$1:$E$222,3,0))</f>
        <v>Victoria</v>
      </c>
      <c r="E162">
        <f ca="1">ROUND(SUMIF(Councils!$C$6:$C$837,$A162,Councils!$E$6:$E$816),0)</f>
        <v>369</v>
      </c>
      <c r="F162">
        <f ca="1">ROUND(SUMIF(Councils!$C$6:$C$837,$A162,Councils!$F$6:$F$816)*0.7,0)</f>
        <v>13</v>
      </c>
      <c r="G162">
        <f ca="1">ROUND(SUMIF(Councils!$C$6:$C$837,$A162,Councils!$G$6:$G$816)*0.7,0)</f>
        <v>0</v>
      </c>
      <c r="H162">
        <f ca="1">ROUND(SUMIF(Councils!$C$6:$C$837,$A162,Councils!$H$6:$H$816)*0.7,0)</f>
        <v>0</v>
      </c>
      <c r="I162">
        <f ca="1">ROUND(SUMIF(Councils!$C$6:$C$837,$A162,Councils!$I$6:$I$816)*0.7,0)</f>
        <v>0</v>
      </c>
      <c r="J162">
        <f ca="1">ROUND(SUMIF(Councils!$C$6:$C$837,$A162,Councils!$J$6:$J$816)*0.7,0)</f>
        <v>4</v>
      </c>
      <c r="K162">
        <f ca="1">ROUND(SUMIF(Councils!$C$6:$C$837,$A162,Councils!$K$6:$K$816)*0.7,0)</f>
        <v>0</v>
      </c>
      <c r="L162">
        <f ca="1">ROUND(SUMIF(Councils!$C$6:$C$837,$A162,Councils!$L$6:$L$816)*0.7,0)</f>
        <v>4</v>
      </c>
      <c r="M162" s="63">
        <f t="shared" ca="1" si="7"/>
        <v>0.30769230769230771</v>
      </c>
      <c r="N162">
        <f t="shared" ca="1" si="6"/>
        <v>37</v>
      </c>
    </row>
    <row r="163" spans="1:14">
      <c r="A163" s="67">
        <v>188</v>
      </c>
      <c r="B163" s="81">
        <f>IF(ISNA(VLOOKUP($A163,DD_Info!$A$1:$E$222,5,0)),0,VLOOKUP($A163,DD_Info!$A$1:$E$222,5,0))</f>
        <v>1</v>
      </c>
      <c r="C163" t="str">
        <f>IF(ISNA(VLOOKUP($A163,DD_Info!$A$1:$E$222,2,0)),0,VLOOKUP($A163,DD_Info!$A$1:$E$222,2,0))</f>
        <v>James A Kocurek</v>
      </c>
      <c r="D163" t="str">
        <f>IF(ISNA(VLOOKUP($A163,DD_Info!$A$1:$E$222,3,0)),0,VLOOKUP($A163,DD_Info!$A$1:$E$222,3,0))</f>
        <v>Victoria</v>
      </c>
      <c r="E163">
        <f ca="1">ROUND(SUMIF(Councils!$C$6:$C$837,$A163,Councils!$E$6:$E$816),0)</f>
        <v>1069</v>
      </c>
      <c r="F163">
        <f ca="1">ROUND(SUMIF(Councils!$C$6:$C$837,$A163,Councils!$F$6:$F$816)*0.7,0)</f>
        <v>34</v>
      </c>
      <c r="G163">
        <f ca="1">ROUND(SUMIF(Councils!$C$6:$C$837,$A163,Councils!$G$6:$G$816)*0.7,0)</f>
        <v>0</v>
      </c>
      <c r="H163">
        <f ca="1">ROUND(SUMIF(Councils!$C$6:$C$837,$A163,Councils!$H$6:$H$816)*0.7,0)</f>
        <v>0</v>
      </c>
      <c r="I163">
        <f ca="1">ROUND(SUMIF(Councils!$C$6:$C$837,$A163,Councils!$I$6:$I$816)*0.7,0)</f>
        <v>0</v>
      </c>
      <c r="J163">
        <f ca="1">ROUND(SUMIF(Councils!$C$6:$C$837,$A163,Councils!$J$6:$J$816)*0.7,0)</f>
        <v>0</v>
      </c>
      <c r="K163">
        <f ca="1">ROUND(SUMIF(Councils!$C$6:$C$837,$A163,Councils!$K$6:$K$816)*0.7,0)</f>
        <v>1</v>
      </c>
      <c r="L163">
        <f ca="1">ROUND(SUMIF(Councils!$C$6:$C$837,$A163,Councils!$L$6:$L$816)*0.7,0)</f>
        <v>-1</v>
      </c>
      <c r="M163" s="63">
        <f t="shared" ca="1" si="7"/>
        <v>-2.9411764705882353E-2</v>
      </c>
      <c r="N163">
        <f t="shared" ca="1" si="6"/>
        <v>172</v>
      </c>
    </row>
    <row r="164" spans="1:14">
      <c r="A164" s="67">
        <v>189</v>
      </c>
      <c r="B164" s="81">
        <f>IF(ISNA(VLOOKUP($A164,DD_Info!$A$1:$E$222,5,0)),0,VLOOKUP($A164,DD_Info!$A$1:$E$222,5,0))</f>
        <v>1</v>
      </c>
      <c r="C164" t="str">
        <f>IF(ISNA(VLOOKUP($A164,DD_Info!$A$1:$E$222,2,0)),0,VLOOKUP($A164,DD_Info!$A$1:$E$222,2,0))</f>
        <v>Jeff  Popp</v>
      </c>
      <c r="D164" t="str">
        <f>IF(ISNA(VLOOKUP($A164,DD_Info!$A$1:$E$222,3,0)),0,VLOOKUP($A164,DD_Info!$A$1:$E$222,3,0))</f>
        <v>Victoria</v>
      </c>
      <c r="E164">
        <f ca="1">ROUND(SUMIF(Councils!$C$6:$C$837,$A164,Councils!$E$6:$E$816),0)</f>
        <v>796</v>
      </c>
      <c r="F164">
        <f ca="1">ROUND(SUMIF(Councils!$C$6:$C$837,$A164,Councils!$F$6:$F$816)*0.7,0)</f>
        <v>27</v>
      </c>
      <c r="G164">
        <f ca="1">ROUND(SUMIF(Councils!$C$6:$C$837,$A164,Councils!$G$6:$G$816)*0.7,0)</f>
        <v>1</v>
      </c>
      <c r="H164">
        <f ca="1">ROUND(SUMIF(Councils!$C$6:$C$837,$A164,Councils!$H$6:$H$816)*0.7,0)</f>
        <v>0</v>
      </c>
      <c r="I164">
        <f ca="1">ROUND(SUMIF(Councils!$C$6:$C$837,$A164,Councils!$I$6:$I$816)*0.7,0)</f>
        <v>1</v>
      </c>
      <c r="J164">
        <f ca="1">ROUND(SUMIF(Councils!$C$6:$C$837,$A164,Councils!$J$6:$J$816)*0.7,0)</f>
        <v>3</v>
      </c>
      <c r="K164">
        <f ca="1">ROUND(SUMIF(Councils!$C$6:$C$837,$A164,Councils!$K$6:$K$816)*0.7,0)</f>
        <v>1</v>
      </c>
      <c r="L164">
        <f ca="1">ROUND(SUMIF(Councils!$C$6:$C$837,$A164,Councils!$L$6:$L$816)*0.7,0)</f>
        <v>2</v>
      </c>
      <c r="M164" s="63">
        <f t="shared" ca="1" si="7"/>
        <v>7.407407407407407E-2</v>
      </c>
      <c r="N164">
        <f t="shared" ca="1" si="6"/>
        <v>101</v>
      </c>
    </row>
    <row r="165" spans="1:14">
      <c r="A165" s="67">
        <v>190</v>
      </c>
      <c r="B165" s="81">
        <f>IF(ISNA(VLOOKUP($A165,DD_Info!$A$1:$E$222,5,0)),0,VLOOKUP($A165,DD_Info!$A$1:$E$222,5,0))</f>
        <v>1</v>
      </c>
      <c r="C165" t="str">
        <f>IF(ISNA(VLOOKUP($A165,DD_Info!$A$1:$E$222,2,0)),0,VLOOKUP($A165,DD_Info!$A$1:$E$222,2,0))</f>
        <v>William  Schuette</v>
      </c>
      <c r="D165" t="str">
        <f>IF(ISNA(VLOOKUP($A165,DD_Info!$A$1:$E$222,3,0)),0,VLOOKUP($A165,DD_Info!$A$1:$E$222,3,0))</f>
        <v>Victoria</v>
      </c>
      <c r="E165">
        <f ca="1">ROUND(SUMIF(Councils!$C$6:$C$837,$A165,Councils!$E$6:$E$816),0)</f>
        <v>841</v>
      </c>
      <c r="F165">
        <f ca="1">ROUND(SUMIF(Councils!$C$6:$C$837,$A165,Councils!$F$6:$F$816)*0.7,0)</f>
        <v>29</v>
      </c>
      <c r="G165">
        <f ca="1">ROUND(SUMIF(Councils!$C$6:$C$837,$A165,Councils!$G$6:$G$816)*0.7,0)</f>
        <v>1</v>
      </c>
      <c r="H165">
        <f ca="1">ROUND(SUMIF(Councils!$C$6:$C$837,$A165,Councils!$H$6:$H$816)*0.7,0)</f>
        <v>0</v>
      </c>
      <c r="I165">
        <f ca="1">ROUND(SUMIF(Councils!$C$6:$C$837,$A165,Councils!$I$6:$I$816)*0.7,0)</f>
        <v>1</v>
      </c>
      <c r="J165">
        <f ca="1">ROUND(SUMIF(Councils!$C$6:$C$837,$A165,Councils!$J$6:$J$816)*0.7,0)</f>
        <v>3</v>
      </c>
      <c r="K165">
        <f ca="1">ROUND(SUMIF(Councils!$C$6:$C$837,$A165,Councils!$K$6:$K$816)*0.7,0)</f>
        <v>7</v>
      </c>
      <c r="L165">
        <f ca="1">ROUND(SUMIF(Councils!$C$6:$C$837,$A165,Councils!$L$6:$L$816)*0.7,0)</f>
        <v>-4</v>
      </c>
      <c r="M165" s="63">
        <f t="shared" ca="1" si="7"/>
        <v>-0.13793103448275862</v>
      </c>
      <c r="N165">
        <f t="shared" ca="1" si="6"/>
        <v>185</v>
      </c>
    </row>
    <row r="166" spans="1:14">
      <c r="A166" s="67">
        <v>191</v>
      </c>
      <c r="B166" s="81">
        <f>IF(ISNA(VLOOKUP($A166,DD_Info!$A$1:$E$222,5,0)),0,VLOOKUP($A166,DD_Info!$A$1:$E$222,5,0))</f>
        <v>1</v>
      </c>
      <c r="C166" t="str">
        <f>IF(ISNA(VLOOKUP($A166,DD_Info!$A$1:$E$222,2,0)),0,VLOOKUP($A166,DD_Info!$A$1:$E$222,2,0))</f>
        <v>Andrew  Pesek</v>
      </c>
      <c r="D166" t="str">
        <f>IF(ISNA(VLOOKUP($A166,DD_Info!$A$1:$E$222,3,0)),0,VLOOKUP($A166,DD_Info!$A$1:$E$222,3,0))</f>
        <v>Victoria</v>
      </c>
      <c r="E166">
        <f ca="1">ROUND(SUMIF(Councils!$C$6:$C$837,$A166,Councils!$E$6:$E$816),0)</f>
        <v>1302</v>
      </c>
      <c r="F166">
        <f ca="1">ROUND(SUMIF(Councils!$C$6:$C$837,$A166,Councils!$F$6:$F$816)*0.7,0)</f>
        <v>36</v>
      </c>
      <c r="G166">
        <f ca="1">ROUND(SUMIF(Councils!$C$6:$C$837,$A166,Councils!$G$6:$G$816)*0.7,0)</f>
        <v>1</v>
      </c>
      <c r="H166">
        <f ca="1">ROUND(SUMIF(Councils!$C$6:$C$837,$A166,Councils!$H$6:$H$816)*0.7,0)</f>
        <v>1</v>
      </c>
      <c r="I166">
        <f ca="1">ROUND(SUMIF(Councils!$C$6:$C$837,$A166,Councils!$I$6:$I$816)*0.7,0)</f>
        <v>0</v>
      </c>
      <c r="J166">
        <f ca="1">ROUND(SUMIF(Councils!$C$6:$C$837,$A166,Councils!$J$6:$J$816)*0.7,0)</f>
        <v>4</v>
      </c>
      <c r="K166">
        <f ca="1">ROUND(SUMIF(Councils!$C$6:$C$837,$A166,Councils!$K$6:$K$816)*0.7,0)</f>
        <v>1</v>
      </c>
      <c r="L166">
        <f ca="1">ROUND(SUMIF(Councils!$C$6:$C$837,$A166,Councils!$L$6:$L$816)*0.7,0)</f>
        <v>2</v>
      </c>
      <c r="M166" s="63">
        <f t="shared" ca="1" si="7"/>
        <v>5.5555555555555552E-2</v>
      </c>
      <c r="N166">
        <f t="shared" ca="1" si="6"/>
        <v>110</v>
      </c>
    </row>
    <row r="167" spans="1:14">
      <c r="A167" s="67">
        <v>192</v>
      </c>
      <c r="B167" s="81">
        <f>IF(ISNA(VLOOKUP($A167,DD_Info!$A$1:$E$222,5,0)),0,VLOOKUP($A167,DD_Info!$A$1:$E$222,5,0))</f>
        <v>2</v>
      </c>
      <c r="C167" t="str">
        <f>IF(ISNA(VLOOKUP($A167,DD_Info!$A$1:$E$222,2,0)),0,VLOOKUP($A167,DD_Info!$A$1:$E$222,2,0))</f>
        <v>Lukas F Janak Jr</v>
      </c>
      <c r="D167" t="str">
        <f>IF(ISNA(VLOOKUP($A167,DD_Info!$A$1:$E$222,3,0)),0,VLOOKUP($A167,DD_Info!$A$1:$E$222,3,0))</f>
        <v>Victoria</v>
      </c>
      <c r="E167">
        <f ca="1">ROUND(SUMIF(Councils!$C$6:$C$837,$A167,Councils!$E$6:$E$816),0)</f>
        <v>524</v>
      </c>
      <c r="F167">
        <f ca="1">ROUND(SUMIF(Councils!$C$6:$C$837,$A167,Councils!$F$6:$F$816)*0.7,0)</f>
        <v>19</v>
      </c>
      <c r="G167">
        <f ca="1">ROUND(SUMIF(Councils!$C$6:$C$837,$A167,Councils!$G$6:$G$816)*0.7,0)</f>
        <v>0</v>
      </c>
      <c r="H167">
        <f ca="1">ROUND(SUMIF(Councils!$C$6:$C$837,$A167,Councils!$H$6:$H$816)*0.7,0)</f>
        <v>0</v>
      </c>
      <c r="I167">
        <f ca="1">ROUND(SUMIF(Councils!$C$6:$C$837,$A167,Councils!$I$6:$I$816)*0.7,0)</f>
        <v>0</v>
      </c>
      <c r="J167">
        <f ca="1">ROUND(SUMIF(Councils!$C$6:$C$837,$A167,Councils!$J$6:$J$816)*0.7,0)</f>
        <v>0</v>
      </c>
      <c r="K167">
        <f ca="1">ROUND(SUMIF(Councils!$C$6:$C$837,$A167,Councils!$K$6:$K$816)*0.7,0)</f>
        <v>1</v>
      </c>
      <c r="L167">
        <f ca="1">ROUND(SUMIF(Councils!$C$6:$C$837,$A167,Councils!$L$6:$L$816)*0.7,0)</f>
        <v>-1</v>
      </c>
      <c r="M167" s="63">
        <f t="shared" ca="1" si="7"/>
        <v>-5.2631578947368418E-2</v>
      </c>
      <c r="N167">
        <f t="shared" ca="1" si="6"/>
        <v>177</v>
      </c>
    </row>
    <row r="168" spans="1:14">
      <c r="A168" s="67">
        <v>193</v>
      </c>
      <c r="B168" s="81">
        <f>IF(ISNA(VLOOKUP($A168,DD_Info!$A$1:$E$222,5,0)),0,VLOOKUP($A168,DD_Info!$A$1:$E$222,5,0))</f>
        <v>1</v>
      </c>
      <c r="C168" t="str">
        <f>IF(ISNA(VLOOKUP($A168,DD_Info!$A$1:$E$222,2,0)),0,VLOOKUP($A168,DD_Info!$A$1:$E$222,2,0))</f>
        <v>Manuel  Gonzales III</v>
      </c>
      <c r="D168" t="str">
        <f>IF(ISNA(VLOOKUP($A168,DD_Info!$A$1:$E$222,3,0)),0,VLOOKUP($A168,DD_Info!$A$1:$E$222,3,0))</f>
        <v>Victoria</v>
      </c>
      <c r="E168">
        <f ca="1">ROUND(SUMIF(Councils!$C$6:$C$837,$A168,Councils!$E$6:$E$816),0)</f>
        <v>1215</v>
      </c>
      <c r="F168">
        <f ca="1">ROUND(SUMIF(Councils!$C$6:$C$837,$A168,Councils!$F$6:$F$816)*0.7,0)</f>
        <v>38</v>
      </c>
      <c r="G168">
        <f ca="1">ROUND(SUMIF(Councils!$C$6:$C$837,$A168,Councils!$G$6:$G$816)*0.7,0)</f>
        <v>0</v>
      </c>
      <c r="H168">
        <f ca="1">ROUND(SUMIF(Councils!$C$6:$C$837,$A168,Councils!$H$6:$H$816)*0.7,0)</f>
        <v>2</v>
      </c>
      <c r="I168">
        <f ca="1">ROUND(SUMIF(Councils!$C$6:$C$837,$A168,Councils!$I$6:$I$816)*0.7,0)</f>
        <v>-2</v>
      </c>
      <c r="J168">
        <f ca="1">ROUND(SUMIF(Councils!$C$6:$C$837,$A168,Councils!$J$6:$J$816)*0.7,0)</f>
        <v>4</v>
      </c>
      <c r="K168">
        <f ca="1">ROUND(SUMIF(Councils!$C$6:$C$837,$A168,Councils!$K$6:$K$816)*0.7,0)</f>
        <v>2</v>
      </c>
      <c r="L168">
        <f ca="1">ROUND(SUMIF(Councils!$C$6:$C$837,$A168,Councils!$L$6:$L$816)*0.7,0)</f>
        <v>2</v>
      </c>
      <c r="M168" s="63">
        <f t="shared" ca="1" si="7"/>
        <v>5.2631578947368418E-2</v>
      </c>
      <c r="N168">
        <f t="shared" ca="1" si="6"/>
        <v>115</v>
      </c>
    </row>
    <row r="169" spans="1:14">
      <c r="A169" s="67">
        <v>196</v>
      </c>
      <c r="B169" s="81">
        <f>IF(ISNA(VLOOKUP($A169,DD_Info!$A$1:$E$222,5,0)),0,VLOOKUP($A169,DD_Info!$A$1:$E$222,5,0))</f>
        <v>1</v>
      </c>
      <c r="C169" t="str">
        <f>IF(ISNA(VLOOKUP($A169,DD_Info!$A$1:$E$222,2,0)),0,VLOOKUP($A169,DD_Info!$A$1:$E$222,2,0))</f>
        <v>Ron  Railsback</v>
      </c>
      <c r="D169" t="str">
        <f>IF(ISNA(VLOOKUP($A169,DD_Info!$A$1:$E$222,3,0)),0,VLOOKUP($A169,DD_Info!$A$1:$E$222,3,0))</f>
        <v>Amarillo</v>
      </c>
      <c r="E169">
        <f ca="1">ROUND(SUMIF(Councils!$C$6:$C$837,$A169,Councils!$E$6:$E$816),0)</f>
        <v>585</v>
      </c>
      <c r="F169">
        <f ca="1">ROUND(SUMIF(Councils!$C$6:$C$837,$A169,Councils!$F$6:$F$816)*0.7,0)</f>
        <v>19</v>
      </c>
      <c r="G169">
        <f ca="1">ROUND(SUMIF(Councils!$C$6:$C$837,$A169,Councils!$G$6:$G$816)*0.7,0)</f>
        <v>1</v>
      </c>
      <c r="H169">
        <f ca="1">ROUND(SUMIF(Councils!$C$6:$C$837,$A169,Councils!$H$6:$H$816)*0.7,0)</f>
        <v>1</v>
      </c>
      <c r="I169">
        <f ca="1">ROUND(SUMIF(Councils!$C$6:$C$837,$A169,Councils!$I$6:$I$816)*0.7,0)</f>
        <v>0</v>
      </c>
      <c r="J169">
        <f ca="1">ROUND(SUMIF(Councils!$C$6:$C$837,$A169,Councils!$J$6:$J$816)*0.7,0)</f>
        <v>1</v>
      </c>
      <c r="K169">
        <f ca="1">ROUND(SUMIF(Councils!$C$6:$C$837,$A169,Councils!$K$6:$K$816)*0.7,0)</f>
        <v>1</v>
      </c>
      <c r="L169">
        <f ca="1">ROUND(SUMIF(Councils!$C$6:$C$837,$A169,Councils!$L$6:$L$816)*0.7,0)</f>
        <v>1</v>
      </c>
      <c r="M169" s="63">
        <f t="shared" ca="1" si="7"/>
        <v>5.2631578947368418E-2</v>
      </c>
      <c r="N169">
        <f t="shared" ca="1" si="6"/>
        <v>115</v>
      </c>
    </row>
    <row r="170" spans="1:14">
      <c r="A170" s="67">
        <v>197</v>
      </c>
      <c r="B170" s="81">
        <f>IF(ISNA(VLOOKUP($A170,DD_Info!$A$1:$E$222,5,0)),0,VLOOKUP($A170,DD_Info!$A$1:$E$222,5,0))</f>
        <v>3</v>
      </c>
      <c r="C170" t="str">
        <f>IF(ISNA(VLOOKUP($A170,DD_Info!$A$1:$E$222,2,0)),0,VLOOKUP($A170,DD_Info!$A$1:$E$222,2,0))</f>
        <v>James C Stark II</v>
      </c>
      <c r="D170" t="str">
        <f>IF(ISNA(VLOOKUP($A170,DD_Info!$A$1:$E$222,3,0)),0,VLOOKUP($A170,DD_Info!$A$1:$E$222,3,0))</f>
        <v>Amarillo</v>
      </c>
      <c r="E170">
        <f ca="1">ROUND(SUMIF(Councils!$C$6:$C$837,$A170,Councils!$E$6:$E$816),0)</f>
        <v>292</v>
      </c>
      <c r="F170">
        <f ca="1">ROUND(SUMIF(Councils!$C$6:$C$837,$A170,Councils!$F$6:$F$816)*0.7,0)</f>
        <v>11</v>
      </c>
      <c r="G170">
        <f ca="1">ROUND(SUMIF(Councils!$C$6:$C$837,$A170,Councils!$G$6:$G$816)*0.7,0)</f>
        <v>0</v>
      </c>
      <c r="H170">
        <f ca="1">ROUND(SUMIF(Councils!$C$6:$C$837,$A170,Councils!$H$6:$H$816)*0.7,0)</f>
        <v>0</v>
      </c>
      <c r="I170">
        <f ca="1">ROUND(SUMIF(Councils!$C$6:$C$837,$A170,Councils!$I$6:$I$816)*0.7,0)</f>
        <v>0</v>
      </c>
      <c r="J170">
        <f ca="1">ROUND(SUMIF(Councils!$C$6:$C$837,$A170,Councils!$J$6:$J$816)*0.7,0)</f>
        <v>0</v>
      </c>
      <c r="K170">
        <f ca="1">ROUND(SUMIF(Councils!$C$6:$C$837,$A170,Councils!$K$6:$K$816)*0.7,0)</f>
        <v>0</v>
      </c>
      <c r="L170">
        <f ca="1">ROUND(SUMIF(Councils!$C$6:$C$837,$A170,Councils!$L$6:$L$816)*0.7,0)</f>
        <v>0</v>
      </c>
      <c r="M170" s="63">
        <f t="shared" ca="1" si="7"/>
        <v>0</v>
      </c>
      <c r="N170">
        <f t="shared" ca="1" si="6"/>
        <v>127</v>
      </c>
    </row>
    <row r="171" spans="1:14">
      <c r="A171" s="67">
        <v>198</v>
      </c>
      <c r="B171" s="81">
        <f>IF(ISNA(VLOOKUP($A171,DD_Info!$A$1:$E$222,5,0)),0,VLOOKUP($A171,DD_Info!$A$1:$E$222,5,0))</f>
        <v>2</v>
      </c>
      <c r="C171" t="str">
        <f>IF(ISNA(VLOOKUP($A171,DD_Info!$A$1:$E$222,2,0)),0,VLOOKUP($A171,DD_Info!$A$1:$E$222,2,0))</f>
        <v>Ignacio "Richard"  Romero</v>
      </c>
      <c r="D171" t="str">
        <f>IF(ISNA(VLOOKUP($A171,DD_Info!$A$1:$E$222,3,0)),0,VLOOKUP($A171,DD_Info!$A$1:$E$222,3,0))</f>
        <v>Amarillo</v>
      </c>
      <c r="E171">
        <f ca="1">ROUND(SUMIF(Councils!$C$6:$C$837,$A171,Councils!$E$6:$E$816),0)</f>
        <v>330</v>
      </c>
      <c r="F171">
        <f ca="1">ROUND(SUMIF(Councils!$C$6:$C$837,$A171,Councils!$F$6:$F$816)*0.7,0)</f>
        <v>12</v>
      </c>
      <c r="G171">
        <f ca="1">ROUND(SUMIF(Councils!$C$6:$C$837,$A171,Councils!$G$6:$G$816)*0.7,0)</f>
        <v>0</v>
      </c>
      <c r="H171">
        <f ca="1">ROUND(SUMIF(Councils!$C$6:$C$837,$A171,Councils!$H$6:$H$816)*0.7,0)</f>
        <v>0</v>
      </c>
      <c r="I171">
        <f ca="1">ROUND(SUMIF(Councils!$C$6:$C$837,$A171,Councils!$I$6:$I$816)*0.7,0)</f>
        <v>0</v>
      </c>
      <c r="J171">
        <f ca="1">ROUND(SUMIF(Councils!$C$6:$C$837,$A171,Councils!$J$6:$J$816)*0.7,0)</f>
        <v>0</v>
      </c>
      <c r="K171">
        <f ca="1">ROUND(SUMIF(Councils!$C$6:$C$837,$A171,Councils!$K$6:$K$816)*0.7,0)</f>
        <v>0</v>
      </c>
      <c r="L171">
        <f ca="1">ROUND(SUMIF(Councils!$C$6:$C$837,$A171,Councils!$L$6:$L$816)*0.7,0)</f>
        <v>0</v>
      </c>
      <c r="M171" s="63">
        <f t="shared" ca="1" si="7"/>
        <v>0</v>
      </c>
      <c r="N171">
        <f t="shared" ca="1" si="6"/>
        <v>127</v>
      </c>
    </row>
    <row r="172" spans="1:14">
      <c r="A172" s="67">
        <v>199</v>
      </c>
      <c r="B172" s="81">
        <f>IF(ISNA(VLOOKUP($A172,DD_Info!$A$1:$E$222,5,0)),0,VLOOKUP($A172,DD_Info!$A$1:$E$222,5,0))</f>
        <v>2</v>
      </c>
      <c r="C172" t="str">
        <f>IF(ISNA(VLOOKUP($A172,DD_Info!$A$1:$E$222,2,0)),0,VLOOKUP($A172,DD_Info!$A$1:$E$222,2,0))</f>
        <v>Ray G Sistos</v>
      </c>
      <c r="D172" t="str">
        <f>IF(ISNA(VLOOKUP($A172,DD_Info!$A$1:$E$222,3,0)),0,VLOOKUP($A172,DD_Info!$A$1:$E$222,3,0))</f>
        <v>Amarillo</v>
      </c>
      <c r="E172">
        <f ca="1">ROUND(SUMIF(Councils!$C$6:$C$837,$A172,Councils!$E$6:$E$816),0)</f>
        <v>356</v>
      </c>
      <c r="F172">
        <f ca="1">ROUND(SUMIF(Councils!$C$6:$C$837,$A172,Councils!$F$6:$F$816)*0.7,0)</f>
        <v>13</v>
      </c>
      <c r="G172">
        <f ca="1">ROUND(SUMIF(Councils!$C$6:$C$837,$A172,Councils!$G$6:$G$816)*0.7,0)</f>
        <v>0</v>
      </c>
      <c r="H172">
        <f ca="1">ROUND(SUMIF(Councils!$C$6:$C$837,$A172,Councils!$H$6:$H$816)*0.7,0)</f>
        <v>0</v>
      </c>
      <c r="I172">
        <f ca="1">ROUND(SUMIF(Councils!$C$6:$C$837,$A172,Councils!$I$6:$I$816)*0.7,0)</f>
        <v>0</v>
      </c>
      <c r="J172">
        <f ca="1">ROUND(SUMIF(Councils!$C$6:$C$837,$A172,Councils!$J$6:$J$816)*0.7,0)</f>
        <v>6</v>
      </c>
      <c r="K172">
        <f ca="1">ROUND(SUMIF(Councils!$C$6:$C$837,$A172,Councils!$K$6:$K$816)*0.7,0)</f>
        <v>3</v>
      </c>
      <c r="L172">
        <f ca="1">ROUND(SUMIF(Councils!$C$6:$C$837,$A172,Councils!$L$6:$L$816)*0.7,0)</f>
        <v>4</v>
      </c>
      <c r="M172" s="63">
        <f t="shared" ca="1" si="7"/>
        <v>0.30769230769230771</v>
      </c>
      <c r="N172">
        <f t="shared" ca="1" si="6"/>
        <v>37</v>
      </c>
    </row>
    <row r="173" spans="1:14">
      <c r="A173" s="67">
        <v>200</v>
      </c>
      <c r="B173" s="81">
        <f>IF(ISNA(VLOOKUP($A173,DD_Info!$A$1:$E$222,5,0)),0,VLOOKUP($A173,DD_Info!$A$1:$E$222,5,0))</f>
        <v>2</v>
      </c>
      <c r="C173" t="str">
        <f>IF(ISNA(VLOOKUP($A173,DD_Info!$A$1:$E$222,2,0)),0,VLOOKUP($A173,DD_Info!$A$1:$E$222,2,0))</f>
        <v>Heath  Henderson</v>
      </c>
      <c r="D173" t="str">
        <f>IF(ISNA(VLOOKUP($A173,DD_Info!$A$1:$E$222,3,0)),0,VLOOKUP($A173,DD_Info!$A$1:$E$222,3,0))</f>
        <v>Amarillo</v>
      </c>
      <c r="E173">
        <f ca="1">ROUND(SUMIF(Councils!$C$6:$C$837,$A173,Councils!$E$6:$E$816),0)</f>
        <v>324</v>
      </c>
      <c r="F173">
        <f ca="1">ROUND(SUMIF(Councils!$C$6:$C$837,$A173,Councils!$F$6:$F$816)*0.7,0)</f>
        <v>12</v>
      </c>
      <c r="G173">
        <f ca="1">ROUND(SUMIF(Councils!$C$6:$C$837,$A173,Councils!$G$6:$G$816)*0.7,0)</f>
        <v>0</v>
      </c>
      <c r="H173">
        <f ca="1">ROUND(SUMIF(Councils!$C$6:$C$837,$A173,Councils!$H$6:$H$816)*0.7,0)</f>
        <v>0</v>
      </c>
      <c r="I173">
        <f ca="1">ROUND(SUMIF(Councils!$C$6:$C$837,$A173,Councils!$I$6:$I$816)*0.7,0)</f>
        <v>0</v>
      </c>
      <c r="J173">
        <f ca="1">ROUND(SUMIF(Councils!$C$6:$C$837,$A173,Councils!$J$6:$J$816)*0.7,0)</f>
        <v>0</v>
      </c>
      <c r="K173">
        <f ca="1">ROUND(SUMIF(Councils!$C$6:$C$837,$A173,Councils!$K$6:$K$816)*0.7,0)</f>
        <v>0</v>
      </c>
      <c r="L173">
        <f ca="1">ROUND(SUMIF(Councils!$C$6:$C$837,$A173,Councils!$L$6:$L$816)*0.7,0)</f>
        <v>0</v>
      </c>
      <c r="M173" s="63">
        <f t="shared" ca="1" si="7"/>
        <v>0</v>
      </c>
      <c r="N173">
        <f t="shared" ca="1" si="6"/>
        <v>127</v>
      </c>
    </row>
    <row r="174" spans="1:14">
      <c r="A174" s="67">
        <v>201</v>
      </c>
      <c r="B174" s="81">
        <f>IF(ISNA(VLOOKUP($A174,DD_Info!$A$1:$E$222,5,0)),0,VLOOKUP($A174,DD_Info!$A$1:$E$222,5,0))</f>
        <v>3</v>
      </c>
      <c r="C174" t="str">
        <f>IF(ISNA(VLOOKUP($A174,DD_Info!$A$1:$E$222,2,0)),0,VLOOKUP($A174,DD_Info!$A$1:$E$222,2,0))</f>
        <v>TO BE APPOINTED</v>
      </c>
      <c r="D174" t="str">
        <f>IF(ISNA(VLOOKUP($A174,DD_Info!$A$1:$E$222,3,0)),0,VLOOKUP($A174,DD_Info!$A$1:$E$222,3,0))</f>
        <v>Amarillo</v>
      </c>
      <c r="E174">
        <f ca="1">ROUND(SUMIF(Councils!$C$6:$C$837,$A174,Councils!$E$6:$E$816),0)</f>
        <v>289</v>
      </c>
      <c r="F174">
        <f ca="1">ROUND(SUMIF(Councils!$C$6:$C$837,$A174,Councils!$F$6:$F$816)*0.7,0)</f>
        <v>11</v>
      </c>
      <c r="G174">
        <f ca="1">ROUND(SUMIF(Councils!$C$6:$C$837,$A174,Councils!$G$6:$G$816)*0.7,0)</f>
        <v>0</v>
      </c>
      <c r="H174">
        <f ca="1">ROUND(SUMIF(Councils!$C$6:$C$837,$A174,Councils!$H$6:$H$816)*0.7,0)</f>
        <v>0</v>
      </c>
      <c r="I174">
        <f ca="1">ROUND(SUMIF(Councils!$C$6:$C$837,$A174,Councils!$I$6:$I$816)*0.7,0)</f>
        <v>0</v>
      </c>
      <c r="J174">
        <f ca="1">ROUND(SUMIF(Councils!$C$6:$C$837,$A174,Councils!$J$6:$J$816)*0.7,0)</f>
        <v>1</v>
      </c>
      <c r="K174">
        <f ca="1">ROUND(SUMIF(Councils!$C$6:$C$837,$A174,Councils!$K$6:$K$816)*0.7,0)</f>
        <v>0</v>
      </c>
      <c r="L174">
        <f ca="1">ROUND(SUMIF(Councils!$C$6:$C$837,$A174,Councils!$L$6:$L$816)*0.7,0)</f>
        <v>1</v>
      </c>
      <c r="M174" s="63">
        <f t="shared" ref="M174:M175" ca="1" si="8">IFERROR(L174/F174,0)</f>
        <v>9.0909090909090912E-2</v>
      </c>
      <c r="N174">
        <f t="shared" ca="1" si="6"/>
        <v>88</v>
      </c>
    </row>
    <row r="175" spans="1:14">
      <c r="A175" s="67">
        <v>202</v>
      </c>
      <c r="B175" s="81">
        <f>IF(ISNA(VLOOKUP($A175,DD_Info!$A$1:$E$222,5,0)),0,VLOOKUP($A175,DD_Info!$A$1:$E$222,5,0))</f>
        <v>3</v>
      </c>
      <c r="C175" t="str">
        <f>IF(ISNA(VLOOKUP($A175,DD_Info!$A$1:$E$222,2,0)),0,VLOOKUP($A175,DD_Info!$A$1:$E$222,2,0))</f>
        <v>Christopher A Johnson</v>
      </c>
      <c r="D175" t="str">
        <f>IF(ISNA(VLOOKUP($A175,DD_Info!$A$1:$E$222,3,0)),0,VLOOKUP($A175,DD_Info!$A$1:$E$222,3,0))</f>
        <v>Amarillo</v>
      </c>
      <c r="E175">
        <f ca="1">ROUND(SUMIF(Councils!$C$6:$C$837,$A175,Councils!$E$6:$E$816),0)</f>
        <v>84</v>
      </c>
      <c r="F175">
        <f ca="1">ROUND(SUMIF(Councils!$C$6:$C$837,$A175,Councils!$F$6:$F$816)*0.7,0)</f>
        <v>3</v>
      </c>
      <c r="G175">
        <f ca="1">ROUND(SUMIF(Councils!$C$6:$C$837,$A175,Councils!$G$6:$G$816)*0.7,0)</f>
        <v>0</v>
      </c>
      <c r="H175">
        <f ca="1">ROUND(SUMIF(Councils!$C$6:$C$837,$A175,Councils!$H$6:$H$816)*0.7,0)</f>
        <v>0</v>
      </c>
      <c r="I175">
        <f ca="1">ROUND(SUMIF(Councils!$C$6:$C$837,$A175,Councils!$I$6:$I$816)*0.7,0)</f>
        <v>0</v>
      </c>
      <c r="J175">
        <f ca="1">ROUND(SUMIF(Councils!$C$6:$C$837,$A175,Councils!$J$6:$J$816)*0.7,0)</f>
        <v>0</v>
      </c>
      <c r="K175">
        <f ca="1">ROUND(SUMIF(Councils!$C$6:$C$837,$A175,Councils!$K$6:$K$816)*0.7,0)</f>
        <v>0</v>
      </c>
      <c r="L175">
        <f ca="1">ROUND(SUMIF(Councils!$C$6:$C$837,$A175,Councils!$L$6:$L$816)*0.7,0)</f>
        <v>0</v>
      </c>
      <c r="M175" s="63">
        <f t="shared" ca="1" si="8"/>
        <v>0</v>
      </c>
      <c r="N175">
        <f t="shared" ca="1" si="6"/>
        <v>127</v>
      </c>
    </row>
    <row r="176" spans="1:14">
      <c r="A176" s="67">
        <v>206</v>
      </c>
      <c r="B176" s="81">
        <f>IF(ISNA(VLOOKUP($A176,DD_Info!$A$1:$E$222,5,0)),0,VLOOKUP($A176,DD_Info!$A$1:$E$222,5,0))</f>
        <v>3</v>
      </c>
      <c r="C176" t="str">
        <f>IF(ISNA(VLOOKUP($A176,DD_Info!$A$1:$E$222,2,0)),0,VLOOKUP($A176,DD_Info!$A$1:$E$222,2,0))</f>
        <v>Jose  Garza Jr</v>
      </c>
      <c r="D176" t="str">
        <f>IF(ISNA(VLOOKUP($A176,DD_Info!$A$1:$E$222,3,0)),0,VLOOKUP($A176,DD_Info!$A$1:$E$222,3,0))</f>
        <v>Brownsville</v>
      </c>
      <c r="E176">
        <f ca="1">ROUND(SUMIF(Councils!$C$6:$C$837,$A176,Councils!$E$6:$E$816),0)</f>
        <v>183</v>
      </c>
      <c r="F176">
        <f ca="1">ROUND(SUMIF(Councils!$C$6:$C$837,$A176,Councils!$F$6:$F$816)*0.7,0)</f>
        <v>8</v>
      </c>
      <c r="G176">
        <f ca="1">ROUND(SUMIF(Councils!$C$6:$C$837,$A176,Councils!$G$6:$G$816)*0.7,0)</f>
        <v>0</v>
      </c>
      <c r="H176">
        <f ca="1">ROUND(SUMIF(Councils!$C$6:$C$837,$A176,Councils!$H$6:$H$816)*0.7,0)</f>
        <v>0</v>
      </c>
      <c r="I176">
        <f ca="1">ROUND(SUMIF(Councils!$C$6:$C$837,$A176,Councils!$I$6:$I$816)*0.7,0)</f>
        <v>0</v>
      </c>
      <c r="J176">
        <f ca="1">ROUND(SUMIF(Councils!$C$6:$C$837,$A176,Councils!$J$6:$J$816)*0.7,0)</f>
        <v>0</v>
      </c>
      <c r="K176">
        <f ca="1">ROUND(SUMIF(Councils!$C$6:$C$837,$A176,Councils!$K$6:$K$816)*0.7,0)</f>
        <v>0</v>
      </c>
      <c r="L176">
        <f ca="1">ROUND(SUMIF(Councils!$C$6:$C$837,$A176,Councils!$L$6:$L$816)*0.7,0)</f>
        <v>0</v>
      </c>
      <c r="M176" s="63">
        <f t="shared" ca="1" si="7"/>
        <v>0</v>
      </c>
      <c r="N176">
        <f t="shared" ca="1" si="6"/>
        <v>127</v>
      </c>
    </row>
    <row r="177" spans="1:14">
      <c r="A177" s="67">
        <v>207</v>
      </c>
      <c r="B177" s="81">
        <f>IF(ISNA(VLOOKUP($A177,DD_Info!$A$1:$E$222,5,0)),0,VLOOKUP($A177,DD_Info!$A$1:$E$222,5,0))</f>
        <v>1</v>
      </c>
      <c r="C177" t="str">
        <f>IF(ISNA(VLOOKUP($A177,DD_Info!$A$1:$E$222,2,0)),0,VLOOKUP($A177,DD_Info!$A$1:$E$222,2,0))</f>
        <v>Juan A Lopez</v>
      </c>
      <c r="D177" t="str">
        <f>IF(ISNA(VLOOKUP($A177,DD_Info!$A$1:$E$222,3,0)),0,VLOOKUP($A177,DD_Info!$A$1:$E$222,3,0))</f>
        <v>Brownsville</v>
      </c>
      <c r="E177">
        <f ca="1">ROUND(SUMIF(Councils!$C$6:$C$837,$A177,Councils!$E$6:$E$816),0)</f>
        <v>718</v>
      </c>
      <c r="F177">
        <f ca="1">ROUND(SUMIF(Councils!$C$6:$C$837,$A177,Councils!$F$6:$F$816)*0.7,0)</f>
        <v>25</v>
      </c>
      <c r="G177">
        <f ca="1">ROUND(SUMIF(Councils!$C$6:$C$837,$A177,Councils!$G$6:$G$816)*0.7,0)</f>
        <v>0</v>
      </c>
      <c r="H177">
        <f ca="1">ROUND(SUMIF(Councils!$C$6:$C$837,$A177,Councils!$H$6:$H$816)*0.7,0)</f>
        <v>0</v>
      </c>
      <c r="I177">
        <f ca="1">ROUND(SUMIF(Councils!$C$6:$C$837,$A177,Councils!$I$6:$I$816)*0.7,0)</f>
        <v>0</v>
      </c>
      <c r="J177">
        <f ca="1">ROUND(SUMIF(Councils!$C$6:$C$837,$A177,Councils!$J$6:$J$816)*0.7,0)</f>
        <v>6</v>
      </c>
      <c r="K177">
        <f ca="1">ROUND(SUMIF(Councils!$C$6:$C$837,$A177,Councils!$K$6:$K$816)*0.7,0)</f>
        <v>1</v>
      </c>
      <c r="L177">
        <f ca="1">ROUND(SUMIF(Councils!$C$6:$C$837,$A177,Councils!$L$6:$L$816)*0.7,0)</f>
        <v>5</v>
      </c>
      <c r="M177" s="63">
        <f t="shared" ca="1" si="7"/>
        <v>0.2</v>
      </c>
      <c r="N177">
        <f t="shared" ca="1" si="6"/>
        <v>58</v>
      </c>
    </row>
    <row r="178" spans="1:14">
      <c r="A178" s="67">
        <v>208</v>
      </c>
      <c r="B178" s="81">
        <f>IF(ISNA(VLOOKUP($A178,DD_Info!$A$1:$E$222,5,0)),0,VLOOKUP($A178,DD_Info!$A$1:$E$222,5,0))</f>
        <v>2</v>
      </c>
      <c r="C178" t="str">
        <f>IF(ISNA(VLOOKUP($A178,DD_Info!$A$1:$E$222,2,0)),0,VLOOKUP($A178,DD_Info!$A$1:$E$222,2,0))</f>
        <v>Albert  Esparza</v>
      </c>
      <c r="D178" t="str">
        <f>IF(ISNA(VLOOKUP($A178,DD_Info!$A$1:$E$222,3,0)),0,VLOOKUP($A178,DD_Info!$A$1:$E$222,3,0))</f>
        <v>Brownsville</v>
      </c>
      <c r="E178">
        <f ca="1">ROUND(SUMIF(Councils!$C$6:$C$837,$A178,Councils!$E$6:$E$816),0)</f>
        <v>512</v>
      </c>
      <c r="F178">
        <f ca="1">ROUND(SUMIF(Councils!$C$6:$C$837,$A178,Councils!$F$6:$F$816)*0.7,0)</f>
        <v>18</v>
      </c>
      <c r="G178">
        <f ca="1">ROUND(SUMIF(Councils!$C$6:$C$837,$A178,Councils!$G$6:$G$816)*0.7,0)</f>
        <v>0</v>
      </c>
      <c r="H178">
        <f ca="1">ROUND(SUMIF(Councils!$C$6:$C$837,$A178,Councils!$H$6:$H$816)*0.7,0)</f>
        <v>0</v>
      </c>
      <c r="I178">
        <f ca="1">ROUND(SUMIF(Councils!$C$6:$C$837,$A178,Councils!$I$6:$I$816)*0.7,0)</f>
        <v>0</v>
      </c>
      <c r="J178">
        <f ca="1">ROUND(SUMIF(Councils!$C$6:$C$837,$A178,Councils!$J$6:$J$816)*0.7,0)</f>
        <v>1</v>
      </c>
      <c r="K178">
        <f ca="1">ROUND(SUMIF(Councils!$C$6:$C$837,$A178,Councils!$K$6:$K$816)*0.7,0)</f>
        <v>0</v>
      </c>
      <c r="L178">
        <f ca="1">ROUND(SUMIF(Councils!$C$6:$C$837,$A178,Councils!$L$6:$L$816)*0.7,0)</f>
        <v>1</v>
      </c>
      <c r="M178" s="63">
        <f t="shared" ca="1" si="7"/>
        <v>5.5555555555555552E-2</v>
      </c>
      <c r="N178">
        <f t="shared" ca="1" si="6"/>
        <v>110</v>
      </c>
    </row>
    <row r="179" spans="1:14">
      <c r="A179" s="67">
        <v>209</v>
      </c>
      <c r="B179" s="81">
        <f>IF(ISNA(VLOOKUP($A179,DD_Info!$A$1:$E$222,5,0)),0,VLOOKUP($A179,DD_Info!$A$1:$E$222,5,0))</f>
        <v>2</v>
      </c>
      <c r="C179" t="str">
        <f>IF(ISNA(VLOOKUP($A179,DD_Info!$A$1:$E$222,2,0)),0,VLOOKUP($A179,DD_Info!$A$1:$E$222,2,0))</f>
        <v>George L Ramirez</v>
      </c>
      <c r="D179" t="str">
        <f>IF(ISNA(VLOOKUP($A179,DD_Info!$A$1:$E$222,3,0)),0,VLOOKUP($A179,DD_Info!$A$1:$E$222,3,0))</f>
        <v>Brownsville</v>
      </c>
      <c r="E179">
        <f ca="1">ROUND(SUMIF(Councils!$C$6:$C$837,$A179,Councils!$E$6:$E$816),0)</f>
        <v>435</v>
      </c>
      <c r="F179">
        <f ca="1">ROUND(SUMIF(Councils!$C$6:$C$837,$A179,Councils!$F$6:$F$816)*0.7,0)</f>
        <v>15</v>
      </c>
      <c r="G179">
        <f ca="1">ROUND(SUMIF(Councils!$C$6:$C$837,$A179,Councils!$G$6:$G$816)*0.7,0)</f>
        <v>1</v>
      </c>
      <c r="H179">
        <f ca="1">ROUND(SUMIF(Councils!$C$6:$C$837,$A179,Councils!$H$6:$H$816)*0.7,0)</f>
        <v>0</v>
      </c>
      <c r="I179">
        <f ca="1">ROUND(SUMIF(Councils!$C$6:$C$837,$A179,Councils!$I$6:$I$816)*0.7,0)</f>
        <v>1</v>
      </c>
      <c r="J179">
        <f ca="1">ROUND(SUMIF(Councils!$C$6:$C$837,$A179,Councils!$J$6:$J$816)*0.7,0)</f>
        <v>4</v>
      </c>
      <c r="K179">
        <f ca="1">ROUND(SUMIF(Councils!$C$6:$C$837,$A179,Councils!$K$6:$K$816)*0.7,0)</f>
        <v>4</v>
      </c>
      <c r="L179">
        <f ca="1">ROUND(SUMIF(Councils!$C$6:$C$837,$A179,Councils!$L$6:$L$816)*0.7,0)</f>
        <v>0</v>
      </c>
      <c r="M179" s="63">
        <f t="shared" ca="1" si="7"/>
        <v>0</v>
      </c>
      <c r="N179">
        <f t="shared" ca="1" si="6"/>
        <v>127</v>
      </c>
    </row>
    <row r="180" spans="1:14">
      <c r="A180" s="67">
        <v>210</v>
      </c>
      <c r="B180" s="81">
        <f>IF(ISNA(VLOOKUP($A180,DD_Info!$A$1:$E$222,5,0)),0,VLOOKUP($A180,DD_Info!$A$1:$E$222,5,0))</f>
        <v>2</v>
      </c>
      <c r="C180" t="str">
        <f>IF(ISNA(VLOOKUP($A180,DD_Info!$A$1:$E$222,2,0)),0,VLOOKUP($A180,DD_Info!$A$1:$E$222,2,0))</f>
        <v>Antonio C Puente Sr</v>
      </c>
      <c r="D180" t="str">
        <f>IF(ISNA(VLOOKUP($A180,DD_Info!$A$1:$E$222,3,0)),0,VLOOKUP($A180,DD_Info!$A$1:$E$222,3,0))</f>
        <v>Brownsville</v>
      </c>
      <c r="E180">
        <f ca="1">ROUND(SUMIF(Councils!$C$6:$C$837,$A180,Councils!$E$6:$E$816),0)</f>
        <v>574</v>
      </c>
      <c r="F180">
        <f ca="1">ROUND(SUMIF(Councils!$C$6:$C$837,$A180,Councils!$F$6:$F$816)*0.7,0)</f>
        <v>20</v>
      </c>
      <c r="G180">
        <f ca="1">ROUND(SUMIF(Councils!$C$6:$C$837,$A180,Councils!$G$6:$G$816)*0.7,0)</f>
        <v>1</v>
      </c>
      <c r="H180">
        <f ca="1">ROUND(SUMIF(Councils!$C$6:$C$837,$A180,Councils!$H$6:$H$816)*0.7,0)</f>
        <v>0</v>
      </c>
      <c r="I180">
        <f ca="1">ROUND(SUMIF(Councils!$C$6:$C$837,$A180,Councils!$I$6:$I$816)*0.7,0)</f>
        <v>1</v>
      </c>
      <c r="J180">
        <f ca="1">ROUND(SUMIF(Councils!$C$6:$C$837,$A180,Councils!$J$6:$J$816)*0.7,0)</f>
        <v>12</v>
      </c>
      <c r="K180">
        <f ca="1">ROUND(SUMIF(Councils!$C$6:$C$837,$A180,Councils!$K$6:$K$816)*0.7,0)</f>
        <v>0</v>
      </c>
      <c r="L180">
        <f ca="1">ROUND(SUMIF(Councils!$C$6:$C$837,$A180,Councils!$L$6:$L$816)*0.7,0)</f>
        <v>12</v>
      </c>
      <c r="M180" s="63">
        <f t="shared" ca="1" si="7"/>
        <v>0.6</v>
      </c>
      <c r="N180">
        <f t="shared" ca="1" si="6"/>
        <v>10</v>
      </c>
    </row>
    <row r="181" spans="1:14">
      <c r="A181" s="67">
        <v>211</v>
      </c>
      <c r="B181" s="81">
        <f>IF(ISNA(VLOOKUP($A181,DD_Info!$A$1:$E$222,5,0)),0,VLOOKUP($A181,DD_Info!$A$1:$E$222,5,0))</f>
        <v>3</v>
      </c>
      <c r="C181" t="str">
        <f>IF(ISNA(VLOOKUP($A181,DD_Info!$A$1:$E$222,2,0)),0,VLOOKUP($A181,DD_Info!$A$1:$E$222,2,0))</f>
        <v>Martin  Rivas</v>
      </c>
      <c r="D181" t="str">
        <f>IF(ISNA(VLOOKUP($A181,DD_Info!$A$1:$E$222,3,0)),0,VLOOKUP($A181,DD_Info!$A$1:$E$222,3,0))</f>
        <v>Brownsville</v>
      </c>
      <c r="E181">
        <f ca="1">ROUND(SUMIF(Councils!$C$6:$C$837,$A181,Councils!$E$6:$E$816),0)</f>
        <v>129</v>
      </c>
      <c r="F181">
        <f ca="1">ROUND(SUMIF(Councils!$C$6:$C$837,$A181,Councils!$F$6:$F$816)*0.7,0)</f>
        <v>6</v>
      </c>
      <c r="G181">
        <f ca="1">ROUND(SUMIF(Councils!$C$6:$C$837,$A181,Councils!$G$6:$G$816)*0.7,0)</f>
        <v>1</v>
      </c>
      <c r="H181">
        <f ca="1">ROUND(SUMIF(Councils!$C$6:$C$837,$A181,Councils!$H$6:$H$816)*0.7,0)</f>
        <v>0</v>
      </c>
      <c r="I181">
        <f ca="1">ROUND(SUMIF(Councils!$C$6:$C$837,$A181,Councils!$I$6:$I$816)*0.7,0)</f>
        <v>1</v>
      </c>
      <c r="J181">
        <f ca="1">ROUND(SUMIF(Councils!$C$6:$C$837,$A181,Councils!$J$6:$J$816)*0.7,0)</f>
        <v>1</v>
      </c>
      <c r="K181">
        <f ca="1">ROUND(SUMIF(Councils!$C$6:$C$837,$A181,Councils!$K$6:$K$816)*0.7,0)</f>
        <v>0</v>
      </c>
      <c r="L181">
        <f ca="1">ROUND(SUMIF(Councils!$C$6:$C$837,$A181,Councils!$L$6:$L$816)*0.7,0)</f>
        <v>1</v>
      </c>
      <c r="M181" s="63">
        <f t="shared" ca="1" si="7"/>
        <v>0.16666666666666666</v>
      </c>
      <c r="N181">
        <f t="shared" ca="1" si="6"/>
        <v>65</v>
      </c>
    </row>
    <row r="182" spans="1:14">
      <c r="A182" s="67">
        <v>212</v>
      </c>
      <c r="B182" s="81">
        <f>IF(ISNA(VLOOKUP($A182,DD_Info!$A$1:$E$222,5,0)),0,VLOOKUP($A182,DD_Info!$A$1:$E$222,5,0))</f>
        <v>1</v>
      </c>
      <c r="C182" t="str">
        <f>IF(ISNA(VLOOKUP($A182,DD_Info!$A$1:$E$222,2,0)),0,VLOOKUP($A182,DD_Info!$A$1:$E$222,2,0))</f>
        <v>Noel P Benavides Jr</v>
      </c>
      <c r="D182" t="str">
        <f>IF(ISNA(VLOOKUP($A182,DD_Info!$A$1:$E$222,3,0)),0,VLOOKUP($A182,DD_Info!$A$1:$E$222,3,0))</f>
        <v>Brownsville</v>
      </c>
      <c r="E182">
        <f ca="1">ROUND(SUMIF(Councils!$C$6:$C$837,$A182,Councils!$E$6:$E$816),0)</f>
        <v>637</v>
      </c>
      <c r="F182">
        <f ca="1">ROUND(SUMIF(Councils!$C$6:$C$837,$A182,Councils!$F$6:$F$816)*0.7,0)</f>
        <v>22</v>
      </c>
      <c r="G182">
        <f ca="1">ROUND(SUMIF(Councils!$C$6:$C$837,$A182,Councils!$G$6:$G$816)*0.7,0)</f>
        <v>0</v>
      </c>
      <c r="H182">
        <f ca="1">ROUND(SUMIF(Councils!$C$6:$C$837,$A182,Councils!$H$6:$H$816)*0.7,0)</f>
        <v>0</v>
      </c>
      <c r="I182">
        <f ca="1">ROUND(SUMIF(Councils!$C$6:$C$837,$A182,Councils!$I$6:$I$816)*0.7,0)</f>
        <v>0</v>
      </c>
      <c r="J182">
        <f ca="1">ROUND(SUMIF(Councils!$C$6:$C$837,$A182,Councils!$J$6:$J$816)*0.7,0)</f>
        <v>1</v>
      </c>
      <c r="K182">
        <f ca="1">ROUND(SUMIF(Councils!$C$6:$C$837,$A182,Councils!$K$6:$K$816)*0.7,0)</f>
        <v>0</v>
      </c>
      <c r="L182">
        <f ca="1">ROUND(SUMIF(Councils!$C$6:$C$837,$A182,Councils!$L$6:$L$816)*0.7,0)</f>
        <v>1</v>
      </c>
      <c r="M182" s="63">
        <f t="shared" ca="1" si="7"/>
        <v>4.5454545454545456E-2</v>
      </c>
      <c r="N182">
        <f t="shared" ca="1" si="6"/>
        <v>120</v>
      </c>
    </row>
    <row r="183" spans="1:14">
      <c r="A183" s="67">
        <v>213</v>
      </c>
      <c r="B183" s="81">
        <f>IF(ISNA(VLOOKUP($A183,DD_Info!$A$1:$E$222,5,0)),0,VLOOKUP($A183,DD_Info!$A$1:$E$222,5,0))</f>
        <v>2</v>
      </c>
      <c r="C183" t="str">
        <f>IF(ISNA(VLOOKUP($A183,DD_Info!$A$1:$E$222,2,0)),0,VLOOKUP($A183,DD_Info!$A$1:$E$222,2,0))</f>
        <v>Vincent M Pena</v>
      </c>
      <c r="D183" t="str">
        <f>IF(ISNA(VLOOKUP($A183,DD_Info!$A$1:$E$222,3,0)),0,VLOOKUP($A183,DD_Info!$A$1:$E$222,3,0))</f>
        <v>Brownsville</v>
      </c>
      <c r="E183">
        <f ca="1">ROUND(SUMIF(Councils!$C$6:$C$837,$A183,Councils!$E$6:$E$816),0)</f>
        <v>384</v>
      </c>
      <c r="F183">
        <f ca="1">ROUND(SUMIF(Councils!$C$6:$C$837,$A183,Councils!$F$6:$F$816)*0.7,0)</f>
        <v>14</v>
      </c>
      <c r="G183">
        <f ca="1">ROUND(SUMIF(Councils!$C$6:$C$837,$A183,Councils!$G$6:$G$816)*0.7,0)</f>
        <v>0</v>
      </c>
      <c r="H183">
        <f ca="1">ROUND(SUMIF(Councils!$C$6:$C$837,$A183,Councils!$H$6:$H$816)*0.7,0)</f>
        <v>0</v>
      </c>
      <c r="I183">
        <f ca="1">ROUND(SUMIF(Councils!$C$6:$C$837,$A183,Councils!$I$6:$I$816)*0.7,0)</f>
        <v>0</v>
      </c>
      <c r="J183">
        <f ca="1">ROUND(SUMIF(Councils!$C$6:$C$837,$A183,Councils!$J$6:$J$816)*0.7,0)</f>
        <v>1</v>
      </c>
      <c r="K183">
        <f ca="1">ROUND(SUMIF(Councils!$C$6:$C$837,$A183,Councils!$K$6:$K$816)*0.7,0)</f>
        <v>4</v>
      </c>
      <c r="L183">
        <f ca="1">ROUND(SUMIF(Councils!$C$6:$C$837,$A183,Councils!$L$6:$L$816)*0.7,0)</f>
        <v>-4</v>
      </c>
      <c r="M183" s="63">
        <f t="shared" ca="1" si="7"/>
        <v>-0.2857142857142857</v>
      </c>
      <c r="N183">
        <f t="shared" ca="1" si="6"/>
        <v>193</v>
      </c>
    </row>
    <row r="184" spans="1:14">
      <c r="A184" s="67">
        <v>214</v>
      </c>
      <c r="B184" s="81">
        <f>IF(ISNA(VLOOKUP($A184,DD_Info!$A$1:$E$222,5,0)),0,VLOOKUP($A184,DD_Info!$A$1:$E$222,5,0))</f>
        <v>2</v>
      </c>
      <c r="C184" t="str">
        <f>IF(ISNA(VLOOKUP($A184,DD_Info!$A$1:$E$222,2,0)),0,VLOOKUP($A184,DD_Info!$A$1:$E$222,2,0))</f>
        <v>Apolonio  Zuniga Jr</v>
      </c>
      <c r="D184" t="str">
        <f>IF(ISNA(VLOOKUP($A184,DD_Info!$A$1:$E$222,3,0)),0,VLOOKUP($A184,DD_Info!$A$1:$E$222,3,0))</f>
        <v>Brownsville</v>
      </c>
      <c r="E184">
        <f ca="1">ROUND(SUMIF(Councils!$C$6:$C$837,$A184,Councils!$E$6:$E$816),0)</f>
        <v>338</v>
      </c>
      <c r="F184">
        <f ca="1">ROUND(SUMIF(Councils!$C$6:$C$837,$A184,Councils!$F$6:$F$816)*0.7,0)</f>
        <v>11</v>
      </c>
      <c r="G184">
        <f ca="1">ROUND(SUMIF(Councils!$C$6:$C$837,$A184,Councils!$G$6:$G$816)*0.7,0)</f>
        <v>0</v>
      </c>
      <c r="H184">
        <f ca="1">ROUND(SUMIF(Councils!$C$6:$C$837,$A184,Councils!$H$6:$H$816)*0.7,0)</f>
        <v>0</v>
      </c>
      <c r="I184">
        <f ca="1">ROUND(SUMIF(Councils!$C$6:$C$837,$A184,Councils!$I$6:$I$816)*0.7,0)</f>
        <v>0</v>
      </c>
      <c r="J184">
        <f ca="1">ROUND(SUMIF(Councils!$C$6:$C$837,$A184,Councils!$J$6:$J$816)*0.7,0)</f>
        <v>1</v>
      </c>
      <c r="K184">
        <f ca="1">ROUND(SUMIF(Councils!$C$6:$C$837,$A184,Councils!$K$6:$K$816)*0.7,0)</f>
        <v>0</v>
      </c>
      <c r="L184">
        <f ca="1">ROUND(SUMIF(Councils!$C$6:$C$837,$A184,Councils!$L$6:$L$816)*0.7,0)</f>
        <v>1</v>
      </c>
      <c r="M184" s="63">
        <f t="shared" ca="1" si="7"/>
        <v>9.0909090909090912E-2</v>
      </c>
      <c r="N184">
        <f t="shared" ca="1" si="6"/>
        <v>88</v>
      </c>
    </row>
    <row r="185" spans="1:14">
      <c r="A185" s="67">
        <v>215</v>
      </c>
      <c r="B185" s="81">
        <f>IF(ISNA(VLOOKUP($A185,DD_Info!$A$1:$E$222,5,0)),0,VLOOKUP($A185,DD_Info!$A$1:$E$222,5,0))</f>
        <v>2</v>
      </c>
      <c r="C185" t="str">
        <f>IF(ISNA(VLOOKUP($A185,DD_Info!$A$1:$E$222,2,0)),0,VLOOKUP($A185,DD_Info!$A$1:$E$222,2,0))</f>
        <v>Arnulfo  Esqueda</v>
      </c>
      <c r="D185" t="str">
        <f>IF(ISNA(VLOOKUP($A185,DD_Info!$A$1:$E$222,3,0)),0,VLOOKUP($A185,DD_Info!$A$1:$E$222,3,0))</f>
        <v>Brownsville</v>
      </c>
      <c r="E185">
        <f ca="1">ROUND(SUMIF(Councils!$C$6:$C$837,$A185,Councils!$E$6:$E$816),0)</f>
        <v>367</v>
      </c>
      <c r="F185">
        <f ca="1">ROUND(SUMIF(Councils!$C$6:$C$837,$A185,Councils!$F$6:$F$816)*0.7,0)</f>
        <v>13</v>
      </c>
      <c r="G185">
        <f ca="1">ROUND(SUMIF(Councils!$C$6:$C$837,$A185,Councils!$G$6:$G$816)*0.7,0)</f>
        <v>0</v>
      </c>
      <c r="H185">
        <f ca="1">ROUND(SUMIF(Councils!$C$6:$C$837,$A185,Councils!$H$6:$H$816)*0.7,0)</f>
        <v>3</v>
      </c>
      <c r="I185">
        <f ca="1">ROUND(SUMIF(Councils!$C$6:$C$837,$A185,Councils!$I$6:$I$816)*0.7,0)</f>
        <v>-3</v>
      </c>
      <c r="J185">
        <f ca="1">ROUND(SUMIF(Councils!$C$6:$C$837,$A185,Councils!$J$6:$J$816)*0.7,0)</f>
        <v>0</v>
      </c>
      <c r="K185">
        <f ca="1">ROUND(SUMIF(Councils!$C$6:$C$837,$A185,Councils!$K$6:$K$816)*0.7,0)</f>
        <v>4</v>
      </c>
      <c r="L185">
        <f ca="1">ROUND(SUMIF(Councils!$C$6:$C$837,$A185,Councils!$L$6:$L$816)*0.7,0)</f>
        <v>-4</v>
      </c>
      <c r="M185" s="63">
        <f t="shared" ca="1" si="7"/>
        <v>-0.30769230769230771</v>
      </c>
      <c r="N185">
        <f t="shared" ca="1" si="6"/>
        <v>195</v>
      </c>
    </row>
    <row r="186" spans="1:14">
      <c r="A186" s="67">
        <v>216</v>
      </c>
      <c r="B186" s="81">
        <f>IF(ISNA(VLOOKUP($A186,DD_Info!$A$1:$E$222,5,0)),0,VLOOKUP($A186,DD_Info!$A$1:$E$222,5,0))</f>
        <v>3</v>
      </c>
      <c r="C186" t="str">
        <f>IF(ISNA(VLOOKUP($A186,DD_Info!$A$1:$E$222,2,0)),0,VLOOKUP($A186,DD_Info!$A$1:$E$222,2,0))</f>
        <v>Carlos  Perez</v>
      </c>
      <c r="D186" t="str">
        <f>IF(ISNA(VLOOKUP($A186,DD_Info!$A$1:$E$222,3,0)),0,VLOOKUP($A186,DD_Info!$A$1:$E$222,3,0))</f>
        <v>Brownsville</v>
      </c>
      <c r="E186">
        <f ca="1">ROUND(SUMIF(Councils!$C$6:$C$837,$A186,Councils!$E$6:$E$816),0)</f>
        <v>282</v>
      </c>
      <c r="F186">
        <f ca="1">ROUND(SUMIF(Councils!$C$6:$C$837,$A186,Councils!$F$6:$F$816)*0.7,0)</f>
        <v>11</v>
      </c>
      <c r="G186">
        <f ca="1">ROUND(SUMIF(Councils!$C$6:$C$837,$A186,Councils!$G$6:$G$816)*0.7,0)</f>
        <v>1</v>
      </c>
      <c r="H186">
        <f ca="1">ROUND(SUMIF(Councils!$C$6:$C$837,$A186,Councils!$H$6:$H$816)*0.7,0)</f>
        <v>0</v>
      </c>
      <c r="I186">
        <f ca="1">ROUND(SUMIF(Councils!$C$6:$C$837,$A186,Councils!$I$6:$I$816)*0.7,0)</f>
        <v>1</v>
      </c>
      <c r="J186">
        <f ca="1">ROUND(SUMIF(Councils!$C$6:$C$837,$A186,Councils!$J$6:$J$816)*0.7,0)</f>
        <v>5</v>
      </c>
      <c r="K186">
        <f ca="1">ROUND(SUMIF(Councils!$C$6:$C$837,$A186,Councils!$K$6:$K$816)*0.7,0)</f>
        <v>0</v>
      </c>
      <c r="L186">
        <f ca="1">ROUND(SUMIF(Councils!$C$6:$C$837,$A186,Councils!$L$6:$L$816)*0.7,0)</f>
        <v>5</v>
      </c>
      <c r="M186" s="63">
        <f t="shared" ca="1" si="7"/>
        <v>0.45454545454545453</v>
      </c>
      <c r="N186">
        <f t="shared" ca="1" si="6"/>
        <v>19</v>
      </c>
    </row>
    <row r="187" spans="1:14">
      <c r="A187" s="67">
        <v>217</v>
      </c>
      <c r="B187" s="81">
        <f>IF(ISNA(VLOOKUP($A187,DD_Info!$A$1:$E$222,5,0)),0,VLOOKUP($A187,DD_Info!$A$1:$E$222,5,0))</f>
        <v>3</v>
      </c>
      <c r="C187" t="str">
        <f>IF(ISNA(VLOOKUP($A187,DD_Info!$A$1:$E$222,2,0)),0,VLOOKUP($A187,DD_Info!$A$1:$E$222,2,0))</f>
        <v>Eduardo  Garcia</v>
      </c>
      <c r="D187" t="str">
        <f>IF(ISNA(VLOOKUP($A187,DD_Info!$A$1:$E$222,3,0)),0,VLOOKUP($A187,DD_Info!$A$1:$E$222,3,0))</f>
        <v>Brownsville</v>
      </c>
      <c r="E187">
        <f ca="1">ROUND(SUMIF(Councils!$C$6:$C$837,$A187,Councils!$E$6:$E$816),0)</f>
        <v>270</v>
      </c>
      <c r="F187">
        <f ca="1">ROUND(SUMIF(Councils!$C$6:$C$837,$A187,Councils!$F$6:$F$816)*0.7,0)</f>
        <v>9</v>
      </c>
      <c r="G187">
        <f ca="1">ROUND(SUMIF(Councils!$C$6:$C$837,$A187,Councils!$G$6:$G$816)*0.7,0)</f>
        <v>0</v>
      </c>
      <c r="H187">
        <f ca="1">ROUND(SUMIF(Councils!$C$6:$C$837,$A187,Councils!$H$6:$H$816)*0.7,0)</f>
        <v>0</v>
      </c>
      <c r="I187">
        <f ca="1">ROUND(SUMIF(Councils!$C$6:$C$837,$A187,Councils!$I$6:$I$816)*0.7,0)</f>
        <v>0</v>
      </c>
      <c r="J187">
        <f ca="1">ROUND(SUMIF(Councils!$C$6:$C$837,$A187,Councils!$J$6:$J$816)*0.7,0)</f>
        <v>1</v>
      </c>
      <c r="K187">
        <f ca="1">ROUND(SUMIF(Councils!$C$6:$C$837,$A187,Councils!$K$6:$K$816)*0.7,0)</f>
        <v>0</v>
      </c>
      <c r="L187">
        <f ca="1">ROUND(SUMIF(Councils!$C$6:$C$837,$A187,Councils!$L$6:$L$816)*0.7,0)</f>
        <v>1</v>
      </c>
      <c r="M187" s="63">
        <f t="shared" ca="1" si="7"/>
        <v>0.1111111111111111</v>
      </c>
      <c r="N187">
        <f t="shared" ca="1" si="6"/>
        <v>82</v>
      </c>
    </row>
    <row r="188" spans="1:14">
      <c r="A188" s="67">
        <v>221</v>
      </c>
      <c r="B188" s="81">
        <f>IF(ISNA(VLOOKUP($A188,DD_Info!$A$1:$E$222,5,0)),0,VLOOKUP($A188,DD_Info!$A$1:$E$222,5,0))</f>
        <v>2</v>
      </c>
      <c r="C188" t="str">
        <f>IF(ISNA(VLOOKUP($A188,DD_Info!$A$1:$E$222,2,0)),0,VLOOKUP($A188,DD_Info!$A$1:$E$222,2,0))</f>
        <v>Roman M Estrada</v>
      </c>
      <c r="D188" t="str">
        <f>IF(ISNA(VLOOKUP($A188,DD_Info!$A$1:$E$222,3,0)),0,VLOOKUP($A188,DD_Info!$A$1:$E$222,3,0))</f>
        <v>San Angelo</v>
      </c>
      <c r="E188">
        <f ca="1">ROUND(SUMIF(Councils!$C$6:$C$837,$A188,Councils!$E$6:$E$816),0)</f>
        <v>314</v>
      </c>
      <c r="F188">
        <f ca="1">ROUND(SUMIF(Councils!$C$6:$C$837,$A188,Councils!$F$6:$F$816)*0.7,0)</f>
        <v>11</v>
      </c>
      <c r="G188">
        <f ca="1">ROUND(SUMIF(Councils!$C$6:$C$837,$A188,Councils!$G$6:$G$816)*0.7,0)</f>
        <v>0</v>
      </c>
      <c r="H188">
        <f ca="1">ROUND(SUMIF(Councils!$C$6:$C$837,$A188,Councils!$H$6:$H$816)*0.7,0)</f>
        <v>0</v>
      </c>
      <c r="I188">
        <f ca="1">ROUND(SUMIF(Councils!$C$6:$C$837,$A188,Councils!$I$6:$I$816)*0.7,0)</f>
        <v>0</v>
      </c>
      <c r="J188">
        <f ca="1">ROUND(SUMIF(Councils!$C$6:$C$837,$A188,Councils!$J$6:$J$816)*0.7,0)</f>
        <v>4</v>
      </c>
      <c r="K188">
        <f ca="1">ROUND(SUMIF(Councils!$C$6:$C$837,$A188,Councils!$K$6:$K$816)*0.7,0)</f>
        <v>0</v>
      </c>
      <c r="L188">
        <f ca="1">ROUND(SUMIF(Councils!$C$6:$C$837,$A188,Councils!$L$6:$L$816)*0.7,0)</f>
        <v>4</v>
      </c>
      <c r="M188" s="63">
        <f t="shared" ca="1" si="7"/>
        <v>0.36363636363636365</v>
      </c>
      <c r="N188">
        <f t="shared" ca="1" si="6"/>
        <v>29</v>
      </c>
    </row>
    <row r="189" spans="1:14">
      <c r="A189" s="67">
        <v>222</v>
      </c>
      <c r="B189" s="81">
        <f>IF(ISNA(VLOOKUP($A189,DD_Info!$A$1:$E$222,5,0)),0,VLOOKUP($A189,DD_Info!$A$1:$E$222,5,0))</f>
        <v>2</v>
      </c>
      <c r="C189" t="str">
        <f>IF(ISNA(VLOOKUP($A189,DD_Info!$A$1:$E$222,2,0)),0,VLOOKUP($A189,DD_Info!$A$1:$E$222,2,0))</f>
        <v>Gregory J Dutchover</v>
      </c>
      <c r="D189" t="str">
        <f>IF(ISNA(VLOOKUP($A189,DD_Info!$A$1:$E$222,3,0)),0,VLOOKUP($A189,DD_Info!$A$1:$E$222,3,0))</f>
        <v>San Angelo</v>
      </c>
      <c r="E189">
        <f ca="1">ROUND(SUMIF(Councils!$C$6:$C$837,$A189,Councils!$E$6:$E$816),0)</f>
        <v>339</v>
      </c>
      <c r="F189">
        <f ca="1">ROUND(SUMIF(Councils!$C$6:$C$837,$A189,Councils!$F$6:$F$816)*0.7,0)</f>
        <v>13</v>
      </c>
      <c r="G189">
        <f ca="1">ROUND(SUMIF(Councils!$C$6:$C$837,$A189,Councils!$G$6:$G$816)*0.7,0)</f>
        <v>1</v>
      </c>
      <c r="H189">
        <f ca="1">ROUND(SUMIF(Councils!$C$6:$C$837,$A189,Councils!$H$6:$H$816)*0.7,0)</f>
        <v>0</v>
      </c>
      <c r="I189">
        <f ca="1">ROUND(SUMIF(Councils!$C$6:$C$837,$A189,Councils!$I$6:$I$816)*0.7,0)</f>
        <v>1</v>
      </c>
      <c r="J189">
        <f ca="1">ROUND(SUMIF(Councils!$C$6:$C$837,$A189,Councils!$J$6:$J$816)*0.7,0)</f>
        <v>8</v>
      </c>
      <c r="K189">
        <f ca="1">ROUND(SUMIF(Councils!$C$6:$C$837,$A189,Councils!$K$6:$K$816)*0.7,0)</f>
        <v>0</v>
      </c>
      <c r="L189">
        <f ca="1">ROUND(SUMIF(Councils!$C$6:$C$837,$A189,Councils!$L$6:$L$816)*0.7,0)</f>
        <v>8</v>
      </c>
      <c r="M189" s="63">
        <f t="shared" ca="1" si="7"/>
        <v>0.61538461538461542</v>
      </c>
      <c r="N189">
        <f t="shared" ca="1" si="6"/>
        <v>9</v>
      </c>
    </row>
    <row r="190" spans="1:14">
      <c r="A190" s="67">
        <v>223</v>
      </c>
      <c r="B190" s="81">
        <f>IF(ISNA(VLOOKUP($A190,DD_Info!$A$1:$E$222,5,0)),0,VLOOKUP($A190,DD_Info!$A$1:$E$222,5,0))</f>
        <v>1</v>
      </c>
      <c r="C190" t="str">
        <f>IF(ISNA(VLOOKUP($A190,DD_Info!$A$1:$E$222,2,0)),0,VLOOKUP($A190,DD_Info!$A$1:$E$222,2,0))</f>
        <v>Aloysius "Al" E NovoGradac Jr</v>
      </c>
      <c r="D190" t="str">
        <f>IF(ISNA(VLOOKUP($A190,DD_Info!$A$1:$E$222,3,0)),0,VLOOKUP($A190,DD_Info!$A$1:$E$222,3,0))</f>
        <v>San Angelo</v>
      </c>
      <c r="E190">
        <f ca="1">ROUND(SUMIF(Councils!$C$6:$C$837,$A190,Councils!$E$6:$E$816),0)</f>
        <v>732</v>
      </c>
      <c r="F190">
        <f ca="1">ROUND(SUMIF(Councils!$C$6:$C$837,$A190,Councils!$F$6:$F$816)*0.7,0)</f>
        <v>25</v>
      </c>
      <c r="G190">
        <f ca="1">ROUND(SUMIF(Councils!$C$6:$C$837,$A190,Councils!$G$6:$G$816)*0.7,0)</f>
        <v>1</v>
      </c>
      <c r="H190">
        <f ca="1">ROUND(SUMIF(Councils!$C$6:$C$837,$A190,Councils!$H$6:$H$816)*0.7,0)</f>
        <v>0</v>
      </c>
      <c r="I190">
        <f ca="1">ROUND(SUMIF(Councils!$C$6:$C$837,$A190,Councils!$I$6:$I$816)*0.7,0)</f>
        <v>1</v>
      </c>
      <c r="J190">
        <f ca="1">ROUND(SUMIF(Councils!$C$6:$C$837,$A190,Councils!$J$6:$J$816)*0.7,0)</f>
        <v>1</v>
      </c>
      <c r="K190">
        <f ca="1">ROUND(SUMIF(Councils!$C$6:$C$837,$A190,Councils!$K$6:$K$816)*0.7,0)</f>
        <v>0</v>
      </c>
      <c r="L190">
        <f ca="1">ROUND(SUMIF(Councils!$C$6:$C$837,$A190,Councils!$L$6:$L$816)*0.7,0)</f>
        <v>1</v>
      </c>
      <c r="M190" s="63">
        <f t="shared" ca="1" si="7"/>
        <v>0.04</v>
      </c>
      <c r="N190">
        <f t="shared" ca="1" si="6"/>
        <v>122</v>
      </c>
    </row>
    <row r="191" spans="1:14">
      <c r="A191" s="67">
        <v>224</v>
      </c>
      <c r="B191" s="81">
        <f>IF(ISNA(VLOOKUP($A191,DD_Info!$A$1:$E$222,5,0)),0,VLOOKUP($A191,DD_Info!$A$1:$E$222,5,0))</f>
        <v>2</v>
      </c>
      <c r="C191" t="str">
        <f>IF(ISNA(VLOOKUP($A191,DD_Info!$A$1:$E$222,2,0)),0,VLOOKUP($A191,DD_Info!$A$1:$E$222,2,0))</f>
        <v>Lupe M Rodriguez</v>
      </c>
      <c r="D191" t="str">
        <f>IF(ISNA(VLOOKUP($A191,DD_Info!$A$1:$E$222,3,0)),0,VLOOKUP($A191,DD_Info!$A$1:$E$222,3,0))</f>
        <v>San Angelo</v>
      </c>
      <c r="E191">
        <f ca="1">ROUND(SUMIF(Councils!$C$6:$C$837,$A191,Councils!$E$6:$E$816),0)</f>
        <v>558</v>
      </c>
      <c r="F191">
        <f ca="1">ROUND(SUMIF(Councils!$C$6:$C$837,$A191,Councils!$F$6:$F$816)*0.7,0)</f>
        <v>20</v>
      </c>
      <c r="G191">
        <f ca="1">ROUND(SUMIF(Councils!$C$6:$C$837,$A191,Councils!$G$6:$G$816)*0.7,0)</f>
        <v>0</v>
      </c>
      <c r="H191">
        <f ca="1">ROUND(SUMIF(Councils!$C$6:$C$837,$A191,Councils!$H$6:$H$816)*0.7,0)</f>
        <v>0</v>
      </c>
      <c r="I191">
        <f ca="1">ROUND(SUMIF(Councils!$C$6:$C$837,$A191,Councils!$I$6:$I$816)*0.7,0)</f>
        <v>0</v>
      </c>
      <c r="J191">
        <f ca="1">ROUND(SUMIF(Councils!$C$6:$C$837,$A191,Councils!$J$6:$J$816)*0.7,0)</f>
        <v>4</v>
      </c>
      <c r="K191">
        <f ca="1">ROUND(SUMIF(Councils!$C$6:$C$837,$A191,Councils!$K$6:$K$816)*0.7,0)</f>
        <v>0</v>
      </c>
      <c r="L191">
        <f ca="1">ROUND(SUMIF(Councils!$C$6:$C$837,$A191,Councils!$L$6:$L$816)*0.7,0)</f>
        <v>4</v>
      </c>
      <c r="M191" s="63">
        <f t="shared" ca="1" si="7"/>
        <v>0.2</v>
      </c>
      <c r="N191">
        <f t="shared" ca="1" si="6"/>
        <v>58</v>
      </c>
    </row>
    <row r="192" spans="1:14">
      <c r="A192" s="67">
        <v>225</v>
      </c>
      <c r="B192" s="81">
        <f>IF(ISNA(VLOOKUP($A192,DD_Info!$A$1:$E$222,5,0)),0,VLOOKUP($A192,DD_Info!$A$1:$E$222,5,0))</f>
        <v>3</v>
      </c>
      <c r="C192" t="str">
        <f>IF(ISNA(VLOOKUP($A192,DD_Info!$A$1:$E$222,2,0)),0,VLOOKUP($A192,DD_Info!$A$1:$E$222,2,0))</f>
        <v>Frank  Casares</v>
      </c>
      <c r="D192" t="str">
        <f>IF(ISNA(VLOOKUP($A192,DD_Info!$A$1:$E$222,3,0)),0,VLOOKUP($A192,DD_Info!$A$1:$E$222,3,0))</f>
        <v>San Angelo</v>
      </c>
      <c r="E192">
        <f ca="1">ROUND(SUMIF(Councils!$C$6:$C$837,$A192,Councils!$E$6:$E$816),0)</f>
        <v>211</v>
      </c>
      <c r="F192">
        <f ca="1">ROUND(SUMIF(Councils!$C$6:$C$837,$A192,Councils!$F$6:$F$816)*0.7,0)</f>
        <v>8</v>
      </c>
      <c r="G192">
        <f ca="1">ROUND(SUMIF(Councils!$C$6:$C$837,$A192,Councils!$G$6:$G$816)*0.7,0)</f>
        <v>0</v>
      </c>
      <c r="H192">
        <f ca="1">ROUND(SUMIF(Councils!$C$6:$C$837,$A192,Councils!$H$6:$H$816)*0.7,0)</f>
        <v>0</v>
      </c>
      <c r="I192">
        <f ca="1">ROUND(SUMIF(Councils!$C$6:$C$837,$A192,Councils!$I$6:$I$816)*0.7,0)</f>
        <v>0</v>
      </c>
      <c r="J192">
        <f ca="1">ROUND(SUMIF(Councils!$C$6:$C$837,$A192,Councils!$J$6:$J$816)*0.7,0)</f>
        <v>0</v>
      </c>
      <c r="K192">
        <f ca="1">ROUND(SUMIF(Councils!$C$6:$C$837,$A192,Councils!$K$6:$K$816)*0.7,0)</f>
        <v>0</v>
      </c>
      <c r="L192">
        <f ca="1">ROUND(SUMIF(Councils!$C$6:$C$837,$A192,Councils!$L$6:$L$816)*0.7,0)</f>
        <v>0</v>
      </c>
      <c r="M192" s="63">
        <f t="shared" ca="1" si="7"/>
        <v>0</v>
      </c>
      <c r="N192">
        <f t="shared" ca="1" si="6"/>
        <v>127</v>
      </c>
    </row>
    <row r="193" spans="1:14">
      <c r="A193" s="67">
        <v>226</v>
      </c>
      <c r="B193" s="81">
        <f>IF(ISNA(VLOOKUP($A193,DD_Info!$A$1:$E$222,5,0)),0,VLOOKUP($A193,DD_Info!$A$1:$E$222,5,0))</f>
        <v>3</v>
      </c>
      <c r="C193" t="str">
        <f>IF(ISNA(VLOOKUP($A193,DD_Info!$A$1:$E$222,2,0)),0,VLOOKUP($A193,DD_Info!$A$1:$E$222,2,0))</f>
        <v>Deacon Frankie D Aguirre</v>
      </c>
      <c r="D193" t="str">
        <f>IF(ISNA(VLOOKUP($A193,DD_Info!$A$1:$E$222,3,0)),0,VLOOKUP($A193,DD_Info!$A$1:$E$222,3,0))</f>
        <v>San Angelo</v>
      </c>
      <c r="E193">
        <f ca="1">ROUND(SUMIF(Councils!$C$6:$C$837,$A193,Councils!$E$6:$E$816),0)</f>
        <v>281</v>
      </c>
      <c r="F193">
        <f ca="1">ROUND(SUMIF(Councils!$C$6:$C$837,$A193,Councils!$F$6:$F$816)*0.7,0)</f>
        <v>11</v>
      </c>
      <c r="G193">
        <f ca="1">ROUND(SUMIF(Councils!$C$6:$C$837,$A193,Councils!$G$6:$G$816)*0.7,0)</f>
        <v>0</v>
      </c>
      <c r="H193">
        <f ca="1">ROUND(SUMIF(Councils!$C$6:$C$837,$A193,Councils!$H$6:$H$816)*0.7,0)</f>
        <v>0</v>
      </c>
      <c r="I193">
        <f ca="1">ROUND(SUMIF(Councils!$C$6:$C$837,$A193,Councils!$I$6:$I$816)*0.7,0)</f>
        <v>0</v>
      </c>
      <c r="J193">
        <f ca="1">ROUND(SUMIF(Councils!$C$6:$C$837,$A193,Councils!$J$6:$J$816)*0.7,0)</f>
        <v>0</v>
      </c>
      <c r="K193">
        <f ca="1">ROUND(SUMIF(Councils!$C$6:$C$837,$A193,Councils!$K$6:$K$816)*0.7,0)</f>
        <v>0</v>
      </c>
      <c r="L193">
        <f ca="1">ROUND(SUMIF(Councils!$C$6:$C$837,$A193,Councils!$L$6:$L$816)*0.7,0)</f>
        <v>0</v>
      </c>
      <c r="M193" s="63">
        <f t="shared" ca="1" si="7"/>
        <v>0</v>
      </c>
      <c r="N193">
        <f t="shared" ca="1" si="6"/>
        <v>127</v>
      </c>
    </row>
    <row r="194" spans="1:14">
      <c r="A194" s="67">
        <v>227</v>
      </c>
      <c r="B194" s="81">
        <f>IF(ISNA(VLOOKUP($A194,DD_Info!$A$1:$E$222,5,0)),0,VLOOKUP($A194,DD_Info!$A$1:$E$222,5,0))</f>
        <v>3</v>
      </c>
      <c r="C194" t="str">
        <f>IF(ISNA(VLOOKUP($A194,DD_Info!$A$1:$E$222,2,0)),0,VLOOKUP($A194,DD_Info!$A$1:$E$222,2,0))</f>
        <v>Michael M Murray</v>
      </c>
      <c r="D194" t="str">
        <f>IF(ISNA(VLOOKUP($A194,DD_Info!$A$1:$E$222,3,0)),0,VLOOKUP($A194,DD_Info!$A$1:$E$222,3,0))</f>
        <v>San Angelo</v>
      </c>
      <c r="E194">
        <f ca="1">ROUND(SUMIF(Councils!$C$6:$C$837,$A194,Councils!$E$6:$E$816),0)</f>
        <v>184</v>
      </c>
      <c r="F194">
        <f ca="1">ROUND(SUMIF(Councils!$C$6:$C$837,$A194,Councils!$F$6:$F$816)*0.7,0)</f>
        <v>8</v>
      </c>
      <c r="G194">
        <f ca="1">ROUND(SUMIF(Councils!$C$6:$C$837,$A194,Councils!$G$6:$G$816)*0.7,0)</f>
        <v>0</v>
      </c>
      <c r="H194">
        <f ca="1">ROUND(SUMIF(Councils!$C$6:$C$837,$A194,Councils!$H$6:$H$816)*0.7,0)</f>
        <v>0</v>
      </c>
      <c r="I194">
        <f ca="1">ROUND(SUMIF(Councils!$C$6:$C$837,$A194,Councils!$I$6:$I$816)*0.7,0)</f>
        <v>0</v>
      </c>
      <c r="J194">
        <f ca="1">ROUND(SUMIF(Councils!$C$6:$C$837,$A194,Councils!$J$6:$J$816)*0.7,0)</f>
        <v>0</v>
      </c>
      <c r="K194">
        <f ca="1">ROUND(SUMIF(Councils!$C$6:$C$837,$A194,Councils!$K$6:$K$816)*0.7,0)</f>
        <v>0</v>
      </c>
      <c r="L194">
        <f ca="1">ROUND(SUMIF(Councils!$C$6:$C$837,$A194,Councils!$L$6:$L$816)*0.7,0)</f>
        <v>0</v>
      </c>
      <c r="M194" s="63">
        <f t="shared" ca="1" si="7"/>
        <v>0</v>
      </c>
      <c r="N194">
        <f t="shared" ca="1" si="6"/>
        <v>127</v>
      </c>
    </row>
    <row r="195" spans="1:14">
      <c r="A195" s="67">
        <v>228</v>
      </c>
      <c r="B195" s="81">
        <f>IF(ISNA(VLOOKUP($A195,DD_Info!$A$1:$E$222,5,0)),0,VLOOKUP($A195,DD_Info!$A$1:$E$222,5,0))</f>
        <v>2</v>
      </c>
      <c r="C195" t="str">
        <f>IF(ISNA(VLOOKUP($A195,DD_Info!$A$1:$E$222,2,0)),0,VLOOKUP($A195,DD_Info!$A$1:$E$222,2,0))</f>
        <v>Steven  Knight</v>
      </c>
      <c r="D195" t="str">
        <f>IF(ISNA(VLOOKUP($A195,DD_Info!$A$1:$E$222,3,0)),0,VLOOKUP($A195,DD_Info!$A$1:$E$222,3,0))</f>
        <v>San Angelo</v>
      </c>
      <c r="E195">
        <f ca="1">ROUND(SUMIF(Councils!$C$6:$C$837,$A195,Councils!$E$6:$E$816),0)</f>
        <v>473</v>
      </c>
      <c r="F195">
        <f ca="1">ROUND(SUMIF(Councils!$C$6:$C$837,$A195,Councils!$F$6:$F$816)*0.7,0)</f>
        <v>16</v>
      </c>
      <c r="G195">
        <f ca="1">ROUND(SUMIF(Councils!$C$6:$C$837,$A195,Councils!$G$6:$G$816)*0.7,0)</f>
        <v>0</v>
      </c>
      <c r="H195">
        <f ca="1">ROUND(SUMIF(Councils!$C$6:$C$837,$A195,Councils!$H$6:$H$816)*0.7,0)</f>
        <v>0</v>
      </c>
      <c r="I195">
        <f ca="1">ROUND(SUMIF(Councils!$C$6:$C$837,$A195,Councils!$I$6:$I$816)*0.7,0)</f>
        <v>0</v>
      </c>
      <c r="J195">
        <f ca="1">ROUND(SUMIF(Councils!$C$6:$C$837,$A195,Councils!$J$6:$J$816)*0.7,0)</f>
        <v>1</v>
      </c>
      <c r="K195">
        <f ca="1">ROUND(SUMIF(Councils!$C$6:$C$837,$A195,Councils!$K$6:$K$816)*0.7,0)</f>
        <v>0</v>
      </c>
      <c r="L195">
        <f ca="1">ROUND(SUMIF(Councils!$C$6:$C$837,$A195,Councils!$L$6:$L$816)*0.7,0)</f>
        <v>1</v>
      </c>
      <c r="M195" s="63">
        <f t="shared" ca="1" si="7"/>
        <v>6.25E-2</v>
      </c>
      <c r="N195">
        <f t="shared" ref="N195:N212" ca="1" si="9">RANK(M195,$M$2:$M$212,0)</f>
        <v>108</v>
      </c>
    </row>
    <row r="196" spans="1:14">
      <c r="A196" s="67">
        <v>229</v>
      </c>
      <c r="B196" s="81">
        <f>IF(ISNA(VLOOKUP($A196,DD_Info!$A$1:$E$222,5,0)),0,VLOOKUP($A196,DD_Info!$A$1:$E$222,5,0))</f>
        <v>2</v>
      </c>
      <c r="C196" t="str">
        <f>IF(ISNA(VLOOKUP($A196,DD_Info!$A$1:$E$222,2,0)),0,VLOOKUP($A196,DD_Info!$A$1:$E$222,2,0))</f>
        <v>Gregory  Huffman</v>
      </c>
      <c r="D196" t="str">
        <f>IF(ISNA(VLOOKUP($A196,DD_Info!$A$1:$E$222,3,0)),0,VLOOKUP($A196,DD_Info!$A$1:$E$222,3,0))</f>
        <v>San Angelo</v>
      </c>
      <c r="E196">
        <f ca="1">ROUND(SUMIF(Councils!$C$6:$C$837,$A196,Councils!$E$6:$E$816),0)</f>
        <v>363</v>
      </c>
      <c r="F196">
        <f ca="1">ROUND(SUMIF(Councils!$C$6:$C$837,$A196,Councils!$F$6:$F$816)*0.7,0)</f>
        <v>12</v>
      </c>
      <c r="G196">
        <f ca="1">ROUND(SUMIF(Councils!$C$6:$C$837,$A196,Councils!$G$6:$G$816)*0.7,0)</f>
        <v>0</v>
      </c>
      <c r="H196">
        <f ca="1">ROUND(SUMIF(Councils!$C$6:$C$837,$A196,Councils!$H$6:$H$816)*0.7,0)</f>
        <v>0</v>
      </c>
      <c r="I196">
        <f ca="1">ROUND(SUMIF(Councils!$C$6:$C$837,$A196,Councils!$I$6:$I$816)*0.7,0)</f>
        <v>0</v>
      </c>
      <c r="J196">
        <f ca="1">ROUND(SUMIF(Councils!$C$6:$C$837,$A196,Councils!$J$6:$J$816)*0.7,0)</f>
        <v>0</v>
      </c>
      <c r="K196">
        <f ca="1">ROUND(SUMIF(Councils!$C$6:$C$837,$A196,Councils!$K$6:$K$816)*0.7,0)</f>
        <v>1</v>
      </c>
      <c r="L196">
        <f ca="1">ROUND(SUMIF(Councils!$C$6:$C$837,$A196,Councils!$L$6:$L$816)*0.7,0)</f>
        <v>-1</v>
      </c>
      <c r="M196" s="63">
        <f t="shared" ca="1" si="7"/>
        <v>-8.3333333333333329E-2</v>
      </c>
      <c r="N196">
        <f t="shared" ca="1" si="9"/>
        <v>180</v>
      </c>
    </row>
    <row r="197" spans="1:14">
      <c r="A197" s="67">
        <v>230</v>
      </c>
      <c r="B197" s="81">
        <f>IF(ISNA(VLOOKUP($A197,DD_Info!$A$1:$E$222,5,0)),0,VLOOKUP($A197,DD_Info!$A$1:$E$222,5,0))</f>
        <v>3</v>
      </c>
      <c r="C197" t="str">
        <f>IF(ISNA(VLOOKUP($A197,DD_Info!$A$1:$E$222,2,0)),0,VLOOKUP($A197,DD_Info!$A$1:$E$222,2,0))</f>
        <v>Joe  Jacobo</v>
      </c>
      <c r="D197" t="str">
        <f>IF(ISNA(VLOOKUP($A197,DD_Info!$A$1:$E$222,3,0)),0,VLOOKUP($A197,DD_Info!$A$1:$E$222,3,0))</f>
        <v>San Angelo</v>
      </c>
      <c r="E197">
        <f ca="1">ROUND(SUMIF(Councils!$C$6:$C$837,$A197,Councils!$E$6:$E$816),0)</f>
        <v>14</v>
      </c>
      <c r="F197">
        <f ca="1">ROUND(SUMIF(Councils!$C$6:$C$837,$A197,Councils!$F$6:$F$816)*0.7,0)</f>
        <v>8</v>
      </c>
      <c r="G197">
        <f ca="1">ROUND(SUMIF(Councils!$C$6:$C$837,$A197,Councils!$G$6:$G$816)*0.7,0)</f>
        <v>0</v>
      </c>
      <c r="H197">
        <f ca="1">ROUND(SUMIF(Councils!$C$6:$C$837,$A197,Councils!$H$6:$H$816)*0.7,0)</f>
        <v>0</v>
      </c>
      <c r="I197">
        <f ca="1">ROUND(SUMIF(Councils!$C$6:$C$837,$A197,Councils!$I$6:$I$816)*0.7,0)</f>
        <v>0</v>
      </c>
      <c r="J197">
        <f ca="1">ROUND(SUMIF(Councils!$C$6:$C$837,$A197,Councils!$J$6:$J$816)*0.7,0)</f>
        <v>0</v>
      </c>
      <c r="K197">
        <f ca="1">ROUND(SUMIF(Councils!$C$6:$C$837,$A197,Councils!$K$6:$K$816)*0.7,0)</f>
        <v>0</v>
      </c>
      <c r="L197">
        <f ca="1">ROUND(SUMIF(Councils!$C$6:$C$837,$A197,Councils!$L$6:$L$816)*0.7,0)</f>
        <v>0</v>
      </c>
      <c r="M197" s="63">
        <f t="shared" ca="1" si="7"/>
        <v>0</v>
      </c>
      <c r="N197">
        <f t="shared" ca="1" si="9"/>
        <v>127</v>
      </c>
    </row>
    <row r="198" spans="1:14">
      <c r="A198" s="67">
        <v>231</v>
      </c>
      <c r="B198" s="81">
        <f>IF(ISNA(VLOOKUP($A198,DD_Info!$A$1:$E$222,5,0)),0,VLOOKUP($A198,DD_Info!$A$1:$E$222,5,0))</f>
        <v>2</v>
      </c>
      <c r="C198" t="str">
        <f>IF(ISNA(VLOOKUP($A198,DD_Info!$A$1:$E$222,2,0)),0,VLOOKUP($A198,DD_Info!$A$1:$E$222,2,0))</f>
        <v>Isaac A Gonzalez</v>
      </c>
      <c r="D198" t="str">
        <f>IF(ISNA(VLOOKUP($A198,DD_Info!$A$1:$E$222,3,0)),0,VLOOKUP($A198,DD_Info!$A$1:$E$222,3,0))</f>
        <v>Laredo</v>
      </c>
      <c r="E198">
        <f ca="1">ROUND(SUMIF(Councils!$C$6:$C$837,$A198,Councils!$E$6:$E$816),0)</f>
        <v>354</v>
      </c>
      <c r="F198">
        <f ca="1">ROUND(SUMIF(Councils!$C$6:$C$837,$A198,Councils!$F$6:$F$816)*0.7,0)</f>
        <v>15</v>
      </c>
      <c r="G198">
        <f ca="1">ROUND(SUMIF(Councils!$C$6:$C$837,$A198,Councils!$G$6:$G$816)*0.7,0)</f>
        <v>0</v>
      </c>
      <c r="H198">
        <f ca="1">ROUND(SUMIF(Councils!$C$6:$C$837,$A198,Councils!$H$6:$H$816)*0.7,0)</f>
        <v>0</v>
      </c>
      <c r="I198">
        <f ca="1">ROUND(SUMIF(Councils!$C$6:$C$837,$A198,Councils!$I$6:$I$816)*0.7,0)</f>
        <v>0</v>
      </c>
      <c r="J198">
        <f ca="1">ROUND(SUMIF(Councils!$C$6:$C$837,$A198,Councils!$J$6:$J$816)*0.7,0)</f>
        <v>6</v>
      </c>
      <c r="K198">
        <f ca="1">ROUND(SUMIF(Councils!$C$6:$C$837,$A198,Councils!$K$6:$K$816)*0.7,0)</f>
        <v>15</v>
      </c>
      <c r="L198">
        <f ca="1">ROUND(SUMIF(Councils!$C$6:$C$837,$A198,Councils!$L$6:$L$816)*0.7,0)</f>
        <v>-9</v>
      </c>
      <c r="M198" s="63">
        <f t="shared" ref="M198:M212" ca="1" si="10">IFERROR(L198/F198,0)</f>
        <v>-0.6</v>
      </c>
      <c r="N198">
        <f t="shared" ca="1" si="9"/>
        <v>199</v>
      </c>
    </row>
    <row r="199" spans="1:14">
      <c r="A199" s="67">
        <v>232</v>
      </c>
      <c r="B199" s="81">
        <f>IF(ISNA(VLOOKUP($A199,DD_Info!$A$1:$E$222,5,0)),0,VLOOKUP($A199,DD_Info!$A$1:$E$222,5,0))</f>
        <v>3</v>
      </c>
      <c r="C199" t="str">
        <f>IF(ISNA(VLOOKUP($A199,DD_Info!$A$1:$E$222,2,0)),0,VLOOKUP($A199,DD_Info!$A$1:$E$222,2,0))</f>
        <v>Jose Luis  Rodriguez</v>
      </c>
      <c r="D199" t="str">
        <f>IF(ISNA(VLOOKUP($A199,DD_Info!$A$1:$E$222,3,0)),0,VLOOKUP($A199,DD_Info!$A$1:$E$222,3,0))</f>
        <v>Laredo</v>
      </c>
      <c r="E199">
        <f ca="1">ROUND(SUMIF(Councils!$C$6:$C$837,$A199,Councils!$E$6:$E$816),0)</f>
        <v>189</v>
      </c>
      <c r="F199">
        <f ca="1">ROUND(SUMIF(Councils!$C$6:$C$837,$A199,Councils!$F$6:$F$816)*0.7,0)</f>
        <v>12</v>
      </c>
      <c r="G199">
        <f ca="1">ROUND(SUMIF(Councils!$C$6:$C$837,$A199,Councils!$G$6:$G$816)*0.7,0)</f>
        <v>0</v>
      </c>
      <c r="H199">
        <f ca="1">ROUND(SUMIF(Councils!$C$6:$C$837,$A199,Councils!$H$6:$H$816)*0.7,0)</f>
        <v>0</v>
      </c>
      <c r="I199">
        <f ca="1">ROUND(SUMIF(Councils!$C$6:$C$837,$A199,Councils!$I$6:$I$816)*0.7,0)</f>
        <v>0</v>
      </c>
      <c r="J199">
        <f ca="1">ROUND(SUMIF(Councils!$C$6:$C$837,$A199,Councils!$J$6:$J$816)*0.7,0)</f>
        <v>1</v>
      </c>
      <c r="K199">
        <f ca="1">ROUND(SUMIF(Councils!$C$6:$C$837,$A199,Councils!$K$6:$K$816)*0.7,0)</f>
        <v>0</v>
      </c>
      <c r="L199">
        <f ca="1">ROUND(SUMIF(Councils!$C$6:$C$837,$A199,Councils!$L$6:$L$816)*0.7,0)</f>
        <v>1</v>
      </c>
      <c r="M199" s="63">
        <f t="shared" ca="1" si="10"/>
        <v>8.3333333333333329E-2</v>
      </c>
      <c r="N199">
        <f t="shared" ca="1" si="9"/>
        <v>96</v>
      </c>
    </row>
    <row r="200" spans="1:14">
      <c r="A200" s="67">
        <v>233</v>
      </c>
      <c r="B200" s="81">
        <f>IF(ISNA(VLOOKUP($A200,DD_Info!$A$1:$E$222,5,0)),0,VLOOKUP($A200,DD_Info!$A$1:$E$222,5,0))</f>
        <v>3</v>
      </c>
      <c r="C200" t="str">
        <f>IF(ISNA(VLOOKUP($A200,DD_Info!$A$1:$E$222,2,0)),0,VLOOKUP($A200,DD_Info!$A$1:$E$222,2,0))</f>
        <v>Luis J Collazo</v>
      </c>
      <c r="D200" t="str">
        <f>IF(ISNA(VLOOKUP($A200,DD_Info!$A$1:$E$222,3,0)),0,VLOOKUP($A200,DD_Info!$A$1:$E$222,3,0))</f>
        <v>Laredo</v>
      </c>
      <c r="E200">
        <f ca="1">ROUND(SUMIF(Councils!$C$6:$C$837,$A200,Councils!$E$6:$E$816),0)</f>
        <v>135</v>
      </c>
      <c r="F200">
        <f ca="1">ROUND(SUMIF(Councils!$C$6:$C$837,$A200,Councils!$F$6:$F$816)*0.7,0)</f>
        <v>5</v>
      </c>
      <c r="G200">
        <f ca="1">ROUND(SUMIF(Councils!$C$6:$C$837,$A200,Councils!$G$6:$G$816)*0.7,0)</f>
        <v>0</v>
      </c>
      <c r="H200">
        <f ca="1">ROUND(SUMIF(Councils!$C$6:$C$837,$A200,Councils!$H$6:$H$816)*0.7,0)</f>
        <v>0</v>
      </c>
      <c r="I200">
        <f ca="1">ROUND(SUMIF(Councils!$C$6:$C$837,$A200,Councils!$I$6:$I$816)*0.7,0)</f>
        <v>0</v>
      </c>
      <c r="J200">
        <f ca="1">ROUND(SUMIF(Councils!$C$6:$C$837,$A200,Councils!$J$6:$J$816)*0.7,0)</f>
        <v>0</v>
      </c>
      <c r="K200">
        <f ca="1">ROUND(SUMIF(Councils!$C$6:$C$837,$A200,Councils!$K$6:$K$816)*0.7,0)</f>
        <v>0</v>
      </c>
      <c r="L200">
        <f ca="1">ROUND(SUMIF(Councils!$C$6:$C$837,$A200,Councils!$L$6:$L$816)*0.7,0)</f>
        <v>0</v>
      </c>
      <c r="M200" s="63">
        <f t="shared" ca="1" si="10"/>
        <v>0</v>
      </c>
      <c r="N200">
        <f t="shared" ca="1" si="9"/>
        <v>127</v>
      </c>
    </row>
    <row r="201" spans="1:14">
      <c r="A201" s="67">
        <v>234</v>
      </c>
      <c r="B201" s="81">
        <f>IF(ISNA(VLOOKUP($A201,DD_Info!$A$1:$E$222,5,0)),0,VLOOKUP($A201,DD_Info!$A$1:$E$222,5,0))</f>
        <v>2</v>
      </c>
      <c r="C201" t="str">
        <f>IF(ISNA(VLOOKUP($A201,DD_Info!$A$1:$E$222,2,0)),0,VLOOKUP($A201,DD_Info!$A$1:$E$222,2,0))</f>
        <v>Jose A Ramos</v>
      </c>
      <c r="D201" t="str">
        <f>IF(ISNA(VLOOKUP($A201,DD_Info!$A$1:$E$222,3,0)),0,VLOOKUP($A201,DD_Info!$A$1:$E$222,3,0))</f>
        <v>Laredo</v>
      </c>
      <c r="E201">
        <f ca="1">ROUND(SUMIF(Councils!$C$6:$C$837,$A201,Councils!$E$6:$E$816),0)</f>
        <v>332</v>
      </c>
      <c r="F201">
        <f ca="1">ROUND(SUMIF(Councils!$C$6:$C$837,$A201,Councils!$F$6:$F$816)*0.7,0)</f>
        <v>13</v>
      </c>
      <c r="G201">
        <f ca="1">ROUND(SUMIF(Councils!$C$6:$C$837,$A201,Councils!$G$6:$G$816)*0.7,0)</f>
        <v>0</v>
      </c>
      <c r="H201">
        <f ca="1">ROUND(SUMIF(Councils!$C$6:$C$837,$A201,Councils!$H$6:$H$816)*0.7,0)</f>
        <v>0</v>
      </c>
      <c r="I201">
        <f ca="1">ROUND(SUMIF(Councils!$C$6:$C$837,$A201,Councils!$I$6:$I$816)*0.7,0)</f>
        <v>0</v>
      </c>
      <c r="J201">
        <f ca="1">ROUND(SUMIF(Councils!$C$6:$C$837,$A201,Councils!$J$6:$J$816)*0.7,0)</f>
        <v>6</v>
      </c>
      <c r="K201">
        <f ca="1">ROUND(SUMIF(Councils!$C$6:$C$837,$A201,Councils!$K$6:$K$816)*0.7,0)</f>
        <v>0</v>
      </c>
      <c r="L201">
        <f ca="1">ROUND(SUMIF(Councils!$C$6:$C$837,$A201,Councils!$L$6:$L$816)*0.7,0)</f>
        <v>6</v>
      </c>
      <c r="M201" s="63">
        <f t="shared" ca="1" si="10"/>
        <v>0.46153846153846156</v>
      </c>
      <c r="N201">
        <f t="shared" ca="1" si="9"/>
        <v>18</v>
      </c>
    </row>
    <row r="202" spans="1:14">
      <c r="A202" s="67">
        <v>235</v>
      </c>
      <c r="B202" s="81">
        <f>IF(ISNA(VLOOKUP($A202,DD_Info!$A$1:$E$222,5,0)),0,VLOOKUP($A202,DD_Info!$A$1:$E$222,5,0))</f>
        <v>2</v>
      </c>
      <c r="C202" t="str">
        <f>IF(ISNA(VLOOKUP($A202,DD_Info!$A$1:$E$222,2,0)),0,VLOOKUP($A202,DD_Info!$A$1:$E$222,2,0))</f>
        <v>Luciano V Vargas</v>
      </c>
      <c r="D202" t="str">
        <f>IF(ISNA(VLOOKUP($A202,DD_Info!$A$1:$E$222,3,0)),0,VLOOKUP($A202,DD_Info!$A$1:$E$222,3,0))</f>
        <v>Laredo</v>
      </c>
      <c r="E202">
        <f ca="1">ROUND(SUMIF(Councils!$C$6:$C$837,$A202,Councils!$E$6:$E$816),0)</f>
        <v>307</v>
      </c>
      <c r="F202">
        <f ca="1">ROUND(SUMIF(Councils!$C$6:$C$837,$A202,Councils!$F$6:$F$816)*0.7,0)</f>
        <v>11</v>
      </c>
      <c r="G202">
        <f ca="1">ROUND(SUMIF(Councils!$C$6:$C$837,$A202,Councils!$G$6:$G$816)*0.7,0)</f>
        <v>0</v>
      </c>
      <c r="H202">
        <f ca="1">ROUND(SUMIF(Councils!$C$6:$C$837,$A202,Councils!$H$6:$H$816)*0.7,0)</f>
        <v>0</v>
      </c>
      <c r="I202">
        <f ca="1">ROUND(SUMIF(Councils!$C$6:$C$837,$A202,Councils!$I$6:$I$816)*0.7,0)</f>
        <v>0</v>
      </c>
      <c r="J202">
        <f ca="1">ROUND(SUMIF(Councils!$C$6:$C$837,$A202,Councils!$J$6:$J$816)*0.7,0)</f>
        <v>1</v>
      </c>
      <c r="K202">
        <f ca="1">ROUND(SUMIF(Councils!$C$6:$C$837,$A202,Councils!$K$6:$K$816)*0.7,0)</f>
        <v>0</v>
      </c>
      <c r="L202">
        <f ca="1">ROUND(SUMIF(Councils!$C$6:$C$837,$A202,Councils!$L$6:$L$816)*0.7,0)</f>
        <v>1</v>
      </c>
      <c r="M202" s="63">
        <f t="shared" ca="1" si="10"/>
        <v>9.0909090909090912E-2</v>
      </c>
      <c r="N202">
        <f t="shared" ca="1" si="9"/>
        <v>88</v>
      </c>
    </row>
    <row r="203" spans="1:14">
      <c r="A203" s="67">
        <v>236</v>
      </c>
      <c r="B203" s="81">
        <f>IF(ISNA(VLOOKUP($A203,DD_Info!$A$1:$E$222,5,0)),0,VLOOKUP($A203,DD_Info!$A$1:$E$222,5,0))</f>
        <v>3</v>
      </c>
      <c r="C203" t="str">
        <f>IF(ISNA(VLOOKUP($A203,DD_Info!$A$1:$E$222,2,0)),0,VLOOKUP($A203,DD_Info!$A$1:$E$222,2,0))</f>
        <v>Enrique  Adriano</v>
      </c>
      <c r="D203" t="str">
        <f>IF(ISNA(VLOOKUP($A203,DD_Info!$A$1:$E$222,3,0)),0,VLOOKUP($A203,DD_Info!$A$1:$E$222,3,0))</f>
        <v>Laredo</v>
      </c>
      <c r="E203">
        <f ca="1">ROUND(SUMIF(Councils!$C$6:$C$837,$A203,Councils!$E$6:$E$816),0)</f>
        <v>193</v>
      </c>
      <c r="F203">
        <f ca="1">ROUND(SUMIF(Councils!$C$6:$C$837,$A203,Councils!$F$6:$F$816)*0.7,0)</f>
        <v>8</v>
      </c>
      <c r="G203">
        <f ca="1">ROUND(SUMIF(Councils!$C$6:$C$837,$A203,Councils!$G$6:$G$816)*0.7,0)</f>
        <v>0</v>
      </c>
      <c r="H203">
        <f ca="1">ROUND(SUMIF(Councils!$C$6:$C$837,$A203,Councils!$H$6:$H$816)*0.7,0)</f>
        <v>0</v>
      </c>
      <c r="I203">
        <f ca="1">ROUND(SUMIF(Councils!$C$6:$C$837,$A203,Councils!$I$6:$I$816)*0.7,0)</f>
        <v>0</v>
      </c>
      <c r="J203">
        <f ca="1">ROUND(SUMIF(Councils!$C$6:$C$837,$A203,Councils!$J$6:$J$816)*0.7,0)</f>
        <v>1</v>
      </c>
      <c r="K203">
        <f ca="1">ROUND(SUMIF(Councils!$C$6:$C$837,$A203,Councils!$K$6:$K$816)*0.7,0)</f>
        <v>0</v>
      </c>
      <c r="L203">
        <f ca="1">ROUND(SUMIF(Councils!$C$6:$C$837,$A203,Councils!$L$6:$L$816)*0.7,0)</f>
        <v>1</v>
      </c>
      <c r="M203" s="63">
        <f t="shared" ca="1" si="10"/>
        <v>0.125</v>
      </c>
      <c r="N203">
        <f t="shared" ca="1" si="9"/>
        <v>74</v>
      </c>
    </row>
    <row r="204" spans="1:14">
      <c r="A204" s="67">
        <v>237</v>
      </c>
      <c r="B204" s="81">
        <f>IF(ISNA(VLOOKUP($A204,DD_Info!$A$1:$E$222,5,0)),0,VLOOKUP($A204,DD_Info!$A$1:$E$222,5,0))</f>
        <v>3</v>
      </c>
      <c r="C204" t="str">
        <f>IF(ISNA(VLOOKUP($A204,DD_Info!$A$1:$E$222,2,0)),0,VLOOKUP($A204,DD_Info!$A$1:$E$222,2,0))</f>
        <v>Eduardo  Benavidez</v>
      </c>
      <c r="D204" t="str">
        <f>IF(ISNA(VLOOKUP($A204,DD_Info!$A$1:$E$222,3,0)),0,VLOOKUP($A204,DD_Info!$A$1:$E$222,3,0))</f>
        <v>Laredo</v>
      </c>
      <c r="E204">
        <f ca="1">ROUND(SUMIF(Councils!$C$6:$C$837,$A204,Councils!$E$6:$E$816),0)</f>
        <v>155</v>
      </c>
      <c r="F204">
        <f ca="1">ROUND(SUMIF(Councils!$C$6:$C$837,$A204,Councils!$F$6:$F$816)*0.7,0)</f>
        <v>7</v>
      </c>
      <c r="G204">
        <f ca="1">ROUND(SUMIF(Councils!$C$6:$C$837,$A204,Councils!$G$6:$G$816)*0.7,0)</f>
        <v>0</v>
      </c>
      <c r="H204">
        <f ca="1">ROUND(SUMIF(Councils!$C$6:$C$837,$A204,Councils!$H$6:$H$816)*0.7,0)</f>
        <v>0</v>
      </c>
      <c r="I204">
        <f ca="1">ROUND(SUMIF(Councils!$C$6:$C$837,$A204,Councils!$I$6:$I$816)*0.7,0)</f>
        <v>0</v>
      </c>
      <c r="J204">
        <f ca="1">ROUND(SUMIF(Councils!$C$6:$C$837,$A204,Councils!$J$6:$J$816)*0.7,0)</f>
        <v>0</v>
      </c>
      <c r="K204">
        <f ca="1">ROUND(SUMIF(Councils!$C$6:$C$837,$A204,Councils!$K$6:$K$816)*0.7,0)</f>
        <v>0</v>
      </c>
      <c r="L204">
        <f ca="1">ROUND(SUMIF(Councils!$C$6:$C$837,$A204,Councils!$L$6:$L$816)*0.7,0)</f>
        <v>0</v>
      </c>
      <c r="M204" s="63">
        <f t="shared" ca="1" si="10"/>
        <v>0</v>
      </c>
      <c r="N204">
        <f t="shared" ca="1" si="9"/>
        <v>127</v>
      </c>
    </row>
    <row r="205" spans="1:14">
      <c r="A205" s="67">
        <v>238</v>
      </c>
      <c r="B205" s="81">
        <f>IF(ISNA(VLOOKUP($A205,DD_Info!$A$1:$E$222,5,0)),0,VLOOKUP($A205,DD_Info!$A$1:$E$222,5,0))</f>
        <v>3</v>
      </c>
      <c r="C205" t="str">
        <f>IF(ISNA(VLOOKUP($A205,DD_Info!$A$1:$E$222,2,0)),0,VLOOKUP($A205,DD_Info!$A$1:$E$222,2,0))</f>
        <v>Adan  Gonzalez</v>
      </c>
      <c r="D205" t="str">
        <f>IF(ISNA(VLOOKUP($A205,DD_Info!$A$1:$E$222,3,0)),0,VLOOKUP($A205,DD_Info!$A$1:$E$222,3,0))</f>
        <v>Laredo</v>
      </c>
      <c r="E205">
        <f ca="1">ROUND(SUMIF(Councils!$C$6:$C$837,$A205,Councils!$E$6:$E$816),0)</f>
        <v>176</v>
      </c>
      <c r="F205">
        <f ca="1">ROUND(SUMIF(Councils!$C$6:$C$837,$A205,Councils!$F$6:$F$816)*0.7,0)</f>
        <v>7</v>
      </c>
      <c r="G205">
        <f ca="1">ROUND(SUMIF(Councils!$C$6:$C$837,$A205,Councils!$G$6:$G$816)*0.7,0)</f>
        <v>0</v>
      </c>
      <c r="H205">
        <f ca="1">ROUND(SUMIF(Councils!$C$6:$C$837,$A205,Councils!$H$6:$H$816)*0.7,0)</f>
        <v>0</v>
      </c>
      <c r="I205">
        <f ca="1">ROUND(SUMIF(Councils!$C$6:$C$837,$A205,Councils!$I$6:$I$816)*0.7,0)</f>
        <v>0</v>
      </c>
      <c r="J205">
        <f ca="1">ROUND(SUMIF(Councils!$C$6:$C$837,$A205,Councils!$J$6:$J$816)*0.7,0)</f>
        <v>0</v>
      </c>
      <c r="K205">
        <f ca="1">ROUND(SUMIF(Councils!$C$6:$C$837,$A205,Councils!$K$6:$K$816)*0.7,0)</f>
        <v>0</v>
      </c>
      <c r="L205">
        <f ca="1">ROUND(SUMIF(Councils!$C$6:$C$837,$A205,Councils!$L$6:$L$816)*0.7,0)</f>
        <v>0</v>
      </c>
      <c r="M205" s="63">
        <f t="shared" ca="1" si="10"/>
        <v>0</v>
      </c>
      <c r="N205">
        <f t="shared" ca="1" si="9"/>
        <v>127</v>
      </c>
    </row>
    <row r="206" spans="1:14">
      <c r="A206" s="67">
        <v>241</v>
      </c>
      <c r="B206" s="81">
        <f>IF(ISNA(VLOOKUP($A206,DD_Info!$A$1:$E$222,5,0)),0,VLOOKUP($A206,DD_Info!$A$1:$E$222,5,0))</f>
        <v>3</v>
      </c>
      <c r="C206" t="str">
        <f>IF(ISNA(VLOOKUP($A206,DD_Info!$A$1:$E$222,2,0)),0,VLOOKUP($A206,DD_Info!$A$1:$E$222,2,0))</f>
        <v>Arlie E Markusen</v>
      </c>
      <c r="D206" t="str">
        <f>IF(ISNA(VLOOKUP($A206,DD_Info!$A$1:$E$222,3,0)),0,VLOOKUP($A206,DD_Info!$A$1:$E$222,3,0))</f>
        <v>Lubbock</v>
      </c>
      <c r="E206">
        <f ca="1">ROUND(SUMIF(Councils!$C$6:$C$837,$A206,Councils!$E$6:$E$816),0)</f>
        <v>93</v>
      </c>
      <c r="F206">
        <f ca="1">ROUND(SUMIF(Councils!$C$6:$C$837,$A206,Councils!$F$6:$F$816)*0.7,0)</f>
        <v>6</v>
      </c>
      <c r="G206">
        <f ca="1">ROUND(SUMIF(Councils!$C$6:$C$837,$A206,Councils!$G$6:$G$816)*0.7,0)</f>
        <v>0</v>
      </c>
      <c r="H206">
        <f ca="1">ROUND(SUMIF(Councils!$C$6:$C$837,$A206,Councils!$H$6:$H$816)*0.7,0)</f>
        <v>0</v>
      </c>
      <c r="I206">
        <f ca="1">ROUND(SUMIF(Councils!$C$6:$C$837,$A206,Councils!$I$6:$I$816)*0.7,0)</f>
        <v>0</v>
      </c>
      <c r="J206">
        <f ca="1">ROUND(SUMIF(Councils!$C$6:$C$837,$A206,Councils!$J$6:$J$816)*0.7,0)</f>
        <v>0</v>
      </c>
      <c r="K206">
        <f ca="1">ROUND(SUMIF(Councils!$C$6:$C$837,$A206,Councils!$K$6:$K$816)*0.7,0)</f>
        <v>0</v>
      </c>
      <c r="L206">
        <f ca="1">ROUND(SUMIF(Councils!$C$6:$C$837,$A206,Councils!$L$6:$L$816)*0.7,0)</f>
        <v>0</v>
      </c>
      <c r="M206" s="63">
        <f t="shared" ca="1" si="10"/>
        <v>0</v>
      </c>
      <c r="N206">
        <f t="shared" ca="1" si="9"/>
        <v>127</v>
      </c>
    </row>
    <row r="207" spans="1:14">
      <c r="A207" s="67">
        <v>242</v>
      </c>
      <c r="B207" s="81">
        <f>IF(ISNA(VLOOKUP($A207,DD_Info!$A$1:$E$222,5,0)),0,VLOOKUP($A207,DD_Info!$A$1:$E$222,5,0))</f>
        <v>3</v>
      </c>
      <c r="C207" t="str">
        <f>IF(ISNA(VLOOKUP($A207,DD_Info!$A$1:$E$222,2,0)),0,VLOOKUP($A207,DD_Info!$A$1:$E$222,2,0))</f>
        <v>TO BE APPOINTED</v>
      </c>
      <c r="D207" t="str">
        <f>IF(ISNA(VLOOKUP($A207,DD_Info!$A$1:$E$222,3,0)),0,VLOOKUP($A207,DD_Info!$A$1:$E$222,3,0))</f>
        <v>Lubbock</v>
      </c>
      <c r="E207">
        <f ca="1">ROUND(SUMIF(Councils!$C$6:$C$837,$A207,Councils!$E$6:$E$816),0)</f>
        <v>114</v>
      </c>
      <c r="F207">
        <f ca="1">ROUND(SUMIF(Councils!$C$6:$C$837,$A207,Councils!$F$6:$F$816)*0.7,0)</f>
        <v>4</v>
      </c>
      <c r="G207">
        <f ca="1">ROUND(SUMIF(Councils!$C$6:$C$837,$A207,Councils!$G$6:$G$816)*0.7,0)</f>
        <v>0</v>
      </c>
      <c r="H207">
        <f ca="1">ROUND(SUMIF(Councils!$C$6:$C$837,$A207,Councils!$H$6:$H$816)*0.7,0)</f>
        <v>0</v>
      </c>
      <c r="I207">
        <f ca="1">ROUND(SUMIF(Councils!$C$6:$C$837,$A207,Councils!$I$6:$I$816)*0.7,0)</f>
        <v>0</v>
      </c>
      <c r="J207">
        <f ca="1">ROUND(SUMIF(Councils!$C$6:$C$837,$A207,Councils!$J$6:$J$816)*0.7,0)</f>
        <v>2</v>
      </c>
      <c r="K207">
        <f ca="1">ROUND(SUMIF(Councils!$C$6:$C$837,$A207,Councils!$K$6:$K$816)*0.7,0)</f>
        <v>0</v>
      </c>
      <c r="L207">
        <f ca="1">ROUND(SUMIF(Councils!$C$6:$C$837,$A207,Councils!$L$6:$L$816)*0.7,0)</f>
        <v>2</v>
      </c>
      <c r="M207" s="63">
        <f t="shared" ca="1" si="10"/>
        <v>0.5</v>
      </c>
      <c r="N207">
        <f t="shared" ca="1" si="9"/>
        <v>14</v>
      </c>
    </row>
    <row r="208" spans="1:14">
      <c r="A208" s="67">
        <v>243</v>
      </c>
      <c r="B208" s="81">
        <f>IF(ISNA(VLOOKUP($A208,DD_Info!$A$1:$E$222,5,0)),0,VLOOKUP($A208,DD_Info!$A$1:$E$222,5,0))</f>
        <v>2</v>
      </c>
      <c r="C208" t="str">
        <f>IF(ISNA(VLOOKUP($A208,DD_Info!$A$1:$E$222,2,0)),0,VLOOKUP($A208,DD_Info!$A$1:$E$222,2,0))</f>
        <v>Brad  Simmons</v>
      </c>
      <c r="D208" t="str">
        <f>IF(ISNA(VLOOKUP($A208,DD_Info!$A$1:$E$222,3,0)),0,VLOOKUP($A208,DD_Info!$A$1:$E$222,3,0))</f>
        <v>Lubbock</v>
      </c>
      <c r="E208">
        <f ca="1">ROUND(SUMIF(Councils!$C$6:$C$837,$A208,Councils!$E$6:$E$816),0)</f>
        <v>481</v>
      </c>
      <c r="F208">
        <f ca="1">ROUND(SUMIF(Councils!$C$6:$C$837,$A208,Councils!$F$6:$F$816)*0.7,0)</f>
        <v>18</v>
      </c>
      <c r="G208">
        <f ca="1">ROUND(SUMIF(Councils!$C$6:$C$837,$A208,Councils!$G$6:$G$816)*0.7,0)</f>
        <v>0</v>
      </c>
      <c r="H208">
        <f ca="1">ROUND(SUMIF(Councils!$C$6:$C$837,$A208,Councils!$H$6:$H$816)*0.7,0)</f>
        <v>0</v>
      </c>
      <c r="I208">
        <f ca="1">ROUND(SUMIF(Councils!$C$6:$C$837,$A208,Councils!$I$6:$I$816)*0.7,0)</f>
        <v>0</v>
      </c>
      <c r="J208">
        <f ca="1">ROUND(SUMIF(Councils!$C$6:$C$837,$A208,Councils!$J$6:$J$816)*0.7,0)</f>
        <v>2</v>
      </c>
      <c r="K208">
        <f ca="1">ROUND(SUMIF(Councils!$C$6:$C$837,$A208,Councils!$K$6:$K$816)*0.7,0)</f>
        <v>1</v>
      </c>
      <c r="L208">
        <f ca="1">ROUND(SUMIF(Councils!$C$6:$C$837,$A208,Councils!$L$6:$L$816)*0.7,0)</f>
        <v>1</v>
      </c>
      <c r="M208" s="63">
        <f t="shared" ca="1" si="10"/>
        <v>5.5555555555555552E-2</v>
      </c>
      <c r="N208">
        <f t="shared" ca="1" si="9"/>
        <v>110</v>
      </c>
    </row>
    <row r="209" spans="1:14">
      <c r="A209" s="67">
        <v>244</v>
      </c>
      <c r="B209" s="81">
        <f>IF(ISNA(VLOOKUP($A209,DD_Info!$A$1:$E$222,5,0)),0,VLOOKUP($A209,DD_Info!$A$1:$E$222,5,0))</f>
        <v>2</v>
      </c>
      <c r="C209" t="str">
        <f>IF(ISNA(VLOOKUP($A209,DD_Info!$A$1:$E$222,2,0)),0,VLOOKUP($A209,DD_Info!$A$1:$E$222,2,0))</f>
        <v>Joe  Leos</v>
      </c>
      <c r="D209" t="str">
        <f>IF(ISNA(VLOOKUP($A209,DD_Info!$A$1:$E$222,3,0)),0,VLOOKUP($A209,DD_Info!$A$1:$E$222,3,0))</f>
        <v>Lubbock</v>
      </c>
      <c r="E209">
        <f ca="1">ROUND(SUMIF(Councils!$C$6:$C$837,$A209,Councils!$E$6:$E$816),0)</f>
        <v>308</v>
      </c>
      <c r="F209">
        <f ca="1">ROUND(SUMIF(Councils!$C$6:$C$837,$A209,Councils!$F$6:$F$816)*0.7,0)</f>
        <v>13</v>
      </c>
      <c r="G209">
        <f ca="1">ROUND(SUMIF(Councils!$C$6:$C$837,$A209,Councils!$G$6:$G$816)*0.7,0)</f>
        <v>1</v>
      </c>
      <c r="H209">
        <f ca="1">ROUND(SUMIF(Councils!$C$6:$C$837,$A209,Councils!$H$6:$H$816)*0.7,0)</f>
        <v>0</v>
      </c>
      <c r="I209">
        <f ca="1">ROUND(SUMIF(Councils!$C$6:$C$837,$A209,Councils!$I$6:$I$816)*0.7,0)</f>
        <v>1</v>
      </c>
      <c r="J209">
        <f ca="1">ROUND(SUMIF(Councils!$C$6:$C$837,$A209,Councils!$J$6:$J$816)*0.7,0)</f>
        <v>1</v>
      </c>
      <c r="K209">
        <f ca="1">ROUND(SUMIF(Councils!$C$6:$C$837,$A209,Councils!$K$6:$K$816)*0.7,0)</f>
        <v>0</v>
      </c>
      <c r="L209">
        <f ca="1">ROUND(SUMIF(Councils!$C$6:$C$837,$A209,Councils!$L$6:$L$816)*0.7,0)</f>
        <v>1</v>
      </c>
      <c r="M209" s="63">
        <f t="shared" ca="1" si="10"/>
        <v>7.6923076923076927E-2</v>
      </c>
      <c r="N209">
        <f t="shared" ca="1" si="9"/>
        <v>99</v>
      </c>
    </row>
    <row r="210" spans="1:14">
      <c r="A210" s="67">
        <v>245</v>
      </c>
      <c r="B210" s="81">
        <f>IF(ISNA(VLOOKUP($A210,DD_Info!$A$1:$E$222,5,0)),0,VLOOKUP($A210,DD_Info!$A$1:$E$222,5,0))</f>
        <v>3</v>
      </c>
      <c r="C210" t="str">
        <f>IF(ISNA(VLOOKUP($A210,DD_Info!$A$1:$E$222,2,0)),0,VLOOKUP($A210,DD_Info!$A$1:$E$222,2,0))</f>
        <v>Leandro H Trinidad , Jr</v>
      </c>
      <c r="D210" t="str">
        <f>IF(ISNA(VLOOKUP($A210,DD_Info!$A$1:$E$222,3,0)),0,VLOOKUP($A210,DD_Info!$A$1:$E$222,3,0))</f>
        <v>Lubbock</v>
      </c>
      <c r="E210">
        <f ca="1">ROUND(SUMIF(Councils!$C$6:$C$837,$A210,Councils!$E$6:$E$816),0)</f>
        <v>284</v>
      </c>
      <c r="F210">
        <f ca="1">ROUND(SUMIF(Councils!$C$6:$C$837,$A210,Councils!$F$6:$F$816)*0.7,0)</f>
        <v>13</v>
      </c>
      <c r="G210">
        <f ca="1">ROUND(SUMIF(Councils!$C$6:$C$837,$A210,Councils!$G$6:$G$816)*0.7,0)</f>
        <v>0</v>
      </c>
      <c r="H210">
        <f ca="1">ROUND(SUMIF(Councils!$C$6:$C$837,$A210,Councils!$H$6:$H$816)*0.7,0)</f>
        <v>0</v>
      </c>
      <c r="I210">
        <f ca="1">ROUND(SUMIF(Councils!$C$6:$C$837,$A210,Councils!$I$6:$I$816)*0.7,0)</f>
        <v>0</v>
      </c>
      <c r="J210">
        <f ca="1">ROUND(SUMIF(Councils!$C$6:$C$837,$A210,Councils!$J$6:$J$816)*0.7,0)</f>
        <v>2</v>
      </c>
      <c r="K210">
        <f ca="1">ROUND(SUMIF(Councils!$C$6:$C$837,$A210,Councils!$K$6:$K$816)*0.7,0)</f>
        <v>0</v>
      </c>
      <c r="L210">
        <f ca="1">ROUND(SUMIF(Councils!$C$6:$C$837,$A210,Councils!$L$6:$L$816)*0.7,0)</f>
        <v>2</v>
      </c>
      <c r="M210" s="63">
        <f t="shared" ca="1" si="10"/>
        <v>0.15384615384615385</v>
      </c>
      <c r="N210">
        <f t="shared" ca="1" si="9"/>
        <v>69</v>
      </c>
    </row>
    <row r="211" spans="1:14">
      <c r="A211" s="67">
        <v>246</v>
      </c>
      <c r="B211" s="81">
        <f>IF(ISNA(VLOOKUP($A211,DD_Info!$A$1:$E$222,5,0)),0,VLOOKUP($A211,DD_Info!$A$1:$E$222,5,0))</f>
        <v>1</v>
      </c>
      <c r="C211" t="str">
        <f>IF(ISNA(VLOOKUP($A211,DD_Info!$A$1:$E$222,2,0)),0,VLOOKUP($A211,DD_Info!$A$1:$E$222,2,0))</f>
        <v>Francisco  Sotelo</v>
      </c>
      <c r="D211" t="str">
        <f>IF(ISNA(VLOOKUP($A211,DD_Info!$A$1:$E$222,3,0)),0,VLOOKUP($A211,DD_Info!$A$1:$E$222,3,0))</f>
        <v>Lubbock</v>
      </c>
      <c r="E211">
        <f ca="1">ROUND(SUMIF(Councils!$C$6:$C$837,$A211,Councils!$E$6:$E$816),0)</f>
        <v>750</v>
      </c>
      <c r="F211">
        <f ca="1">ROUND(SUMIF(Councils!$C$6:$C$837,$A211,Councils!$F$6:$F$816)*0.7,0)</f>
        <v>25</v>
      </c>
      <c r="G211">
        <f ca="1">ROUND(SUMIF(Councils!$C$6:$C$837,$A211,Councils!$G$6:$G$816)*0.7,0)</f>
        <v>4</v>
      </c>
      <c r="H211">
        <f ca="1">ROUND(SUMIF(Councils!$C$6:$C$837,$A211,Councils!$H$6:$H$816)*0.7,0)</f>
        <v>0</v>
      </c>
      <c r="I211">
        <f ca="1">ROUND(SUMIF(Councils!$C$6:$C$837,$A211,Councils!$I$6:$I$816)*0.7,0)</f>
        <v>4</v>
      </c>
      <c r="J211">
        <f ca="1">ROUND(SUMIF(Councils!$C$6:$C$837,$A211,Councils!$J$6:$J$816)*0.7,0)</f>
        <v>15</v>
      </c>
      <c r="K211">
        <f ca="1">ROUND(SUMIF(Councils!$C$6:$C$837,$A211,Councils!$K$6:$K$816)*0.7,0)</f>
        <v>4</v>
      </c>
      <c r="L211">
        <f ca="1">ROUND(SUMIF(Councils!$C$6:$C$837,$A211,Councils!$L$6:$L$816)*0.7,0)</f>
        <v>11</v>
      </c>
      <c r="M211" s="63">
        <f t="shared" ca="1" si="10"/>
        <v>0.44</v>
      </c>
      <c r="N211">
        <f t="shared" ca="1" si="9"/>
        <v>22</v>
      </c>
    </row>
    <row r="212" spans="1:14">
      <c r="A212" t="s">
        <v>93</v>
      </c>
      <c r="B212" s="81">
        <f>IF(ISNA(VLOOKUP($A212,DD_Info!$A$1:$E$222,5,0)),0,VLOOKUP($A212,DD_Info!$A$1:$E$222,5,0))</f>
        <v>0</v>
      </c>
      <c r="E212">
        <f ca="1">ROUND(SUMIF(Councils!$C$6:$C$837,$A212,Councils!$E$6:$E$816),0)</f>
        <v>122</v>
      </c>
      <c r="F212">
        <f ca="1">ROUND(SUMIF(Councils!$C$6:$C$837,$A212,Councils!$F$6:$F$816)*0.7,0)</f>
        <v>4</v>
      </c>
      <c r="G212">
        <f ca="1">ROUND(SUMIF(Councils!$C$6:$C$837,$A212,Councils!$G$6:$G$816)*0.7,0)</f>
        <v>0</v>
      </c>
      <c r="H212">
        <f ca="1">ROUND(SUMIF(Councils!$C$6:$C$837,$A212,Councils!$H$6:$H$816)*0.7,0)</f>
        <v>0</v>
      </c>
      <c r="I212">
        <f ca="1">ROUND(SUMIF(Councils!$C$6:$C$837,$A212,Councils!$I$6:$I$816)*0.7,0)</f>
        <v>0</v>
      </c>
      <c r="J212">
        <f ca="1">ROUND(SUMIF(Councils!$C$6:$C$837,$A212,Councils!$J$6:$J$816)*0.7,0)</f>
        <v>0</v>
      </c>
      <c r="K212">
        <f ca="1">ROUND(SUMIF(Councils!$C$6:$C$837,$A212,Councils!$K$6:$K$816)*0.7,0)</f>
        <v>0</v>
      </c>
      <c r="L212">
        <f ca="1">ROUND(SUMIF(Councils!$C$6:$C$837,$A212,Councils!$L$6:$L$816)*0.7,0)</f>
        <v>0</v>
      </c>
      <c r="M212" s="63">
        <f t="shared" ca="1" si="10"/>
        <v>0</v>
      </c>
      <c r="N212">
        <f t="shared" ca="1" si="9"/>
        <v>127</v>
      </c>
    </row>
  </sheetData>
  <sortState xmlns:xlrd2="http://schemas.microsoft.com/office/spreadsheetml/2017/richdata2" ref="A2:N212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1070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4054</v>
      </c>
      <c r="B3" t="str">
        <f>IF(ISNA(VLOOKUP($A3,Councils!$B$6:$AE$841,3,0)),0,VLOOKUP($A3,Councils!$B$6:$AE$841,3,0))</f>
        <v>Anderson</v>
      </c>
      <c r="C3">
        <f>IF(ISNA(VLOOKUP($A3,Councils!$B$6:$AE$841,4,0)),0,VLOOKUP($A3,Councils!$B$6:$AE$841,4,0))</f>
        <v>160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9367</v>
      </c>
      <c r="B4" t="str">
        <f>IF(ISNA(VLOOKUP($A4,Councils!$B$6:$AE$841,3,0)),0,VLOOKUP($A4,Councils!$B$6:$AE$841,3,0))</f>
        <v>Navasota</v>
      </c>
      <c r="C4">
        <f>IF(ISNA(VLOOKUP($A4,Councils!$B$6:$AE$841,4,0)),0,VLOOKUP($A4,Councils!$B$6:$AE$841,4,0))</f>
        <v>94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11866</v>
      </c>
      <c r="B5" t="str">
        <f>IF(ISNA(VLOOKUP($A5,Councils!$B$6:$AE$841,3,0)),0,VLOOKUP($A5,Councils!$B$6:$AE$841,3,0))</f>
        <v>Magnolia</v>
      </c>
      <c r="C5">
        <f>IF(ISNA(VLOOKUP($A5,Councils!$B$6:$AE$841,4,0)),0,VLOOKUP($A5,Councils!$B$6:$AE$841,4,0))</f>
        <v>157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/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7345</v>
      </c>
      <c r="B3" t="str">
        <f>IF(ISNA(VLOOKUP($A3,Councils!$B$6:$AE$841,3,0)),0,VLOOKUP($A3,Councils!$B$6:$AE$841,3,0))</f>
        <v>Texas City</v>
      </c>
      <c r="C3">
        <f>IF(ISNA(VLOOKUP($A3,Councils!$B$6:$AE$841,4,0)),0,VLOOKUP($A3,Councils!$B$6:$AE$841,4,0))</f>
        <v>0</v>
      </c>
      <c r="D3">
        <f>IF(ISNA(VLOOKUP($A3,Councils!$B$6:$AE$841,5,0)),0,VLOOKUP($A3,Councils!$B$6:$AE$841,5,0))</f>
        <v>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13940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172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17629</v>
      </c>
      <c r="B5" t="str">
        <f>IF(ISNA(VLOOKUP($A5,Councils!$B$6:$AE$841,3,0)),0,VLOOKUP($A5,Councils!$B$6:$AE$841,3,0))</f>
        <v>Hempstead</v>
      </c>
      <c r="C5">
        <f>IF(ISNA(VLOOKUP($A5,Councils!$B$6:$AE$841,4,0)),0,VLOOKUP($A5,Councils!$B$6:$AE$841,4,0))</f>
        <v>0</v>
      </c>
      <c r="D5">
        <f>IF(ISNA(VLOOKUP($A5,Councils!$B$6:$AE$841,5,0)),0,VLOOKUP($A5,Councils!$B$6:$AE$841,5,0))</f>
        <v>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23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17653</v>
      </c>
      <c r="B6" t="str">
        <f>IF(ISNA(VLOOKUP($A6,Councils!$B$6:$AE$841,3,0)),0,VLOOKUP($A6,Councils!$B$6:$AE$841,3,0))</f>
        <v>The Woodlands</v>
      </c>
      <c r="C6">
        <f>IF(ISNA(VLOOKUP($A6,Councils!$B$6:$AE$841,4,0)),0,VLOOKUP($A6,Councils!$B$6:$AE$841,4,0))</f>
        <v>0</v>
      </c>
      <c r="D6">
        <f>IF(ISNA(VLOOKUP($A6,Councils!$B$6:$AE$841,5,0)),0,VLOOKUP($A6,Councils!$B$6:$AE$841,5,0))</f>
        <v>0</v>
      </c>
      <c r="E6">
        <f>IF(ISNA(VLOOKUP($A6,Councils!$B$6:$AE$841,6,0)),0,VLOOKUP($A6,Councils!$B$6:$AE$841,6,0))</f>
        <v>9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9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9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13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4"/>
  <sheetViews>
    <sheetView topLeftCell="A27" zoomScaleNormal="100" workbookViewId="0">
      <selection activeCell="I28" sqref="I28:K5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8374</v>
      </c>
      <c r="B3" t="str">
        <f>IF(ISNA(VLOOKUP($A3,Councils!$B$6:$AE$841,3,0)),0,VLOOKUP($A3,Councils!$B$6:$AE$841,3,0))</f>
        <v>Huntsville</v>
      </c>
      <c r="C3">
        <f>IF(ISNA(VLOOKUP($A3,Councils!$B$6:$AE$841,4,0)),0,VLOOKUP($A3,Councils!$B$6:$AE$841,4,0))</f>
        <v>19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298">
        <v>12474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39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6859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93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12602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32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12837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21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14058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106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  <row r="7" spans="1:22">
      <c r="A7" s="298">
        <v>16195</v>
      </c>
      <c r="B7" t="str">
        <f>IF(ISNA(VLOOKUP($A7,Councils!$B$6:$AE$841,3,0)),0,VLOOKUP($A7,Councils!$B$6:$AE$841,3,0))</f>
        <v>Houston</v>
      </c>
      <c r="C7">
        <f>IF(ISNA(VLOOKUP($A7,Councils!$B$6:$AE$841,4,0)),0,VLOOKUP($A7,Councils!$B$6:$AE$841,4,0))</f>
        <v>21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4">
    <cfRule type="expression" dxfId="112" priority="1">
      <formula>IF(AND($H4="*"),($R4="*"))</formula>
    </cfRule>
  </conditionalFormatting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9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8482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475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2</v>
      </c>
      <c r="G3">
        <f>IF(ISNA(VLOOKUP($A3,Councils!$B$6:$AE$81023,0)),0,VLOOKUP($A3,Councils!$B$6:$AE$841,8,0))</f>
        <v>-2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14</v>
      </c>
      <c r="J3">
        <f>IF(ISNA(VLOOKUP($A3,Councils!$B$6:$AE$841,11,0)),0,VLOOKUP($A3,Councils!$B$6:$AE$841,11,0))</f>
        <v>-12</v>
      </c>
      <c r="K3" s="63">
        <f>IFERROR(J3/D3,0)</f>
        <v>-0.6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5</v>
      </c>
      <c r="S3">
        <f>IF(ISNA(VLOOKUP($A3,Councils!$B$6:$AE$841,20,0)),0,VLOOKUP($A3,Councils!$B$6:$AE$841,20,0))</f>
        <v>-5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12500</v>
      </c>
      <c r="B4" t="str">
        <f>IF(ISNA(VLOOKUP($A4,Councils!$B$6:$AE$841,3,0)),0,VLOOKUP($A4,Councils!$B$6:$AE$841,3,0))</f>
        <v>Galveston</v>
      </c>
      <c r="C4">
        <f>IF(ISNA(VLOOKUP($A4,Councils!$B$6:$AE$841,4,0)),0,VLOOKUP($A4,Councils!$B$6:$AE$841,4,0))</f>
        <v>51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16158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38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17225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73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9</v>
      </c>
      <c r="K6" s="63">
        <f>IFERROR(J6/D6,0)</f>
        <v>2.25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/>
      <c r="K7" s="63"/>
      <c r="T7" s="63"/>
    </row>
    <row r="8" spans="1:22">
      <c r="A8" s="50"/>
      <c r="K8" s="63"/>
      <c r="T8" s="63"/>
    </row>
    <row r="9" spans="1:22">
      <c r="A9" s="50"/>
      <c r="K9" s="63"/>
      <c r="T9" s="63"/>
    </row>
  </sheetData>
  <conditionalFormatting sqref="A7">
    <cfRule type="expression" dxfId="111" priority="1">
      <formula>IF(AND($H7="*"),($R7="*"))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830</v>
      </c>
      <c r="B3" t="str">
        <f>IF(ISNA(VLOOKUP($A3,Councils!$B$6:$AE$841,3,0)),0,VLOOKUP($A3,Councils!$B$6:$AE$841,3,0))</f>
        <v>Denison</v>
      </c>
      <c r="C3">
        <f>IF(ISNA(VLOOKUP($A3,Councils!$B$6:$AE$841,4,0)),0,VLOOKUP($A3,Councils!$B$6:$AE$841,4,0))</f>
        <v>174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7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7</v>
      </c>
      <c r="K3" s="63">
        <f>IFERROR(J3/D3,0)</f>
        <v>0.875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1289</v>
      </c>
      <c r="B4" t="str">
        <f>IF(ISNA(VLOOKUP($A4,Councils!$B$6:$AE$841,3,0)),0,VLOOKUP($A4,Councils!$B$6:$AE$841,3,0))</f>
        <v>Sherman</v>
      </c>
      <c r="C4">
        <f>IF(ISNA(VLOOKUP($A4,Councils!$B$6:$AE$841,4,0)),0,VLOOKUP($A4,Councils!$B$6:$AE$841,4,0))</f>
        <v>132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9</v>
      </c>
      <c r="G4">
        <f>IF(ISNA(VLOOKUP($A4,Councils!$B$6:$AE$81023,0)),0,VLOOKUP($A4,Councils!$B$6:$AE$841,8,0))</f>
        <v>-9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9</v>
      </c>
      <c r="J4">
        <f>IF(ISNA(VLOOKUP($A4,Councils!$B$6:$AE$841,11,0)),0,VLOOKUP($A4,Councils!$B$6:$AE$841,11,0))</f>
        <v>-9</v>
      </c>
      <c r="K4" s="63">
        <f>IFERROR(J4/D4,0)</f>
        <v>-1.2857142857142858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-2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10879</v>
      </c>
      <c r="B5" t="str">
        <f>IF(ISNA(VLOOKUP($A5,Councils!$B$6:$AE$841,3,0)),0,VLOOKUP($A5,Councils!$B$6:$AE$841,3,0))</f>
        <v>Bonham</v>
      </c>
      <c r="C5">
        <f>IF(ISNA(VLOOKUP($A5,Councils!$B$6:$AE$841,4,0)),0,VLOOKUP($A5,Councils!$B$6:$AE$841,4,0))</f>
        <v>85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16047</v>
      </c>
      <c r="B6" t="str">
        <f>IF(ISNA(VLOOKUP($A6,Councils!$B$6:$AE$841,3,0)),0,VLOOKUP($A6,Councils!$B$6:$AE$841,3,0))</f>
        <v>Van Alstyne</v>
      </c>
      <c r="C6">
        <f>IF(ISNA(VLOOKUP($A6,Councils!$B$6:$AE$841,4,0)),0,VLOOKUP($A6,Councils!$B$6:$AE$841,4,0))</f>
        <v>67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DLS!A1" tooltip="Back to DLS DD Page" display="DLS DDs" xr:uid="{00000000-0004-0000-9300-000000000000}"/>
    <hyperlink ref="C1" location="'State Summary'!A1" tooltip="Link back to Diocesan Page" display="Diocesan Page" xr:uid="{00000000-0004-0000-93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1353</v>
      </c>
      <c r="B3" t="str">
        <f>IF(ISNA(VLOOKUP($A3,Councils!$B$6:$AE$841,3,0)),0,VLOOKUP($A3,Councils!$B$6:$AE$841,3,0))</f>
        <v>Ennis</v>
      </c>
      <c r="C3">
        <f>IF(ISNA(VLOOKUP($A3,Councils!$B$6:$AE$841,4,0)),0,VLOOKUP($A3,Councils!$B$6:$AE$841,4,0))</f>
        <v>325</v>
      </c>
      <c r="D3">
        <f>IF(ISNA(VLOOKUP($A3,Councils!$B$6:$AE$841,5,0)),0,VLOOKUP($A3,Councils!$B$6:$AE$841,5,0))</f>
        <v>15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4</v>
      </c>
      <c r="J3">
        <f>IF(ISNA(VLOOKUP($A3,Councils!$B$6:$AE$841,11,0)),0,VLOOKUP($A3,Councils!$B$6:$AE$841,11,0))</f>
        <v>1</v>
      </c>
      <c r="K3" s="63">
        <f>IFERROR(J3/D3,0)</f>
        <v>6.6666666666666666E-2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5211</v>
      </c>
      <c r="B4" t="str">
        <f>IF(ISNA(VLOOKUP($A4,Councils!$B$6:$AE$841,3,0)),0,VLOOKUP($A4,Councils!$B$6:$AE$841,3,0))</f>
        <v>Corsicana</v>
      </c>
      <c r="C4">
        <f>IF(ISNA(VLOOKUP($A4,Councils!$B$6:$AE$841,4,0)),0,VLOOKUP($A4,Councils!$B$6:$AE$841,4,0))</f>
        <v>126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8417</v>
      </c>
      <c r="B5" t="str">
        <f>IF(ISNA(VLOOKUP($A5,Councils!$B$6:$AE$841,3,0)),0,VLOOKUP($A5,Councils!$B$6:$AE$841,3,0))</f>
        <v>Waxahachie</v>
      </c>
      <c r="C5">
        <f>IF(ISNA(VLOOKUP($A5,Councils!$B$6:$AE$841,4,0)),0,VLOOKUP($A5,Councils!$B$6:$AE$841,4,0))</f>
        <v>269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6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6</v>
      </c>
      <c r="K5" s="63">
        <f>IFERROR(J5/D5,0)</f>
        <v>0.46153846153846156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4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12964</v>
      </c>
      <c r="B6" t="str">
        <f>IF(ISNA(VLOOKUP($A6,Councils!$B$6:$AE$841,3,0)),0,VLOOKUP($A6,Councils!$B$6:$AE$841,3,0))</f>
        <v>Ferris</v>
      </c>
      <c r="C6">
        <f>IF(ISNA(VLOOKUP($A6,Councils!$B$6:$AE$841,4,0)),0,VLOOKUP($A6,Councils!$B$6:$AE$841,4,0))</f>
        <v>47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400-000000000000}"/>
    <hyperlink ref="C1" location="'State Summary'!A1" tooltip="Link back to Diocesan Page" display="Diocesan Page" xr:uid="{00000000-0004-0000-94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8954</v>
      </c>
      <c r="B3" t="str">
        <f>IF(ISNA(VLOOKUP($A3,Councils!$B$6:$AE$841,3,0)),0,VLOOKUP($A3,Councils!$B$6:$AE$841,3,0))</f>
        <v>Richardson</v>
      </c>
      <c r="C3">
        <f>IF(ISNA(VLOOKUP($A3,Councils!$B$6:$AE$841,4,0)),0,VLOOKUP($A3,Councils!$B$6:$AE$841,4,0))</f>
        <v>327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0.1875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9337</v>
      </c>
      <c r="B4" t="str">
        <f>IF(ISNA(VLOOKUP($A4,Councils!$B$6:$AE$841,3,0)),0,VLOOKUP($A4,Councils!$B$6:$AE$841,3,0))</f>
        <v>Rockwall</v>
      </c>
      <c r="C4">
        <f>IF(ISNA(VLOOKUP($A4,Councils!$B$6:$AE$841,4,0)),0,VLOOKUP($A4,Councils!$B$6:$AE$841,4,0))</f>
        <v>256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1</v>
      </c>
      <c r="K4" s="63">
        <f>IFERROR(J4/D4,0)</f>
        <v>8.3333333333333329E-2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11862</v>
      </c>
      <c r="B5" t="str">
        <f>IF(ISNA(VLOOKUP($A5,Councils!$B$6:$AE$841,3,0)),0,VLOOKUP($A5,Councils!$B$6:$AE$841,3,0))</f>
        <v>Garland</v>
      </c>
      <c r="C5">
        <f>IF(ISNA(VLOOKUP($A5,Councils!$B$6:$AE$841,4,0)),0,VLOOKUP($A5,Councils!$B$6:$AE$841,4,0))</f>
        <v>269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6</v>
      </c>
      <c r="J5">
        <f>IF(ISNA(VLOOKUP($A5,Councils!$B$6:$AE$841,11,0)),0,VLOOKUP($A5,Councils!$B$6:$AE$841,11,0))</f>
        <v>-4</v>
      </c>
      <c r="K5" s="63">
        <f>IFERROR(J5/D5,0)</f>
        <v>-0.30769230769230771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3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16546</v>
      </c>
      <c r="B6" t="str">
        <f>IF(ISNA(VLOOKUP($A6,Councils!$B$6:$AE$841,3,0)),0,VLOOKUP($A6,Councils!$B$6:$AE$841,3,0))</f>
        <v>Garland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799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1744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7</v>
      </c>
      <c r="J3">
        <f>IF(ISNA(VLOOKUP($A3,Councils!$B$6:$AE$841,11,0)),0,VLOOKUP($A3,Councils!$B$6:$AE$841,11,0))</f>
        <v>-2</v>
      </c>
      <c r="K3" s="63">
        <f>IFERROR(J3/D3,0)</f>
        <v>-0.1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7</v>
      </c>
      <c r="S3">
        <f>IF(ISNA(VLOOKUP($A3,Councils!$B$6:$AE$841,20,0)),0,VLOOKUP($A3,Councils!$B$6:$AE$841,20,0))</f>
        <v>-4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11937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353</v>
      </c>
      <c r="D4">
        <f>IF(ISNA(VLOOKUP($A4,Councils!$B$6:$AE$841,5,0)),0,VLOOKUP($A4,Councils!$B$6:$AE$841,5,0))</f>
        <v>18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2</v>
      </c>
      <c r="G4">
        <f>IF(ISNA(VLOOKUP($A4,Councils!$B$6:$AE$81023,0)),0,VLOOKUP($A4,Councils!$B$6:$AE$841,8,0))</f>
        <v>-2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-1</v>
      </c>
      <c r="K4" s="63">
        <f>IFERROR(J4/D4,0)</f>
        <v>-5.5555555555555552E-2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15852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54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16677</v>
      </c>
      <c r="B6" t="str">
        <f>IF(ISNA(VLOOKUP($A6,Councils!$B$6:$AE$841,3,0)),0,VLOOKUP($A6,Councils!$B$6:$AE$841,3,0))</f>
        <v>Richardson</v>
      </c>
      <c r="C6">
        <f>IF(ISNA(VLOOKUP($A6,Councils!$B$6:$AE$841,4,0)),0,VLOOKUP($A6,Councils!$B$6:$AE$841,4,0))</f>
        <v>26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8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3593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253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4370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189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10646</v>
      </c>
      <c r="B5" t="str">
        <f>IF(ISNA(VLOOKUP($A5,Councils!$B$6:$AE$841,3,0)),0,VLOOKUP($A5,Councils!$B$6:$AE$841,3,0))</f>
        <v>Rowlett</v>
      </c>
      <c r="C5">
        <f>IF(ISNA(VLOOKUP($A5,Councils!$B$6:$AE$841,4,0)),0,VLOOKUP($A5,Councils!$B$6:$AE$841,4,0))</f>
        <v>159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15</v>
      </c>
      <c r="J5">
        <f>IF(ISNA(VLOOKUP($A5,Councils!$B$6:$AE$841,11,0)),0,VLOOKUP($A5,Councils!$B$6:$AE$841,11,0))</f>
        <v>-14</v>
      </c>
      <c r="K5" s="63">
        <f>IFERROR(J5/D5,0)</f>
        <v>-1.75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11414</v>
      </c>
      <c r="B6" t="str">
        <f>IF(ISNA(VLOOKUP($A6,Councils!$B$6:$AE$841,3,0)),0,VLOOKUP($A6,Councils!$B$6:$AE$841,3,0))</f>
        <v>Dallas</v>
      </c>
      <c r="C6">
        <f>IF(ISNA(VLOOKUP($A6,Councils!$B$6:$AE$841,4,0)),0,VLOOKUP($A6,Councils!$B$6:$AE$841,4,0))</f>
        <v>60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7" priority="4">
      <formula>IF(AND($H3="*"),($R3="*"))</formula>
    </cfRule>
  </conditionalFormatting>
  <conditionalFormatting sqref="A4">
    <cfRule type="expression" dxfId="106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08"/>
  <sheetViews>
    <sheetView workbookViewId="0">
      <selection activeCell="N171" sqref="N17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732</v>
      </c>
      <c r="G1" s="72" t="s">
        <v>733</v>
      </c>
      <c r="H1" s="72" t="s">
        <v>734</v>
      </c>
      <c r="I1" s="72" t="s">
        <v>735</v>
      </c>
      <c r="J1" s="72" t="s">
        <v>736</v>
      </c>
      <c r="K1" s="72" t="s">
        <v>737</v>
      </c>
      <c r="L1" s="72" t="s">
        <v>738</v>
      </c>
      <c r="M1" s="72" t="s">
        <v>819</v>
      </c>
      <c r="N1" s="78" t="s">
        <v>830</v>
      </c>
    </row>
    <row r="2" spans="1:14">
      <c r="A2" s="67">
        <v>1</v>
      </c>
      <c r="B2" s="80">
        <f>IF(ISNA(VLOOKUP($A2,DD_Info!$A$1:$E$222,5,0)),0,VLOOKUP($A2,DD_Info!$A$1:$E$222,5,0))</f>
        <v>3</v>
      </c>
      <c r="C2" t="str">
        <f>IF(ISNA(VLOOKUP($A2,DD_Info!$A$1:$E$222,2,0)),0,VLOOKUP($A2,DD_Info!$A$1:$E$222,2,0))</f>
        <v>Richard  Gilliland</v>
      </c>
      <c r="D2" t="str">
        <f>IF(ISNA(VLOOKUP($A2,DD_Info!$A$1:$E$222,3,0)),0,VLOOKUP($A2,DD_Info!$A$1:$E$222,3,0))</f>
        <v>El Paso</v>
      </c>
      <c r="E2">
        <f>ROUND(SUMIF(Councils!$C$6:$C$809,$A2,Councils!$E$6:$E$809),0)</f>
        <v>293</v>
      </c>
      <c r="F2">
        <f>ROUND(SUMIF(Councils!$C$6:$C$809,$A2,Councils!$O$6:$O$809)*0.7,0)</f>
        <v>0</v>
      </c>
      <c r="G2">
        <f>ROUND(SUMIF(Councils!$C$6:$C$809,$A2,Councils!$P$6:$P$809)*0.7,0)</f>
        <v>1</v>
      </c>
      <c r="H2">
        <f>ROUND(SUMIF(Councils!$C$6:$C$809,$A2,Councils!$Q$6:$Q$809)*0.7,0)</f>
        <v>2</v>
      </c>
      <c r="I2">
        <f>ROUND(SUMIF(Councils!$C$6:$C$809,$A2,Councils!$R$6:$R$809)*0.7,0)</f>
        <v>-1</v>
      </c>
      <c r="J2">
        <f>ROUND(SUMIF(Councils!$C$6:$C$809,$A2,Councils!$S$6:$S$809)*0.7,0)</f>
        <v>1</v>
      </c>
      <c r="K2">
        <f>ROUND(SUMIF(Councils!$C$6:$C$809,$A2,Councils!$T$6:$T$809)*0.7,0)</f>
        <v>2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 t="shared" ref="N2:N65" si="1">RANK(M2,$M$2:$M$208,0)</f>
        <v>1</v>
      </c>
    </row>
    <row r="3" spans="1:14">
      <c r="A3" s="67">
        <v>2</v>
      </c>
      <c r="B3" s="80">
        <f>IF(ISNA(VLOOKUP($A3,DD_Info!$A$1:$E$222,5,0)),0,VLOOKUP($A3,DD_Info!$A$1:$E$222,5,0))</f>
        <v>2</v>
      </c>
      <c r="C3" t="str">
        <f>IF(ISNA(VLOOKUP($A3,DD_Info!$A$1:$E$222,2,0)),0,VLOOKUP($A3,DD_Info!$A$1:$E$222,2,0))</f>
        <v>Fernando T Silva</v>
      </c>
      <c r="D3" t="str">
        <f>IF(ISNA(VLOOKUP($A3,DD_Info!$A$1:$E$222,3,0)),0,VLOOKUP($A3,DD_Info!$A$1:$E$222,3,0))</f>
        <v>El Paso</v>
      </c>
      <c r="E3">
        <f>ROUND(SUMIF(Councils!$C$6:$C$809,$A3,Councils!$E$6:$E$809),0)</f>
        <v>574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1</v>
      </c>
      <c r="L3">
        <f>ROUND(SUMIF(Councils!$C$6:$C$809,$A3,Councils!$U$6:$U$809)*0.7,0)</f>
        <v>-1</v>
      </c>
      <c r="M3" s="63">
        <f t="shared" si="0"/>
        <v>0</v>
      </c>
      <c r="N3">
        <f t="shared" si="1"/>
        <v>1</v>
      </c>
    </row>
    <row r="4" spans="1:14">
      <c r="A4" s="67">
        <v>3</v>
      </c>
      <c r="B4" s="80">
        <f>IF(ISNA(VLOOKUP($A4,DD_Info!$A$1:$E$222,5,0)),0,VLOOKUP($A4,DD_Info!$A$1:$E$222,5,0))</f>
        <v>2</v>
      </c>
      <c r="C4" t="str">
        <f>IF(ISNA(VLOOKUP($A4,DD_Info!$A$1:$E$222,2,0)),0,VLOOKUP($A4,DD_Info!$A$1:$E$222,2,0))</f>
        <v>Armando  Acosta</v>
      </c>
      <c r="D4" t="str">
        <f>IF(ISNA(VLOOKUP($A4,DD_Info!$A$1:$E$222,3,0)),0,VLOOKUP($A4,DD_Info!$A$1:$E$222,3,0))</f>
        <v>El Paso</v>
      </c>
      <c r="E4">
        <f>ROUND(SUMIF(Councils!$C$6:$C$809,$A4,Councils!$E$6:$E$809),0)</f>
        <v>395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1</v>
      </c>
      <c r="L4">
        <f>ROUND(SUMIF(Councils!$C$6:$C$809,$A4,Councils!$U$6:$U$809)*0.7,0)</f>
        <v>-1</v>
      </c>
      <c r="M4" s="63">
        <f t="shared" si="0"/>
        <v>0</v>
      </c>
      <c r="N4">
        <f t="shared" si="1"/>
        <v>1</v>
      </c>
    </row>
    <row r="5" spans="1:14">
      <c r="A5" s="67">
        <v>4</v>
      </c>
      <c r="B5" s="80">
        <f>IF(ISNA(VLOOKUP($A5,DD_Info!$A$1:$E$222,5,0)),0,VLOOKUP($A5,DD_Info!$A$1:$E$222,5,0))</f>
        <v>3</v>
      </c>
      <c r="C5" t="str">
        <f>IF(ISNA(VLOOKUP($A5,DD_Info!$A$1:$E$222,2,0)),0,VLOOKUP($A5,DD_Info!$A$1:$E$222,2,0))</f>
        <v>James B Weber</v>
      </c>
      <c r="D5" t="str">
        <f>IF(ISNA(VLOOKUP($A5,DD_Info!$A$1:$E$222,3,0)),0,VLOOKUP($A5,DD_Info!$A$1:$E$222,3,0))</f>
        <v>El Paso</v>
      </c>
      <c r="E5">
        <f>ROUND(SUMIF(Councils!$C$6:$C$809,$A5,Councils!$E$6:$E$809),0)</f>
        <v>30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0</v>
      </c>
      <c r="K5">
        <f>ROUND(SUMIF(Councils!$C$6:$C$809,$A5,Councils!$T$6:$T$809)*0.7,0)</f>
        <v>0</v>
      </c>
      <c r="L5">
        <f>ROUND(SUMIF(Councils!$C$6:$C$809,$A5,Councils!$U$6:$U$809)*0.7,0)</f>
        <v>0</v>
      </c>
      <c r="M5" s="63">
        <f t="shared" si="0"/>
        <v>0</v>
      </c>
      <c r="N5">
        <f t="shared" si="1"/>
        <v>1</v>
      </c>
    </row>
    <row r="6" spans="1:14">
      <c r="A6" s="67">
        <v>5</v>
      </c>
      <c r="B6" s="80">
        <f>IF(ISNA(VLOOKUP($A6,DD_Info!$A$1:$E$222,5,0)),0,VLOOKUP($A6,DD_Info!$A$1:$E$222,5,0))</f>
        <v>3</v>
      </c>
      <c r="C6" t="str">
        <f>IF(ISNA(VLOOKUP($A6,DD_Info!$A$1:$E$222,2,0)),0,VLOOKUP($A6,DD_Info!$A$1:$E$222,2,0))</f>
        <v>Giovani  Hyppolite</v>
      </c>
      <c r="D6" t="str">
        <f>IF(ISNA(VLOOKUP($A6,DD_Info!$A$1:$E$222,3,0)),0,VLOOKUP($A6,DD_Info!$A$1:$E$222,3,0))</f>
        <v>El Paso</v>
      </c>
      <c r="E6">
        <f>ROUND(SUMIF(Councils!$C$6:$C$809,$A6,Councils!$E$6:$E$809),0)</f>
        <v>267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0</v>
      </c>
      <c r="K6">
        <f>ROUND(SUMIF(Councils!$C$6:$C$809,$A6,Councils!$T$6:$T$809)*0.7,0)</f>
        <v>1</v>
      </c>
      <c r="L6">
        <f>ROUND(SUMIF(Councils!$C$6:$C$809,$A6,Councils!$U$6:$U$809)*0.7,0)</f>
        <v>-1</v>
      </c>
      <c r="M6" s="63">
        <f t="shared" si="0"/>
        <v>0</v>
      </c>
      <c r="N6">
        <f t="shared" si="1"/>
        <v>1</v>
      </c>
    </row>
    <row r="7" spans="1:14">
      <c r="A7" s="67">
        <v>6</v>
      </c>
      <c r="B7" s="80">
        <f>IF(ISNA(VLOOKUP($A7,DD_Info!$A$1:$E$222,5,0)),0,VLOOKUP($A7,DD_Info!$A$1:$E$222,5,0))</f>
        <v>3</v>
      </c>
      <c r="C7" t="str">
        <f>IF(ISNA(VLOOKUP($A7,DD_Info!$A$1:$E$222,2,0)),0,VLOOKUP($A7,DD_Info!$A$1:$E$222,2,0))</f>
        <v>Luis J Ortiz Jr</v>
      </c>
      <c r="D7" t="str">
        <f>IF(ISNA(VLOOKUP($A7,DD_Info!$A$1:$E$222,3,0)),0,VLOOKUP($A7,DD_Info!$A$1:$E$222,3,0))</f>
        <v>El Paso</v>
      </c>
      <c r="E7">
        <f>ROUND(SUMIF(Councils!$C$6:$C$809,$A7,Councils!$E$6:$E$809),0)</f>
        <v>233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1</v>
      </c>
    </row>
    <row r="8" spans="1:14">
      <c r="A8" s="67">
        <v>7</v>
      </c>
      <c r="B8" s="80">
        <f>IF(ISNA(VLOOKUP($A8,DD_Info!$A$1:$E$222,5,0)),0,VLOOKUP($A8,DD_Info!$A$1:$E$222,5,0))</f>
        <v>3</v>
      </c>
      <c r="C8" t="str">
        <f>IF(ISNA(VLOOKUP($A8,DD_Info!$A$1:$E$222,2,0)),0,VLOOKUP($A8,DD_Info!$A$1:$E$222,2,0))</f>
        <v>Jesus  Granado Jr</v>
      </c>
      <c r="D8" t="str">
        <f>IF(ISNA(VLOOKUP($A8,DD_Info!$A$1:$E$222,3,0)),0,VLOOKUP($A8,DD_Info!$A$1:$E$222,3,0))</f>
        <v>El Paso</v>
      </c>
      <c r="E8">
        <f>ROUND(SUMIF(Councils!$C$6:$C$809,$A8,Councils!$E$6:$E$809),0)</f>
        <v>176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1</v>
      </c>
      <c r="L8">
        <f>ROUND(SUMIF(Councils!$C$6:$C$809,$A8,Councils!$U$6:$U$809)*0.7,0)</f>
        <v>-1</v>
      </c>
      <c r="M8" s="63">
        <f t="shared" si="0"/>
        <v>0</v>
      </c>
      <c r="N8">
        <f t="shared" si="1"/>
        <v>1</v>
      </c>
    </row>
    <row r="9" spans="1:14">
      <c r="A9" s="67">
        <v>8</v>
      </c>
      <c r="B9" s="80">
        <f>IF(ISNA(VLOOKUP($A9,DD_Info!$A$1:$E$222,5,0)),0,VLOOKUP($A9,DD_Info!$A$1:$E$222,5,0))</f>
        <v>3</v>
      </c>
      <c r="C9" t="str">
        <f>IF(ISNA(VLOOKUP($A9,DD_Info!$A$1:$E$222,2,0)),0,VLOOKUP($A9,DD_Info!$A$1:$E$222,2,0))</f>
        <v>Roman  Bustillos</v>
      </c>
      <c r="D9" t="str">
        <f>IF(ISNA(VLOOKUP($A9,DD_Info!$A$1:$E$222,3,0)),0,VLOOKUP($A9,DD_Info!$A$1:$E$222,3,0))</f>
        <v>El Paso</v>
      </c>
      <c r="E9">
        <f>ROUND(SUMIF(Councils!$C$6:$C$809,$A9,Councils!$E$6:$E$809),0)</f>
        <v>215</v>
      </c>
      <c r="F9">
        <f>ROUND(SUMIF(Councils!$C$6:$C$809,$A9,Councils!$O$6:$O$809)*0.7,0)</f>
        <v>0</v>
      </c>
      <c r="G9">
        <f>ROUND(SUMIF(Councils!$C$6:$C$809,$A9,Councils!$P$6:$P$809)*0.7,0)</f>
        <v>1</v>
      </c>
      <c r="H9">
        <f>ROUND(SUMIF(Councils!$C$6:$C$809,$A9,Councils!$Q$6:$Q$809)*0.7,0)</f>
        <v>1</v>
      </c>
      <c r="I9">
        <f>ROUND(SUMIF(Councils!$C$6:$C$809,$A9,Councils!$R$6:$R$809)*0.7,0)</f>
        <v>0</v>
      </c>
      <c r="J9">
        <f>ROUND(SUMIF(Councils!$C$6:$C$809,$A9,Councils!$S$6:$S$809)*0.7,0)</f>
        <v>2</v>
      </c>
      <c r="K9">
        <f>ROUND(SUMIF(Councils!$C$6:$C$809,$A9,Councils!$T$6:$T$809)*0.7,0)</f>
        <v>1</v>
      </c>
      <c r="L9">
        <f>ROUND(SUMIF(Councils!$C$6:$C$809,$A9,Councils!$U$6:$U$809)*0.7,0)</f>
        <v>1</v>
      </c>
      <c r="M9" s="63">
        <f t="shared" si="0"/>
        <v>0</v>
      </c>
      <c r="N9">
        <f t="shared" si="1"/>
        <v>1</v>
      </c>
    </row>
    <row r="10" spans="1:14">
      <c r="A10" s="67">
        <v>9</v>
      </c>
      <c r="B10" s="80">
        <f>IF(ISNA(VLOOKUP($A10,DD_Info!$A$1:$E$222,5,0)),0,VLOOKUP($A10,DD_Info!$A$1:$E$222,5,0))</f>
        <v>3</v>
      </c>
      <c r="C10" t="str">
        <f>IF(ISNA(VLOOKUP($A10,DD_Info!$A$1:$E$222,2,0)),0,VLOOKUP($A10,DD_Info!$A$1:$E$222,2,0))</f>
        <v>Jesus  Quinones</v>
      </c>
      <c r="D10" t="str">
        <f>IF(ISNA(VLOOKUP($A10,DD_Info!$A$1:$E$222,3,0)),0,VLOOKUP($A10,DD_Info!$A$1:$E$222,3,0))</f>
        <v>El Paso</v>
      </c>
      <c r="E10">
        <f>ROUND(SUMIF(Councils!$C$6:$C$809,$A10,Councils!$E$6:$E$809),0)</f>
        <v>69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1</v>
      </c>
      <c r="I10">
        <f>ROUND(SUMIF(Councils!$C$6:$C$809,$A10,Councils!$R$6:$R$809)*0.7,0)</f>
        <v>-1</v>
      </c>
      <c r="J10">
        <f>ROUND(SUMIF(Councils!$C$6:$C$809,$A10,Councils!$S$6:$S$809)*0.7,0)</f>
        <v>0</v>
      </c>
      <c r="K10">
        <f>ROUND(SUMIF(Councils!$C$6:$C$809,$A10,Councils!$T$6:$T$809)*0.7,0)</f>
        <v>1</v>
      </c>
      <c r="L10">
        <f>ROUND(SUMIF(Councils!$C$6:$C$809,$A10,Councils!$U$6:$U$809)*0.7,0)</f>
        <v>-1</v>
      </c>
      <c r="M10" s="63">
        <f t="shared" si="0"/>
        <v>0</v>
      </c>
      <c r="N10">
        <f t="shared" si="1"/>
        <v>1</v>
      </c>
    </row>
    <row r="11" spans="1:14">
      <c r="A11" s="67">
        <v>10</v>
      </c>
      <c r="B11" s="80">
        <f>IF(ISNA(VLOOKUP($A11,DD_Info!$A$1:$E$222,5,0)),0,VLOOKUP($A11,DD_Info!$A$1:$E$222,5,0))</f>
        <v>3</v>
      </c>
      <c r="C11" t="str">
        <f>IF(ISNA(VLOOKUP($A11,DD_Info!$A$1:$E$222,2,0)),0,VLOOKUP($A11,DD_Info!$A$1:$E$222,2,0))</f>
        <v>Robert  Diaz</v>
      </c>
      <c r="D11" t="str">
        <f>IF(ISNA(VLOOKUP($A11,DD_Info!$A$1:$E$222,3,0)),0,VLOOKUP($A11,DD_Info!$A$1:$E$222,3,0))</f>
        <v>El Paso</v>
      </c>
      <c r="E11">
        <f>ROUND(SUMIF(Councils!$C$6:$C$809,$A11,Councils!$E$6:$E$809),0)</f>
        <v>181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1</v>
      </c>
      <c r="I11">
        <f>ROUND(SUMIF(Councils!$C$6:$C$809,$A11,Councils!$R$6:$R$809)*0.7,0)</f>
        <v>-1</v>
      </c>
      <c r="J11">
        <f>ROUND(SUMIF(Councils!$C$6:$C$809,$A11,Councils!$S$6:$S$809)*0.7,0)</f>
        <v>0</v>
      </c>
      <c r="K11">
        <f>ROUND(SUMIF(Councils!$C$6:$C$809,$A11,Councils!$T$6:$T$809)*0.7,0)</f>
        <v>1</v>
      </c>
      <c r="L11">
        <f>ROUND(SUMIF(Councils!$C$6:$C$809,$A11,Councils!$U$6:$U$809)*0.7,0)</f>
        <v>-1</v>
      </c>
      <c r="M11" s="63">
        <f t="shared" si="0"/>
        <v>0</v>
      </c>
      <c r="N11">
        <f t="shared" si="1"/>
        <v>1</v>
      </c>
    </row>
    <row r="12" spans="1:14">
      <c r="A12" s="67">
        <v>11</v>
      </c>
      <c r="B12" s="80">
        <f>IF(ISNA(VLOOKUP($A12,DD_Info!$A$1:$E$222,5,0)),0,VLOOKUP($A12,DD_Info!$A$1:$E$222,5,0))</f>
        <v>3</v>
      </c>
      <c r="C12" t="str">
        <f>IF(ISNA(VLOOKUP($A12,DD_Info!$A$1:$E$222,2,0)),0,VLOOKUP($A12,DD_Info!$A$1:$E$222,2,0))</f>
        <v>Ramon J Salgado</v>
      </c>
      <c r="D12" t="str">
        <f>IF(ISNA(VLOOKUP($A12,DD_Info!$A$1:$E$222,3,0)),0,VLOOKUP($A12,DD_Info!$A$1:$E$222,3,0))</f>
        <v>El Paso</v>
      </c>
      <c r="E12">
        <f>ROUND(SUMIF(Councils!$C$6:$C$809,$A12,Councils!$E$6:$E$809),0)</f>
        <v>172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1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1</v>
      </c>
    </row>
    <row r="13" spans="1:14">
      <c r="A13" s="67">
        <v>16</v>
      </c>
      <c r="B13" s="80">
        <f>IF(ISNA(VLOOKUP($A13,DD_Info!$A$1:$E$222,5,0)),0,VLOOKUP($A13,DD_Info!$A$1:$E$222,5,0))</f>
        <v>3</v>
      </c>
      <c r="C13" t="str">
        <f>IF(ISNA(VLOOKUP($A13,DD_Info!$A$1:$E$222,2,0)),0,VLOOKUP($A13,DD_Info!$A$1:$E$222,2,0))</f>
        <v>TO BE APPOINTED</v>
      </c>
      <c r="D13" t="str">
        <f>IF(ISNA(VLOOKUP($A13,DD_Info!$A$1:$E$222,3,0)),0,VLOOKUP($A13,DD_Info!$A$1:$E$222,3,0))</f>
        <v>Fort Worth</v>
      </c>
      <c r="E13">
        <f>ROUND(SUMIF(Councils!$C$6:$C$809,$A13,Councils!$E$6:$E$809),0)</f>
        <v>268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1</v>
      </c>
      <c r="K13">
        <f>ROUND(SUMIF(Councils!$C$6:$C$809,$A13,Councils!$T$6:$T$809)*0.7,0)</f>
        <v>0</v>
      </c>
      <c r="L13">
        <f>ROUND(SUMIF(Councils!$C$6:$C$809,$A13,Councils!$U$6:$U$809)*0.7,0)</f>
        <v>1</v>
      </c>
      <c r="M13" s="63">
        <f t="shared" si="0"/>
        <v>0</v>
      </c>
      <c r="N13">
        <f t="shared" si="1"/>
        <v>1</v>
      </c>
    </row>
    <row r="14" spans="1:14">
      <c r="A14" s="67">
        <v>17</v>
      </c>
      <c r="B14" s="80">
        <f>IF(ISNA(VLOOKUP($A14,DD_Info!$A$1:$E$222,5,0)),0,VLOOKUP($A14,DD_Info!$A$1:$E$222,5,0))</f>
        <v>1</v>
      </c>
      <c r="C14" t="str">
        <f>IF(ISNA(VLOOKUP($A14,DD_Info!$A$1:$E$222,2,0)),0,VLOOKUP($A14,DD_Info!$A$1:$E$222,2,0))</f>
        <v>Gregory  Brown</v>
      </c>
      <c r="D14" t="str">
        <f>IF(ISNA(VLOOKUP($A14,DD_Info!$A$1:$E$222,3,0)),0,VLOOKUP($A14,DD_Info!$A$1:$E$222,3,0))</f>
        <v>Fort Worth</v>
      </c>
      <c r="E14">
        <f>ROUND(SUMIF(Councils!$C$6:$C$809,$A14,Councils!$E$6:$E$809),0)</f>
        <v>622</v>
      </c>
      <c r="F14">
        <f>ROUND(SUMIF(Councils!$C$6:$C$809,$A14,Councils!$O$6:$O$809)*0.7,0)</f>
        <v>0</v>
      </c>
      <c r="G14">
        <f>ROUND(SUMIF(Councils!$C$6:$C$809,$A14,Councils!$P$6:$P$809)*0.7,0)</f>
        <v>0</v>
      </c>
      <c r="H14">
        <f>ROUND(SUMIF(Councils!$C$6:$C$809,$A14,Councils!$Q$6:$Q$809)*0.7,0)</f>
        <v>1</v>
      </c>
      <c r="I14">
        <f>ROUND(SUMIF(Councils!$C$6:$C$809,$A14,Councils!$R$6:$R$809)*0.7,0)</f>
        <v>-1</v>
      </c>
      <c r="J14">
        <f>ROUND(SUMIF(Councils!$C$6:$C$809,$A14,Councils!$S$6:$S$809)*0.7,0)</f>
        <v>4</v>
      </c>
      <c r="K14">
        <f>ROUND(SUMIF(Councils!$C$6:$C$809,$A14,Councils!$T$6:$T$809)*0.7,0)</f>
        <v>1</v>
      </c>
      <c r="L14">
        <f>ROUND(SUMIF(Councils!$C$6:$C$809,$A14,Councils!$U$6:$U$809)*0.7,0)</f>
        <v>2</v>
      </c>
      <c r="M14" s="63">
        <f t="shared" si="0"/>
        <v>0</v>
      </c>
      <c r="N14">
        <f t="shared" si="1"/>
        <v>1</v>
      </c>
    </row>
    <row r="15" spans="1:14">
      <c r="A15" s="67">
        <v>18</v>
      </c>
      <c r="B15" s="80">
        <f>IF(ISNA(VLOOKUP($A15,DD_Info!$A$1:$E$222,5,0)),0,VLOOKUP($A15,DD_Info!$A$1:$E$222,5,0))</f>
        <v>1</v>
      </c>
      <c r="C15" t="str">
        <f>IF(ISNA(VLOOKUP($A15,DD_Info!$A$1:$E$222,2,0)),0,VLOOKUP($A15,DD_Info!$A$1:$E$222,2,0))</f>
        <v>Richard  Norgaard</v>
      </c>
      <c r="D15" t="str">
        <f>IF(ISNA(VLOOKUP($A15,DD_Info!$A$1:$E$222,3,0)),0,VLOOKUP($A15,DD_Info!$A$1:$E$222,3,0))</f>
        <v>Fort Worth</v>
      </c>
      <c r="E15">
        <f>ROUND(SUMIF(Councils!$C$6:$C$809,$A15,Councils!$E$6:$E$809),0)</f>
        <v>979</v>
      </c>
      <c r="F15">
        <f>ROUND(SUMIF(Councils!$C$6:$C$809,$A15,Councils!$O$6:$O$809)*0.7,0)</f>
        <v>0</v>
      </c>
      <c r="G15">
        <f>ROUND(SUMIF(Councils!$C$6:$C$809,$A15,Councils!$P$6:$P$809)*0.7,0)</f>
        <v>1</v>
      </c>
      <c r="H15">
        <f>ROUND(SUMIF(Councils!$C$6:$C$809,$A15,Councils!$Q$6:$Q$809)*0.7,0)</f>
        <v>1</v>
      </c>
      <c r="I15">
        <f>ROUND(SUMIF(Councils!$C$6:$C$809,$A15,Councils!$R$6:$R$809)*0.7,0)</f>
        <v>1</v>
      </c>
      <c r="J15">
        <f>ROUND(SUMIF(Councils!$C$6:$C$809,$A15,Councils!$S$6:$S$809)*0.7,0)</f>
        <v>6</v>
      </c>
      <c r="K15">
        <f>ROUND(SUMIF(Councils!$C$6:$C$809,$A15,Councils!$T$6:$T$809)*0.7,0)</f>
        <v>1</v>
      </c>
      <c r="L15">
        <f>ROUND(SUMIF(Councils!$C$6:$C$809,$A15,Councils!$U$6:$U$809)*0.7,0)</f>
        <v>4</v>
      </c>
      <c r="M15" s="63">
        <f t="shared" si="0"/>
        <v>0</v>
      </c>
      <c r="N15">
        <f t="shared" si="1"/>
        <v>1</v>
      </c>
    </row>
    <row r="16" spans="1:14">
      <c r="A16" s="67">
        <v>19</v>
      </c>
      <c r="B16" s="80">
        <f>IF(ISNA(VLOOKUP($A16,DD_Info!$A$1:$E$222,5,0)),0,VLOOKUP($A16,DD_Info!$A$1:$E$222,5,0))</f>
        <v>1</v>
      </c>
      <c r="C16" t="str">
        <f>IF(ISNA(VLOOKUP($A16,DD_Info!$A$1:$E$222,2,0)),0,VLOOKUP($A16,DD_Info!$A$1:$E$222,2,0))</f>
        <v>Richard  Rumenapp</v>
      </c>
      <c r="D16" t="str">
        <f>IF(ISNA(VLOOKUP($A16,DD_Info!$A$1:$E$222,3,0)),0,VLOOKUP($A16,DD_Info!$A$1:$E$222,3,0))</f>
        <v>Fort Worth</v>
      </c>
      <c r="E16">
        <f>ROUND(SUMIF(Councils!$C$6:$C$809,$A16,Councils!$E$6:$E$809),0)</f>
        <v>586</v>
      </c>
      <c r="F16">
        <f>ROUND(SUMIF(Councils!$C$6:$C$809,$A16,Councils!$O$6:$O$809)*0.7,0)</f>
        <v>0</v>
      </c>
      <c r="G16">
        <f>ROUND(SUMIF(Councils!$C$6:$C$809,$A16,Councils!$P$6:$P$809)*0.7,0)</f>
        <v>1</v>
      </c>
      <c r="H16">
        <f>ROUND(SUMIF(Councils!$C$6:$C$809,$A16,Councils!$Q$6:$Q$809)*0.7,0)</f>
        <v>1</v>
      </c>
      <c r="I16">
        <f>ROUND(SUMIF(Councils!$C$6:$C$809,$A16,Councils!$R$6:$R$809)*0.7,0)</f>
        <v>0</v>
      </c>
      <c r="J16">
        <f>ROUND(SUMIF(Councils!$C$6:$C$809,$A16,Councils!$S$6:$S$809)*0.7,0)</f>
        <v>6</v>
      </c>
      <c r="K16">
        <f>ROUND(SUMIF(Councils!$C$6:$C$809,$A16,Councils!$T$6:$T$809)*0.7,0)</f>
        <v>5</v>
      </c>
      <c r="L16">
        <f>ROUND(SUMIF(Councils!$C$6:$C$809,$A16,Councils!$U$6:$U$809)*0.7,0)</f>
        <v>1</v>
      </c>
      <c r="M16" s="63">
        <f t="shared" si="0"/>
        <v>0</v>
      </c>
      <c r="N16">
        <f t="shared" si="1"/>
        <v>1</v>
      </c>
    </row>
    <row r="17" spans="1:14">
      <c r="A17" s="67">
        <v>20</v>
      </c>
      <c r="B17" s="80">
        <f>IF(ISNA(VLOOKUP($A17,DD_Info!$A$1:$E$222,5,0)),0,VLOOKUP($A17,DD_Info!$A$1:$E$222,5,0))</f>
        <v>2</v>
      </c>
      <c r="C17" t="str">
        <f>IF(ISNA(VLOOKUP($A17,DD_Info!$A$1:$E$222,2,0)),0,VLOOKUP($A17,DD_Info!$A$1:$E$222,2,0))</f>
        <v>Walter A Hoesing</v>
      </c>
      <c r="D17" t="str">
        <f>IF(ISNA(VLOOKUP($A17,DD_Info!$A$1:$E$222,3,0)),0,VLOOKUP($A17,DD_Info!$A$1:$E$222,3,0))</f>
        <v>Fort Worth</v>
      </c>
      <c r="E17">
        <f>ROUND(SUMIF(Councils!$C$6:$C$809,$A17,Councils!$E$6:$E$809),0)</f>
        <v>487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2</v>
      </c>
      <c r="K17">
        <f>ROUND(SUMIF(Councils!$C$6:$C$809,$A17,Councils!$T$6:$T$809)*0.7,0)</f>
        <v>0</v>
      </c>
      <c r="L17">
        <f>ROUND(SUMIF(Councils!$C$6:$C$809,$A17,Councils!$U$6:$U$809)*0.7,0)</f>
        <v>2</v>
      </c>
      <c r="M17" s="63">
        <f t="shared" si="0"/>
        <v>0</v>
      </c>
      <c r="N17">
        <f t="shared" si="1"/>
        <v>1</v>
      </c>
    </row>
    <row r="18" spans="1:14">
      <c r="A18" s="67">
        <v>21</v>
      </c>
      <c r="B18" s="80">
        <f>IF(ISNA(VLOOKUP($A18,DD_Info!$A$1:$E$222,5,0)),0,VLOOKUP($A18,DD_Info!$A$1:$E$222,5,0))</f>
        <v>1</v>
      </c>
      <c r="C18" t="str">
        <f>IF(ISNA(VLOOKUP($A18,DD_Info!$A$1:$E$222,2,0)),0,VLOOKUP($A18,DD_Info!$A$1:$E$222,2,0))</f>
        <v>Mike G Becan Sr</v>
      </c>
      <c r="D18" t="str">
        <f>IF(ISNA(VLOOKUP($A18,DD_Info!$A$1:$E$222,3,0)),0,VLOOKUP($A18,DD_Info!$A$1:$E$222,3,0))</f>
        <v>Fort Worth</v>
      </c>
      <c r="E18">
        <f>ROUND(SUMIF(Councils!$C$6:$C$809,$A18,Councils!$E$6:$E$809),0)</f>
        <v>839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1</v>
      </c>
    </row>
    <row r="19" spans="1:14">
      <c r="A19" s="67">
        <v>22</v>
      </c>
      <c r="B19" s="80">
        <f>IF(ISNA(VLOOKUP($A19,DD_Info!$A$1:$E$222,5,0)),0,VLOOKUP($A19,DD_Info!$A$1:$E$222,5,0))</f>
        <v>2</v>
      </c>
      <c r="C19" t="str">
        <f>IF(ISNA(VLOOKUP($A19,DD_Info!$A$1:$E$222,2,0)),0,VLOOKUP($A19,DD_Info!$A$1:$E$222,2,0))</f>
        <v>John  Walker</v>
      </c>
      <c r="D19" t="str">
        <f>IF(ISNA(VLOOKUP($A19,DD_Info!$A$1:$E$222,3,0)),0,VLOOKUP($A19,DD_Info!$A$1:$E$222,3,0))</f>
        <v>Fort Worth</v>
      </c>
      <c r="E19">
        <f>ROUND(SUMIF(Councils!$C$6:$C$809,$A19,Councils!$E$6:$E$809),0)</f>
        <v>569</v>
      </c>
      <c r="F19">
        <f>ROUND(SUMIF(Councils!$C$6:$C$809,$A19,Councils!$O$6:$O$809)*0.7,0)</f>
        <v>0</v>
      </c>
      <c r="G19">
        <f>ROUND(SUMIF(Councils!$C$6:$C$809,$A19,Councils!$P$6:$P$809)*0.7,0)</f>
        <v>1</v>
      </c>
      <c r="H19">
        <f>ROUND(SUMIF(Councils!$C$6:$C$809,$A19,Councils!$Q$6:$Q$809)*0.7,0)</f>
        <v>1</v>
      </c>
      <c r="I19">
        <f>ROUND(SUMIF(Councils!$C$6:$C$809,$A19,Councils!$R$6:$R$809)*0.7,0)</f>
        <v>0</v>
      </c>
      <c r="J19">
        <f>ROUND(SUMIF(Councils!$C$6:$C$809,$A19,Councils!$S$6:$S$809)*0.7,0)</f>
        <v>1</v>
      </c>
      <c r="K19">
        <f>ROUND(SUMIF(Councils!$C$6:$C$809,$A19,Councils!$T$6:$T$809)*0.7,0)</f>
        <v>2</v>
      </c>
      <c r="L19">
        <f>ROUND(SUMIF(Councils!$C$6:$C$809,$A19,Councils!$U$6:$U$809)*0.7,0)</f>
        <v>-1</v>
      </c>
      <c r="M19" s="63">
        <f t="shared" si="0"/>
        <v>0</v>
      </c>
      <c r="N19">
        <f t="shared" si="1"/>
        <v>1</v>
      </c>
    </row>
    <row r="20" spans="1:14">
      <c r="A20" s="67">
        <v>23</v>
      </c>
      <c r="B20" s="80">
        <f>IF(ISNA(VLOOKUP($A20,DD_Info!$A$1:$E$222,5,0)),0,VLOOKUP($A20,DD_Info!$A$1:$E$222,5,0))</f>
        <v>2</v>
      </c>
      <c r="C20" t="str">
        <f>IF(ISNA(VLOOKUP($A20,DD_Info!$A$1:$E$222,2,0)),0,VLOOKUP($A20,DD_Info!$A$1:$E$222,2,0))</f>
        <v>Michael  Rueschenberg</v>
      </c>
      <c r="D20" t="str">
        <f>IF(ISNA(VLOOKUP($A20,DD_Info!$A$1:$E$222,3,0)),0,VLOOKUP($A20,DD_Info!$A$1:$E$222,3,0))</f>
        <v>Fort Worth</v>
      </c>
      <c r="E20">
        <f>ROUND(SUMIF(Councils!$C$6:$C$809,$A20,Councils!$E$6:$E$809),0)</f>
        <v>554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1</v>
      </c>
      <c r="I20">
        <f>ROUND(SUMIF(Councils!$C$6:$C$809,$A20,Councils!$R$6:$R$809)*0.7,0)</f>
        <v>-1</v>
      </c>
      <c r="J20">
        <f>ROUND(SUMIF(Councils!$C$6:$C$809,$A20,Councils!$S$6:$S$809)*0.7,0)</f>
        <v>1</v>
      </c>
      <c r="K20">
        <f>ROUND(SUMIF(Councils!$C$6:$C$809,$A20,Councils!$T$6:$T$809)*0.7,0)</f>
        <v>2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</v>
      </c>
    </row>
    <row r="21" spans="1:14">
      <c r="A21" s="67">
        <v>24</v>
      </c>
      <c r="B21" s="80">
        <f>IF(ISNA(VLOOKUP($A21,DD_Info!$A$1:$E$222,5,0)),0,VLOOKUP($A21,DD_Info!$A$1:$E$222,5,0))</f>
        <v>1</v>
      </c>
      <c r="C21" t="str">
        <f>IF(ISNA(VLOOKUP($A21,DD_Info!$A$1:$E$222,2,0)),0,VLOOKUP($A21,DD_Info!$A$1:$E$222,2,0))</f>
        <v>Ruben  Cisneros</v>
      </c>
      <c r="D21" t="str">
        <f>IF(ISNA(VLOOKUP($A21,DD_Info!$A$1:$E$222,3,0)),0,VLOOKUP($A21,DD_Info!$A$1:$E$222,3,0))</f>
        <v>Fort Worth</v>
      </c>
      <c r="E21">
        <f>ROUND(SUMIF(Councils!$C$6:$C$809,$A21,Councils!$E$6:$E$809),0)</f>
        <v>831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1</v>
      </c>
      <c r="I21">
        <f>ROUND(SUMIF(Councils!$C$6:$C$809,$A21,Councils!$R$6:$R$809)*0.7,0)</f>
        <v>-1</v>
      </c>
      <c r="J21">
        <f>ROUND(SUMIF(Councils!$C$6:$C$809,$A21,Councils!$S$6:$S$809)*0.7,0)</f>
        <v>5</v>
      </c>
      <c r="K21">
        <f>ROUND(SUMIF(Councils!$C$6:$C$809,$A21,Councils!$T$6:$T$809)*0.7,0)</f>
        <v>6</v>
      </c>
      <c r="L21">
        <f>ROUND(SUMIF(Councils!$C$6:$C$809,$A21,Councils!$U$6:$U$809)*0.7,0)</f>
        <v>-1</v>
      </c>
      <c r="M21" s="63">
        <f t="shared" si="0"/>
        <v>0</v>
      </c>
      <c r="N21">
        <f t="shared" si="1"/>
        <v>1</v>
      </c>
    </row>
    <row r="22" spans="1:14">
      <c r="A22" s="67">
        <v>25</v>
      </c>
      <c r="B22" s="80">
        <f>IF(ISNA(VLOOKUP($A22,DD_Info!$A$1:$E$222,5,0)),0,VLOOKUP($A22,DD_Info!$A$1:$E$222,5,0))</f>
        <v>1</v>
      </c>
      <c r="C22" t="str">
        <f>IF(ISNA(VLOOKUP($A22,DD_Info!$A$1:$E$222,2,0)),0,VLOOKUP($A22,DD_Info!$A$1:$E$222,2,0))</f>
        <v>Alfonso "Obie"  Obregon Sr</v>
      </c>
      <c r="D22" t="str">
        <f>IF(ISNA(VLOOKUP($A22,DD_Info!$A$1:$E$222,3,0)),0,VLOOKUP($A22,DD_Info!$A$1:$E$222,3,0))</f>
        <v>Fort Worth</v>
      </c>
      <c r="E22">
        <f>ROUND(SUMIF(Councils!$C$6:$C$809,$A22,Councils!$E$6:$E$809),0)</f>
        <v>720</v>
      </c>
      <c r="F22">
        <f>ROUND(SUMIF(Councils!$C$6:$C$809,$A22,Councils!$O$6:$O$809)*0.7,0)</f>
        <v>0</v>
      </c>
      <c r="G22">
        <f>ROUND(SUMIF(Councils!$C$6:$C$809,$A22,Councils!$P$6:$P$809)*0.7,0)</f>
        <v>0</v>
      </c>
      <c r="H22">
        <f>ROUND(SUMIF(Councils!$C$6:$C$809,$A22,Councils!$Q$6:$Q$809)*0.7,0)</f>
        <v>0</v>
      </c>
      <c r="I22">
        <f>ROUND(SUMIF(Councils!$C$6:$C$809,$A22,Councils!$R$6:$R$809)*0.7,0)</f>
        <v>0</v>
      </c>
      <c r="J22">
        <f>ROUND(SUMIF(Councils!$C$6:$C$809,$A22,Councils!$S$6:$S$809)*0.7,0)</f>
        <v>3</v>
      </c>
      <c r="K22">
        <f>ROUND(SUMIF(Councils!$C$6:$C$809,$A22,Councils!$T$6:$T$809)*0.7,0)</f>
        <v>4</v>
      </c>
      <c r="L22">
        <f>ROUND(SUMIF(Councils!$C$6:$C$809,$A22,Councils!$U$6:$U$809)*0.7,0)</f>
        <v>-1</v>
      </c>
      <c r="M22" s="63">
        <f t="shared" si="0"/>
        <v>0</v>
      </c>
      <c r="N22">
        <f t="shared" si="1"/>
        <v>1</v>
      </c>
    </row>
    <row r="23" spans="1:14">
      <c r="A23" s="67">
        <v>26</v>
      </c>
      <c r="B23" s="80">
        <f>IF(ISNA(VLOOKUP($A23,DD_Info!$A$1:$E$222,5,0)),0,VLOOKUP($A23,DD_Info!$A$1:$E$222,5,0))</f>
        <v>1</v>
      </c>
      <c r="C23" t="str">
        <f>IF(ISNA(VLOOKUP($A23,DD_Info!$A$1:$E$222,2,0)),0,VLOOKUP($A23,DD_Info!$A$1:$E$222,2,0))</f>
        <v>Gerald  Hightower</v>
      </c>
      <c r="D23" t="str">
        <f>IF(ISNA(VLOOKUP($A23,DD_Info!$A$1:$E$222,3,0)),0,VLOOKUP($A23,DD_Info!$A$1:$E$222,3,0))</f>
        <v>Fort Worth</v>
      </c>
      <c r="E23">
        <f>ROUND(SUMIF(Councils!$C$6:$C$809,$A23,Councils!$E$6:$E$809),0)</f>
        <v>634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1</v>
      </c>
      <c r="I23">
        <f>ROUND(SUMIF(Councils!$C$6:$C$809,$A23,Councils!$R$6:$R$809)*0.7,0)</f>
        <v>-1</v>
      </c>
      <c r="J23">
        <f>ROUND(SUMIF(Councils!$C$6:$C$809,$A23,Councils!$S$6:$S$809)*0.7,0)</f>
        <v>2</v>
      </c>
      <c r="K23">
        <f>ROUND(SUMIF(Councils!$C$6:$C$809,$A23,Councils!$T$6:$T$809)*0.7,0)</f>
        <v>6</v>
      </c>
      <c r="L23">
        <f>ROUND(SUMIF(Councils!$C$6:$C$809,$A23,Councils!$U$6:$U$809)*0.7,0)</f>
        <v>-4</v>
      </c>
      <c r="M23" s="63">
        <f t="shared" si="0"/>
        <v>0</v>
      </c>
      <c r="N23">
        <f t="shared" si="1"/>
        <v>1</v>
      </c>
    </row>
    <row r="24" spans="1:14">
      <c r="A24" s="67">
        <v>27</v>
      </c>
      <c r="B24" s="80">
        <f>IF(ISNA(VLOOKUP($A24,DD_Info!$A$1:$E$222,5,0)),0,VLOOKUP($A24,DD_Info!$A$1:$E$222,5,0))</f>
        <v>1</v>
      </c>
      <c r="C24" t="str">
        <f>IF(ISNA(VLOOKUP($A24,DD_Info!$A$1:$E$222,2,0)),0,VLOOKUP($A24,DD_Info!$A$1:$E$222,2,0))</f>
        <v>Archie  Wright II</v>
      </c>
      <c r="D24" t="str">
        <f>IF(ISNA(VLOOKUP($A24,DD_Info!$A$1:$E$222,3,0)),0,VLOOKUP($A24,DD_Info!$A$1:$E$222,3,0))</f>
        <v>Fort Worth</v>
      </c>
      <c r="E24">
        <f>ROUND(SUMIF(Councils!$C$6:$C$809,$A24,Councils!$E$6:$E$809),0)</f>
        <v>814</v>
      </c>
      <c r="F24">
        <f>ROUND(SUMIF(Councils!$C$6:$C$809,$A24,Councils!$O$6:$O$809)*0.7,0)</f>
        <v>0</v>
      </c>
      <c r="G24">
        <f>ROUND(SUMIF(Councils!$C$6:$C$809,$A24,Councils!$P$6:$P$809)*0.7,0)</f>
        <v>1</v>
      </c>
      <c r="H24">
        <f>ROUND(SUMIF(Councils!$C$6:$C$809,$A24,Councils!$Q$6:$Q$809)*0.7,0)</f>
        <v>1</v>
      </c>
      <c r="I24">
        <f>ROUND(SUMIF(Councils!$C$6:$C$809,$A24,Councils!$R$6:$R$809)*0.7,0)</f>
        <v>0</v>
      </c>
      <c r="J24">
        <f>ROUND(SUMIF(Councils!$C$6:$C$809,$A24,Councils!$S$6:$S$809)*0.7,0)</f>
        <v>7</v>
      </c>
      <c r="K24">
        <f>ROUND(SUMIF(Councils!$C$6:$C$809,$A24,Councils!$T$6:$T$809)*0.7,0)</f>
        <v>2</v>
      </c>
      <c r="L24">
        <f>ROUND(SUMIF(Councils!$C$6:$C$809,$A24,Councils!$U$6:$U$809)*0.7,0)</f>
        <v>5</v>
      </c>
      <c r="M24" s="63">
        <f t="shared" si="0"/>
        <v>0</v>
      </c>
      <c r="N24">
        <f t="shared" si="1"/>
        <v>1</v>
      </c>
    </row>
    <row r="25" spans="1:14">
      <c r="A25" s="67">
        <v>28</v>
      </c>
      <c r="B25" s="80">
        <f>IF(ISNA(VLOOKUP($A25,DD_Info!$A$1:$E$222,5,0)),0,VLOOKUP($A25,DD_Info!$A$1:$E$222,5,0))</f>
        <v>1</v>
      </c>
      <c r="C25" t="str">
        <f>IF(ISNA(VLOOKUP($A25,DD_Info!$A$1:$E$222,2,0)),0,VLOOKUP($A25,DD_Info!$A$1:$E$222,2,0))</f>
        <v>Anson  Geisel</v>
      </c>
      <c r="D25" t="str">
        <f>IF(ISNA(VLOOKUP($A25,DD_Info!$A$1:$E$222,3,0)),0,VLOOKUP($A25,DD_Info!$A$1:$E$222,3,0))</f>
        <v>Fort Worth</v>
      </c>
      <c r="E25">
        <f>ROUND(SUMIF(Councils!$C$6:$C$809,$A25,Councils!$E$6:$E$809),0)</f>
        <v>601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1</v>
      </c>
      <c r="I25">
        <f>ROUND(SUMIF(Councils!$C$6:$C$809,$A25,Councils!$R$6:$R$809)*0.7,0)</f>
        <v>-1</v>
      </c>
      <c r="J25">
        <f>ROUND(SUMIF(Councils!$C$6:$C$809,$A25,Councils!$S$6:$S$809)*0.7,0)</f>
        <v>1</v>
      </c>
      <c r="K25">
        <f>ROUND(SUMIF(Councils!$C$6:$C$809,$A25,Councils!$T$6:$T$809)*0.7,0)</f>
        <v>1</v>
      </c>
      <c r="L25">
        <f>ROUND(SUMIF(Councils!$C$6:$C$809,$A25,Councils!$U$6:$U$809)*0.7,0)</f>
        <v>0</v>
      </c>
      <c r="M25" s="63">
        <f t="shared" si="0"/>
        <v>0</v>
      </c>
      <c r="N25">
        <f t="shared" si="1"/>
        <v>1</v>
      </c>
    </row>
    <row r="26" spans="1:14">
      <c r="A26" s="67">
        <v>29</v>
      </c>
      <c r="B26" s="80">
        <f>IF(ISNA(VLOOKUP($A26,DD_Info!$A$1:$E$222,5,0)),0,VLOOKUP($A26,DD_Info!$A$1:$E$222,5,0))</f>
        <v>3</v>
      </c>
      <c r="C26" t="str">
        <f>IF(ISNA(VLOOKUP($A26,DD_Info!$A$1:$E$222,2,0)),0,VLOOKUP($A26,DD_Info!$A$1:$E$222,2,0))</f>
        <v>James Halfmann</v>
      </c>
      <c r="D26" t="str">
        <f>IF(ISNA(VLOOKUP($A26,DD_Info!$A$1:$E$222,3,0)),0,VLOOKUP($A26,DD_Info!$A$1:$E$222,3,0))</f>
        <v>Fort Worth</v>
      </c>
      <c r="E26">
        <f>ROUND(SUMIF(Councils!$C$6:$C$809,$A26,Councils!$E$6:$E$809),0)</f>
        <v>156</v>
      </c>
      <c r="F26">
        <f>ROUND(SUMIF(Councils!$C$6:$C$809,$A26,Councils!$O$6:$O$809)*0.7,0)</f>
        <v>0</v>
      </c>
      <c r="G26">
        <f>ROUND(SUMIF(Councils!$C$6:$C$809,$A26,Councils!$P$6:$P$809)*0.7,0)</f>
        <v>1</v>
      </c>
      <c r="H26">
        <f>ROUND(SUMIF(Councils!$C$6:$C$809,$A26,Councils!$Q$6:$Q$809)*0.7,0)</f>
        <v>1</v>
      </c>
      <c r="I26">
        <f>ROUND(SUMIF(Councils!$C$6:$C$809,$A26,Councils!$R$6:$R$809)*0.7,0)</f>
        <v>0</v>
      </c>
      <c r="J26">
        <f>ROUND(SUMIF(Councils!$C$6:$C$809,$A26,Councils!$S$6:$S$809)*0.7,0)</f>
        <v>1</v>
      </c>
      <c r="K26">
        <f>ROUND(SUMIF(Councils!$C$6:$C$809,$A26,Councils!$T$6:$T$809)*0.7,0)</f>
        <v>1</v>
      </c>
      <c r="L26">
        <f>ROUND(SUMIF(Councils!$C$6:$C$809,$A26,Councils!$U$6:$U$809)*0.7,0)</f>
        <v>0</v>
      </c>
      <c r="M26" s="63">
        <f t="shared" si="0"/>
        <v>0</v>
      </c>
      <c r="N26">
        <f t="shared" si="1"/>
        <v>1</v>
      </c>
    </row>
    <row r="27" spans="1:14">
      <c r="A27" s="67">
        <v>30</v>
      </c>
      <c r="B27" s="80">
        <f>IF(ISNA(VLOOKUP($A27,DD_Info!$A$1:$E$222,5,0)),0,VLOOKUP($A27,DD_Info!$A$1:$E$222,5,0))</f>
        <v>2</v>
      </c>
      <c r="C27" t="str">
        <f>IF(ISNA(VLOOKUP($A27,DD_Info!$A$1:$E$222,2,0)),0,VLOOKUP($A27,DD_Info!$A$1:$E$222,2,0))</f>
        <v>Robert  Daleo</v>
      </c>
      <c r="D27" t="str">
        <f>IF(ISNA(VLOOKUP($A27,DD_Info!$A$1:$E$222,3,0)),0,VLOOKUP($A27,DD_Info!$A$1:$E$222,3,0))</f>
        <v>Fort Worth</v>
      </c>
      <c r="E27">
        <f>ROUND(SUMIF(Councils!$C$6:$C$809,$A27,Councils!$E$6:$E$809),0)</f>
        <v>436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1</v>
      </c>
    </row>
    <row r="28" spans="1:14">
      <c r="A28" s="67">
        <v>31</v>
      </c>
      <c r="B28" s="80">
        <f>IF(ISNA(VLOOKUP($A28,DD_Info!$A$1:$E$222,5,0)),0,VLOOKUP($A28,DD_Info!$A$1:$E$222,5,0))</f>
        <v>3</v>
      </c>
      <c r="C28" t="str">
        <f>IF(ISNA(VLOOKUP($A28,DD_Info!$A$1:$E$222,2,0)),0,VLOOKUP($A28,DD_Info!$A$1:$E$222,2,0))</f>
        <v>William  Tillotson</v>
      </c>
      <c r="D28" t="str">
        <f>IF(ISNA(VLOOKUP($A28,DD_Info!$A$1:$E$222,3,0)),0,VLOOKUP($A28,DD_Info!$A$1:$E$222,3,0))</f>
        <v>Fort Worth</v>
      </c>
      <c r="E28">
        <f>ROUND(SUMIF(Councils!$C$6:$C$809,$A28,Councils!$E$6:$E$809),0)</f>
        <v>42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0</v>
      </c>
      <c r="K28">
        <f>ROUND(SUMIF(Councils!$C$6:$C$809,$A28,Councils!$T$6:$T$809)*0.7,0)</f>
        <v>0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1</v>
      </c>
    </row>
    <row r="29" spans="1:14">
      <c r="A29" s="67">
        <v>36</v>
      </c>
      <c r="B29" s="80">
        <f>IF(ISNA(VLOOKUP($A29,DD_Info!$A$1:$E$222,5,0)),0,VLOOKUP($A29,DD_Info!$A$1:$E$222,5,0))</f>
        <v>2</v>
      </c>
      <c r="C29" t="str">
        <f>IF(ISNA(VLOOKUP($A29,DD_Info!$A$1:$E$222,2,0)),0,VLOOKUP($A29,DD_Info!$A$1:$E$222,2,0))</f>
        <v>Armando R Vasquez</v>
      </c>
      <c r="D29" t="str">
        <f>IF(ISNA(VLOOKUP($A29,DD_Info!$A$1:$E$222,3,0)),0,VLOOKUP($A29,DD_Info!$A$1:$E$222,3,0))</f>
        <v>San Antonio</v>
      </c>
      <c r="E29">
        <f>ROUND(SUMIF(Councils!$C$6:$C$809,$A29,Councils!$E$6:$E$809),0)</f>
        <v>419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1</v>
      </c>
      <c r="K29">
        <f>ROUND(SUMIF(Councils!$C$6:$C$809,$A29,Councils!$T$6:$T$809)*0.7,0)</f>
        <v>1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1</v>
      </c>
    </row>
    <row r="30" spans="1:14">
      <c r="A30" s="67">
        <v>37</v>
      </c>
      <c r="B30" s="80">
        <f>IF(ISNA(VLOOKUP($A30,DD_Info!$A$1:$E$222,5,0)),0,VLOOKUP($A30,DD_Info!$A$1:$E$222,5,0))</f>
        <v>2</v>
      </c>
      <c r="C30" t="str">
        <f>IF(ISNA(VLOOKUP($A30,DD_Info!$A$1:$E$222,2,0)),0,VLOOKUP($A30,DD_Info!$A$1:$E$222,2,0))</f>
        <v>Ruben R Elizondo</v>
      </c>
      <c r="D30" t="str">
        <f>IF(ISNA(VLOOKUP($A30,DD_Info!$A$1:$E$222,3,0)),0,VLOOKUP($A30,DD_Info!$A$1:$E$222,3,0))</f>
        <v>San Antonio</v>
      </c>
      <c r="E30">
        <f>ROUND(SUMIF(Councils!$C$6:$C$809,$A30,Councils!$E$6:$E$809),0)</f>
        <v>463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1</v>
      </c>
      <c r="I30">
        <f>ROUND(SUMIF(Councils!$C$6:$C$809,$A30,Councils!$R$6:$R$809)*0.7,0)</f>
        <v>-1</v>
      </c>
      <c r="J30">
        <f>ROUND(SUMIF(Councils!$C$6:$C$809,$A30,Councils!$S$6:$S$809)*0.7,0)</f>
        <v>4</v>
      </c>
      <c r="K30">
        <f>ROUND(SUMIF(Councils!$C$6:$C$809,$A30,Councils!$T$6:$T$809)*0.7,0)</f>
        <v>2</v>
      </c>
      <c r="L30">
        <f>ROUND(SUMIF(Councils!$C$6:$C$809,$A30,Councils!$U$6:$U$809)*0.7,0)</f>
        <v>1</v>
      </c>
      <c r="M30" s="63">
        <f t="shared" si="0"/>
        <v>0</v>
      </c>
      <c r="N30">
        <f t="shared" si="1"/>
        <v>1</v>
      </c>
    </row>
    <row r="31" spans="1:14">
      <c r="A31" s="67">
        <v>38</v>
      </c>
      <c r="B31" s="80">
        <f>IF(ISNA(VLOOKUP($A31,DD_Info!$A$1:$E$222,5,0)),0,VLOOKUP($A31,DD_Info!$A$1:$E$222,5,0))</f>
        <v>2</v>
      </c>
      <c r="C31" t="str">
        <f>IF(ISNA(VLOOKUP($A31,DD_Info!$A$1:$E$222,2,0)),0,VLOOKUP($A31,DD_Info!$A$1:$E$222,2,0))</f>
        <v>Fernando  Herrera</v>
      </c>
      <c r="D31" t="str">
        <f>IF(ISNA(VLOOKUP($A31,DD_Info!$A$1:$E$222,3,0)),0,VLOOKUP($A31,DD_Info!$A$1:$E$222,3,0))</f>
        <v>San Antonio</v>
      </c>
      <c r="E31">
        <f>ROUND(SUMIF(Councils!$C$6:$C$809,$A31,Councils!$E$6:$E$809),0)</f>
        <v>309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1</v>
      </c>
      <c r="I31">
        <f>ROUND(SUMIF(Councils!$C$6:$C$809,$A31,Councils!$R$6:$R$809)*0.7,0)</f>
        <v>-1</v>
      </c>
      <c r="J31">
        <f>ROUND(SUMIF(Councils!$C$6:$C$809,$A31,Councils!$S$6:$S$809)*0.7,0)</f>
        <v>1</v>
      </c>
      <c r="K31">
        <f>ROUND(SUMIF(Councils!$C$6:$C$809,$A31,Councils!$T$6:$T$809)*0.7,0)</f>
        <v>1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1</v>
      </c>
    </row>
    <row r="32" spans="1:14">
      <c r="A32" s="67">
        <v>39</v>
      </c>
      <c r="B32" s="80">
        <f>IF(ISNA(VLOOKUP($A32,DD_Info!$A$1:$E$222,5,0)),0,VLOOKUP($A32,DD_Info!$A$1:$E$222,5,0))</f>
        <v>2</v>
      </c>
      <c r="C32" t="str">
        <f>IF(ISNA(VLOOKUP($A32,DD_Info!$A$1:$E$222,2,0)),0,VLOOKUP($A32,DD_Info!$A$1:$E$222,2,0))</f>
        <v>Carlos  Delgado</v>
      </c>
      <c r="D32" t="str">
        <f>IF(ISNA(VLOOKUP($A32,DD_Info!$A$1:$E$222,3,0)),0,VLOOKUP($A32,DD_Info!$A$1:$E$222,3,0))</f>
        <v>San Antonio</v>
      </c>
      <c r="E32">
        <f>ROUND(SUMIF(Councils!$C$6:$C$809,$A32,Councils!$E$6:$E$809),0)</f>
        <v>405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1</v>
      </c>
      <c r="I32">
        <f>ROUND(SUMIF(Councils!$C$6:$C$809,$A32,Councils!$R$6:$R$809)*0.7,0)</f>
        <v>-1</v>
      </c>
      <c r="J32">
        <f>ROUND(SUMIF(Councils!$C$6:$C$809,$A32,Councils!$S$6:$S$809)*0.7,0)</f>
        <v>0</v>
      </c>
      <c r="K32">
        <f>ROUND(SUMIF(Councils!$C$6:$C$809,$A32,Councils!$T$6:$T$809)*0.7,0)</f>
        <v>1</v>
      </c>
      <c r="L32">
        <f>ROUND(SUMIF(Councils!$C$6:$C$809,$A32,Councils!$U$6:$U$809)*0.7,0)</f>
        <v>-1</v>
      </c>
      <c r="M32" s="63">
        <f t="shared" si="0"/>
        <v>0</v>
      </c>
      <c r="N32">
        <f t="shared" si="1"/>
        <v>1</v>
      </c>
    </row>
    <row r="33" spans="1:14">
      <c r="A33" s="67">
        <v>40</v>
      </c>
      <c r="B33" s="80">
        <f>IF(ISNA(VLOOKUP($A33,DD_Info!$A$1:$E$222,5,0)),0,VLOOKUP($A33,DD_Info!$A$1:$E$222,5,0))</f>
        <v>1</v>
      </c>
      <c r="C33" t="str">
        <f>IF(ISNA(VLOOKUP($A33,DD_Info!$A$1:$E$222,2,0)),0,VLOOKUP($A33,DD_Info!$A$1:$E$222,2,0))</f>
        <v>Dan  Rangel</v>
      </c>
      <c r="D33" t="str">
        <f>IF(ISNA(VLOOKUP($A33,DD_Info!$A$1:$E$222,3,0)),0,VLOOKUP($A33,DD_Info!$A$1:$E$222,3,0))</f>
        <v>San Antonio</v>
      </c>
      <c r="E33">
        <f>ROUND(SUMIF(Councils!$C$6:$C$809,$A33,Councils!$E$6:$E$809),0)</f>
        <v>1035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0</v>
      </c>
      <c r="I33">
        <f>ROUND(SUMIF(Councils!$C$6:$C$809,$A33,Councils!$R$6:$R$809)*0.7,0)</f>
        <v>0</v>
      </c>
      <c r="J33">
        <f>ROUND(SUMIF(Councils!$C$6:$C$809,$A33,Councils!$S$6:$S$809)*0.7,0)</f>
        <v>5</v>
      </c>
      <c r="K33">
        <f>ROUND(SUMIF(Councils!$C$6:$C$809,$A33,Councils!$T$6:$T$809)*0.7,0)</f>
        <v>8</v>
      </c>
      <c r="L33">
        <f>ROUND(SUMIF(Councils!$C$6:$C$809,$A33,Councils!$U$6:$U$809)*0.7,0)</f>
        <v>-4</v>
      </c>
      <c r="M33" s="63">
        <f t="shared" si="0"/>
        <v>0</v>
      </c>
      <c r="N33">
        <f t="shared" si="1"/>
        <v>1</v>
      </c>
    </row>
    <row r="34" spans="1:14">
      <c r="A34" s="67">
        <v>41</v>
      </c>
      <c r="B34" s="80">
        <f>IF(ISNA(VLOOKUP($A34,DD_Info!$A$1:$E$222,5,0)),0,VLOOKUP($A34,DD_Info!$A$1:$E$222,5,0))</f>
        <v>1</v>
      </c>
      <c r="C34" t="str">
        <f>IF(ISNA(VLOOKUP($A34,DD_Info!$A$1:$E$222,2,0)),0,VLOOKUP($A34,DD_Info!$A$1:$E$222,2,0))</f>
        <v>Jaime  Piedra</v>
      </c>
      <c r="D34" t="str">
        <f>IF(ISNA(VLOOKUP($A34,DD_Info!$A$1:$E$222,3,0)),0,VLOOKUP($A34,DD_Info!$A$1:$E$222,3,0))</f>
        <v>San Antonio</v>
      </c>
      <c r="E34">
        <f>ROUND(SUMIF(Councils!$C$6:$C$809,$A34,Councils!$E$6:$E$809),0)</f>
        <v>698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0</v>
      </c>
      <c r="I34">
        <f>ROUND(SUMIF(Councils!$C$6:$C$809,$A34,Councils!$R$6:$R$809)*0.7,0)</f>
        <v>0</v>
      </c>
      <c r="J34">
        <f>ROUND(SUMIF(Councils!$C$6:$C$809,$A34,Councils!$S$6:$S$809)*0.7,0)</f>
        <v>2</v>
      </c>
      <c r="K34">
        <f>ROUND(SUMIF(Councils!$C$6:$C$809,$A34,Councils!$T$6:$T$809)*0.7,0)</f>
        <v>4</v>
      </c>
      <c r="L34">
        <f>ROUND(SUMIF(Councils!$C$6:$C$809,$A34,Councils!$U$6:$U$809)*0.7,0)</f>
        <v>-1</v>
      </c>
      <c r="M34" s="63">
        <f t="shared" si="0"/>
        <v>0</v>
      </c>
      <c r="N34">
        <f t="shared" si="1"/>
        <v>1</v>
      </c>
    </row>
    <row r="35" spans="1:14">
      <c r="A35" s="67">
        <v>42</v>
      </c>
      <c r="B35" s="80">
        <f>IF(ISNA(VLOOKUP($A35,DD_Info!$A$1:$E$222,5,0)),0,VLOOKUP($A35,DD_Info!$A$1:$E$222,5,0))</f>
        <v>1</v>
      </c>
      <c r="C35" t="str">
        <f>IF(ISNA(VLOOKUP($A35,DD_Info!$A$1:$E$222,2,0)),0,VLOOKUP($A35,DD_Info!$A$1:$E$222,2,0))</f>
        <v>Michael W Trevino</v>
      </c>
      <c r="D35" t="str">
        <f>IF(ISNA(VLOOKUP($A35,DD_Info!$A$1:$E$222,3,0)),0,VLOOKUP($A35,DD_Info!$A$1:$E$222,3,0))</f>
        <v>San Antonio</v>
      </c>
      <c r="E35">
        <f>ROUND(SUMIF(Councils!$C$6:$C$809,$A35,Councils!$E$6:$E$809),0)</f>
        <v>926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5</v>
      </c>
      <c r="K35">
        <f>ROUND(SUMIF(Councils!$C$6:$C$809,$A35,Councils!$T$6:$T$809)*0.7,0)</f>
        <v>4</v>
      </c>
      <c r="L35">
        <f>ROUND(SUMIF(Councils!$C$6:$C$809,$A35,Councils!$U$6:$U$809)*0.7,0)</f>
        <v>1</v>
      </c>
      <c r="M35" s="63">
        <f t="shared" si="0"/>
        <v>0</v>
      </c>
      <c r="N35">
        <f t="shared" si="1"/>
        <v>1</v>
      </c>
    </row>
    <row r="36" spans="1:14">
      <c r="A36" s="67">
        <v>43</v>
      </c>
      <c r="B36" s="80">
        <f>IF(ISNA(VLOOKUP($A36,DD_Info!$A$1:$E$222,5,0)),0,VLOOKUP($A36,DD_Info!$A$1:$E$222,5,0))</f>
        <v>1</v>
      </c>
      <c r="C36" t="str">
        <f>IF(ISNA(VLOOKUP($A36,DD_Info!$A$1:$E$222,2,0)),0,VLOOKUP($A36,DD_Info!$A$1:$E$222,2,0))</f>
        <v>William A Torres</v>
      </c>
      <c r="D36" t="str">
        <f>IF(ISNA(VLOOKUP($A36,DD_Info!$A$1:$E$222,3,0)),0,VLOOKUP($A36,DD_Info!$A$1:$E$222,3,0))</f>
        <v>San Antonio</v>
      </c>
      <c r="E36">
        <f>ROUND(SUMIF(Councils!$C$6:$C$809,$A36,Councils!$E$6:$E$809),0)</f>
        <v>1403</v>
      </c>
      <c r="F36">
        <f>ROUND(SUMIF(Councils!$C$6:$C$809,$A36,Councils!$O$6:$O$809)*0.7,0)</f>
        <v>0</v>
      </c>
      <c r="G36">
        <f>ROUND(SUMIF(Councils!$C$6:$C$809,$A36,Councils!$P$6:$P$809)*0.7,0)</f>
        <v>0</v>
      </c>
      <c r="H36">
        <f>ROUND(SUMIF(Councils!$C$6:$C$809,$A36,Councils!$Q$6:$Q$809)*0.7,0)</f>
        <v>1</v>
      </c>
      <c r="I36">
        <f>ROUND(SUMIF(Councils!$C$6:$C$809,$A36,Councils!$R$6:$R$809)*0.7,0)</f>
        <v>-1</v>
      </c>
      <c r="J36">
        <f>ROUND(SUMIF(Councils!$C$6:$C$809,$A36,Councils!$S$6:$S$809)*0.7,0)</f>
        <v>6</v>
      </c>
      <c r="K36">
        <f>ROUND(SUMIF(Councils!$C$6:$C$809,$A36,Councils!$T$6:$T$809)*0.7,0)</f>
        <v>5</v>
      </c>
      <c r="L36">
        <f>ROUND(SUMIF(Councils!$C$6:$C$809,$A36,Councils!$U$6:$U$809)*0.7,0)</f>
        <v>1</v>
      </c>
      <c r="M36" s="63">
        <f t="shared" si="0"/>
        <v>0</v>
      </c>
      <c r="N36">
        <f t="shared" si="1"/>
        <v>1</v>
      </c>
    </row>
    <row r="37" spans="1:14">
      <c r="A37" s="67">
        <v>44</v>
      </c>
      <c r="B37" s="80">
        <f>IF(ISNA(VLOOKUP($A37,DD_Info!$A$1:$E$222,5,0)),0,VLOOKUP($A37,DD_Info!$A$1:$E$222,5,0))</f>
        <v>3</v>
      </c>
      <c r="C37" t="str">
        <f>IF(ISNA(VLOOKUP($A37,DD_Info!$A$1:$E$222,2,0)),0,VLOOKUP($A37,DD_Info!$A$1:$E$222,2,0))</f>
        <v>James A Matz</v>
      </c>
      <c r="D37" t="str">
        <f>IF(ISNA(VLOOKUP($A37,DD_Info!$A$1:$E$222,3,0)),0,VLOOKUP($A37,DD_Info!$A$1:$E$222,3,0))</f>
        <v>San Antonio</v>
      </c>
      <c r="E37">
        <f>ROUND(SUMIF(Councils!$C$6:$C$809,$A37,Councils!$E$6:$E$809),0)</f>
        <v>264</v>
      </c>
      <c r="F37">
        <f>ROUND(SUMIF(Councils!$C$6:$C$809,$A37,Councils!$O$6:$O$809)*0.7,0)</f>
        <v>0</v>
      </c>
      <c r="G37">
        <f>ROUND(SUMIF(Councils!$C$6:$C$809,$A37,Councils!$P$6:$P$809)*0.7,0)</f>
        <v>0</v>
      </c>
      <c r="H37">
        <f>ROUND(SUMIF(Councils!$C$6:$C$809,$A37,Councils!$Q$6:$Q$809)*0.7,0)</f>
        <v>1</v>
      </c>
      <c r="I37">
        <f>ROUND(SUMIF(Councils!$C$6:$C$809,$A37,Councils!$R$6:$R$809)*0.7,0)</f>
        <v>-1</v>
      </c>
      <c r="J37">
        <f>ROUND(SUMIF(Councils!$C$6:$C$809,$A37,Councils!$S$6:$S$809)*0.7,0)</f>
        <v>1</v>
      </c>
      <c r="K37">
        <f>ROUND(SUMIF(Councils!$C$6:$C$809,$A37,Councils!$T$6:$T$809)*0.7,0)</f>
        <v>1</v>
      </c>
      <c r="L37">
        <f>ROUND(SUMIF(Councils!$C$6:$C$809,$A37,Councils!$U$6:$U$809)*0.7,0)</f>
        <v>0</v>
      </c>
      <c r="M37" s="63">
        <f t="shared" si="0"/>
        <v>0</v>
      </c>
      <c r="N37">
        <f t="shared" si="1"/>
        <v>1</v>
      </c>
    </row>
    <row r="38" spans="1:14">
      <c r="A38" s="67">
        <v>45</v>
      </c>
      <c r="B38" s="80">
        <f>IF(ISNA(VLOOKUP($A38,DD_Info!$A$1:$E$222,5,0)),0,VLOOKUP($A38,DD_Info!$A$1:$E$222,5,0))</f>
        <v>1</v>
      </c>
      <c r="C38" t="str">
        <f>IF(ISNA(VLOOKUP($A38,DD_Info!$A$1:$E$222,2,0)),0,VLOOKUP($A38,DD_Info!$A$1:$E$222,2,0))</f>
        <v>Joseph L Zimmer</v>
      </c>
      <c r="D38" t="str">
        <f>IF(ISNA(VLOOKUP($A38,DD_Info!$A$1:$E$222,3,0)),0,VLOOKUP($A38,DD_Info!$A$1:$E$222,3,0))</f>
        <v>San Antonio</v>
      </c>
      <c r="E38">
        <f>ROUND(SUMIF(Councils!$C$6:$C$809,$A38,Councils!$E$6:$E$809),0)</f>
        <v>831</v>
      </c>
      <c r="F38">
        <f>ROUND(SUMIF(Councils!$C$6:$C$809,$A38,Councils!$O$6:$O$809)*0.7,0)</f>
        <v>0</v>
      </c>
      <c r="G38">
        <f>ROUND(SUMIF(Councils!$C$6:$C$809,$A38,Councils!$P$6:$P$809)*0.7,0)</f>
        <v>1</v>
      </c>
      <c r="H38">
        <f>ROUND(SUMIF(Councils!$C$6:$C$809,$A38,Councils!$Q$6:$Q$809)*0.7,0)</f>
        <v>1</v>
      </c>
      <c r="I38">
        <f>ROUND(SUMIF(Councils!$C$6:$C$809,$A38,Councils!$R$6:$R$809)*0.7,0)</f>
        <v>0</v>
      </c>
      <c r="J38">
        <f>ROUND(SUMIF(Councils!$C$6:$C$809,$A38,Councils!$S$6:$S$809)*0.7,0)</f>
        <v>3</v>
      </c>
      <c r="K38">
        <f>ROUND(SUMIF(Councils!$C$6:$C$809,$A38,Councils!$T$6:$T$809)*0.7,0)</f>
        <v>1</v>
      </c>
      <c r="L38">
        <f>ROUND(SUMIF(Councils!$C$6:$C$809,$A38,Councils!$U$6:$U$809)*0.7,0)</f>
        <v>1</v>
      </c>
      <c r="M38" s="63">
        <f t="shared" si="0"/>
        <v>0</v>
      </c>
      <c r="N38">
        <f t="shared" si="1"/>
        <v>1</v>
      </c>
    </row>
    <row r="39" spans="1:14">
      <c r="A39" s="67">
        <v>46</v>
      </c>
      <c r="B39" s="80">
        <f>IF(ISNA(VLOOKUP($A39,DD_Info!$A$1:$E$222,5,0)),0,VLOOKUP($A39,DD_Info!$A$1:$E$222,5,0))</f>
        <v>1</v>
      </c>
      <c r="C39" t="str">
        <f>IF(ISNA(VLOOKUP($A39,DD_Info!$A$1:$E$222,2,0)),0,VLOOKUP($A39,DD_Info!$A$1:$E$222,2,0))</f>
        <v>Hermilo  Silva</v>
      </c>
      <c r="D39" t="str">
        <f>IF(ISNA(VLOOKUP($A39,DD_Info!$A$1:$E$222,3,0)),0,VLOOKUP($A39,DD_Info!$A$1:$E$222,3,0))</f>
        <v>San Antonio</v>
      </c>
      <c r="E39">
        <f>ROUND(SUMIF(Councils!$C$6:$C$809,$A39,Councils!$E$6:$E$809),0)</f>
        <v>705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1</v>
      </c>
      <c r="I39">
        <f>ROUND(SUMIF(Councils!$C$6:$C$809,$A39,Councils!$R$6:$R$809)*0.7,0)</f>
        <v>-1</v>
      </c>
      <c r="J39">
        <f>ROUND(SUMIF(Councils!$C$6:$C$809,$A39,Councils!$S$6:$S$809)*0.7,0)</f>
        <v>3</v>
      </c>
      <c r="K39">
        <f>ROUND(SUMIF(Councils!$C$6:$C$809,$A39,Councils!$T$6:$T$809)*0.7,0)</f>
        <v>1</v>
      </c>
      <c r="L39">
        <f>ROUND(SUMIF(Councils!$C$6:$C$809,$A39,Councils!$U$6:$U$809)*0.7,0)</f>
        <v>2</v>
      </c>
      <c r="M39" s="63">
        <f t="shared" si="0"/>
        <v>0</v>
      </c>
      <c r="N39">
        <f t="shared" si="1"/>
        <v>1</v>
      </c>
    </row>
    <row r="40" spans="1:14">
      <c r="A40" s="67">
        <v>47</v>
      </c>
      <c r="B40" s="80">
        <f>IF(ISNA(VLOOKUP($A40,DD_Info!$A$1:$E$222,5,0)),0,VLOOKUP($A40,DD_Info!$A$1:$E$222,5,0))</f>
        <v>2</v>
      </c>
      <c r="C40" t="str">
        <f>IF(ISNA(VLOOKUP($A40,DD_Info!$A$1:$E$222,2,0)),0,VLOOKUP($A40,DD_Info!$A$1:$E$222,2,0))</f>
        <v>George H Cheney</v>
      </c>
      <c r="D40" t="str">
        <f>IF(ISNA(VLOOKUP($A40,DD_Info!$A$1:$E$222,3,0)),0,VLOOKUP($A40,DD_Info!$A$1:$E$222,3,0))</f>
        <v>San Antonio</v>
      </c>
      <c r="E40">
        <f>ROUND(SUMIF(Councils!$C$6:$C$809,$A40,Councils!$E$6:$E$809),0)</f>
        <v>489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1</v>
      </c>
      <c r="I40">
        <f>ROUND(SUMIF(Councils!$C$6:$C$809,$A40,Councils!$R$6:$R$809)*0.7,0)</f>
        <v>-1</v>
      </c>
      <c r="J40">
        <f>ROUND(SUMIF(Councils!$C$6:$C$809,$A40,Councils!$S$6:$S$809)*0.7,0)</f>
        <v>4</v>
      </c>
      <c r="K40">
        <f>ROUND(SUMIF(Councils!$C$6:$C$809,$A40,Councils!$T$6:$T$809)*0.7,0)</f>
        <v>1</v>
      </c>
      <c r="L40">
        <f>ROUND(SUMIF(Councils!$C$6:$C$809,$A40,Councils!$U$6:$U$809)*0.7,0)</f>
        <v>3</v>
      </c>
      <c r="M40" s="63">
        <f t="shared" si="0"/>
        <v>0</v>
      </c>
      <c r="N40">
        <f t="shared" si="1"/>
        <v>1</v>
      </c>
    </row>
    <row r="41" spans="1:14">
      <c r="A41" s="67">
        <v>48</v>
      </c>
      <c r="B41" s="80">
        <f>IF(ISNA(VLOOKUP($A41,DD_Info!$A$1:$E$222,5,0)),0,VLOOKUP($A41,DD_Info!$A$1:$E$222,5,0))</f>
        <v>1</v>
      </c>
      <c r="C41" t="str">
        <f>IF(ISNA(VLOOKUP($A41,DD_Info!$A$1:$E$222,2,0)),0,VLOOKUP($A41,DD_Info!$A$1:$E$222,2,0))</f>
        <v>Henry  Alves</v>
      </c>
      <c r="D41" t="str">
        <f>IF(ISNA(VLOOKUP($A41,DD_Info!$A$1:$E$222,3,0)),0,VLOOKUP($A41,DD_Info!$A$1:$E$222,3,0))</f>
        <v>San Antonio</v>
      </c>
      <c r="E41">
        <f>ROUND(SUMIF(Councils!$C$6:$C$809,$A41,Councils!$E$6:$E$809),0)</f>
        <v>659</v>
      </c>
      <c r="F41">
        <f>ROUND(SUMIF(Councils!$C$6:$C$809,$A41,Councils!$O$6:$O$809)*0.7,0)</f>
        <v>0</v>
      </c>
      <c r="G41">
        <f>ROUND(SUMIF(Councils!$C$6:$C$809,$A41,Councils!$P$6:$P$809)*0.7,0)</f>
        <v>1</v>
      </c>
      <c r="H41">
        <f>ROUND(SUMIF(Councils!$C$6:$C$809,$A41,Councils!$Q$6:$Q$809)*0.7,0)</f>
        <v>0</v>
      </c>
      <c r="I41">
        <f>ROUND(SUMIF(Councils!$C$6:$C$809,$A41,Councils!$R$6:$R$809)*0.7,0)</f>
        <v>1</v>
      </c>
      <c r="J41">
        <f>ROUND(SUMIF(Councils!$C$6:$C$809,$A41,Councils!$S$6:$S$809)*0.7,0)</f>
        <v>3</v>
      </c>
      <c r="K41">
        <f>ROUND(SUMIF(Councils!$C$6:$C$809,$A41,Councils!$T$6:$T$809)*0.7,0)</f>
        <v>4</v>
      </c>
      <c r="L41">
        <f>ROUND(SUMIF(Councils!$C$6:$C$809,$A41,Councils!$U$6:$U$809)*0.7,0)</f>
        <v>-1</v>
      </c>
      <c r="M41" s="63">
        <f t="shared" si="0"/>
        <v>0</v>
      </c>
      <c r="N41">
        <f t="shared" si="1"/>
        <v>1</v>
      </c>
    </row>
    <row r="42" spans="1:14">
      <c r="A42" s="67">
        <v>49</v>
      </c>
      <c r="B42" s="80">
        <f>IF(ISNA(VLOOKUP($A42,DD_Info!$A$1:$E$222,5,0)),0,VLOOKUP($A42,DD_Info!$A$1:$E$222,5,0))</f>
        <v>2</v>
      </c>
      <c r="C42" t="str">
        <f>IF(ISNA(VLOOKUP($A42,DD_Info!$A$1:$E$222,2,0)),0,VLOOKUP($A42,DD_Info!$A$1:$E$222,2,0))</f>
        <v>Oscar M Caballero</v>
      </c>
      <c r="D42" t="str">
        <f>IF(ISNA(VLOOKUP($A42,DD_Info!$A$1:$E$222,3,0)),0,VLOOKUP($A42,DD_Info!$A$1:$E$222,3,0))</f>
        <v>San Antonio</v>
      </c>
      <c r="E42">
        <f>ROUND(SUMIF(Councils!$C$6:$C$809,$A42,Councils!$E$6:$E$809),0)</f>
        <v>494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1</v>
      </c>
      <c r="I42">
        <f>ROUND(SUMIF(Councils!$C$6:$C$809,$A42,Councils!$R$6:$R$809)*0.7,0)</f>
        <v>-1</v>
      </c>
      <c r="J42">
        <f>ROUND(SUMIF(Councils!$C$6:$C$809,$A42,Councils!$S$6:$S$809)*0.7,0)</f>
        <v>1</v>
      </c>
      <c r="K42">
        <f>ROUND(SUMIF(Councils!$C$6:$C$809,$A42,Councils!$T$6:$T$809)*0.7,0)</f>
        <v>2</v>
      </c>
      <c r="L42">
        <f>ROUND(SUMIF(Councils!$C$6:$C$809,$A42,Councils!$U$6:$U$809)*0.7,0)</f>
        <v>-1</v>
      </c>
      <c r="M42" s="63">
        <f t="shared" si="0"/>
        <v>0</v>
      </c>
      <c r="N42">
        <f t="shared" si="1"/>
        <v>1</v>
      </c>
    </row>
    <row r="43" spans="1:14">
      <c r="A43" s="67">
        <v>50</v>
      </c>
      <c r="B43" s="80">
        <f>IF(ISNA(VLOOKUP($A43,DD_Info!$A$1:$E$222,5,0)),0,VLOOKUP($A43,DD_Info!$A$1:$E$222,5,0))</f>
        <v>2</v>
      </c>
      <c r="C43" t="str">
        <f>IF(ISNA(VLOOKUP($A43,DD_Info!$A$1:$E$222,2,0)),0,VLOOKUP($A43,DD_Info!$A$1:$E$222,2,0))</f>
        <v>Phillip  Reyes</v>
      </c>
      <c r="D43" t="str">
        <f>IF(ISNA(VLOOKUP($A43,DD_Info!$A$1:$E$222,3,0)),0,VLOOKUP($A43,DD_Info!$A$1:$E$222,3,0))</f>
        <v>San Antonio</v>
      </c>
      <c r="E43">
        <f>ROUND(SUMIF(Councils!$C$6:$C$809,$A43,Councils!$E$6:$E$809),0)</f>
        <v>403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1</v>
      </c>
      <c r="I43">
        <f>ROUND(SUMIF(Councils!$C$6:$C$809,$A43,Councils!$R$6:$R$809)*0.7,0)</f>
        <v>-1</v>
      </c>
      <c r="J43">
        <f>ROUND(SUMIF(Councils!$C$6:$C$809,$A43,Councils!$S$6:$S$809)*0.7,0)</f>
        <v>2</v>
      </c>
      <c r="K43">
        <f>ROUND(SUMIF(Councils!$C$6:$C$809,$A43,Councils!$T$6:$T$809)*0.7,0)</f>
        <v>1</v>
      </c>
      <c r="L43">
        <f>ROUND(SUMIF(Councils!$C$6:$C$809,$A43,Councils!$U$6:$U$809)*0.7,0)</f>
        <v>1</v>
      </c>
      <c r="M43" s="63">
        <f t="shared" si="0"/>
        <v>0</v>
      </c>
      <c r="N43">
        <f t="shared" si="1"/>
        <v>1</v>
      </c>
    </row>
    <row r="44" spans="1:14">
      <c r="A44" s="67">
        <v>51</v>
      </c>
      <c r="B44" s="80">
        <f>IF(ISNA(VLOOKUP($A44,DD_Info!$A$1:$E$222,5,0)),0,VLOOKUP($A44,DD_Info!$A$1:$E$222,5,0))</f>
        <v>1</v>
      </c>
      <c r="C44" t="str">
        <f>IF(ISNA(VLOOKUP($A44,DD_Info!$A$1:$E$222,2,0)),0,VLOOKUP($A44,DD_Info!$A$1:$E$222,2,0))</f>
        <v>Edvardo  Garcia</v>
      </c>
      <c r="D44" t="str">
        <f>IF(ISNA(VLOOKUP($A44,DD_Info!$A$1:$E$222,3,0)),0,VLOOKUP($A44,DD_Info!$A$1:$E$222,3,0))</f>
        <v>San Antonio</v>
      </c>
      <c r="E44">
        <f>ROUND(SUMIF(Councils!$C$6:$C$809,$A44,Councils!$E$6:$E$809),0)</f>
        <v>970</v>
      </c>
      <c r="F44">
        <f>ROUND(SUMIF(Councils!$C$6:$C$809,$A44,Councils!$O$6:$O$809)*0.7,0)</f>
        <v>0</v>
      </c>
      <c r="G44">
        <f>ROUND(SUMIF(Councils!$C$6:$C$809,$A44,Councils!$P$6:$P$809)*0.7,0)</f>
        <v>1</v>
      </c>
      <c r="H44">
        <f>ROUND(SUMIF(Councils!$C$6:$C$809,$A44,Councils!$Q$6:$Q$809)*0.7,0)</f>
        <v>1</v>
      </c>
      <c r="I44">
        <f>ROUND(SUMIF(Councils!$C$6:$C$809,$A44,Councils!$R$6:$R$809)*0.7,0)</f>
        <v>0</v>
      </c>
      <c r="J44">
        <f>ROUND(SUMIF(Councils!$C$6:$C$809,$A44,Councils!$S$6:$S$809)*0.7,0)</f>
        <v>4</v>
      </c>
      <c r="K44">
        <f>ROUND(SUMIF(Councils!$C$6:$C$809,$A44,Councils!$T$6:$T$809)*0.7,0)</f>
        <v>1</v>
      </c>
      <c r="L44">
        <f>ROUND(SUMIF(Councils!$C$6:$C$809,$A44,Councils!$U$6:$U$809)*0.7,0)</f>
        <v>4</v>
      </c>
      <c r="M44" s="63">
        <f t="shared" si="0"/>
        <v>0</v>
      </c>
      <c r="N44">
        <f t="shared" si="1"/>
        <v>1</v>
      </c>
    </row>
    <row r="45" spans="1:14">
      <c r="A45" s="67">
        <v>52</v>
      </c>
      <c r="B45" s="80">
        <f>IF(ISNA(VLOOKUP($A45,DD_Info!$A$1:$E$222,5,0)),0,VLOOKUP($A45,DD_Info!$A$1:$E$222,5,0))</f>
        <v>2</v>
      </c>
      <c r="C45" t="str">
        <f>IF(ISNA(VLOOKUP($A45,DD_Info!$A$1:$E$222,2,0)),0,VLOOKUP($A45,DD_Info!$A$1:$E$222,2,0))</f>
        <v>Ruben  Gallegos</v>
      </c>
      <c r="D45" t="str">
        <f>IF(ISNA(VLOOKUP($A45,DD_Info!$A$1:$E$222,3,0)),0,VLOOKUP($A45,DD_Info!$A$1:$E$222,3,0))</f>
        <v>San Antonio</v>
      </c>
      <c r="E45">
        <f>ROUND(SUMIF(Councils!$C$6:$C$809,$A45,Councils!$E$6:$E$809),0)</f>
        <v>302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2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</v>
      </c>
    </row>
    <row r="46" spans="1:14">
      <c r="A46" s="67">
        <v>53</v>
      </c>
      <c r="B46" s="80">
        <f>IF(ISNA(VLOOKUP($A46,DD_Info!$A$1:$E$222,5,0)),0,VLOOKUP($A46,DD_Info!$A$1:$E$222,5,0))</f>
        <v>3</v>
      </c>
      <c r="C46" t="str">
        <f>IF(ISNA(VLOOKUP($A46,DD_Info!$A$1:$E$222,2,0)),0,VLOOKUP($A46,DD_Info!$A$1:$E$222,2,0))</f>
        <v>Jim  Irwin</v>
      </c>
      <c r="D46" t="str">
        <f>IF(ISNA(VLOOKUP($A46,DD_Info!$A$1:$E$222,3,0)),0,VLOOKUP($A46,DD_Info!$A$1:$E$222,3,0))</f>
        <v>San Antonio</v>
      </c>
      <c r="E46">
        <f>ROUND(SUMIF(Councils!$C$6:$C$809,$A46,Councils!$E$6:$E$809),0)</f>
        <v>276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3</v>
      </c>
      <c r="K46">
        <f>ROUND(SUMIF(Councils!$C$6:$C$809,$A46,Councils!$T$6:$T$809)*0.7,0)</f>
        <v>1</v>
      </c>
      <c r="L46">
        <f>ROUND(SUMIF(Councils!$C$6:$C$809,$A46,Councils!$U$6:$U$809)*0.7,0)</f>
        <v>2</v>
      </c>
      <c r="M46" s="63">
        <f t="shared" si="0"/>
        <v>0</v>
      </c>
      <c r="N46">
        <f t="shared" si="1"/>
        <v>1</v>
      </c>
    </row>
    <row r="47" spans="1:14">
      <c r="A47" s="67">
        <v>54</v>
      </c>
      <c r="B47" s="80">
        <f>IF(ISNA(VLOOKUP($A47,DD_Info!$A$1:$E$222,5,0)),0,VLOOKUP($A47,DD_Info!$A$1:$E$222,5,0))</f>
        <v>2</v>
      </c>
      <c r="C47" t="str">
        <f>IF(ISNA(VLOOKUP($A47,DD_Info!$A$1:$E$222,2,0)),0,VLOOKUP($A47,DD_Info!$A$1:$E$222,2,0))</f>
        <v>Jesse J Aguilar</v>
      </c>
      <c r="D47" t="str">
        <f>IF(ISNA(VLOOKUP($A47,DD_Info!$A$1:$E$222,3,0)),0,VLOOKUP($A47,DD_Info!$A$1:$E$222,3,0))</f>
        <v>San Antonio</v>
      </c>
      <c r="E47">
        <f>ROUND(SUMIF(Councils!$C$6:$C$809,$A47,Councils!$E$6:$E$809),0)</f>
        <v>365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1</v>
      </c>
      <c r="I47">
        <f>ROUND(SUMIF(Councils!$C$6:$C$809,$A47,Councils!$R$6:$R$809)*0.7,0)</f>
        <v>-1</v>
      </c>
      <c r="J47">
        <f>ROUND(SUMIF(Councils!$C$6:$C$809,$A47,Councils!$S$6:$S$809)*0.7,0)</f>
        <v>1</v>
      </c>
      <c r="K47">
        <f>ROUND(SUMIF(Councils!$C$6:$C$809,$A47,Councils!$T$6:$T$809)*0.7,0)</f>
        <v>2</v>
      </c>
      <c r="L47">
        <f>ROUND(SUMIF(Councils!$C$6:$C$809,$A47,Councils!$U$6:$U$809)*0.7,0)</f>
        <v>-1</v>
      </c>
      <c r="M47" s="63">
        <f t="shared" si="0"/>
        <v>0</v>
      </c>
      <c r="N47">
        <f t="shared" si="1"/>
        <v>1</v>
      </c>
    </row>
    <row r="48" spans="1:14">
      <c r="A48" s="67">
        <v>55</v>
      </c>
      <c r="B48" s="80">
        <f>IF(ISNA(VLOOKUP($A48,DD_Info!$A$1:$E$222,5,0)),0,VLOOKUP($A48,DD_Info!$A$1:$E$222,5,0))</f>
        <v>2</v>
      </c>
      <c r="C48" t="str">
        <f>IF(ISNA(VLOOKUP($A48,DD_Info!$A$1:$E$222,2,0)),0,VLOOKUP($A48,DD_Info!$A$1:$E$222,2,0))</f>
        <v>Javier  Martinez</v>
      </c>
      <c r="D48" t="str">
        <f>IF(ISNA(VLOOKUP($A48,DD_Info!$A$1:$E$222,3,0)),0,VLOOKUP($A48,DD_Info!$A$1:$E$222,3,0))</f>
        <v>San Antonio</v>
      </c>
      <c r="E48">
        <f>ROUND(SUMIF(Councils!$C$6:$C$809,$A48,Councils!$E$6:$E$809),0)</f>
        <v>423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1</v>
      </c>
      <c r="K48">
        <f>ROUND(SUMIF(Councils!$C$6:$C$809,$A48,Councils!$T$6:$T$809)*0.7,0)</f>
        <v>3</v>
      </c>
      <c r="L48">
        <f>ROUND(SUMIF(Councils!$C$6:$C$809,$A48,Councils!$U$6:$U$809)*0.7,0)</f>
        <v>-2</v>
      </c>
      <c r="M48" s="63">
        <f t="shared" si="0"/>
        <v>0</v>
      </c>
      <c r="N48">
        <f t="shared" si="1"/>
        <v>1</v>
      </c>
    </row>
    <row r="49" spans="1:14">
      <c r="A49" s="67">
        <v>56</v>
      </c>
      <c r="B49" s="80">
        <f>IF(ISNA(VLOOKUP($A49,DD_Info!$A$1:$E$222,5,0)),0,VLOOKUP($A49,DD_Info!$A$1:$E$222,5,0))</f>
        <v>2</v>
      </c>
      <c r="C49" t="str">
        <f>IF(ISNA(VLOOKUP($A49,DD_Info!$A$1:$E$222,2,0)),0,VLOOKUP($A49,DD_Info!$A$1:$E$222,2,0))</f>
        <v>Carlos J Gonzalez</v>
      </c>
      <c r="D49" t="str">
        <f>IF(ISNA(VLOOKUP($A49,DD_Info!$A$1:$E$222,3,0)),0,VLOOKUP($A49,DD_Info!$A$1:$E$222,3,0))</f>
        <v>San Antonio</v>
      </c>
      <c r="E49">
        <f>ROUND(SUMIF(Councils!$C$6:$C$809,$A49,Councils!$E$6:$E$809),0)</f>
        <v>333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0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1</v>
      </c>
    </row>
    <row r="50" spans="1:14">
      <c r="A50" s="67">
        <v>57</v>
      </c>
      <c r="B50" s="80">
        <f>IF(ISNA(VLOOKUP($A50,DD_Info!$A$1:$E$222,5,0)),0,VLOOKUP($A50,DD_Info!$A$1:$E$222,5,0))</f>
        <v>2</v>
      </c>
      <c r="C50" t="str">
        <f>IF(ISNA(VLOOKUP($A50,DD_Info!$A$1:$E$222,2,0)),0,VLOOKUP($A50,DD_Info!$A$1:$E$222,2,0))</f>
        <v>Willie  Leal Jr</v>
      </c>
      <c r="D50" t="str">
        <f>IF(ISNA(VLOOKUP($A50,DD_Info!$A$1:$E$222,3,0)),0,VLOOKUP($A50,DD_Info!$A$1:$E$222,3,0))</f>
        <v>San Antonio</v>
      </c>
      <c r="E50">
        <f>ROUND(SUMIF(Councils!$C$6:$C$809,$A50,Councils!$E$6:$E$809),0)</f>
        <v>328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1</v>
      </c>
      <c r="I50">
        <f>ROUND(SUMIF(Councils!$C$6:$C$809,$A50,Councils!$R$6:$R$809)*0.7,0)</f>
        <v>-1</v>
      </c>
      <c r="J50">
        <f>ROUND(SUMIF(Councils!$C$6:$C$809,$A50,Councils!$S$6:$S$809)*0.7,0)</f>
        <v>2</v>
      </c>
      <c r="K50">
        <f>ROUND(SUMIF(Councils!$C$6:$C$809,$A50,Councils!$T$6:$T$809)*0.7,0)</f>
        <v>1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1</v>
      </c>
    </row>
    <row r="51" spans="1:14">
      <c r="A51" s="67">
        <v>58</v>
      </c>
      <c r="B51" s="80">
        <f>IF(ISNA(VLOOKUP($A51,DD_Info!$A$1:$E$222,5,0)),0,VLOOKUP($A51,DD_Info!$A$1:$E$222,5,0))</f>
        <v>2</v>
      </c>
      <c r="C51" t="str">
        <f>IF(ISNA(VLOOKUP($A51,DD_Info!$A$1:$E$222,2,0)),0,VLOOKUP($A51,DD_Info!$A$1:$E$222,2,0))</f>
        <v>Louis C Soriano</v>
      </c>
      <c r="D51" t="str">
        <f>IF(ISNA(VLOOKUP($A51,DD_Info!$A$1:$E$222,3,0)),0,VLOOKUP($A51,DD_Info!$A$1:$E$222,3,0))</f>
        <v>San Antonio</v>
      </c>
      <c r="E51">
        <f>ROUND(SUMIF(Councils!$C$6:$C$809,$A51,Councils!$E$6:$E$809),0)</f>
        <v>334</v>
      </c>
      <c r="F51">
        <f>ROUND(SUMIF(Councils!$C$6:$C$809,$A51,Councils!$O$6:$O$809)*0.7,0)</f>
        <v>0</v>
      </c>
      <c r="G51">
        <f>ROUND(SUMIF(Councils!$C$6:$C$809,$A51,Councils!$P$6:$P$809)*0.7,0)</f>
        <v>1</v>
      </c>
      <c r="H51">
        <f>ROUND(SUMIF(Councils!$C$6:$C$809,$A51,Councils!$Q$6:$Q$809)*0.7,0)</f>
        <v>0</v>
      </c>
      <c r="I51">
        <f>ROUND(SUMIF(Councils!$C$6:$C$809,$A51,Councils!$R$6:$R$809)*0.7,0)</f>
        <v>1</v>
      </c>
      <c r="J51">
        <f>ROUND(SUMIF(Councils!$C$6:$C$809,$A51,Councils!$S$6:$S$809)*0.7,0)</f>
        <v>1</v>
      </c>
      <c r="K51">
        <f>ROUND(SUMIF(Councils!$C$6:$C$809,$A51,Councils!$T$6:$T$809)*0.7,0)</f>
        <v>0</v>
      </c>
      <c r="L51">
        <f>ROUND(SUMIF(Councils!$C$6:$C$809,$A51,Councils!$U$6:$U$809)*0.7,0)</f>
        <v>1</v>
      </c>
      <c r="M51" s="63">
        <f t="shared" si="0"/>
        <v>0</v>
      </c>
      <c r="N51">
        <f t="shared" si="1"/>
        <v>1</v>
      </c>
    </row>
    <row r="52" spans="1:14">
      <c r="A52" s="67">
        <v>59</v>
      </c>
      <c r="B52" s="80">
        <f>IF(ISNA(VLOOKUP($A52,DD_Info!$A$1:$E$222,5,0)),0,VLOOKUP($A52,DD_Info!$A$1:$E$222,5,0))</f>
        <v>1</v>
      </c>
      <c r="C52" t="str">
        <f>IF(ISNA(VLOOKUP($A52,DD_Info!$A$1:$E$222,2,0)),0,VLOOKUP($A52,DD_Info!$A$1:$E$222,2,0))</f>
        <v>Butch J Rodriguez</v>
      </c>
      <c r="D52" t="str">
        <f>IF(ISNA(VLOOKUP($A52,DD_Info!$A$1:$E$222,3,0)),0,VLOOKUP($A52,DD_Info!$A$1:$E$222,3,0))</f>
        <v>San Antonio</v>
      </c>
      <c r="E52">
        <f>ROUND(SUMIF(Councils!$C$6:$C$809,$A52,Councils!$E$6:$E$809),0)</f>
        <v>575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1</v>
      </c>
      <c r="K52">
        <f>ROUND(SUMIF(Councils!$C$6:$C$809,$A52,Councils!$T$6:$T$809)*0.7,0)</f>
        <v>1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1</v>
      </c>
    </row>
    <row r="53" spans="1:14">
      <c r="A53" s="67">
        <v>60</v>
      </c>
      <c r="B53" s="80">
        <f>IF(ISNA(VLOOKUP($A53,DD_Info!$A$1:$E$222,5,0)),0,VLOOKUP($A53,DD_Info!$A$1:$E$222,5,0))</f>
        <v>3</v>
      </c>
      <c r="C53" t="str">
        <f>IF(ISNA(VLOOKUP($A53,DD_Info!$A$1:$E$222,2,0)),0,VLOOKUP($A53,DD_Info!$A$1:$E$222,2,0))</f>
        <v>Ruben C Gomez</v>
      </c>
      <c r="D53" t="str">
        <f>IF(ISNA(VLOOKUP($A53,DD_Info!$A$1:$E$222,3,0)),0,VLOOKUP($A53,DD_Info!$A$1:$E$222,3,0))</f>
        <v>San Antonio</v>
      </c>
      <c r="E53">
        <f>ROUND(SUMIF(Councils!$C$6:$C$809,$A53,Councils!$E$6:$E$809),0)</f>
        <v>285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1</v>
      </c>
      <c r="L53">
        <f>ROUND(SUMIF(Councils!$C$6:$C$809,$A53,Councils!$U$6:$U$809)*0.7,0)</f>
        <v>-1</v>
      </c>
      <c r="M53" s="63">
        <f t="shared" si="0"/>
        <v>0</v>
      </c>
      <c r="N53">
        <f t="shared" si="1"/>
        <v>1</v>
      </c>
    </row>
    <row r="54" spans="1:14">
      <c r="A54" s="67">
        <v>61</v>
      </c>
      <c r="B54" s="80">
        <f>IF(ISNA(VLOOKUP($A54,DD_Info!$A$1:$E$222,5,0)),0,VLOOKUP($A54,DD_Info!$A$1:$E$222,5,0))</f>
        <v>3</v>
      </c>
      <c r="C54" t="str">
        <f>IF(ISNA(VLOOKUP($A54,DD_Info!$A$1:$E$222,2,0)),0,VLOOKUP($A54,DD_Info!$A$1:$E$222,2,0))</f>
        <v>Joe  Torres</v>
      </c>
      <c r="D54" t="str">
        <f>IF(ISNA(VLOOKUP($A54,DD_Info!$A$1:$E$222,3,0)),0,VLOOKUP($A54,DD_Info!$A$1:$E$222,3,0))</f>
        <v>San Antonio</v>
      </c>
      <c r="E54">
        <f>ROUND(SUMIF(Councils!$C$6:$C$809,$A54,Councils!$E$6:$E$809),0)</f>
        <v>112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0</v>
      </c>
      <c r="K54">
        <f>ROUND(SUMIF(Councils!$C$6:$C$809,$A54,Councils!$T$6:$T$809)*0.7,0)</f>
        <v>1</v>
      </c>
      <c r="L54">
        <f>ROUND(SUMIF(Councils!$C$6:$C$809,$A54,Councils!$U$6:$U$809)*0.7,0)</f>
        <v>-1</v>
      </c>
      <c r="M54" s="63">
        <f t="shared" si="0"/>
        <v>0</v>
      </c>
      <c r="N54">
        <f t="shared" si="1"/>
        <v>1</v>
      </c>
    </row>
    <row r="55" spans="1:14">
      <c r="A55" s="67">
        <v>62</v>
      </c>
      <c r="B55" s="80">
        <f>IF(ISNA(VLOOKUP($A55,DD_Info!$A$1:$E$222,5,0)),0,VLOOKUP($A55,DD_Info!$A$1:$E$222,5,0))</f>
        <v>3</v>
      </c>
      <c r="C55" t="str">
        <f>IF(ISNA(VLOOKUP($A55,DD_Info!$A$1:$E$222,2,0)),0,VLOOKUP($A55,DD_Info!$A$1:$E$222,2,0))</f>
        <v>David D Colton</v>
      </c>
      <c r="D55" t="str">
        <f>IF(ISNA(VLOOKUP($A55,DD_Info!$A$1:$E$222,3,0)),0,VLOOKUP($A55,DD_Info!$A$1:$E$222,3,0))</f>
        <v>San Antonio</v>
      </c>
      <c r="E55">
        <f>ROUND(SUMIF(Councils!$C$6:$C$809,$A55,Councils!$E$6:$E$809),0)</f>
        <v>69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0</v>
      </c>
      <c r="K55">
        <f>ROUND(SUMIF(Councils!$C$6:$C$809,$A55,Councils!$T$6:$T$809)*0.7,0)</f>
        <v>0</v>
      </c>
      <c r="L55">
        <f>ROUND(SUMIF(Councils!$C$6:$C$809,$A55,Councils!$U$6:$U$809)*0.7,0)</f>
        <v>0</v>
      </c>
      <c r="M55" s="63">
        <f t="shared" si="0"/>
        <v>0</v>
      </c>
      <c r="N55">
        <f t="shared" si="1"/>
        <v>1</v>
      </c>
    </row>
    <row r="56" spans="1:14">
      <c r="A56" s="67">
        <v>63</v>
      </c>
      <c r="B56" s="80">
        <f>IF(ISNA(VLOOKUP($A56,DD_Info!$A$1:$E$222,5,0)),0,VLOOKUP($A56,DD_Info!$A$1:$E$222,5,0))</f>
        <v>3</v>
      </c>
      <c r="C56" t="str">
        <f>IF(ISNA(VLOOKUP($A56,DD_Info!$A$1:$E$222,2,0)),0,VLOOKUP($A56,DD_Info!$A$1:$E$222,2,0))</f>
        <v>Joe  Hernandez</v>
      </c>
      <c r="D56" t="str">
        <f>IF(ISNA(VLOOKUP($A56,DD_Info!$A$1:$E$222,3,0)),0,VLOOKUP($A56,DD_Info!$A$1:$E$222,3,0))</f>
        <v>San Antonio</v>
      </c>
      <c r="E56">
        <f>ROUND(SUMIF(Councils!$C$6:$C$809,$A56,Councils!$E$6:$E$809),0)</f>
        <v>108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0</v>
      </c>
      <c r="K56">
        <f>ROUND(SUMIF(Councils!$C$6:$C$809,$A56,Councils!$T$6:$T$809)*0.7,0)</f>
        <v>0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</v>
      </c>
    </row>
    <row r="57" spans="1:14">
      <c r="A57" s="67">
        <v>66</v>
      </c>
      <c r="B57" s="80">
        <f>IF(ISNA(VLOOKUP($A57,DD_Info!$A$1:$E$222,5,0)),0,VLOOKUP($A57,DD_Info!$A$1:$E$222,5,0))</f>
        <v>1</v>
      </c>
      <c r="C57" t="str">
        <f>IF(ISNA(VLOOKUP($A57,DD_Info!$A$1:$E$222,2,0)),0,VLOOKUP($A57,DD_Info!$A$1:$E$222,2,0))</f>
        <v>Mark L Jasek</v>
      </c>
      <c r="D57" t="str">
        <f>IF(ISNA(VLOOKUP($A57,DD_Info!$A$1:$E$222,3,0)),0,VLOOKUP($A57,DD_Info!$A$1:$E$222,3,0))</f>
        <v>Galv/Hous</v>
      </c>
      <c r="E57">
        <f>ROUND(SUMIF(Councils!$C$6:$C$809,$A57,Councils!$E$6:$E$809),0)</f>
        <v>671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1</v>
      </c>
      <c r="I57">
        <f>ROUND(SUMIF(Councils!$C$6:$C$809,$A57,Councils!$R$6:$R$809)*0.7,0)</f>
        <v>-1</v>
      </c>
      <c r="J57">
        <f>ROUND(SUMIF(Councils!$C$6:$C$809,$A57,Councils!$S$6:$S$809)*0.7,0)</f>
        <v>3</v>
      </c>
      <c r="K57">
        <f>ROUND(SUMIF(Councils!$C$6:$C$809,$A57,Councils!$T$6:$T$809)*0.7,0)</f>
        <v>1</v>
      </c>
      <c r="L57">
        <f>ROUND(SUMIF(Councils!$C$6:$C$809,$A57,Councils!$U$6:$U$809)*0.7,0)</f>
        <v>1</v>
      </c>
      <c r="M57" s="63">
        <f t="shared" si="0"/>
        <v>0</v>
      </c>
      <c r="N57">
        <f t="shared" si="1"/>
        <v>1</v>
      </c>
    </row>
    <row r="58" spans="1:14">
      <c r="A58" s="67">
        <v>67</v>
      </c>
      <c r="B58" s="80">
        <f>IF(ISNA(VLOOKUP($A58,DD_Info!$A$1:$E$222,5,0)),0,VLOOKUP($A58,DD_Info!$A$1:$E$222,5,0))</f>
        <v>2</v>
      </c>
      <c r="C58" t="str">
        <f>IF(ISNA(VLOOKUP($A58,DD_Info!$A$1:$E$222,2,0)),0,VLOOKUP($A58,DD_Info!$A$1:$E$222,2,0))</f>
        <v>Raul R Maldonado</v>
      </c>
      <c r="D58" t="str">
        <f>IF(ISNA(VLOOKUP($A58,DD_Info!$A$1:$E$222,3,0)),0,VLOOKUP($A58,DD_Info!$A$1:$E$222,3,0))</f>
        <v>Galv/Hous</v>
      </c>
      <c r="E58">
        <f>ROUND(SUMIF(Councils!$C$6:$C$809,$A58,Councils!$E$6:$E$809),0)</f>
        <v>489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1</v>
      </c>
      <c r="K58">
        <f>ROUND(SUMIF(Councils!$C$6:$C$809,$A58,Councils!$T$6:$T$809)*0.7,0)</f>
        <v>0</v>
      </c>
      <c r="L58">
        <f>ROUND(SUMIF(Councils!$C$6:$C$809,$A58,Councils!$U$6:$U$809)*0.7,0)</f>
        <v>1</v>
      </c>
      <c r="M58" s="63">
        <f t="shared" si="0"/>
        <v>0</v>
      </c>
      <c r="N58">
        <f t="shared" si="1"/>
        <v>1</v>
      </c>
    </row>
    <row r="59" spans="1:14">
      <c r="A59" s="67">
        <v>68</v>
      </c>
      <c r="B59" s="80">
        <f>IF(ISNA(VLOOKUP($A59,DD_Info!$A$1:$E$222,5,0)),0,VLOOKUP($A59,DD_Info!$A$1:$E$222,5,0))</f>
        <v>1</v>
      </c>
      <c r="C59" t="str">
        <f>IF(ISNA(VLOOKUP($A59,DD_Info!$A$1:$E$222,2,0)),0,VLOOKUP($A59,DD_Info!$A$1:$E$222,2,0))</f>
        <v>Dennis J Doherty</v>
      </c>
      <c r="D59" t="str">
        <f>IF(ISNA(VLOOKUP($A59,DD_Info!$A$1:$E$222,3,0)),0,VLOOKUP($A59,DD_Info!$A$1:$E$222,3,0))</f>
        <v>Galv/Hous</v>
      </c>
      <c r="E59">
        <f>ROUND(SUMIF(Councils!$C$6:$C$809,$A59,Councils!$E$6:$E$809),0)</f>
        <v>949</v>
      </c>
      <c r="F59">
        <f>ROUND(SUMIF(Councils!$C$6:$C$809,$A59,Councils!$O$6:$O$809)*0.7,0)</f>
        <v>0</v>
      </c>
      <c r="G59">
        <f>ROUND(SUMIF(Councils!$C$6:$C$809,$A59,Councils!$P$6:$P$809)*0.7,0)</f>
        <v>1</v>
      </c>
      <c r="H59">
        <f>ROUND(SUMIF(Councils!$C$6:$C$809,$A59,Councils!$Q$6:$Q$809)*0.7,0)</f>
        <v>0</v>
      </c>
      <c r="I59">
        <f>ROUND(SUMIF(Councils!$C$6:$C$809,$A59,Councils!$R$6:$R$809)*0.7,0)</f>
        <v>1</v>
      </c>
      <c r="J59">
        <f>ROUND(SUMIF(Councils!$C$6:$C$809,$A59,Councils!$S$6:$S$809)*0.7,0)</f>
        <v>2</v>
      </c>
      <c r="K59">
        <f>ROUND(SUMIF(Councils!$C$6:$C$809,$A59,Councils!$T$6:$T$809)*0.7,0)</f>
        <v>1</v>
      </c>
      <c r="L59">
        <f>ROUND(SUMIF(Councils!$C$6:$C$809,$A59,Councils!$U$6:$U$809)*0.7,0)</f>
        <v>1</v>
      </c>
      <c r="M59" s="63">
        <f t="shared" si="0"/>
        <v>0</v>
      </c>
      <c r="N59">
        <f t="shared" si="1"/>
        <v>1</v>
      </c>
    </row>
    <row r="60" spans="1:14">
      <c r="A60" s="67">
        <v>69</v>
      </c>
      <c r="B60" s="80">
        <f>IF(ISNA(VLOOKUP($A60,DD_Info!$A$1:$E$222,5,0)),0,VLOOKUP($A60,DD_Info!$A$1:$E$222,5,0))</f>
        <v>1</v>
      </c>
      <c r="C60" t="str">
        <f>IF(ISNA(VLOOKUP($A60,DD_Info!$A$1:$E$222,2,0)),0,VLOOKUP($A60,DD_Info!$A$1:$E$222,2,0))</f>
        <v>Robert  Guerrero Jr</v>
      </c>
      <c r="D60" t="str">
        <f>IF(ISNA(VLOOKUP($A60,DD_Info!$A$1:$E$222,3,0)),0,VLOOKUP($A60,DD_Info!$A$1:$E$222,3,0))</f>
        <v>Galv/Hous</v>
      </c>
      <c r="E60">
        <f>ROUND(SUMIF(Councils!$C$6:$C$809,$A60,Councils!$E$6:$E$809),0)</f>
        <v>607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1</v>
      </c>
      <c r="I60">
        <f>ROUND(SUMIF(Councils!$C$6:$C$809,$A60,Councils!$R$6:$R$809)*0.7,0)</f>
        <v>-1</v>
      </c>
      <c r="J60">
        <f>ROUND(SUMIF(Councils!$C$6:$C$809,$A60,Councils!$S$6:$S$809)*0.7,0)</f>
        <v>2</v>
      </c>
      <c r="K60">
        <f>ROUND(SUMIF(Councils!$C$6:$C$809,$A60,Councils!$T$6:$T$809)*0.7,0)</f>
        <v>5</v>
      </c>
      <c r="L60">
        <f>ROUND(SUMIF(Councils!$C$6:$C$809,$A60,Councils!$U$6:$U$809)*0.7,0)</f>
        <v>-3</v>
      </c>
      <c r="M60" s="63">
        <f t="shared" si="0"/>
        <v>0</v>
      </c>
      <c r="N60">
        <f t="shared" si="1"/>
        <v>1</v>
      </c>
    </row>
    <row r="61" spans="1:14">
      <c r="A61" s="67">
        <v>70</v>
      </c>
      <c r="B61" s="80">
        <f>IF(ISNA(VLOOKUP($A61,DD_Info!$A$1:$E$222,5,0)),0,VLOOKUP($A61,DD_Info!$A$1:$E$222,5,0))</f>
        <v>1</v>
      </c>
      <c r="C61" t="str">
        <f>IF(ISNA(VLOOKUP($A61,DD_Info!$A$1:$E$222,2,0)),0,VLOOKUP($A61,DD_Info!$A$1:$E$222,2,0))</f>
        <v>Joseph E Maloy</v>
      </c>
      <c r="D61" t="str">
        <f>IF(ISNA(VLOOKUP($A61,DD_Info!$A$1:$E$222,3,0)),0,VLOOKUP($A61,DD_Info!$A$1:$E$222,3,0))</f>
        <v>Galv/Hous</v>
      </c>
      <c r="E61">
        <f>ROUND(SUMIF(Councils!$C$6:$C$809,$A61,Councils!$E$6:$E$809),0)</f>
        <v>643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1</v>
      </c>
      <c r="I61">
        <f>ROUND(SUMIF(Councils!$C$6:$C$809,$A61,Councils!$R$6:$R$809)*0.7,0)</f>
        <v>-1</v>
      </c>
      <c r="J61">
        <f>ROUND(SUMIF(Councils!$C$6:$C$809,$A61,Councils!$S$6:$S$809)*0.7,0)</f>
        <v>1</v>
      </c>
      <c r="K61">
        <f>ROUND(SUMIF(Councils!$C$6:$C$809,$A61,Councils!$T$6:$T$809)*0.7,0)</f>
        <v>2</v>
      </c>
      <c r="L61">
        <f>ROUND(SUMIF(Councils!$C$6:$C$809,$A61,Councils!$U$6:$U$809)*0.7,0)</f>
        <v>-1</v>
      </c>
      <c r="M61" s="63">
        <f t="shared" si="0"/>
        <v>0</v>
      </c>
      <c r="N61">
        <f t="shared" si="1"/>
        <v>1</v>
      </c>
    </row>
    <row r="62" spans="1:14">
      <c r="A62" s="67">
        <v>71</v>
      </c>
      <c r="B62" s="80">
        <f>IF(ISNA(VLOOKUP($A62,DD_Info!$A$1:$E$222,5,0)),0,VLOOKUP($A62,DD_Info!$A$1:$E$222,5,0))</f>
        <v>1</v>
      </c>
      <c r="C62" t="str">
        <f>IF(ISNA(VLOOKUP($A62,DD_Info!$A$1:$E$222,2,0)),0,VLOOKUP($A62,DD_Info!$A$1:$E$222,2,0))</f>
        <v>E.J. "Jerry"  Moch Jr</v>
      </c>
      <c r="D62" t="str">
        <f>IF(ISNA(VLOOKUP($A62,DD_Info!$A$1:$E$222,3,0)),0,VLOOKUP($A62,DD_Info!$A$1:$E$222,3,0))</f>
        <v>Galv/Hous</v>
      </c>
      <c r="E62">
        <f>ROUND(SUMIF(Councils!$C$6:$C$809,$A62,Councils!$E$6:$E$809),0)</f>
        <v>707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0</v>
      </c>
      <c r="I62">
        <f>ROUND(SUMIF(Councils!$C$6:$C$809,$A62,Councils!$R$6:$R$809)*0.7,0)</f>
        <v>0</v>
      </c>
      <c r="J62">
        <f>ROUND(SUMIF(Councils!$C$6:$C$809,$A62,Councils!$S$6:$S$809)*0.7,0)</f>
        <v>4</v>
      </c>
      <c r="K62">
        <f>ROUND(SUMIF(Councils!$C$6:$C$809,$A62,Councils!$T$6:$T$809)*0.7,0)</f>
        <v>3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1</v>
      </c>
    </row>
    <row r="63" spans="1:14">
      <c r="A63" s="67">
        <v>72</v>
      </c>
      <c r="B63" s="80">
        <f>IF(ISNA(VLOOKUP($A63,DD_Info!$A$1:$E$222,5,0)),0,VLOOKUP($A63,DD_Info!$A$1:$E$222,5,0))</f>
        <v>2</v>
      </c>
      <c r="C63" t="str">
        <f>IF(ISNA(VLOOKUP($A63,DD_Info!$A$1:$E$222,2,0)),0,VLOOKUP($A63,DD_Info!$A$1:$E$222,2,0))</f>
        <v>Anthony P Scarpa</v>
      </c>
      <c r="D63" t="str">
        <f>IF(ISNA(VLOOKUP($A63,DD_Info!$A$1:$E$222,3,0)),0,VLOOKUP($A63,DD_Info!$A$1:$E$222,3,0))</f>
        <v>Galv/Hous</v>
      </c>
      <c r="E63">
        <f>ROUND(SUMIF(Councils!$C$6:$C$809,$A63,Councils!$E$6:$E$809),0)</f>
        <v>508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1</v>
      </c>
      <c r="I63">
        <f>ROUND(SUMIF(Councils!$C$6:$C$809,$A63,Councils!$R$6:$R$809)*0.7,0)</f>
        <v>-1</v>
      </c>
      <c r="J63">
        <f>ROUND(SUMIF(Councils!$C$6:$C$809,$A63,Councils!$S$6:$S$809)*0.7,0)</f>
        <v>1</v>
      </c>
      <c r="K63">
        <f>ROUND(SUMIF(Councils!$C$6:$C$809,$A63,Councils!$T$6:$T$809)*0.7,0)</f>
        <v>1</v>
      </c>
      <c r="L63">
        <f>ROUND(SUMIF(Councils!$C$6:$C$809,$A63,Councils!$U$6:$U$809)*0.7,0)</f>
        <v>0</v>
      </c>
      <c r="M63" s="63">
        <f t="shared" si="0"/>
        <v>0</v>
      </c>
      <c r="N63">
        <f t="shared" si="1"/>
        <v>1</v>
      </c>
    </row>
    <row r="64" spans="1:14">
      <c r="A64" s="67">
        <v>73</v>
      </c>
      <c r="B64" s="80">
        <f>IF(ISNA(VLOOKUP($A64,DD_Info!$A$1:$E$222,5,0)),0,VLOOKUP($A64,DD_Info!$A$1:$E$222,5,0))</f>
        <v>2</v>
      </c>
      <c r="C64" t="str">
        <f>IF(ISNA(VLOOKUP($A64,DD_Info!$A$1:$E$222,2,0)),0,VLOOKUP($A64,DD_Info!$A$1:$E$222,2,0))</f>
        <v>Rudy  Ordaz</v>
      </c>
      <c r="D64" t="str">
        <f>IF(ISNA(VLOOKUP($A64,DD_Info!$A$1:$E$222,3,0)),0,VLOOKUP($A64,DD_Info!$A$1:$E$222,3,0))</f>
        <v>Galv/Hous</v>
      </c>
      <c r="E64">
        <f>ROUND(SUMIF(Councils!$C$6:$C$809,$A64,Councils!$E$6:$E$809),0)</f>
        <v>461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2</v>
      </c>
      <c r="I64">
        <f>ROUND(SUMIF(Councils!$C$6:$C$809,$A64,Councils!$R$6:$R$809)*0.7,0)</f>
        <v>-2</v>
      </c>
      <c r="J64">
        <f>ROUND(SUMIF(Councils!$C$6:$C$809,$A64,Councils!$S$6:$S$809)*0.7,0)</f>
        <v>1</v>
      </c>
      <c r="K64">
        <f>ROUND(SUMIF(Councils!$C$6:$C$809,$A64,Councils!$T$6:$T$809)*0.7,0)</f>
        <v>7</v>
      </c>
      <c r="L64">
        <f>ROUND(SUMIF(Councils!$C$6:$C$809,$A64,Councils!$U$6:$U$809)*0.7,0)</f>
        <v>-6</v>
      </c>
      <c r="M64" s="63">
        <f t="shared" si="0"/>
        <v>0</v>
      </c>
      <c r="N64">
        <f t="shared" si="1"/>
        <v>1</v>
      </c>
    </row>
    <row r="65" spans="1:14">
      <c r="A65" s="67">
        <v>74</v>
      </c>
      <c r="B65" s="80">
        <f>IF(ISNA(VLOOKUP($A65,DD_Info!$A$1:$E$222,5,0)),0,VLOOKUP($A65,DD_Info!$A$1:$E$222,5,0))</f>
        <v>1</v>
      </c>
      <c r="C65" t="str">
        <f>IF(ISNA(VLOOKUP($A65,DD_Info!$A$1:$E$222,2,0)),0,VLOOKUP($A65,DD_Info!$A$1:$E$222,2,0))</f>
        <v>Brian  Kozel</v>
      </c>
      <c r="D65" t="str">
        <f>IF(ISNA(VLOOKUP($A65,DD_Info!$A$1:$E$222,3,0)),0,VLOOKUP($A65,DD_Info!$A$1:$E$222,3,0))</f>
        <v>Galv/Hous</v>
      </c>
      <c r="E65">
        <f>ROUND(SUMIF(Councils!$C$6:$C$809,$A65,Councils!$E$6:$E$809),0)</f>
        <v>1114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3</v>
      </c>
      <c r="I65">
        <f>ROUND(SUMIF(Councils!$C$6:$C$809,$A65,Councils!$R$6:$R$809)*0.7,0)</f>
        <v>-3</v>
      </c>
      <c r="J65">
        <f>ROUND(SUMIF(Councils!$C$6:$C$809,$A65,Councils!$S$6:$S$809)*0.7,0)</f>
        <v>1</v>
      </c>
      <c r="K65">
        <f>ROUND(SUMIF(Councils!$C$6:$C$809,$A65,Councils!$T$6:$T$809)*0.7,0)</f>
        <v>11</v>
      </c>
      <c r="L65">
        <f>ROUND(SUMIF(Councils!$C$6:$C$809,$A65,Councils!$U$6:$U$809)*0.7,0)</f>
        <v>-11</v>
      </c>
      <c r="M65" s="63">
        <f t="shared" si="0"/>
        <v>0</v>
      </c>
      <c r="N65">
        <f t="shared" si="1"/>
        <v>1</v>
      </c>
    </row>
    <row r="66" spans="1:14">
      <c r="A66" s="67">
        <v>75</v>
      </c>
      <c r="B66" s="80">
        <f>IF(ISNA(VLOOKUP($A66,DD_Info!$A$1:$E$222,5,0)),0,VLOOKUP($A66,DD_Info!$A$1:$E$222,5,0))</f>
        <v>1</v>
      </c>
      <c r="C66" t="str">
        <f>IF(ISNA(VLOOKUP($A66,DD_Info!$A$1:$E$222,2,0)),0,VLOOKUP($A66,DD_Info!$A$1:$E$222,2,0))</f>
        <v>Michael  Appling</v>
      </c>
      <c r="D66" t="str">
        <f>IF(ISNA(VLOOKUP($A66,DD_Info!$A$1:$E$222,3,0)),0,VLOOKUP($A66,DD_Info!$A$1:$E$222,3,0))</f>
        <v>Galv/Hous</v>
      </c>
      <c r="E66">
        <f>ROUND(SUMIF(Councils!$C$6:$C$809,$A66,Councils!$E$6:$E$809),0)</f>
        <v>1120</v>
      </c>
      <c r="F66">
        <f>ROUND(SUMIF(Councils!$C$6:$C$809,$A66,Councils!$O$6:$O$809)*0.7,0)</f>
        <v>0</v>
      </c>
      <c r="G66">
        <f>ROUND(SUMIF(Councils!$C$6:$C$809,$A66,Councils!$P$6:$P$809)*0.7,0)</f>
        <v>1</v>
      </c>
      <c r="H66">
        <f>ROUND(SUMIF(Councils!$C$6:$C$809,$A66,Councils!$Q$6:$Q$809)*0.7,0)</f>
        <v>5</v>
      </c>
      <c r="I66">
        <f>ROUND(SUMIF(Councils!$C$6:$C$809,$A66,Councils!$R$6:$R$809)*0.7,0)</f>
        <v>-4</v>
      </c>
      <c r="J66">
        <f>ROUND(SUMIF(Councils!$C$6:$C$809,$A66,Councils!$S$6:$S$809)*0.7,0)</f>
        <v>2</v>
      </c>
      <c r="K66">
        <f>ROUND(SUMIF(Councils!$C$6:$C$809,$A66,Councils!$T$6:$T$809)*0.7,0)</f>
        <v>8</v>
      </c>
      <c r="L66">
        <f>ROUND(SUMIF(Councils!$C$6:$C$809,$A66,Councils!$U$6:$U$809)*0.7,0)</f>
        <v>-6</v>
      </c>
      <c r="M66" s="63">
        <f t="shared" ref="M66:M129" si="2">IFERROR(L66/F66,0)</f>
        <v>0</v>
      </c>
      <c r="N66">
        <f t="shared" ref="N66:N129" si="3">RANK(M66,$M$2:$M$208,0)</f>
        <v>1</v>
      </c>
    </row>
    <row r="67" spans="1:14">
      <c r="A67" s="67">
        <v>76</v>
      </c>
      <c r="B67" s="80">
        <f>IF(ISNA(VLOOKUP($A67,DD_Info!$A$1:$E$222,5,0)),0,VLOOKUP($A67,DD_Info!$A$1:$E$222,5,0))</f>
        <v>3</v>
      </c>
      <c r="C67" t="str">
        <f>IF(ISNA(VLOOKUP($A67,DD_Info!$A$1:$E$222,2,0)),0,VLOOKUP($A67,DD_Info!$A$1:$E$222,2,0))</f>
        <v>Francisco  Carpinteyro</v>
      </c>
      <c r="D67" t="str">
        <f>IF(ISNA(VLOOKUP($A67,DD_Info!$A$1:$E$222,3,0)),0,VLOOKUP($A67,DD_Info!$A$1:$E$222,3,0))</f>
        <v>Galv/Hous</v>
      </c>
      <c r="E67">
        <f>ROUND(SUMIF(Councils!$C$6:$C$809,$A67,Councils!$E$6:$E$809),0)</f>
        <v>200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1</v>
      </c>
      <c r="I67">
        <f>ROUND(SUMIF(Councils!$C$6:$C$809,$A67,Councils!$R$6:$R$809)*0.7,0)</f>
        <v>-1</v>
      </c>
      <c r="J67">
        <f>ROUND(SUMIF(Councils!$C$6:$C$809,$A67,Councils!$S$6:$S$809)*0.7,0)</f>
        <v>2</v>
      </c>
      <c r="K67">
        <f>ROUND(SUMIF(Councils!$C$6:$C$809,$A67,Councils!$T$6:$T$809)*0.7,0)</f>
        <v>2</v>
      </c>
      <c r="L67">
        <f>ROUND(SUMIF(Councils!$C$6:$C$809,$A67,Councils!$U$6:$U$809)*0.7,0)</f>
        <v>0</v>
      </c>
      <c r="M67" s="63">
        <f t="shared" si="2"/>
        <v>0</v>
      </c>
      <c r="N67">
        <f t="shared" si="3"/>
        <v>1</v>
      </c>
    </row>
    <row r="68" spans="1:14">
      <c r="A68" s="67">
        <v>77</v>
      </c>
      <c r="B68" s="80">
        <f>IF(ISNA(VLOOKUP($A68,DD_Info!$A$1:$E$222,5,0)),0,VLOOKUP($A68,DD_Info!$A$1:$E$222,5,0))</f>
        <v>2</v>
      </c>
      <c r="C68" t="str">
        <f>IF(ISNA(VLOOKUP($A68,DD_Info!$A$1:$E$222,2,0)),0,VLOOKUP($A68,DD_Info!$A$1:$E$222,2,0))</f>
        <v>Manuel  Cervantes</v>
      </c>
      <c r="D68" t="str">
        <f>IF(ISNA(VLOOKUP($A68,DD_Info!$A$1:$E$222,3,0)),0,VLOOKUP($A68,DD_Info!$A$1:$E$222,3,0))</f>
        <v>Galv/Hous</v>
      </c>
      <c r="E68">
        <f>ROUND(SUMIF(Councils!$C$6:$C$809,$A68,Councils!$E$6:$E$809),0)</f>
        <v>368</v>
      </c>
      <c r="F68">
        <f>ROUND(SUMIF(Councils!$C$6:$C$809,$A68,Councils!$O$6:$O$809)*0.7,0)</f>
        <v>0</v>
      </c>
      <c r="G68">
        <f>ROUND(SUMIF(Councils!$C$6:$C$809,$A68,Councils!$P$6:$P$809)*0.7,0)</f>
        <v>2</v>
      </c>
      <c r="H68">
        <f>ROUND(SUMIF(Councils!$C$6:$C$809,$A68,Councils!$Q$6:$Q$809)*0.7,0)</f>
        <v>0</v>
      </c>
      <c r="I68">
        <f>ROUND(SUMIF(Councils!$C$6:$C$809,$A68,Councils!$R$6:$R$809)*0.7,0)</f>
        <v>2</v>
      </c>
      <c r="J68">
        <f>ROUND(SUMIF(Councils!$C$6:$C$809,$A68,Councils!$S$6:$S$809)*0.7,0)</f>
        <v>8</v>
      </c>
      <c r="K68">
        <f>ROUND(SUMIF(Councils!$C$6:$C$809,$A68,Councils!$T$6:$T$809)*0.7,0)</f>
        <v>3</v>
      </c>
      <c r="L68">
        <f>ROUND(SUMIF(Councils!$C$6:$C$809,$A68,Councils!$U$6:$U$809)*0.7,0)</f>
        <v>6</v>
      </c>
      <c r="M68" s="63">
        <f t="shared" si="2"/>
        <v>0</v>
      </c>
      <c r="N68">
        <f t="shared" si="3"/>
        <v>1</v>
      </c>
    </row>
    <row r="69" spans="1:14">
      <c r="A69" s="67">
        <v>78</v>
      </c>
      <c r="B69" s="80">
        <f>IF(ISNA(VLOOKUP($A69,DD_Info!$A$1:$E$222,5,0)),0,VLOOKUP($A69,DD_Info!$A$1:$E$222,5,0))</f>
        <v>3</v>
      </c>
      <c r="C69" t="str">
        <f>IF(ISNA(VLOOKUP($A69,DD_Info!$A$1:$E$222,2,0)),0,VLOOKUP($A69,DD_Info!$A$1:$E$222,2,0))</f>
        <v>Ernest Garcia</v>
      </c>
      <c r="D69" t="str">
        <f>IF(ISNA(VLOOKUP($A69,DD_Info!$A$1:$E$222,3,0)),0,VLOOKUP($A69,DD_Info!$A$1:$E$222,3,0))</f>
        <v>Galv/Hous</v>
      </c>
      <c r="E69">
        <f>ROUND(SUMIF(Councils!$C$6:$C$809,$A69,Councils!$E$6:$E$809),0)</f>
        <v>223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1</v>
      </c>
    </row>
    <row r="70" spans="1:14">
      <c r="A70" s="67">
        <v>79</v>
      </c>
      <c r="B70" s="80">
        <f>IF(ISNA(VLOOKUP($A70,DD_Info!$A$1:$E$222,5,0)),0,VLOOKUP($A70,DD_Info!$A$1:$E$222,5,0))</f>
        <v>1</v>
      </c>
      <c r="C70" t="str">
        <f>IF(ISNA(VLOOKUP($A70,DD_Info!$A$1:$E$222,2,0)),0,VLOOKUP($A70,DD_Info!$A$1:$E$222,2,0))</f>
        <v>Samuel  Gonzalez</v>
      </c>
      <c r="D70" t="str">
        <f>IF(ISNA(VLOOKUP($A70,DD_Info!$A$1:$E$222,3,0)),0,VLOOKUP($A70,DD_Info!$A$1:$E$222,3,0))</f>
        <v>Galv/Hous</v>
      </c>
      <c r="E70">
        <f>ROUND(SUMIF(Councils!$C$6:$C$809,$A70,Councils!$E$6:$E$809),0)</f>
        <v>1599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5</v>
      </c>
      <c r="I70">
        <f>ROUND(SUMIF(Councils!$C$6:$C$809,$A70,Councils!$R$6:$R$809)*0.7,0)</f>
        <v>-5</v>
      </c>
      <c r="J70">
        <f>ROUND(SUMIF(Councils!$C$6:$C$809,$A70,Councils!$S$6:$S$809)*0.7,0)</f>
        <v>6</v>
      </c>
      <c r="K70">
        <f>ROUND(SUMIF(Councils!$C$6:$C$809,$A70,Councils!$T$6:$T$809)*0.7,0)</f>
        <v>7</v>
      </c>
      <c r="L70">
        <f>ROUND(SUMIF(Councils!$C$6:$C$809,$A70,Councils!$U$6:$U$809)*0.7,0)</f>
        <v>-1</v>
      </c>
      <c r="M70" s="63">
        <f t="shared" si="2"/>
        <v>0</v>
      </c>
      <c r="N70">
        <f t="shared" si="3"/>
        <v>1</v>
      </c>
    </row>
    <row r="71" spans="1:14">
      <c r="A71" s="67">
        <v>80</v>
      </c>
      <c r="B71" s="80">
        <f>IF(ISNA(VLOOKUP($A71,DD_Info!$A$1:$E$222,5,0)),0,VLOOKUP($A71,DD_Info!$A$1:$E$222,5,0))</f>
        <v>1</v>
      </c>
      <c r="C71" t="str">
        <f>IF(ISNA(VLOOKUP($A71,DD_Info!$A$1:$E$222,2,0)),0,VLOOKUP($A71,DD_Info!$A$1:$E$222,2,0))</f>
        <v>Vincent C Stasio</v>
      </c>
      <c r="D71" t="str">
        <f>IF(ISNA(VLOOKUP($A71,DD_Info!$A$1:$E$222,3,0)),0,VLOOKUP($A71,DD_Info!$A$1:$E$222,3,0))</f>
        <v>Galv/Hous</v>
      </c>
      <c r="E71">
        <f>ROUND(SUMIF(Councils!$C$6:$C$809,$A71,Councils!$E$6:$E$809),0)</f>
        <v>914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4</v>
      </c>
      <c r="I71">
        <f>ROUND(SUMIF(Councils!$C$6:$C$809,$A71,Councils!$R$6:$R$809)*0.7,0)</f>
        <v>-4</v>
      </c>
      <c r="J71">
        <f>ROUND(SUMIF(Councils!$C$6:$C$809,$A71,Councils!$S$6:$S$809)*0.7,0)</f>
        <v>3</v>
      </c>
      <c r="K71">
        <f>ROUND(SUMIF(Councils!$C$6:$C$809,$A71,Councils!$T$6:$T$809)*0.7,0)</f>
        <v>8</v>
      </c>
      <c r="L71">
        <f>ROUND(SUMIF(Councils!$C$6:$C$809,$A71,Councils!$U$6:$U$809)*0.7,0)</f>
        <v>-6</v>
      </c>
      <c r="M71" s="63">
        <f t="shared" si="2"/>
        <v>0</v>
      </c>
      <c r="N71">
        <f t="shared" si="3"/>
        <v>1</v>
      </c>
    </row>
    <row r="72" spans="1:14">
      <c r="A72" s="67">
        <v>81</v>
      </c>
      <c r="B72" s="80">
        <f>IF(ISNA(VLOOKUP($A72,DD_Info!$A$1:$E$222,5,0)),0,VLOOKUP($A72,DD_Info!$A$1:$E$222,5,0))</f>
        <v>2</v>
      </c>
      <c r="C72" t="str">
        <f>IF(ISNA(VLOOKUP($A72,DD_Info!$A$1:$E$222,2,0)),0,VLOOKUP($A72,DD_Info!$A$1:$E$222,2,0))</f>
        <v>Mario Rodriguez</v>
      </c>
      <c r="D72" t="str">
        <f>IF(ISNA(VLOOKUP($A72,DD_Info!$A$1:$E$222,3,0)),0,VLOOKUP($A72,DD_Info!$A$1:$E$222,3,0))</f>
        <v>Galv/Hous</v>
      </c>
      <c r="E72">
        <f>ROUND(SUMIF(Councils!$C$6:$C$809,$A72,Councils!$E$6:$E$809),0)</f>
        <v>435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1</v>
      </c>
      <c r="I72">
        <f>ROUND(SUMIF(Councils!$C$6:$C$809,$A72,Councils!$R$6:$R$809)*0.7,0)</f>
        <v>-1</v>
      </c>
      <c r="J72">
        <f>ROUND(SUMIF(Councils!$C$6:$C$809,$A72,Councils!$S$6:$S$809)*0.7,0)</f>
        <v>3</v>
      </c>
      <c r="K72">
        <f>ROUND(SUMIF(Councils!$C$6:$C$809,$A72,Councils!$T$6:$T$809)*0.7,0)</f>
        <v>2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1</v>
      </c>
    </row>
    <row r="73" spans="1:14">
      <c r="A73" s="67">
        <v>82</v>
      </c>
      <c r="B73" s="80">
        <f>IF(ISNA(VLOOKUP($A73,DD_Info!$A$1:$E$222,5,0)),0,VLOOKUP($A73,DD_Info!$A$1:$E$222,5,0))</f>
        <v>1</v>
      </c>
      <c r="C73" t="str">
        <f>IF(ISNA(VLOOKUP($A73,DD_Info!$A$1:$E$222,2,0)),0,VLOOKUP($A73,DD_Info!$A$1:$E$222,2,0))</f>
        <v>Michael  Akiboh</v>
      </c>
      <c r="D73" t="str">
        <f>IF(ISNA(VLOOKUP($A73,DD_Info!$A$1:$E$222,3,0)),0,VLOOKUP($A73,DD_Info!$A$1:$E$222,3,0))</f>
        <v>Galv/Hous</v>
      </c>
      <c r="E73">
        <f>ROUND(SUMIF(Councils!$C$6:$C$809,$A73,Councils!$E$6:$E$809),0)</f>
        <v>795</v>
      </c>
      <c r="F73">
        <f>ROUND(SUMIF(Councils!$C$6:$C$809,$A73,Councils!$O$6:$O$809)*0.7,0)</f>
        <v>0</v>
      </c>
      <c r="G73">
        <f>ROUND(SUMIF(Councils!$C$6:$C$809,$A73,Councils!$P$6:$P$809)*0.7,0)</f>
        <v>1</v>
      </c>
      <c r="H73">
        <f>ROUND(SUMIF(Councils!$C$6:$C$809,$A73,Councils!$Q$6:$Q$809)*0.7,0)</f>
        <v>2</v>
      </c>
      <c r="I73">
        <f>ROUND(SUMIF(Councils!$C$6:$C$809,$A73,Councils!$R$6:$R$809)*0.7,0)</f>
        <v>-1</v>
      </c>
      <c r="J73">
        <f>ROUND(SUMIF(Councils!$C$6:$C$809,$A73,Councils!$S$6:$S$809)*0.7,0)</f>
        <v>8</v>
      </c>
      <c r="K73">
        <f>ROUND(SUMIF(Councils!$C$6:$C$809,$A73,Councils!$T$6:$T$809)*0.7,0)</f>
        <v>10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</v>
      </c>
    </row>
    <row r="74" spans="1:14">
      <c r="A74" s="67">
        <v>83</v>
      </c>
      <c r="B74" s="80">
        <f>IF(ISNA(VLOOKUP($A74,DD_Info!$A$1:$E$222,5,0)),0,VLOOKUP($A74,DD_Info!$A$1:$E$222,5,0))</f>
        <v>1</v>
      </c>
      <c r="C74" t="str">
        <f>IF(ISNA(VLOOKUP($A74,DD_Info!$A$1:$E$222,2,0)),0,VLOOKUP($A74,DD_Info!$A$1:$E$222,2,0))</f>
        <v>Don  Huml</v>
      </c>
      <c r="D74" t="str">
        <f>IF(ISNA(VLOOKUP($A74,DD_Info!$A$1:$E$222,3,0)),0,VLOOKUP($A74,DD_Info!$A$1:$E$222,3,0))</f>
        <v>Galv/Hous</v>
      </c>
      <c r="E74">
        <f>ROUND(SUMIF(Councils!$C$6:$C$809,$A74,Councils!$E$6:$E$809),0)</f>
        <v>597</v>
      </c>
      <c r="F74">
        <f>ROUND(SUMIF(Councils!$C$6:$C$809,$A74,Councils!$O$6:$O$809)*0.7,0)</f>
        <v>0</v>
      </c>
      <c r="G74">
        <f>ROUND(SUMIF(Councils!$C$6:$C$809,$A74,Councils!$P$6:$P$809)*0.7,0)</f>
        <v>1</v>
      </c>
      <c r="H74">
        <f>ROUND(SUMIF(Councils!$C$6:$C$809,$A74,Councils!$Q$6:$Q$809)*0.7,0)</f>
        <v>1</v>
      </c>
      <c r="I74">
        <f>ROUND(SUMIF(Councils!$C$6:$C$809,$A74,Councils!$R$6:$R$809)*0.7,0)</f>
        <v>-1</v>
      </c>
      <c r="J74">
        <f>ROUND(SUMIF(Councils!$C$6:$C$809,$A74,Councils!$S$6:$S$809)*0.7,0)</f>
        <v>1</v>
      </c>
      <c r="K74">
        <f>ROUND(SUMIF(Councils!$C$6:$C$809,$A74,Councils!$T$6:$T$809)*0.7,0)</f>
        <v>4</v>
      </c>
      <c r="L74">
        <f>ROUND(SUMIF(Councils!$C$6:$C$809,$A74,Councils!$U$6:$U$809)*0.7,0)</f>
        <v>-3</v>
      </c>
      <c r="M74" s="63">
        <f t="shared" si="2"/>
        <v>0</v>
      </c>
      <c r="N74">
        <f t="shared" si="3"/>
        <v>1</v>
      </c>
    </row>
    <row r="75" spans="1:14">
      <c r="A75" s="67">
        <v>84</v>
      </c>
      <c r="B75" s="80">
        <f>IF(ISNA(VLOOKUP($A75,DD_Info!$A$1:$E$222,5,0)),0,VLOOKUP($A75,DD_Info!$A$1:$E$222,5,0))</f>
        <v>3</v>
      </c>
      <c r="C75" t="str">
        <f>IF(ISNA(VLOOKUP($A75,DD_Info!$A$1:$E$222,2,0)),0,VLOOKUP($A75,DD_Info!$A$1:$E$222,2,0))</f>
        <v>Thomas J. Gooney</v>
      </c>
      <c r="D75" t="str">
        <f>IF(ISNA(VLOOKUP($A75,DD_Info!$A$1:$E$222,3,0)),0,VLOOKUP($A75,DD_Info!$A$1:$E$222,3,0))</f>
        <v>Galv/Hous</v>
      </c>
      <c r="E75">
        <f>ROUND(SUMIF(Councils!$C$6:$C$809,$A75,Councils!$E$6:$E$809),0)</f>
        <v>288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1</v>
      </c>
      <c r="I75">
        <f>ROUND(SUMIF(Councils!$C$6:$C$809,$A75,Councils!$R$6:$R$809)*0.7,0)</f>
        <v>-1</v>
      </c>
      <c r="J75">
        <f>ROUND(SUMIF(Councils!$C$6:$C$809,$A75,Councils!$S$6:$S$809)*0.7,0)</f>
        <v>1</v>
      </c>
      <c r="K75">
        <f>ROUND(SUMIF(Councils!$C$6:$C$809,$A75,Councils!$T$6:$T$809)*0.7,0)</f>
        <v>1</v>
      </c>
      <c r="L75">
        <f>ROUND(SUMIF(Councils!$C$6:$C$809,$A75,Councils!$U$6:$U$809)*0.7,0)</f>
        <v>1</v>
      </c>
      <c r="M75" s="63">
        <f t="shared" si="2"/>
        <v>0</v>
      </c>
      <c r="N75">
        <f t="shared" si="3"/>
        <v>1</v>
      </c>
    </row>
    <row r="76" spans="1:14">
      <c r="A76" s="67">
        <v>85</v>
      </c>
      <c r="B76" s="80">
        <f>IF(ISNA(VLOOKUP($A76,DD_Info!$A$1:$E$222,5,0)),0,VLOOKUP($A76,DD_Info!$A$1:$E$222,5,0))</f>
        <v>1</v>
      </c>
      <c r="C76" t="str">
        <f>IF(ISNA(VLOOKUP($A76,DD_Info!$A$1:$E$222,2,0)),0,VLOOKUP($A76,DD_Info!$A$1:$E$222,2,0))</f>
        <v>Patrick L Russek</v>
      </c>
      <c r="D76" t="str">
        <f>IF(ISNA(VLOOKUP($A76,DD_Info!$A$1:$E$222,3,0)),0,VLOOKUP($A76,DD_Info!$A$1:$E$222,3,0))</f>
        <v>Galv/Hous</v>
      </c>
      <c r="E76">
        <f>ROUND(SUMIF(Councils!$C$6:$C$809,$A76,Councils!$E$6:$E$809),0)</f>
        <v>1301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1</v>
      </c>
      <c r="I76">
        <f>ROUND(SUMIF(Councils!$C$6:$C$809,$A76,Councils!$R$6:$R$809)*0.7,0)</f>
        <v>0</v>
      </c>
      <c r="J76">
        <f>ROUND(SUMIF(Councils!$C$6:$C$809,$A76,Councils!$S$6:$S$809)*0.7,0)</f>
        <v>6</v>
      </c>
      <c r="K76">
        <f>ROUND(SUMIF(Councils!$C$6:$C$809,$A76,Councils!$T$6:$T$809)*0.7,0)</f>
        <v>7</v>
      </c>
      <c r="L76">
        <f>ROUND(SUMIF(Councils!$C$6:$C$809,$A76,Councils!$U$6:$U$809)*0.7,0)</f>
        <v>-1</v>
      </c>
      <c r="M76" s="63">
        <f t="shared" si="2"/>
        <v>0</v>
      </c>
      <c r="N76">
        <f t="shared" si="3"/>
        <v>1</v>
      </c>
    </row>
    <row r="77" spans="1:14">
      <c r="A77" s="67">
        <v>86</v>
      </c>
      <c r="B77" s="80">
        <f>IF(ISNA(VLOOKUP($A77,DD_Info!$A$1:$E$222,5,0)),0,VLOOKUP($A77,DD_Info!$A$1:$E$222,5,0))</f>
        <v>1</v>
      </c>
      <c r="C77" t="str">
        <f>IF(ISNA(VLOOKUP($A77,DD_Info!$A$1:$E$222,2,0)),0,VLOOKUP($A77,DD_Info!$A$1:$E$222,2,0))</f>
        <v>Clarence "CJ"  Hattier</v>
      </c>
      <c r="D77" t="str">
        <f>IF(ISNA(VLOOKUP($A77,DD_Info!$A$1:$E$222,3,0)),0,VLOOKUP($A77,DD_Info!$A$1:$E$222,3,0))</f>
        <v>Galv/Hous</v>
      </c>
      <c r="E77">
        <f>ROUND(SUMIF(Councils!$C$6:$C$809,$A77,Councils!$E$6:$E$809),0)</f>
        <v>614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4</v>
      </c>
      <c r="I77">
        <f>ROUND(SUMIF(Councils!$C$6:$C$809,$A77,Councils!$R$6:$R$809)*0.7,0)</f>
        <v>-4</v>
      </c>
      <c r="J77">
        <f>ROUND(SUMIF(Councils!$C$6:$C$809,$A77,Councils!$S$6:$S$809)*0.7,0)</f>
        <v>2</v>
      </c>
      <c r="K77">
        <f>ROUND(SUMIF(Councils!$C$6:$C$809,$A77,Councils!$T$6:$T$809)*0.7,0)</f>
        <v>5</v>
      </c>
      <c r="L77">
        <f>ROUND(SUMIF(Councils!$C$6:$C$809,$A77,Councils!$U$6:$U$809)*0.7,0)</f>
        <v>-3</v>
      </c>
      <c r="M77" s="63">
        <f t="shared" si="2"/>
        <v>0</v>
      </c>
      <c r="N77">
        <f t="shared" si="3"/>
        <v>1</v>
      </c>
    </row>
    <row r="78" spans="1:14">
      <c r="A78" s="67">
        <v>87</v>
      </c>
      <c r="B78" s="80">
        <f>IF(ISNA(VLOOKUP($A78,DD_Info!$A$1:$E$222,5,0)),0,VLOOKUP($A78,DD_Info!$A$1:$E$222,5,0))</f>
        <v>1</v>
      </c>
      <c r="C78" t="str">
        <f>IF(ISNA(VLOOKUP($A78,DD_Info!$A$1:$E$222,2,0)),0,VLOOKUP($A78,DD_Info!$A$1:$E$222,2,0))</f>
        <v>Juan A Perez</v>
      </c>
      <c r="D78" t="str">
        <f>IF(ISNA(VLOOKUP($A78,DD_Info!$A$1:$E$222,3,0)),0,VLOOKUP($A78,DD_Info!$A$1:$E$222,3,0))</f>
        <v>Galv/Hous</v>
      </c>
      <c r="E78">
        <f>ROUND(SUMIF(Councils!$C$6:$C$809,$A78,Councils!$E$6:$E$809),0)</f>
        <v>583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1</v>
      </c>
      <c r="K78">
        <f>ROUND(SUMIF(Councils!$C$6:$C$809,$A78,Councils!$T$6:$T$809)*0.7,0)</f>
        <v>1</v>
      </c>
      <c r="L78">
        <f>ROUND(SUMIF(Councils!$C$6:$C$809,$A78,Councils!$U$6:$U$809)*0.7,0)</f>
        <v>0</v>
      </c>
      <c r="M78" s="63">
        <f t="shared" si="2"/>
        <v>0</v>
      </c>
      <c r="N78">
        <f t="shared" si="3"/>
        <v>1</v>
      </c>
    </row>
    <row r="79" spans="1:14">
      <c r="A79" s="67">
        <v>88</v>
      </c>
      <c r="B79" s="80">
        <f>IF(ISNA(VLOOKUP($A79,DD_Info!$A$1:$E$222,5,0)),0,VLOOKUP($A79,DD_Info!$A$1:$E$222,5,0))</f>
        <v>1</v>
      </c>
      <c r="C79" t="str">
        <f>IF(ISNA(VLOOKUP($A79,DD_Info!$A$1:$E$222,2,0)),0,VLOOKUP($A79,DD_Info!$A$1:$E$222,2,0))</f>
        <v>Larry  Ordaz</v>
      </c>
      <c r="D79" t="str">
        <f>IF(ISNA(VLOOKUP($A79,DD_Info!$A$1:$E$222,3,0)),0,VLOOKUP($A79,DD_Info!$A$1:$E$222,3,0))</f>
        <v>Galv/Hous</v>
      </c>
      <c r="E79">
        <f>ROUND(SUMIF(Councils!$C$6:$C$809,$A79,Councils!$E$6:$E$809),0)</f>
        <v>897</v>
      </c>
      <c r="F79">
        <f>ROUND(SUMIF(Councils!$C$6:$C$809,$A79,Councils!$O$6:$O$809)*0.7,0)</f>
        <v>0</v>
      </c>
      <c r="G79">
        <f>ROUND(SUMIF(Councils!$C$6:$C$809,$A79,Councils!$P$6:$P$809)*0.7,0)</f>
        <v>0</v>
      </c>
      <c r="H79">
        <f>ROUND(SUMIF(Councils!$C$6:$C$809,$A79,Councils!$Q$6:$Q$809)*0.7,0)</f>
        <v>3</v>
      </c>
      <c r="I79">
        <f>ROUND(SUMIF(Councils!$C$6:$C$809,$A79,Councils!$R$6:$R$809)*0.7,0)</f>
        <v>-3</v>
      </c>
      <c r="J79">
        <f>ROUND(SUMIF(Councils!$C$6:$C$809,$A79,Councils!$S$6:$S$809)*0.7,0)</f>
        <v>3</v>
      </c>
      <c r="K79">
        <f>ROUND(SUMIF(Councils!$C$6:$C$809,$A79,Councils!$T$6:$T$809)*0.7,0)</f>
        <v>4</v>
      </c>
      <c r="L79">
        <f>ROUND(SUMIF(Councils!$C$6:$C$809,$A79,Councils!$U$6:$U$809)*0.7,0)</f>
        <v>-1</v>
      </c>
      <c r="M79" s="63">
        <f t="shared" si="2"/>
        <v>0</v>
      </c>
      <c r="N79">
        <f t="shared" si="3"/>
        <v>1</v>
      </c>
    </row>
    <row r="80" spans="1:14">
      <c r="A80" s="67">
        <v>89</v>
      </c>
      <c r="B80" s="80">
        <f>IF(ISNA(VLOOKUP($A80,DD_Info!$A$1:$E$222,5,0)),0,VLOOKUP($A80,DD_Info!$A$1:$E$222,5,0))</f>
        <v>3</v>
      </c>
      <c r="C80" t="str">
        <f>IF(ISNA(VLOOKUP($A80,DD_Info!$A$1:$E$222,2,0)),0,VLOOKUP($A80,DD_Info!$A$1:$E$222,2,0))</f>
        <v>Abner  Brown Jr</v>
      </c>
      <c r="D80" t="str">
        <f>IF(ISNA(VLOOKUP($A80,DD_Info!$A$1:$E$222,3,0)),0,VLOOKUP($A80,DD_Info!$A$1:$E$222,3,0))</f>
        <v>Galv/Hous</v>
      </c>
      <c r="E80">
        <f>ROUND(SUMIF(Councils!$C$6:$C$809,$A80,Councils!$E$6:$E$809),0)</f>
        <v>204</v>
      </c>
      <c r="F80">
        <f>ROUND(SUMIF(Councils!$C$6:$C$809,$A80,Councils!$O$6:$O$809)*0.7,0)</f>
        <v>0</v>
      </c>
      <c r="G80">
        <f>ROUND(SUMIF(Councils!$C$6:$C$809,$A80,Councils!$P$6:$P$809)*0.7,0)</f>
        <v>1</v>
      </c>
      <c r="H80">
        <f>ROUND(SUMIF(Councils!$C$6:$C$809,$A80,Councils!$Q$6:$Q$809)*0.7,0)</f>
        <v>0</v>
      </c>
      <c r="I80">
        <f>ROUND(SUMIF(Councils!$C$6:$C$809,$A80,Councils!$R$6:$R$809)*0.7,0)</f>
        <v>1</v>
      </c>
      <c r="J80">
        <f>ROUND(SUMIF(Councils!$C$6:$C$809,$A80,Councils!$S$6:$S$809)*0.7,0)</f>
        <v>1</v>
      </c>
      <c r="K80">
        <f>ROUND(SUMIF(Councils!$C$6:$C$809,$A80,Councils!$T$6:$T$809)*0.7,0)</f>
        <v>0</v>
      </c>
      <c r="L80">
        <f>ROUND(SUMIF(Councils!$C$6:$C$809,$A80,Councils!$U$6:$U$809)*0.7,0)</f>
        <v>1</v>
      </c>
      <c r="M80" s="63">
        <f t="shared" si="2"/>
        <v>0</v>
      </c>
      <c r="N80">
        <f t="shared" si="3"/>
        <v>1</v>
      </c>
    </row>
    <row r="81" spans="1:14">
      <c r="A81" s="67">
        <v>90</v>
      </c>
      <c r="B81" s="80">
        <f>IF(ISNA(VLOOKUP($A81,DD_Info!$A$1:$E$222,5,0)),0,VLOOKUP($A81,DD_Info!$A$1:$E$222,5,0))</f>
        <v>1</v>
      </c>
      <c r="C81" t="str">
        <f>IF(ISNA(VLOOKUP($A81,DD_Info!$A$1:$E$222,2,0)),0,VLOOKUP($A81,DD_Info!$A$1:$E$222,2,0))</f>
        <v>Reggie  Vasquez</v>
      </c>
      <c r="D81" t="str">
        <f>IF(ISNA(VLOOKUP($A81,DD_Info!$A$1:$E$222,3,0)),0,VLOOKUP($A81,DD_Info!$A$1:$E$222,3,0))</f>
        <v>Galv/Hous</v>
      </c>
      <c r="E81">
        <f>ROUND(SUMIF(Councils!$C$6:$C$809,$A81,Councils!$E$6:$E$809),0)</f>
        <v>1236</v>
      </c>
      <c r="F81">
        <f>ROUND(SUMIF(Councils!$C$6:$C$809,$A81,Councils!$O$6:$O$809)*0.7,0)</f>
        <v>0</v>
      </c>
      <c r="G81">
        <f>ROUND(SUMIF(Councils!$C$6:$C$809,$A81,Councils!$P$6:$P$809)*0.7,0)</f>
        <v>1</v>
      </c>
      <c r="H81">
        <f>ROUND(SUMIF(Councils!$C$6:$C$809,$A81,Councils!$Q$6:$Q$809)*0.7,0)</f>
        <v>1</v>
      </c>
      <c r="I81">
        <f>ROUND(SUMIF(Councils!$C$6:$C$809,$A81,Councils!$R$6:$R$809)*0.7,0)</f>
        <v>-1</v>
      </c>
      <c r="J81">
        <f>ROUND(SUMIF(Councils!$C$6:$C$809,$A81,Councils!$S$6:$S$809)*0.7,0)</f>
        <v>2</v>
      </c>
      <c r="K81">
        <f>ROUND(SUMIF(Councils!$C$6:$C$809,$A81,Councils!$T$6:$T$809)*0.7,0)</f>
        <v>5</v>
      </c>
      <c r="L81">
        <f>ROUND(SUMIF(Councils!$C$6:$C$809,$A81,Councils!$U$6:$U$809)*0.7,0)</f>
        <v>-3</v>
      </c>
      <c r="M81" s="63">
        <f t="shared" si="2"/>
        <v>0</v>
      </c>
      <c r="N81">
        <f t="shared" si="3"/>
        <v>1</v>
      </c>
    </row>
    <row r="82" spans="1:14">
      <c r="A82" s="67">
        <v>91</v>
      </c>
      <c r="B82" s="80">
        <f>IF(ISNA(VLOOKUP($A82,DD_Info!$A$1:$E$222,5,0)),0,VLOOKUP($A82,DD_Info!$A$1:$E$222,5,0))</f>
        <v>1</v>
      </c>
      <c r="C82" t="str">
        <f>IF(ISNA(VLOOKUP($A82,DD_Info!$A$1:$E$222,2,0)),0,VLOOKUP($A82,DD_Info!$A$1:$E$222,2,0))</f>
        <v>John Anthony  Martinez</v>
      </c>
      <c r="D82" t="str">
        <f>IF(ISNA(VLOOKUP($A82,DD_Info!$A$1:$E$222,3,0)),0,VLOOKUP($A82,DD_Info!$A$1:$E$222,3,0))</f>
        <v>Galv/Hous</v>
      </c>
      <c r="E82">
        <f>ROUND(SUMIF(Councils!$C$6:$C$809,$A82,Councils!$E$6:$E$809),0)</f>
        <v>694</v>
      </c>
      <c r="F82">
        <f>ROUND(SUMIF(Councils!$C$6:$C$809,$A82,Councils!$O$6:$O$809)*0.7,0)</f>
        <v>0</v>
      </c>
      <c r="G82">
        <f>ROUND(SUMIF(Councils!$C$6:$C$809,$A82,Councils!$P$6:$P$809)*0.7,0)</f>
        <v>1</v>
      </c>
      <c r="H82">
        <f>ROUND(SUMIF(Councils!$C$6:$C$809,$A82,Councils!$Q$6:$Q$809)*0.7,0)</f>
        <v>4</v>
      </c>
      <c r="I82">
        <f>ROUND(SUMIF(Councils!$C$6:$C$809,$A82,Councils!$R$6:$R$809)*0.7,0)</f>
        <v>-3</v>
      </c>
      <c r="J82">
        <f>ROUND(SUMIF(Councils!$C$6:$C$809,$A82,Councils!$S$6:$S$809)*0.7,0)</f>
        <v>5</v>
      </c>
      <c r="K82">
        <f>ROUND(SUMIF(Councils!$C$6:$C$809,$A82,Councils!$T$6:$T$809)*0.7,0)</f>
        <v>11</v>
      </c>
      <c r="L82">
        <f>ROUND(SUMIF(Councils!$C$6:$C$809,$A82,Councils!$U$6:$U$809)*0.7,0)</f>
        <v>-6</v>
      </c>
      <c r="M82" s="63">
        <f t="shared" si="2"/>
        <v>0</v>
      </c>
      <c r="N82">
        <f t="shared" si="3"/>
        <v>1</v>
      </c>
    </row>
    <row r="83" spans="1:14">
      <c r="A83" s="67">
        <v>92</v>
      </c>
      <c r="B83" s="80">
        <f>IF(ISNA(VLOOKUP($A83,DD_Info!$A$1:$E$222,5,0)),0,VLOOKUP($A83,DD_Info!$A$1:$E$222,5,0))</f>
        <v>1</v>
      </c>
      <c r="C83" t="str">
        <f>IF(ISNA(VLOOKUP($A83,DD_Info!$A$1:$E$222,2,0)),0,VLOOKUP($A83,DD_Info!$A$1:$E$222,2,0))</f>
        <v>Robert "Bob" H Schmidt</v>
      </c>
      <c r="D83" t="str">
        <f>IF(ISNA(VLOOKUP($A83,DD_Info!$A$1:$E$222,3,0)),0,VLOOKUP($A83,DD_Info!$A$1:$E$222,3,0))</f>
        <v>Galv/Hous</v>
      </c>
      <c r="E83">
        <f>ROUND(SUMIF(Councils!$C$6:$C$809,$A83,Councils!$E$6:$E$809),0)</f>
        <v>1159</v>
      </c>
      <c r="F83">
        <f>ROUND(SUMIF(Councils!$C$6:$C$809,$A83,Councils!$O$6:$O$809)*0.7,0)</f>
        <v>0</v>
      </c>
      <c r="G83">
        <f>ROUND(SUMIF(Councils!$C$6:$C$809,$A83,Councils!$P$6:$P$809)*0.7,0)</f>
        <v>1</v>
      </c>
      <c r="H83">
        <f>ROUND(SUMIF(Councils!$C$6:$C$809,$A83,Councils!$Q$6:$Q$809)*0.7,0)</f>
        <v>2</v>
      </c>
      <c r="I83">
        <f>ROUND(SUMIF(Councils!$C$6:$C$809,$A83,Councils!$R$6:$R$809)*0.7,0)</f>
        <v>-1</v>
      </c>
      <c r="J83">
        <f>ROUND(SUMIF(Councils!$C$6:$C$809,$A83,Councils!$S$6:$S$809)*0.7,0)</f>
        <v>3</v>
      </c>
      <c r="K83">
        <f>ROUND(SUMIF(Councils!$C$6:$C$809,$A83,Councils!$T$6:$T$809)*0.7,0)</f>
        <v>4</v>
      </c>
      <c r="L83">
        <f>ROUND(SUMIF(Councils!$C$6:$C$809,$A83,Councils!$U$6:$U$809)*0.7,0)</f>
        <v>-1</v>
      </c>
      <c r="M83" s="63">
        <f t="shared" si="2"/>
        <v>0</v>
      </c>
      <c r="N83">
        <f t="shared" si="3"/>
        <v>1</v>
      </c>
    </row>
    <row r="84" spans="1:14">
      <c r="A84" s="67">
        <v>93</v>
      </c>
      <c r="B84" s="80">
        <f>IF(ISNA(VLOOKUP($A84,DD_Info!$A$1:$E$222,5,0)),0,VLOOKUP($A84,DD_Info!$A$1:$E$222,5,0))</f>
        <v>1</v>
      </c>
      <c r="C84" t="str">
        <f>IF(ISNA(VLOOKUP($A84,DD_Info!$A$1:$E$222,2,0)),0,VLOOKUP($A84,DD_Info!$A$1:$E$222,2,0))</f>
        <v>TBD</v>
      </c>
      <c r="D84" t="str">
        <f>IF(ISNA(VLOOKUP($A84,DD_Info!$A$1:$E$222,3,0)),0,VLOOKUP($A84,DD_Info!$A$1:$E$222,3,0))</f>
        <v>Galv/Hous</v>
      </c>
      <c r="E84">
        <f>ROUND(SUMIF(Councils!$C$6:$C$809,$A84,Councils!$E$6:$E$809),0)</f>
        <v>1121</v>
      </c>
      <c r="F84">
        <f>ROUND(SUMIF(Councils!$C$6:$C$809,$A84,Councils!$O$6:$O$809)*0.7,0)</f>
        <v>0</v>
      </c>
      <c r="G84">
        <f>ROUND(SUMIF(Councils!$C$6:$C$809,$A84,Councils!$P$6:$P$809)*0.7,0)</f>
        <v>1</v>
      </c>
      <c r="H84">
        <f>ROUND(SUMIF(Councils!$C$6:$C$809,$A84,Councils!$Q$6:$Q$809)*0.7,0)</f>
        <v>1</v>
      </c>
      <c r="I84">
        <f>ROUND(SUMIF(Councils!$C$6:$C$809,$A84,Councils!$R$6:$R$809)*0.7,0)</f>
        <v>-1</v>
      </c>
      <c r="J84">
        <f>ROUND(SUMIF(Councils!$C$6:$C$809,$A84,Councils!$S$6:$S$809)*0.7,0)</f>
        <v>4</v>
      </c>
      <c r="K84">
        <f>ROUND(SUMIF(Councils!$C$6:$C$809,$A84,Councils!$T$6:$T$809)*0.7,0)</f>
        <v>4</v>
      </c>
      <c r="L84">
        <f>ROUND(SUMIF(Councils!$C$6:$C$809,$A84,Councils!$U$6:$U$809)*0.7,0)</f>
        <v>1</v>
      </c>
      <c r="M84" s="63">
        <f t="shared" si="2"/>
        <v>0</v>
      </c>
      <c r="N84">
        <f t="shared" si="3"/>
        <v>1</v>
      </c>
    </row>
    <row r="85" spans="1:14">
      <c r="A85" s="67">
        <v>94</v>
      </c>
      <c r="B85" s="80">
        <f>IF(ISNA(VLOOKUP($A85,DD_Info!$A$1:$E$222,5,0)),0,VLOOKUP($A85,DD_Info!$A$1:$E$222,5,0))</f>
        <v>1</v>
      </c>
      <c r="C85" t="str">
        <f>IF(ISNA(VLOOKUP($A85,DD_Info!$A$1:$E$222,2,0)),0,VLOOKUP($A85,DD_Info!$A$1:$E$222,2,0))</f>
        <v>Larry  Pellerito</v>
      </c>
      <c r="D85" t="str">
        <f>IF(ISNA(VLOOKUP($A85,DD_Info!$A$1:$E$222,3,0)),0,VLOOKUP($A85,DD_Info!$A$1:$E$222,3,0))</f>
        <v>Galv/Hous</v>
      </c>
      <c r="E85">
        <f>ROUND(SUMIF(Councils!$C$6:$C$809,$A85,Councils!$E$6:$E$809),0)</f>
        <v>848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2</v>
      </c>
      <c r="I85">
        <f>ROUND(SUMIF(Councils!$C$6:$C$809,$A85,Councils!$R$6:$R$809)*0.7,0)</f>
        <v>-2</v>
      </c>
      <c r="J85">
        <f>ROUND(SUMIF(Councils!$C$6:$C$809,$A85,Councils!$S$6:$S$809)*0.7,0)</f>
        <v>1</v>
      </c>
      <c r="K85">
        <f>ROUND(SUMIF(Councils!$C$6:$C$809,$A85,Councils!$T$6:$T$809)*0.7,0)</f>
        <v>4</v>
      </c>
      <c r="L85">
        <f>ROUND(SUMIF(Councils!$C$6:$C$809,$A85,Councils!$U$6:$U$809)*0.7,0)</f>
        <v>-3</v>
      </c>
      <c r="M85" s="63">
        <f t="shared" si="2"/>
        <v>0</v>
      </c>
      <c r="N85">
        <f t="shared" si="3"/>
        <v>1</v>
      </c>
    </row>
    <row r="86" spans="1:14">
      <c r="A86" s="67">
        <v>95</v>
      </c>
      <c r="B86" s="80">
        <f>IF(ISNA(VLOOKUP($A86,DD_Info!$A$1:$E$222,5,0)),0,VLOOKUP($A86,DD_Info!$A$1:$E$222,5,0))</f>
        <v>2</v>
      </c>
      <c r="C86" t="str">
        <f>IF(ISNA(VLOOKUP($A86,DD_Info!$A$1:$E$222,2,0)),0,VLOOKUP($A86,DD_Info!$A$1:$E$222,2,0))</f>
        <v>Joseph A Geiman</v>
      </c>
      <c r="D86" t="str">
        <f>IF(ISNA(VLOOKUP($A86,DD_Info!$A$1:$E$222,3,0)),0,VLOOKUP($A86,DD_Info!$A$1:$E$222,3,0))</f>
        <v>Galv/Hous</v>
      </c>
      <c r="E86">
        <f>ROUND(SUMIF(Councils!$C$6:$C$809,$A86,Councils!$E$6:$E$809),0)</f>
        <v>411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1</v>
      </c>
      <c r="I86">
        <f>ROUND(SUMIF(Councils!$C$6:$C$809,$A86,Councils!$R$6:$R$809)*0.7,0)</f>
        <v>-1</v>
      </c>
      <c r="J86">
        <f>ROUND(SUMIF(Councils!$C$6:$C$809,$A86,Councils!$S$6:$S$809)*0.7,0)</f>
        <v>1</v>
      </c>
      <c r="K86">
        <f>ROUND(SUMIF(Councils!$C$6:$C$809,$A86,Councils!$T$6:$T$809)*0.7,0)</f>
        <v>1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1</v>
      </c>
    </row>
    <row r="87" spans="1:14">
      <c r="A87" s="67">
        <v>96</v>
      </c>
      <c r="B87" s="80">
        <f>IF(ISNA(VLOOKUP($A87,DD_Info!$A$1:$E$222,5,0)),0,VLOOKUP($A87,DD_Info!$A$1:$E$222,5,0))</f>
        <v>3</v>
      </c>
      <c r="C87" t="str">
        <f>IF(ISNA(VLOOKUP($A87,DD_Info!$A$1:$E$222,2,0)),0,VLOOKUP($A87,DD_Info!$A$1:$E$222,2,0))</f>
        <v>John G Hinojosa</v>
      </c>
      <c r="D87" t="str">
        <f>IF(ISNA(VLOOKUP($A87,DD_Info!$A$1:$E$222,3,0)),0,VLOOKUP($A87,DD_Info!$A$1:$E$222,3,0))</f>
        <v>Galv/Hous</v>
      </c>
      <c r="E87">
        <f>ROUND(SUMIF(Councils!$C$6:$C$809,$A87,Councils!$E$6:$E$809),0)</f>
        <v>172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0</v>
      </c>
      <c r="K87">
        <f>ROUND(SUMIF(Councils!$C$6:$C$809,$A87,Councils!$T$6:$T$809)*0.7,0)</f>
        <v>0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1</v>
      </c>
    </row>
    <row r="88" spans="1:14">
      <c r="A88" s="67">
        <v>97</v>
      </c>
      <c r="B88" s="80">
        <f>IF(ISNA(VLOOKUP($A88,DD_Info!$A$1:$E$222,5,0)),0,VLOOKUP($A88,DD_Info!$A$1:$E$222,5,0))</f>
        <v>3</v>
      </c>
      <c r="C88" t="str">
        <f>IF(ISNA(VLOOKUP($A88,DD_Info!$A$1:$E$222,2,0)),0,VLOOKUP($A88,DD_Info!$A$1:$E$222,2,0))</f>
        <v>James A Hatcher</v>
      </c>
      <c r="D88" t="str">
        <f>IF(ISNA(VLOOKUP($A88,DD_Info!$A$1:$E$222,3,0)),0,VLOOKUP($A88,DD_Info!$A$1:$E$222,3,0))</f>
        <v>Galv/Hous</v>
      </c>
      <c r="E88">
        <f>ROUND(SUMIF(Councils!$C$6:$C$809,$A88,Councils!$E$6:$E$809),0)</f>
        <v>58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1</v>
      </c>
    </row>
    <row r="89" spans="1:14">
      <c r="A89" s="67">
        <v>98</v>
      </c>
      <c r="B89" s="80">
        <f>IF(ISNA(VLOOKUP($A89,DD_Info!$A$1:$E$222,5,0)),0,VLOOKUP($A89,DD_Info!$A$1:$E$222,5,0))</f>
        <v>3</v>
      </c>
      <c r="C89" t="str">
        <f>IF(ISNA(VLOOKUP($A89,DD_Info!$A$1:$E$222,2,0)),0,VLOOKUP($A89,DD_Info!$A$1:$E$222,2,0))</f>
        <v>Ron  Frerich</v>
      </c>
      <c r="D89" t="str">
        <f>IF(ISNA(VLOOKUP($A89,DD_Info!$A$1:$E$222,3,0)),0,VLOOKUP($A89,DD_Info!$A$1:$E$222,3,0))</f>
        <v>Galv/Hous</v>
      </c>
      <c r="E89">
        <f>ROUND(SUMIF(Councils!$C$6:$C$809,$A89,Councils!$E$6:$E$809),0)</f>
        <v>273</v>
      </c>
      <c r="F89">
        <f>ROUND(SUMIF(Councils!$C$6:$C$809,$A89,Councils!$O$6:$O$809)*0.7,0)</f>
        <v>0</v>
      </c>
      <c r="G89">
        <f>ROUND(SUMIF(Councils!$C$6:$C$809,$A89,Councils!$P$6:$P$809)*0.7,0)</f>
        <v>0</v>
      </c>
      <c r="H89">
        <f>ROUND(SUMIF(Councils!$C$6:$C$809,$A89,Councils!$Q$6:$Q$809)*0.7,0)</f>
        <v>1</v>
      </c>
      <c r="I89">
        <f>ROUND(SUMIF(Councils!$C$6:$C$809,$A89,Councils!$R$6:$R$809)*0.7,0)</f>
        <v>-1</v>
      </c>
      <c r="J89">
        <f>ROUND(SUMIF(Councils!$C$6:$C$809,$A89,Councils!$S$6:$S$809)*0.7,0)</f>
        <v>0</v>
      </c>
      <c r="K89">
        <f>ROUND(SUMIF(Councils!$C$6:$C$809,$A89,Councils!$T$6:$T$809)*0.7,0)</f>
        <v>1</v>
      </c>
      <c r="L89">
        <f>ROUND(SUMIF(Councils!$C$6:$C$809,$A89,Councils!$U$6:$U$809)*0.7,0)</f>
        <v>-1</v>
      </c>
      <c r="M89" s="63">
        <f t="shared" si="2"/>
        <v>0</v>
      </c>
      <c r="N89">
        <f t="shared" si="3"/>
        <v>1</v>
      </c>
    </row>
    <row r="90" spans="1:14">
      <c r="A90" s="67">
        <v>101</v>
      </c>
      <c r="B90" s="80">
        <f>IF(ISNA(VLOOKUP($A90,DD_Info!$A$1:$E$222,5,0)),0,VLOOKUP($A90,DD_Info!$A$1:$E$222,5,0))</f>
        <v>2</v>
      </c>
      <c r="C90" t="str">
        <f>IF(ISNA(VLOOKUP($A90,DD_Info!$A$1:$E$222,2,0)),0,VLOOKUP($A90,DD_Info!$A$1:$E$222,2,0))</f>
        <v>Gary L Walton</v>
      </c>
      <c r="D90" t="str">
        <f>IF(ISNA(VLOOKUP($A90,DD_Info!$A$1:$E$222,3,0)),0,VLOOKUP($A90,DD_Info!$A$1:$E$222,3,0))</f>
        <v>Dallas</v>
      </c>
      <c r="E90">
        <f>ROUND(SUMIF(Councils!$C$6:$C$809,$A90,Councils!$E$6:$E$809),0)</f>
        <v>458</v>
      </c>
      <c r="F90">
        <f>ROUND(SUMIF(Councils!$C$6:$C$809,$A90,Councils!$O$6:$O$809)*0.7,0)</f>
        <v>0</v>
      </c>
      <c r="G90">
        <f>ROUND(SUMIF(Councils!$C$6:$C$809,$A90,Councils!$P$6:$P$809)*0.7,0)</f>
        <v>1</v>
      </c>
      <c r="H90">
        <f>ROUND(SUMIF(Councils!$C$6:$C$809,$A90,Councils!$Q$6:$Q$809)*0.7,0)</f>
        <v>2</v>
      </c>
      <c r="I90">
        <f>ROUND(SUMIF(Councils!$C$6:$C$809,$A90,Councils!$R$6:$R$809)*0.7,0)</f>
        <v>-1</v>
      </c>
      <c r="J90">
        <f>ROUND(SUMIF(Councils!$C$6:$C$809,$A90,Councils!$S$6:$S$809)*0.7,0)</f>
        <v>3</v>
      </c>
      <c r="K90">
        <f>ROUND(SUMIF(Councils!$C$6:$C$809,$A90,Councils!$T$6:$T$809)*0.7,0)</f>
        <v>5</v>
      </c>
      <c r="L90">
        <f>ROUND(SUMIF(Councils!$C$6:$C$809,$A90,Councils!$U$6:$U$809)*0.7,0)</f>
        <v>-2</v>
      </c>
      <c r="M90" s="63">
        <f t="shared" si="2"/>
        <v>0</v>
      </c>
      <c r="N90">
        <f t="shared" si="3"/>
        <v>1</v>
      </c>
    </row>
    <row r="91" spans="1:14">
      <c r="A91" s="67">
        <v>102</v>
      </c>
      <c r="B91" s="80">
        <f>IF(ISNA(VLOOKUP($A91,DD_Info!$A$1:$E$222,5,0)),0,VLOOKUP($A91,DD_Info!$A$1:$E$222,5,0))</f>
        <v>1</v>
      </c>
      <c r="C91" t="str">
        <f>IF(ISNA(VLOOKUP($A91,DD_Info!$A$1:$E$222,2,0)),0,VLOOKUP($A91,DD_Info!$A$1:$E$222,2,0))</f>
        <v>Jose "John" J Casarez</v>
      </c>
      <c r="D91" t="str">
        <f>IF(ISNA(VLOOKUP($A91,DD_Info!$A$1:$E$222,3,0)),0,VLOOKUP($A91,DD_Info!$A$1:$E$222,3,0))</f>
        <v>Dallas</v>
      </c>
      <c r="E91">
        <f>ROUND(SUMIF(Councils!$C$6:$C$809,$A91,Councils!$E$6:$E$809),0)</f>
        <v>767</v>
      </c>
      <c r="F91">
        <f>ROUND(SUMIF(Councils!$C$6:$C$809,$A91,Councils!$O$6:$O$809)*0.7,0)</f>
        <v>0</v>
      </c>
      <c r="G91">
        <f>ROUND(SUMIF(Councils!$C$6:$C$809,$A91,Councils!$P$6:$P$809)*0.7,0)</f>
        <v>1</v>
      </c>
      <c r="H91">
        <f>ROUND(SUMIF(Councils!$C$6:$C$809,$A91,Councils!$Q$6:$Q$809)*0.7,0)</f>
        <v>0</v>
      </c>
      <c r="I91">
        <f>ROUND(SUMIF(Councils!$C$6:$C$809,$A91,Councils!$R$6:$R$809)*0.7,0)</f>
        <v>1</v>
      </c>
      <c r="J91">
        <f>ROUND(SUMIF(Councils!$C$6:$C$809,$A91,Councils!$S$6:$S$809)*0.7,0)</f>
        <v>4</v>
      </c>
      <c r="K91">
        <f>ROUND(SUMIF(Councils!$C$6:$C$809,$A91,Councils!$T$6:$T$809)*0.7,0)</f>
        <v>4</v>
      </c>
      <c r="L91">
        <f>ROUND(SUMIF(Councils!$C$6:$C$809,$A91,Councils!$U$6:$U$809)*0.7,0)</f>
        <v>0</v>
      </c>
      <c r="M91" s="63">
        <f t="shared" si="2"/>
        <v>0</v>
      </c>
      <c r="N91">
        <f t="shared" si="3"/>
        <v>1</v>
      </c>
    </row>
    <row r="92" spans="1:14">
      <c r="A92" s="67">
        <v>103</v>
      </c>
      <c r="B92" s="80">
        <f>IF(ISNA(VLOOKUP($A92,DD_Info!$A$1:$E$222,5,0)),0,VLOOKUP($A92,DD_Info!$A$1:$E$222,5,0))</f>
        <v>1</v>
      </c>
      <c r="C92" t="str">
        <f>IF(ISNA(VLOOKUP($A92,DD_Info!$A$1:$E$222,2,0)),0,VLOOKUP($A92,DD_Info!$A$1:$E$222,2,0))</f>
        <v>Kevin  Quinn</v>
      </c>
      <c r="D92" t="str">
        <f>IF(ISNA(VLOOKUP($A92,DD_Info!$A$1:$E$222,3,0)),0,VLOOKUP($A92,DD_Info!$A$1:$E$222,3,0))</f>
        <v>Dallas</v>
      </c>
      <c r="E92">
        <f>ROUND(SUMIF(Councils!$C$6:$C$809,$A92,Councils!$E$6:$E$809),0)</f>
        <v>888</v>
      </c>
      <c r="F92">
        <f>ROUND(SUMIF(Councils!$C$6:$C$809,$A92,Councils!$O$6:$O$809)*0.7,0)</f>
        <v>0</v>
      </c>
      <c r="G92">
        <f>ROUND(SUMIF(Councils!$C$6:$C$809,$A92,Councils!$P$6:$P$809)*0.7,0)</f>
        <v>0</v>
      </c>
      <c r="H92">
        <f>ROUND(SUMIF(Councils!$C$6:$C$809,$A92,Councils!$Q$6:$Q$809)*0.7,0)</f>
        <v>1</v>
      </c>
      <c r="I92">
        <f>ROUND(SUMIF(Councils!$C$6:$C$809,$A92,Councils!$R$6:$R$809)*0.7,0)</f>
        <v>-1</v>
      </c>
      <c r="J92">
        <f>ROUND(SUMIF(Councils!$C$6:$C$809,$A92,Councils!$S$6:$S$809)*0.7,0)</f>
        <v>4</v>
      </c>
      <c r="K92">
        <f>ROUND(SUMIF(Councils!$C$6:$C$809,$A92,Councils!$T$6:$T$809)*0.7,0)</f>
        <v>5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</v>
      </c>
    </row>
    <row r="93" spans="1:14">
      <c r="A93" s="67">
        <v>104</v>
      </c>
      <c r="B93" s="80">
        <f>IF(ISNA(VLOOKUP($A93,DD_Info!$A$1:$E$222,5,0)),0,VLOOKUP($A93,DD_Info!$A$1:$E$222,5,0))</f>
        <v>1</v>
      </c>
      <c r="C93" t="str">
        <f>IF(ISNA(VLOOKUP($A93,DD_Info!$A$1:$E$222,2,0)),0,VLOOKUP($A93,DD_Info!$A$1:$E$222,2,0))</f>
        <v>Scott  Brkovich</v>
      </c>
      <c r="D93" t="str">
        <f>IF(ISNA(VLOOKUP($A93,DD_Info!$A$1:$E$222,3,0)),0,VLOOKUP($A93,DD_Info!$A$1:$E$222,3,0))</f>
        <v>Dallas</v>
      </c>
      <c r="E93">
        <f>ROUND(SUMIF(Councils!$C$6:$C$809,$A93,Councils!$E$6:$E$809),0)</f>
        <v>2177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1</v>
      </c>
      <c r="I93">
        <f>ROUND(SUMIF(Councils!$C$6:$C$809,$A93,Councils!$R$6:$R$809)*0.7,0)</f>
        <v>-1</v>
      </c>
      <c r="J93">
        <f>ROUND(SUMIF(Councils!$C$6:$C$809,$A93,Councils!$S$6:$S$809)*0.7,0)</f>
        <v>2</v>
      </c>
      <c r="K93">
        <f>ROUND(SUMIF(Councils!$C$6:$C$809,$A93,Councils!$T$6:$T$809)*0.7,0)</f>
        <v>5</v>
      </c>
      <c r="L93">
        <f>ROUND(SUMIF(Councils!$C$6:$C$809,$A93,Councils!$U$6:$U$809)*0.7,0)</f>
        <v>-3</v>
      </c>
      <c r="M93" s="63">
        <f t="shared" si="2"/>
        <v>0</v>
      </c>
      <c r="N93">
        <f t="shared" si="3"/>
        <v>1</v>
      </c>
    </row>
    <row r="94" spans="1:14">
      <c r="A94" s="67">
        <v>105</v>
      </c>
      <c r="B94" s="80">
        <f>IF(ISNA(VLOOKUP($A94,DD_Info!$A$1:$E$222,5,0)),0,VLOOKUP($A94,DD_Info!$A$1:$E$222,5,0))</f>
        <v>1</v>
      </c>
      <c r="C94" t="str">
        <f>IF(ISNA(VLOOKUP($A94,DD_Info!$A$1:$E$222,2,0)),0,VLOOKUP($A94,DD_Info!$A$1:$E$222,2,0))</f>
        <v>Royce G Cheek</v>
      </c>
      <c r="D94" t="str">
        <f>IF(ISNA(VLOOKUP($A94,DD_Info!$A$1:$E$222,3,0)),0,VLOOKUP($A94,DD_Info!$A$1:$E$222,3,0))</f>
        <v>Dallas</v>
      </c>
      <c r="E94">
        <f>ROUND(SUMIF(Councils!$C$6:$C$809,$A94,Councils!$E$6:$E$809),0)</f>
        <v>661</v>
      </c>
      <c r="F94">
        <f>ROUND(SUMIF(Councils!$C$6:$C$809,$A94,Councils!$O$6:$O$809)*0.7,0)</f>
        <v>0</v>
      </c>
      <c r="G94">
        <f>ROUND(SUMIF(Councils!$C$6:$C$809,$A94,Councils!$P$6:$P$809)*0.7,0)</f>
        <v>1</v>
      </c>
      <c r="H94">
        <f>ROUND(SUMIF(Councils!$C$6:$C$809,$A94,Councils!$Q$6:$Q$809)*0.7,0)</f>
        <v>0</v>
      </c>
      <c r="I94">
        <f>ROUND(SUMIF(Councils!$C$6:$C$809,$A94,Councils!$R$6:$R$809)*0.7,0)</f>
        <v>1</v>
      </c>
      <c r="J94">
        <f>ROUND(SUMIF(Councils!$C$6:$C$809,$A94,Councils!$S$6:$S$809)*0.7,0)</f>
        <v>3</v>
      </c>
      <c r="K94">
        <f>ROUND(SUMIF(Councils!$C$6:$C$809,$A94,Councils!$T$6:$T$809)*0.7,0)</f>
        <v>3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1</v>
      </c>
    </row>
    <row r="95" spans="1:14">
      <c r="A95" s="67">
        <v>106</v>
      </c>
      <c r="B95" s="80">
        <f>IF(ISNA(VLOOKUP($A95,DD_Info!$A$1:$E$222,5,0)),0,VLOOKUP($A95,DD_Info!$A$1:$E$222,5,0))</f>
        <v>1</v>
      </c>
      <c r="C95" t="str">
        <f>IF(ISNA(VLOOKUP($A95,DD_Info!$A$1:$E$222,2,0)),0,VLOOKUP($A95,DD_Info!$A$1:$E$222,2,0))</f>
        <v>Dan  Stoffel</v>
      </c>
      <c r="D95" t="str">
        <f>IF(ISNA(VLOOKUP($A95,DD_Info!$A$1:$E$222,3,0)),0,VLOOKUP($A95,DD_Info!$A$1:$E$222,3,0))</f>
        <v>Dallas</v>
      </c>
      <c r="E95">
        <f>ROUND(SUMIF(Councils!$C$6:$C$809,$A95,Councils!$E$6:$E$809),0)</f>
        <v>940</v>
      </c>
      <c r="F95">
        <f>ROUND(SUMIF(Councils!$C$6:$C$809,$A95,Councils!$O$6:$O$809)*0.7,0)</f>
        <v>0</v>
      </c>
      <c r="G95">
        <f>ROUND(SUMIF(Councils!$C$6:$C$809,$A95,Councils!$P$6:$P$809)*0.7,0)</f>
        <v>1</v>
      </c>
      <c r="H95">
        <f>ROUND(SUMIF(Councils!$C$6:$C$809,$A95,Councils!$Q$6:$Q$809)*0.7,0)</f>
        <v>1</v>
      </c>
      <c r="I95">
        <f>ROUND(SUMIF(Councils!$C$6:$C$809,$A95,Councils!$R$6:$R$809)*0.7,0)</f>
        <v>0</v>
      </c>
      <c r="J95">
        <f>ROUND(SUMIF(Councils!$C$6:$C$809,$A95,Councils!$S$6:$S$809)*0.7,0)</f>
        <v>4</v>
      </c>
      <c r="K95">
        <f>ROUND(SUMIF(Councils!$C$6:$C$809,$A95,Councils!$T$6:$T$809)*0.7,0)</f>
        <v>4</v>
      </c>
      <c r="L95">
        <f>ROUND(SUMIF(Councils!$C$6:$C$809,$A95,Councils!$U$6:$U$809)*0.7,0)</f>
        <v>-1</v>
      </c>
      <c r="M95" s="63">
        <f t="shared" si="2"/>
        <v>0</v>
      </c>
      <c r="N95">
        <f t="shared" si="3"/>
        <v>1</v>
      </c>
    </row>
    <row r="96" spans="1:14">
      <c r="A96" s="67">
        <v>107</v>
      </c>
      <c r="B96" s="80">
        <f>IF(ISNA(VLOOKUP($A96,DD_Info!$A$1:$E$222,5,0)),0,VLOOKUP($A96,DD_Info!$A$1:$E$222,5,0))</f>
        <v>2</v>
      </c>
      <c r="C96" t="str">
        <f>IF(ISNA(VLOOKUP($A96,DD_Info!$A$1:$E$222,2,0)),0,VLOOKUP($A96,DD_Info!$A$1:$E$222,2,0))</f>
        <v>Robert M Repka Jr</v>
      </c>
      <c r="D96" t="str">
        <f>IF(ISNA(VLOOKUP($A96,DD_Info!$A$1:$E$222,3,0)),0,VLOOKUP($A96,DD_Info!$A$1:$E$222,3,0))</f>
        <v>Dallas</v>
      </c>
      <c r="E96">
        <f>ROUND(SUMIF(Councils!$C$6:$C$809,$A96,Councils!$E$6:$E$809),0)</f>
        <v>459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1</v>
      </c>
      <c r="I96">
        <f>ROUND(SUMIF(Councils!$C$6:$C$809,$A96,Councils!$R$6:$R$809)*0.7,0)</f>
        <v>-1</v>
      </c>
      <c r="J96">
        <f>ROUND(SUMIF(Councils!$C$6:$C$809,$A96,Councils!$S$6:$S$809)*0.7,0)</f>
        <v>1</v>
      </c>
      <c r="K96">
        <f>ROUND(SUMIF(Councils!$C$6:$C$809,$A96,Councils!$T$6:$T$809)*0.7,0)</f>
        <v>1</v>
      </c>
      <c r="L96">
        <f>ROUND(SUMIF(Councils!$C$6:$C$809,$A96,Councils!$U$6:$U$809)*0.7,0)</f>
        <v>0</v>
      </c>
      <c r="M96" s="63">
        <f t="shared" si="2"/>
        <v>0</v>
      </c>
      <c r="N96">
        <f t="shared" si="3"/>
        <v>1</v>
      </c>
    </row>
    <row r="97" spans="1:14">
      <c r="A97" s="67">
        <v>108</v>
      </c>
      <c r="B97" s="80">
        <f>IF(ISNA(VLOOKUP($A97,DD_Info!$A$1:$E$222,5,0)),0,VLOOKUP($A97,DD_Info!$A$1:$E$222,5,0))</f>
        <v>1</v>
      </c>
      <c r="C97" t="str">
        <f>IF(ISNA(VLOOKUP($A97,DD_Info!$A$1:$E$222,2,0)),0,VLOOKUP($A97,DD_Info!$A$1:$E$222,2,0))</f>
        <v>John "Jack" G Ayers</v>
      </c>
      <c r="D97" t="str">
        <f>IF(ISNA(VLOOKUP($A97,DD_Info!$A$1:$E$222,3,0)),0,VLOOKUP($A97,DD_Info!$A$1:$E$222,3,0))</f>
        <v>Dallas</v>
      </c>
      <c r="E97">
        <f>ROUND(SUMIF(Councils!$C$6:$C$809,$A97,Councils!$E$6:$E$809),0)</f>
        <v>822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1</v>
      </c>
      <c r="I97">
        <f>ROUND(SUMIF(Councils!$C$6:$C$809,$A97,Councils!$R$6:$R$809)*0.7,0)</f>
        <v>0</v>
      </c>
      <c r="J97">
        <f>ROUND(SUMIF(Councils!$C$6:$C$809,$A97,Councils!$S$6:$S$809)*0.7,0)</f>
        <v>5</v>
      </c>
      <c r="K97">
        <f>ROUND(SUMIF(Councils!$C$6:$C$809,$A97,Councils!$T$6:$T$809)*0.7,0)</f>
        <v>2</v>
      </c>
      <c r="L97">
        <f>ROUND(SUMIF(Councils!$C$6:$C$809,$A97,Councils!$U$6:$U$809)*0.7,0)</f>
        <v>3</v>
      </c>
      <c r="M97" s="63">
        <f t="shared" si="2"/>
        <v>0</v>
      </c>
      <c r="N97">
        <f t="shared" si="3"/>
        <v>1</v>
      </c>
    </row>
    <row r="98" spans="1:14">
      <c r="A98" s="67">
        <v>109</v>
      </c>
      <c r="B98" s="80">
        <f>IF(ISNA(VLOOKUP($A98,DD_Info!$A$1:$E$222,5,0)),0,VLOOKUP($A98,DD_Info!$A$1:$E$222,5,0))</f>
        <v>2</v>
      </c>
      <c r="C98" t="str">
        <f>IF(ISNA(VLOOKUP($A98,DD_Info!$A$1:$E$222,2,0)),0,VLOOKUP($A98,DD_Info!$A$1:$E$222,2,0))</f>
        <v>Kebran W Alexander</v>
      </c>
      <c r="D98" t="str">
        <f>IF(ISNA(VLOOKUP($A98,DD_Info!$A$1:$E$222,3,0)),0,VLOOKUP($A98,DD_Info!$A$1:$E$222,3,0))</f>
        <v>Dallas</v>
      </c>
      <c r="E98">
        <f>ROUND(SUMIF(Councils!$C$6:$C$809,$A98,Councils!$E$6:$E$809),0)</f>
        <v>440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1</v>
      </c>
      <c r="I98">
        <f>ROUND(SUMIF(Councils!$C$6:$C$809,$A98,Councils!$R$6:$R$809)*0.7,0)</f>
        <v>-1</v>
      </c>
      <c r="J98">
        <f>ROUND(SUMIF(Councils!$C$6:$C$809,$A98,Councils!$S$6:$S$809)*0.7,0)</f>
        <v>1</v>
      </c>
      <c r="K98">
        <f>ROUND(SUMIF(Councils!$C$6:$C$809,$A98,Councils!$T$6:$T$809)*0.7,0)</f>
        <v>4</v>
      </c>
      <c r="L98">
        <f>ROUND(SUMIF(Councils!$C$6:$C$809,$A98,Councils!$U$6:$U$809)*0.7,0)</f>
        <v>-4</v>
      </c>
      <c r="M98" s="63">
        <f t="shared" si="2"/>
        <v>0</v>
      </c>
      <c r="N98">
        <f t="shared" si="3"/>
        <v>1</v>
      </c>
    </row>
    <row r="99" spans="1:14">
      <c r="A99" s="67">
        <v>110</v>
      </c>
      <c r="B99" s="80">
        <f>IF(ISNA(VLOOKUP($A99,DD_Info!$A$1:$E$222,5,0)),0,VLOOKUP($A99,DD_Info!$A$1:$E$222,5,0))</f>
        <v>2</v>
      </c>
      <c r="C99" t="str">
        <f>IF(ISNA(VLOOKUP($A99,DD_Info!$A$1:$E$222,2,0)),0,VLOOKUP($A99,DD_Info!$A$1:$E$222,2,0))</f>
        <v>Richard C Frasco</v>
      </c>
      <c r="D99" t="str">
        <f>IF(ISNA(VLOOKUP($A99,DD_Info!$A$1:$E$222,3,0)),0,VLOOKUP($A99,DD_Info!$A$1:$E$222,3,0))</f>
        <v>Dallas</v>
      </c>
      <c r="E99">
        <f>ROUND(SUMIF(Councils!$C$6:$C$809,$A99,Councils!$E$6:$E$809),0)</f>
        <v>557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1</v>
      </c>
      <c r="I99">
        <f>ROUND(SUMIF(Councils!$C$6:$C$809,$A99,Councils!$R$6:$R$809)*0.7,0)</f>
        <v>-1</v>
      </c>
      <c r="J99">
        <f>ROUND(SUMIF(Councils!$C$6:$C$809,$A99,Councils!$S$6:$S$809)*0.7,0)</f>
        <v>2</v>
      </c>
      <c r="K99">
        <f>ROUND(SUMIF(Councils!$C$6:$C$809,$A99,Councils!$T$6:$T$809)*0.7,0)</f>
        <v>1</v>
      </c>
      <c r="L99">
        <f>ROUND(SUMIF(Councils!$C$6:$C$809,$A99,Councils!$U$6:$U$809)*0.7,0)</f>
        <v>1</v>
      </c>
      <c r="M99" s="63">
        <f t="shared" si="2"/>
        <v>0</v>
      </c>
      <c r="N99">
        <f t="shared" si="3"/>
        <v>1</v>
      </c>
    </row>
    <row r="100" spans="1:14">
      <c r="A100" s="67">
        <v>111</v>
      </c>
      <c r="B100" s="80">
        <f>IF(ISNA(VLOOKUP($A100,DD_Info!$A$1:$E$222,5,0)),0,VLOOKUP($A100,DD_Info!$A$1:$E$222,5,0))</f>
        <v>1</v>
      </c>
      <c r="C100" t="str">
        <f>IF(ISNA(VLOOKUP($A100,DD_Info!$A$1:$E$222,2,0)),0,VLOOKUP($A100,DD_Info!$A$1:$E$222,2,0))</f>
        <v>Edward J Stankunas</v>
      </c>
      <c r="D100" t="str">
        <f>IF(ISNA(VLOOKUP($A100,DD_Info!$A$1:$E$222,3,0)),0,VLOOKUP($A100,DD_Info!$A$1:$E$222,3,0))</f>
        <v>Dallas</v>
      </c>
      <c r="E100">
        <f>ROUND(SUMIF(Councils!$C$6:$C$809,$A100,Councils!$E$6:$E$809),0)</f>
        <v>1531</v>
      </c>
      <c r="F100">
        <f>ROUND(SUMIF(Councils!$C$6:$C$809,$A100,Councils!$O$6:$O$809)*0.7,0)</f>
        <v>0</v>
      </c>
      <c r="G100">
        <f>ROUND(SUMIF(Councils!$C$6:$C$809,$A100,Councils!$P$6:$P$809)*0.7,0)</f>
        <v>1</v>
      </c>
      <c r="H100">
        <f>ROUND(SUMIF(Councils!$C$6:$C$809,$A100,Councils!$Q$6:$Q$809)*0.7,0)</f>
        <v>4</v>
      </c>
      <c r="I100">
        <f>ROUND(SUMIF(Councils!$C$6:$C$809,$A100,Councils!$R$6:$R$809)*0.7,0)</f>
        <v>-2</v>
      </c>
      <c r="J100">
        <f>ROUND(SUMIF(Councils!$C$6:$C$809,$A100,Councils!$S$6:$S$809)*0.7,0)</f>
        <v>6</v>
      </c>
      <c r="K100">
        <f>ROUND(SUMIF(Councils!$C$6:$C$809,$A100,Councils!$T$6:$T$809)*0.7,0)</f>
        <v>13</v>
      </c>
      <c r="L100">
        <f>ROUND(SUMIF(Councils!$C$6:$C$809,$A100,Councils!$U$6:$U$809)*0.7,0)</f>
        <v>-6</v>
      </c>
      <c r="M100" s="63">
        <f t="shared" si="2"/>
        <v>0</v>
      </c>
      <c r="N100">
        <f t="shared" si="3"/>
        <v>1</v>
      </c>
    </row>
    <row r="101" spans="1:14">
      <c r="A101" s="67">
        <v>112</v>
      </c>
      <c r="B101" s="80">
        <f>IF(ISNA(VLOOKUP($A101,DD_Info!$A$1:$E$222,5,0)),0,VLOOKUP($A101,DD_Info!$A$1:$E$222,5,0))</f>
        <v>3</v>
      </c>
      <c r="C101" t="str">
        <f>IF(ISNA(VLOOKUP($A101,DD_Info!$A$1:$E$222,2,0)),0,VLOOKUP($A101,DD_Info!$A$1:$E$222,2,0))</f>
        <v>Alberto  Castro</v>
      </c>
      <c r="D101" t="str">
        <f>IF(ISNA(VLOOKUP($A101,DD_Info!$A$1:$E$222,3,0)),0,VLOOKUP($A101,DD_Info!$A$1:$E$222,3,0))</f>
        <v>Dallas</v>
      </c>
      <c r="E101">
        <f>ROUND(SUMIF(Councils!$C$6:$C$809,$A101,Councils!$E$6:$E$809),0)</f>
        <v>224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1</v>
      </c>
      <c r="K101">
        <f>ROUND(SUMIF(Councils!$C$6:$C$809,$A101,Councils!$T$6:$T$809)*0.7,0)</f>
        <v>0</v>
      </c>
      <c r="L101">
        <f>ROUND(SUMIF(Councils!$C$6:$C$809,$A101,Councils!$U$6:$U$809)*0.7,0)</f>
        <v>1</v>
      </c>
      <c r="M101" s="63">
        <f t="shared" si="2"/>
        <v>0</v>
      </c>
      <c r="N101">
        <f t="shared" si="3"/>
        <v>1</v>
      </c>
    </row>
    <row r="102" spans="1:14">
      <c r="A102" s="67">
        <v>113</v>
      </c>
      <c r="B102" s="80">
        <f>IF(ISNA(VLOOKUP($A102,DD_Info!$A$1:$E$222,5,0)),0,VLOOKUP($A102,DD_Info!$A$1:$E$222,5,0))</f>
        <v>2</v>
      </c>
      <c r="C102" t="str">
        <f>IF(ISNA(VLOOKUP($A102,DD_Info!$A$1:$E$222,2,0)),0,VLOOKUP($A102,DD_Info!$A$1:$E$222,2,0))</f>
        <v>Nick  Flores</v>
      </c>
      <c r="D102" t="str">
        <f>IF(ISNA(VLOOKUP($A102,DD_Info!$A$1:$E$222,3,0)),0,VLOOKUP($A102,DD_Info!$A$1:$E$222,3,0))</f>
        <v>Dallas</v>
      </c>
      <c r="E102">
        <f>ROUND(SUMIF(Councils!$C$6:$C$809,$A102,Councils!$E$6:$E$809),0)</f>
        <v>369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2</v>
      </c>
      <c r="K102">
        <f>ROUND(SUMIF(Councils!$C$6:$C$809,$A102,Councils!$T$6:$T$809)*0.7,0)</f>
        <v>1</v>
      </c>
      <c r="L102">
        <f>ROUND(SUMIF(Councils!$C$6:$C$809,$A102,Councils!$U$6:$U$809)*0.7,0)</f>
        <v>1</v>
      </c>
      <c r="M102" s="63">
        <f t="shared" si="2"/>
        <v>0</v>
      </c>
      <c r="N102">
        <f t="shared" si="3"/>
        <v>1</v>
      </c>
    </row>
    <row r="103" spans="1:14">
      <c r="A103" s="67">
        <v>114</v>
      </c>
      <c r="B103" s="80">
        <f>IF(ISNA(VLOOKUP($A103,DD_Info!$A$1:$E$222,5,0)),0,VLOOKUP($A103,DD_Info!$A$1:$E$222,5,0))</f>
        <v>1</v>
      </c>
      <c r="C103" t="str">
        <f>IF(ISNA(VLOOKUP($A103,DD_Info!$A$1:$E$222,2,0)),0,VLOOKUP($A103,DD_Info!$A$1:$E$222,2,0))</f>
        <v>Michael  Steffens</v>
      </c>
      <c r="D103" t="str">
        <f>IF(ISNA(VLOOKUP($A103,DD_Info!$A$1:$E$222,3,0)),0,VLOOKUP($A103,DD_Info!$A$1:$E$222,3,0))</f>
        <v>Dallas</v>
      </c>
      <c r="E103">
        <f>ROUND(SUMIF(Councils!$C$6:$C$809,$A103,Councils!$E$6:$E$809),0)</f>
        <v>1138</v>
      </c>
      <c r="F103">
        <f>ROUND(SUMIF(Councils!$C$6:$C$809,$A103,Councils!$O$6:$O$809)*0.7,0)</f>
        <v>0</v>
      </c>
      <c r="G103">
        <f>ROUND(SUMIF(Councils!$C$6:$C$809,$A103,Councils!$P$6:$P$809)*0.7,0)</f>
        <v>1</v>
      </c>
      <c r="H103">
        <f>ROUND(SUMIF(Councils!$C$6:$C$809,$A103,Councils!$Q$6:$Q$809)*0.7,0)</f>
        <v>2</v>
      </c>
      <c r="I103">
        <f>ROUND(SUMIF(Councils!$C$6:$C$809,$A103,Councils!$R$6:$R$809)*0.7,0)</f>
        <v>-1</v>
      </c>
      <c r="J103">
        <f>ROUND(SUMIF(Councils!$C$6:$C$809,$A103,Councils!$S$6:$S$809)*0.7,0)</f>
        <v>1</v>
      </c>
      <c r="K103">
        <f>ROUND(SUMIF(Councils!$C$6:$C$809,$A103,Councils!$T$6:$T$809)*0.7,0)</f>
        <v>6</v>
      </c>
      <c r="L103">
        <f>ROUND(SUMIF(Councils!$C$6:$C$809,$A103,Councils!$U$6:$U$809)*0.7,0)</f>
        <v>-5</v>
      </c>
      <c r="M103" s="63">
        <f t="shared" si="2"/>
        <v>0</v>
      </c>
      <c r="N103">
        <f t="shared" si="3"/>
        <v>1</v>
      </c>
    </row>
    <row r="104" spans="1:14">
      <c r="A104" s="67">
        <v>115</v>
      </c>
      <c r="B104" s="80">
        <f>IF(ISNA(VLOOKUP($A104,DD_Info!$A$1:$E$222,5,0)),0,VLOOKUP($A104,DD_Info!$A$1:$E$222,5,0))</f>
        <v>2</v>
      </c>
      <c r="C104" t="str">
        <f>IF(ISNA(VLOOKUP($A104,DD_Info!$A$1:$E$222,2,0)),0,VLOOKUP($A104,DD_Info!$A$1:$E$222,2,0))</f>
        <v>Ed  Romack</v>
      </c>
      <c r="D104" t="str">
        <f>IF(ISNA(VLOOKUP($A104,DD_Info!$A$1:$E$222,3,0)),0,VLOOKUP($A104,DD_Info!$A$1:$E$222,3,0))</f>
        <v>Dallas</v>
      </c>
      <c r="E104">
        <f>ROUND(SUMIF(Councils!$C$6:$C$809,$A104,Councils!$E$6:$E$809),0)</f>
        <v>403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3</v>
      </c>
      <c r="K104">
        <f>ROUND(SUMIF(Councils!$C$6:$C$809,$A104,Councils!$T$6:$T$809)*0.7,0)</f>
        <v>6</v>
      </c>
      <c r="L104">
        <f>ROUND(SUMIF(Councils!$C$6:$C$809,$A104,Councils!$U$6:$U$809)*0.7,0)</f>
        <v>-4</v>
      </c>
      <c r="M104" s="63">
        <f t="shared" si="2"/>
        <v>0</v>
      </c>
      <c r="N104">
        <f t="shared" si="3"/>
        <v>1</v>
      </c>
    </row>
    <row r="105" spans="1:14">
      <c r="A105" s="67">
        <v>121</v>
      </c>
      <c r="B105" s="80">
        <f>IF(ISNA(VLOOKUP($A105,DD_Info!$A$1:$E$222,5,0)),0,VLOOKUP($A105,DD_Info!$A$1:$E$222,5,0))</f>
        <v>2</v>
      </c>
      <c r="C105" t="str">
        <f>IF(ISNA(VLOOKUP($A105,DD_Info!$A$1:$E$222,2,0)),0,VLOOKUP($A105,DD_Info!$A$1:$E$222,2,0))</f>
        <v>Philip  Chauvin</v>
      </c>
      <c r="D105" t="str">
        <f>IF(ISNA(VLOOKUP($A105,DD_Info!$A$1:$E$222,3,0)),0,VLOOKUP($A105,DD_Info!$A$1:$E$222,3,0))</f>
        <v>Beaumont</v>
      </c>
      <c r="E105">
        <f>ROUND(SUMIF(Councils!$C$6:$C$809,$A105,Councils!$E$6:$E$809),0)</f>
        <v>418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1</v>
      </c>
      <c r="I105">
        <f>ROUND(SUMIF(Councils!$C$6:$C$809,$A105,Councils!$R$6:$R$809)*0.7,0)</f>
        <v>-1</v>
      </c>
      <c r="J105">
        <f>ROUND(SUMIF(Councils!$C$6:$C$809,$A105,Councils!$S$6:$S$809)*0.7,0)</f>
        <v>0</v>
      </c>
      <c r="K105">
        <f>ROUND(SUMIF(Councils!$C$6:$C$809,$A105,Councils!$T$6:$T$809)*0.7,0)</f>
        <v>4</v>
      </c>
      <c r="L105">
        <f>ROUND(SUMIF(Councils!$C$6:$C$809,$A105,Councils!$U$6:$U$809)*0.7,0)</f>
        <v>-4</v>
      </c>
      <c r="M105" s="63">
        <f t="shared" si="2"/>
        <v>0</v>
      </c>
      <c r="N105">
        <f t="shared" si="3"/>
        <v>1</v>
      </c>
    </row>
    <row r="106" spans="1:14">
      <c r="A106" s="67">
        <v>122</v>
      </c>
      <c r="B106" s="80">
        <f>IF(ISNA(VLOOKUP($A106,DD_Info!$A$1:$E$222,5,0)),0,VLOOKUP($A106,DD_Info!$A$1:$E$222,5,0))</f>
        <v>1</v>
      </c>
      <c r="C106" t="str">
        <f>IF(ISNA(VLOOKUP($A106,DD_Info!$A$1:$E$222,2,0)),0,VLOOKUP($A106,DD_Info!$A$1:$E$222,2,0))</f>
        <v>Jason L Kelley</v>
      </c>
      <c r="D106" t="str">
        <f>IF(ISNA(VLOOKUP($A106,DD_Info!$A$1:$E$222,3,0)),0,VLOOKUP($A106,DD_Info!$A$1:$E$222,3,0))</f>
        <v>Beaumont</v>
      </c>
      <c r="E106">
        <f>ROUND(SUMIF(Councils!$C$6:$C$809,$A106,Councils!$E$6:$E$809),0)</f>
        <v>988</v>
      </c>
      <c r="F106">
        <f>ROUND(SUMIF(Councils!$C$6:$C$809,$A106,Councils!$O$6:$O$809)*0.7,0)</f>
        <v>0</v>
      </c>
      <c r="G106">
        <f>ROUND(SUMIF(Councils!$C$6:$C$809,$A106,Councils!$P$6:$P$809)*0.7,0)</f>
        <v>1</v>
      </c>
      <c r="H106">
        <f>ROUND(SUMIF(Councils!$C$6:$C$809,$A106,Councils!$Q$6:$Q$809)*0.7,0)</f>
        <v>2</v>
      </c>
      <c r="I106">
        <f>ROUND(SUMIF(Councils!$C$6:$C$809,$A106,Councils!$R$6:$R$809)*0.7,0)</f>
        <v>-1</v>
      </c>
      <c r="J106">
        <f>ROUND(SUMIF(Councils!$C$6:$C$809,$A106,Councils!$S$6:$S$809)*0.7,0)</f>
        <v>1</v>
      </c>
      <c r="K106">
        <f>ROUND(SUMIF(Councils!$C$6:$C$809,$A106,Councils!$T$6:$T$809)*0.7,0)</f>
        <v>4</v>
      </c>
      <c r="L106">
        <f>ROUND(SUMIF(Councils!$C$6:$C$809,$A106,Councils!$U$6:$U$809)*0.7,0)</f>
        <v>-3</v>
      </c>
      <c r="M106" s="63">
        <f t="shared" si="2"/>
        <v>0</v>
      </c>
      <c r="N106">
        <f t="shared" si="3"/>
        <v>1</v>
      </c>
    </row>
    <row r="107" spans="1:14">
      <c r="A107" s="67">
        <v>123</v>
      </c>
      <c r="B107" s="80">
        <f>IF(ISNA(VLOOKUP($A107,DD_Info!$A$1:$E$222,5,0)),0,VLOOKUP($A107,DD_Info!$A$1:$E$222,5,0))</f>
        <v>3</v>
      </c>
      <c r="C107" t="str">
        <f>IF(ISNA(VLOOKUP($A107,DD_Info!$A$1:$E$222,2,0)),0,VLOOKUP($A107,DD_Info!$A$1:$E$222,2,0))</f>
        <v>Robert "Bobby"  Wilson</v>
      </c>
      <c r="D107" t="str">
        <f>IF(ISNA(VLOOKUP($A107,DD_Info!$A$1:$E$222,3,0)),0,VLOOKUP($A107,DD_Info!$A$1:$E$222,3,0))</f>
        <v>Beaumont</v>
      </c>
      <c r="E107">
        <f>ROUND(SUMIF(Councils!$C$6:$C$809,$A107,Councils!$E$6:$E$809),0)</f>
        <v>260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0</v>
      </c>
      <c r="I107">
        <f>ROUND(SUMIF(Councils!$C$6:$C$809,$A107,Councils!$R$6:$R$809)*0.7,0)</f>
        <v>0</v>
      </c>
      <c r="J107">
        <f>ROUND(SUMIF(Councils!$C$6:$C$809,$A107,Councils!$S$6:$S$809)*0.7,0)</f>
        <v>0</v>
      </c>
      <c r="K107">
        <f>ROUND(SUMIF(Councils!$C$6:$C$809,$A107,Councils!$T$6:$T$809)*0.7,0)</f>
        <v>0</v>
      </c>
      <c r="L107">
        <f>ROUND(SUMIF(Councils!$C$6:$C$809,$A107,Councils!$U$6:$U$809)*0.7,0)</f>
        <v>0</v>
      </c>
      <c r="M107" s="63">
        <f t="shared" si="2"/>
        <v>0</v>
      </c>
      <c r="N107">
        <f t="shared" si="3"/>
        <v>1</v>
      </c>
    </row>
    <row r="108" spans="1:14">
      <c r="A108" s="67">
        <v>124</v>
      </c>
      <c r="B108" s="80">
        <f>IF(ISNA(VLOOKUP($A108,DD_Info!$A$1:$E$222,5,0)),0,VLOOKUP($A108,DD_Info!$A$1:$E$222,5,0))</f>
        <v>2</v>
      </c>
      <c r="C108" t="str">
        <f>IF(ISNA(VLOOKUP($A108,DD_Info!$A$1:$E$222,2,0)),0,VLOOKUP($A108,DD_Info!$A$1:$E$222,2,0))</f>
        <v>John  Badeaux Sr</v>
      </c>
      <c r="D108" t="str">
        <f>IF(ISNA(VLOOKUP($A108,DD_Info!$A$1:$E$222,3,0)),0,VLOOKUP($A108,DD_Info!$A$1:$E$222,3,0))</f>
        <v>Beaumont</v>
      </c>
      <c r="E108">
        <f>ROUND(SUMIF(Councils!$C$6:$C$809,$A108,Councils!$E$6:$E$809),0)</f>
        <v>456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1</v>
      </c>
      <c r="I108">
        <f>ROUND(SUMIF(Councils!$C$6:$C$809,$A108,Councils!$R$6:$R$809)*0.7,0)</f>
        <v>-1</v>
      </c>
      <c r="J108">
        <f>ROUND(SUMIF(Councils!$C$6:$C$809,$A108,Councils!$S$6:$S$809)*0.7,0)</f>
        <v>0</v>
      </c>
      <c r="K108">
        <f>ROUND(SUMIF(Councils!$C$6:$C$809,$A108,Councils!$T$6:$T$809)*0.7,0)</f>
        <v>4</v>
      </c>
      <c r="L108">
        <f>ROUND(SUMIF(Councils!$C$6:$C$809,$A108,Councils!$U$6:$U$809)*0.7,0)</f>
        <v>-4</v>
      </c>
      <c r="M108" s="63">
        <f t="shared" si="2"/>
        <v>0</v>
      </c>
      <c r="N108">
        <f t="shared" si="3"/>
        <v>1</v>
      </c>
    </row>
    <row r="109" spans="1:14">
      <c r="A109" s="67">
        <v>125</v>
      </c>
      <c r="B109" s="80">
        <f>IF(ISNA(VLOOKUP($A109,DD_Info!$A$1:$E$222,5,0)),0,VLOOKUP($A109,DD_Info!$A$1:$E$222,5,0))</f>
        <v>1</v>
      </c>
      <c r="C109" t="str">
        <f>IF(ISNA(VLOOKUP($A109,DD_Info!$A$1:$E$222,2,0)),0,VLOOKUP($A109,DD_Info!$A$1:$E$222,2,0))</f>
        <v>Marcus A James</v>
      </c>
      <c r="D109" t="str">
        <f>IF(ISNA(VLOOKUP($A109,DD_Info!$A$1:$E$222,3,0)),0,VLOOKUP($A109,DD_Info!$A$1:$E$222,3,0))</f>
        <v>Beaumont</v>
      </c>
      <c r="E109">
        <f>ROUND(SUMIF(Councils!$C$6:$C$809,$A109,Councils!$E$6:$E$809),0)</f>
        <v>595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1</v>
      </c>
      <c r="I109">
        <f>ROUND(SUMIF(Councils!$C$6:$C$809,$A109,Councils!$R$6:$R$809)*0.7,0)</f>
        <v>-1</v>
      </c>
      <c r="J109">
        <f>ROUND(SUMIF(Councils!$C$6:$C$809,$A109,Councils!$S$6:$S$809)*0.7,0)</f>
        <v>1</v>
      </c>
      <c r="K109">
        <f>ROUND(SUMIF(Councils!$C$6:$C$809,$A109,Councils!$T$6:$T$809)*0.7,0)</f>
        <v>2</v>
      </c>
      <c r="L109">
        <f>ROUND(SUMIF(Councils!$C$6:$C$809,$A109,Councils!$U$6:$U$809)*0.7,0)</f>
        <v>-1</v>
      </c>
      <c r="M109" s="63">
        <f t="shared" si="2"/>
        <v>0</v>
      </c>
      <c r="N109">
        <f t="shared" si="3"/>
        <v>1</v>
      </c>
    </row>
    <row r="110" spans="1:14">
      <c r="A110" s="67">
        <v>126</v>
      </c>
      <c r="B110" s="80">
        <f>IF(ISNA(VLOOKUP($A110,DD_Info!$A$1:$E$222,5,0)),0,VLOOKUP($A110,DD_Info!$A$1:$E$222,5,0))</f>
        <v>2</v>
      </c>
      <c r="C110" t="str">
        <f>IF(ISNA(VLOOKUP($A110,DD_Info!$A$1:$E$222,2,0)),0,VLOOKUP($A110,DD_Info!$A$1:$E$222,2,0))</f>
        <v>James M Langford</v>
      </c>
      <c r="D110" t="str">
        <f>IF(ISNA(VLOOKUP($A110,DD_Info!$A$1:$E$222,3,0)),0,VLOOKUP($A110,DD_Info!$A$1:$E$222,3,0))</f>
        <v>Beaumont</v>
      </c>
      <c r="E110">
        <f>ROUND(SUMIF(Councils!$C$6:$C$809,$A110,Councils!$E$6:$E$809),0)</f>
        <v>410</v>
      </c>
      <c r="F110">
        <f>ROUND(SUMIF(Councils!$C$6:$C$809,$A110,Councils!$O$6:$O$809)*0.7,0)</f>
        <v>0</v>
      </c>
      <c r="G110">
        <f>ROUND(SUMIF(Councils!$C$6:$C$809,$A110,Councils!$P$6:$P$809)*0.7,0)</f>
        <v>1</v>
      </c>
      <c r="H110">
        <f>ROUND(SUMIF(Councils!$C$6:$C$809,$A110,Councils!$Q$6:$Q$809)*0.7,0)</f>
        <v>1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0</v>
      </c>
      <c r="M110" s="63">
        <f t="shared" si="2"/>
        <v>0</v>
      </c>
      <c r="N110">
        <f t="shared" si="3"/>
        <v>1</v>
      </c>
    </row>
    <row r="111" spans="1:14">
      <c r="A111" s="67">
        <v>127</v>
      </c>
      <c r="B111" s="80">
        <f>IF(ISNA(VLOOKUP($A111,DD_Info!$A$1:$E$222,5,0)),0,VLOOKUP($A111,DD_Info!$A$1:$E$222,5,0))</f>
        <v>3</v>
      </c>
      <c r="C111" t="str">
        <f>IF(ISNA(VLOOKUP($A111,DD_Info!$A$1:$E$222,2,0)),0,VLOOKUP($A111,DD_Info!$A$1:$E$222,2,0))</f>
        <v>Charles D Trahan</v>
      </c>
      <c r="D111" t="str">
        <f>IF(ISNA(VLOOKUP($A111,DD_Info!$A$1:$E$222,3,0)),0,VLOOKUP($A111,DD_Info!$A$1:$E$222,3,0))</f>
        <v>Beaumont</v>
      </c>
      <c r="E111">
        <f>ROUND(SUMIF(Councils!$C$6:$C$809,$A111,Councils!$E$6:$E$809),0)</f>
        <v>37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0</v>
      </c>
      <c r="K111">
        <f>ROUND(SUMIF(Councils!$C$6:$C$809,$A111,Councils!$T$6:$T$809)*0.7,0)</f>
        <v>0</v>
      </c>
      <c r="L111">
        <f>ROUND(SUMIF(Councils!$C$6:$C$809,$A111,Councils!$U$6:$U$809)*0.7,0)</f>
        <v>0</v>
      </c>
      <c r="M111" s="63">
        <f t="shared" si="2"/>
        <v>0</v>
      </c>
      <c r="N111">
        <f t="shared" si="3"/>
        <v>1</v>
      </c>
    </row>
    <row r="112" spans="1:14">
      <c r="A112" s="67">
        <v>131</v>
      </c>
      <c r="B112" s="80">
        <f>IF(ISNA(VLOOKUP($A112,DD_Info!$A$1:$E$222,5,0)),0,VLOOKUP($A112,DD_Info!$A$1:$E$222,5,0))</f>
        <v>3</v>
      </c>
      <c r="C112" t="str">
        <f>IF(ISNA(VLOOKUP($A112,DD_Info!$A$1:$E$222,2,0)),0,VLOOKUP($A112,DD_Info!$A$1:$E$222,2,0))</f>
        <v>Lawrence E Pfeifer</v>
      </c>
      <c r="D112" t="str">
        <f>IF(ISNA(VLOOKUP($A112,DD_Info!$A$1:$E$222,3,0)),0,VLOOKUP($A112,DD_Info!$A$1:$E$222,3,0))</f>
        <v>Tyler</v>
      </c>
      <c r="E112">
        <f>ROUND(SUMIF(Councils!$C$6:$C$809,$A112,Councils!$E$6:$E$809),0)</f>
        <v>265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1</v>
      </c>
      <c r="K112">
        <f>ROUND(SUMIF(Councils!$C$6:$C$809,$A112,Councils!$T$6:$T$809)*0.7,0)</f>
        <v>0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1</v>
      </c>
    </row>
    <row r="113" spans="1:14">
      <c r="A113" s="67">
        <v>132</v>
      </c>
      <c r="B113" s="80">
        <f>IF(ISNA(VLOOKUP($A113,DD_Info!$A$1:$E$222,5,0)),0,VLOOKUP($A113,DD_Info!$A$1:$E$222,5,0))</f>
        <v>3</v>
      </c>
      <c r="C113" t="str">
        <f>IF(ISNA(VLOOKUP($A113,DD_Info!$A$1:$E$222,2,0)),0,VLOOKUP($A113,DD_Info!$A$1:$E$222,2,0))</f>
        <v>Mark J Freund</v>
      </c>
      <c r="D113" t="str">
        <f>IF(ISNA(VLOOKUP($A113,DD_Info!$A$1:$E$222,3,0)),0,VLOOKUP($A113,DD_Info!$A$1:$E$222,3,0))</f>
        <v>Tyler</v>
      </c>
      <c r="E113">
        <f>ROUND(SUMIF(Councils!$C$6:$C$809,$A113,Councils!$E$6:$E$809),0)</f>
        <v>254</v>
      </c>
      <c r="F113">
        <f>ROUND(SUMIF(Councils!$C$6:$C$809,$A113,Councils!$O$6:$O$809)*0.7,0)</f>
        <v>0</v>
      </c>
      <c r="G113">
        <f>ROUND(SUMIF(Councils!$C$6:$C$809,$A113,Councils!$P$6:$P$809)*0.7,0)</f>
        <v>1</v>
      </c>
      <c r="H113">
        <f>ROUND(SUMIF(Councils!$C$6:$C$809,$A113,Councils!$Q$6:$Q$809)*0.7,0)</f>
        <v>0</v>
      </c>
      <c r="I113">
        <f>ROUND(SUMIF(Councils!$C$6:$C$809,$A113,Councils!$R$6:$R$809)*0.7,0)</f>
        <v>1</v>
      </c>
      <c r="J113">
        <f>ROUND(SUMIF(Councils!$C$6:$C$809,$A113,Councils!$S$6:$S$809)*0.7,0)</f>
        <v>1</v>
      </c>
      <c r="K113">
        <f>ROUND(SUMIF(Councils!$C$6:$C$809,$A113,Councils!$T$6:$T$809)*0.7,0)</f>
        <v>1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1</v>
      </c>
    </row>
    <row r="114" spans="1:14">
      <c r="A114" s="67">
        <v>133</v>
      </c>
      <c r="B114" s="80">
        <f>IF(ISNA(VLOOKUP($A114,DD_Info!$A$1:$E$222,5,0)),0,VLOOKUP($A114,DD_Info!$A$1:$E$222,5,0))</f>
        <v>1</v>
      </c>
      <c r="C114" t="str">
        <f>IF(ISNA(VLOOKUP($A114,DD_Info!$A$1:$E$222,2,0)),0,VLOOKUP($A114,DD_Info!$A$1:$E$222,2,0))</f>
        <v>John S Evans</v>
      </c>
      <c r="D114" t="str">
        <f>IF(ISNA(VLOOKUP($A114,DD_Info!$A$1:$E$222,3,0)),0,VLOOKUP($A114,DD_Info!$A$1:$E$222,3,0))</f>
        <v>Tyler</v>
      </c>
      <c r="E114">
        <f>ROUND(SUMIF(Councils!$C$6:$C$809,$A114,Councils!$E$6:$E$809),0)</f>
        <v>655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1</v>
      </c>
      <c r="I114">
        <f>ROUND(SUMIF(Councils!$C$6:$C$809,$A114,Councils!$R$6:$R$809)*0.7,0)</f>
        <v>-1</v>
      </c>
      <c r="J114">
        <f>ROUND(SUMIF(Councils!$C$6:$C$809,$A114,Councils!$S$6:$S$809)*0.7,0)</f>
        <v>1</v>
      </c>
      <c r="K114">
        <f>ROUND(SUMIF(Councils!$C$6:$C$809,$A114,Councils!$T$6:$T$809)*0.7,0)</f>
        <v>1</v>
      </c>
      <c r="L114">
        <f>ROUND(SUMIF(Councils!$C$6:$C$809,$A114,Councils!$U$6:$U$809)*0.7,0)</f>
        <v>0</v>
      </c>
      <c r="M114" s="63">
        <f t="shared" si="2"/>
        <v>0</v>
      </c>
      <c r="N114">
        <f t="shared" si="3"/>
        <v>1</v>
      </c>
    </row>
    <row r="115" spans="1:14">
      <c r="A115" s="67">
        <v>134</v>
      </c>
      <c r="B115" s="80">
        <f>IF(ISNA(VLOOKUP($A115,DD_Info!$A$1:$E$222,5,0)),0,VLOOKUP($A115,DD_Info!$A$1:$E$222,5,0))</f>
        <v>2</v>
      </c>
      <c r="C115" t="str">
        <f>IF(ISNA(VLOOKUP($A115,DD_Info!$A$1:$E$222,2,0)),0,VLOOKUP($A115,DD_Info!$A$1:$E$222,2,0))</f>
        <v>Damian Christopher  Oldmixon</v>
      </c>
      <c r="D115" t="str">
        <f>IF(ISNA(VLOOKUP($A115,DD_Info!$A$1:$E$222,3,0)),0,VLOOKUP($A115,DD_Info!$A$1:$E$222,3,0))</f>
        <v>Tyler</v>
      </c>
      <c r="E115">
        <f>ROUND(SUMIF(Councils!$C$6:$C$809,$A115,Councils!$E$6:$E$809),0)</f>
        <v>433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1</v>
      </c>
      <c r="I115">
        <f>ROUND(SUMIF(Councils!$C$6:$C$809,$A115,Councils!$R$6:$R$809)*0.7,0)</f>
        <v>-1</v>
      </c>
      <c r="J115">
        <f>ROUND(SUMIF(Councils!$C$6:$C$809,$A115,Councils!$S$6:$S$809)*0.7,0)</f>
        <v>1</v>
      </c>
      <c r="K115">
        <f>ROUND(SUMIF(Councils!$C$6:$C$809,$A115,Councils!$T$6:$T$809)*0.7,0)</f>
        <v>2</v>
      </c>
      <c r="L115">
        <f>ROUND(SUMIF(Councils!$C$6:$C$809,$A115,Councils!$U$6:$U$809)*0.7,0)</f>
        <v>-1</v>
      </c>
      <c r="M115" s="63">
        <f t="shared" si="2"/>
        <v>0</v>
      </c>
      <c r="N115">
        <f t="shared" si="3"/>
        <v>1</v>
      </c>
    </row>
    <row r="116" spans="1:14">
      <c r="A116" s="67">
        <v>135</v>
      </c>
      <c r="B116" s="80">
        <f>IF(ISNA(VLOOKUP($A116,DD_Info!$A$1:$E$222,5,0)),0,VLOOKUP($A116,DD_Info!$A$1:$E$222,5,0))</f>
        <v>3</v>
      </c>
      <c r="C116" t="str">
        <f>IF(ISNA(VLOOKUP($A116,DD_Info!$A$1:$E$222,2,0)),0,VLOOKUP($A116,DD_Info!$A$1:$E$222,2,0))</f>
        <v>James  Kennerly</v>
      </c>
      <c r="D116" t="str">
        <f>IF(ISNA(VLOOKUP($A116,DD_Info!$A$1:$E$222,3,0)),0,VLOOKUP($A116,DD_Info!$A$1:$E$222,3,0))</f>
        <v>Tyler</v>
      </c>
      <c r="E116">
        <f>ROUND(SUMIF(Councils!$C$6:$C$809,$A116,Councils!$E$6:$E$809),0)</f>
        <v>292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1</v>
      </c>
      <c r="I116">
        <f>ROUND(SUMIF(Councils!$C$6:$C$809,$A116,Councils!$R$6:$R$809)*0.7,0)</f>
        <v>-1</v>
      </c>
      <c r="J116">
        <f>ROUND(SUMIF(Councils!$C$6:$C$809,$A116,Councils!$S$6:$S$809)*0.7,0)</f>
        <v>1</v>
      </c>
      <c r="K116">
        <f>ROUND(SUMIF(Councils!$C$6:$C$809,$A116,Councils!$T$6:$T$809)*0.7,0)</f>
        <v>2</v>
      </c>
      <c r="L116">
        <f>ROUND(SUMIF(Councils!$C$6:$C$809,$A116,Councils!$U$6:$U$809)*0.7,0)</f>
        <v>-1</v>
      </c>
      <c r="M116" s="63">
        <f t="shared" si="2"/>
        <v>0</v>
      </c>
      <c r="N116">
        <f t="shared" si="3"/>
        <v>1</v>
      </c>
    </row>
    <row r="117" spans="1:14">
      <c r="A117" s="67">
        <v>136</v>
      </c>
      <c r="B117" s="80">
        <f>IF(ISNA(VLOOKUP($A117,DD_Info!$A$1:$E$222,5,0)),0,VLOOKUP($A117,DD_Info!$A$1:$E$222,5,0))</f>
        <v>3</v>
      </c>
      <c r="C117" t="str">
        <f>IF(ISNA(VLOOKUP($A117,DD_Info!$A$1:$E$222,2,0)),0,VLOOKUP($A117,DD_Info!$A$1:$E$222,2,0))</f>
        <v>Travis  Desjarlais</v>
      </c>
      <c r="D117" t="str">
        <f>IF(ISNA(VLOOKUP($A117,DD_Info!$A$1:$E$222,3,0)),0,VLOOKUP($A117,DD_Info!$A$1:$E$222,3,0))</f>
        <v>Tyler</v>
      </c>
      <c r="E117">
        <f>ROUND(SUMIF(Councils!$C$6:$C$809,$A117,Councils!$E$6:$E$809),0)</f>
        <v>288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1</v>
      </c>
      <c r="I117">
        <f>ROUND(SUMIF(Councils!$C$6:$C$809,$A117,Councils!$R$6:$R$809)*0.7,0)</f>
        <v>-1</v>
      </c>
      <c r="J117">
        <f>ROUND(SUMIF(Councils!$C$6:$C$809,$A117,Councils!$S$6:$S$809)*0.7,0)</f>
        <v>1</v>
      </c>
      <c r="K117">
        <f>ROUND(SUMIF(Councils!$C$6:$C$809,$A117,Councils!$T$6:$T$809)*0.7,0)</f>
        <v>2</v>
      </c>
      <c r="L117">
        <f>ROUND(SUMIF(Councils!$C$6:$C$809,$A117,Councils!$U$6:$U$809)*0.7,0)</f>
        <v>-1</v>
      </c>
      <c r="M117" s="63">
        <f t="shared" si="2"/>
        <v>0</v>
      </c>
      <c r="N117">
        <f t="shared" si="3"/>
        <v>1</v>
      </c>
    </row>
    <row r="118" spans="1:14">
      <c r="A118" s="67">
        <v>137</v>
      </c>
      <c r="B118" s="80">
        <f>IF(ISNA(VLOOKUP($A118,DD_Info!$A$1:$E$222,5,0)),0,VLOOKUP($A118,DD_Info!$A$1:$E$222,5,0))</f>
        <v>2</v>
      </c>
      <c r="C118" t="str">
        <f>IF(ISNA(VLOOKUP($A118,DD_Info!$A$1:$E$222,2,0)),0,VLOOKUP($A118,DD_Info!$A$1:$E$222,2,0))</f>
        <v>Jeffrey  Allen</v>
      </c>
      <c r="D118" t="str">
        <f>IF(ISNA(VLOOKUP($A118,DD_Info!$A$1:$E$222,3,0)),0,VLOOKUP($A118,DD_Info!$A$1:$E$222,3,0))</f>
        <v>Tyler</v>
      </c>
      <c r="E118">
        <f>ROUND(SUMIF(Councils!$C$6:$C$809,$A118,Councils!$E$6:$E$809),0)</f>
        <v>314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1</v>
      </c>
      <c r="K118">
        <f>ROUND(SUMIF(Councils!$C$6:$C$809,$A118,Councils!$T$6:$T$809)*0.7,0)</f>
        <v>1</v>
      </c>
      <c r="L118">
        <f>ROUND(SUMIF(Councils!$C$6:$C$809,$A118,Councils!$U$6:$U$809)*0.7,0)</f>
        <v>0</v>
      </c>
      <c r="M118" s="63">
        <f t="shared" si="2"/>
        <v>0</v>
      </c>
      <c r="N118">
        <f t="shared" si="3"/>
        <v>1</v>
      </c>
    </row>
    <row r="119" spans="1:14">
      <c r="A119" s="67">
        <v>138</v>
      </c>
      <c r="B119" s="80">
        <f>IF(ISNA(VLOOKUP($A119,DD_Info!$A$1:$E$222,5,0)),0,VLOOKUP($A119,DD_Info!$A$1:$E$222,5,0))</f>
        <v>3</v>
      </c>
      <c r="C119" t="str">
        <f>IF(ISNA(VLOOKUP($A119,DD_Info!$A$1:$E$222,2,0)),0,VLOOKUP($A119,DD_Info!$A$1:$E$222,2,0))</f>
        <v>Alan  Mebes</v>
      </c>
      <c r="D119" t="str">
        <f>IF(ISNA(VLOOKUP($A119,DD_Info!$A$1:$E$222,3,0)),0,VLOOKUP($A119,DD_Info!$A$1:$E$222,3,0))</f>
        <v>Tyler</v>
      </c>
      <c r="E119">
        <f>ROUND(SUMIF(Councils!$C$6:$C$809,$A119,Councils!$E$6:$E$809),0)</f>
        <v>135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1</v>
      </c>
    </row>
    <row r="120" spans="1:14">
      <c r="A120" s="67">
        <v>141</v>
      </c>
      <c r="B120" s="80">
        <f>IF(ISNA(VLOOKUP($A120,DD_Info!$A$1:$E$222,5,0)),0,VLOOKUP($A120,DD_Info!$A$1:$E$222,5,0))</f>
        <v>1</v>
      </c>
      <c r="C120" t="str">
        <f>IF(ISNA(VLOOKUP($A120,DD_Info!$A$1:$E$222,2,0)),0,VLOOKUP($A120,DD_Info!$A$1:$E$222,2,0))</f>
        <v>Kenneth  Ratajczak</v>
      </c>
      <c r="D120" t="str">
        <f>IF(ISNA(VLOOKUP($A120,DD_Info!$A$1:$E$222,3,0)),0,VLOOKUP($A120,DD_Info!$A$1:$E$222,3,0))</f>
        <v>Austin</v>
      </c>
      <c r="E120">
        <f>ROUND(SUMIF(Councils!$C$6:$C$809,$A120,Councils!$E$6:$E$809),0)</f>
        <v>1017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1</v>
      </c>
      <c r="I120">
        <f>ROUND(SUMIF(Councils!$C$6:$C$809,$A120,Councils!$R$6:$R$809)*0.7,0)</f>
        <v>-1</v>
      </c>
      <c r="J120">
        <f>ROUND(SUMIF(Councils!$C$6:$C$809,$A120,Councils!$S$6:$S$809)*0.7,0)</f>
        <v>3</v>
      </c>
      <c r="K120">
        <f>ROUND(SUMIF(Councils!$C$6:$C$809,$A120,Councils!$T$6:$T$809)*0.7,0)</f>
        <v>1</v>
      </c>
      <c r="L120">
        <f>ROUND(SUMIF(Councils!$C$6:$C$809,$A120,Councils!$U$6:$U$809)*0.7,0)</f>
        <v>2</v>
      </c>
      <c r="M120" s="63">
        <f t="shared" si="2"/>
        <v>0</v>
      </c>
      <c r="N120">
        <f t="shared" si="3"/>
        <v>1</v>
      </c>
    </row>
    <row r="121" spans="1:14">
      <c r="A121" s="67">
        <v>142</v>
      </c>
      <c r="B121" s="80">
        <f>IF(ISNA(VLOOKUP($A121,DD_Info!$A$1:$E$222,5,0)),0,VLOOKUP($A121,DD_Info!$A$1:$E$222,5,0))</f>
        <v>2</v>
      </c>
      <c r="C121" t="str">
        <f>IF(ISNA(VLOOKUP($A121,DD_Info!$A$1:$E$222,2,0)),0,VLOOKUP($A121,DD_Info!$A$1:$E$222,2,0))</f>
        <v>Bernard F Ott Jr</v>
      </c>
      <c r="D121" t="str">
        <f>IF(ISNA(VLOOKUP($A121,DD_Info!$A$1:$E$222,3,0)),0,VLOOKUP($A121,DD_Info!$A$1:$E$222,3,0))</f>
        <v>Austin</v>
      </c>
      <c r="E121">
        <f>ROUND(SUMIF(Councils!$C$6:$C$809,$A121,Councils!$E$6:$E$809),0)</f>
        <v>329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1</v>
      </c>
      <c r="I121">
        <f>ROUND(SUMIF(Councils!$C$6:$C$809,$A121,Councils!$R$6:$R$809)*0.7,0)</f>
        <v>-1</v>
      </c>
      <c r="J121">
        <f>ROUND(SUMIF(Councils!$C$6:$C$809,$A121,Councils!$S$6:$S$809)*0.7,0)</f>
        <v>5</v>
      </c>
      <c r="K121">
        <f>ROUND(SUMIF(Councils!$C$6:$C$809,$A121,Councils!$T$6:$T$809)*0.7,0)</f>
        <v>3</v>
      </c>
      <c r="L121">
        <f>ROUND(SUMIF(Councils!$C$6:$C$809,$A121,Councils!$U$6:$U$809)*0.7,0)</f>
        <v>2</v>
      </c>
      <c r="M121" s="63">
        <f t="shared" si="2"/>
        <v>0</v>
      </c>
      <c r="N121">
        <f t="shared" si="3"/>
        <v>1</v>
      </c>
    </row>
    <row r="122" spans="1:14">
      <c r="A122" s="67">
        <v>143</v>
      </c>
      <c r="B122" s="80">
        <f>IF(ISNA(VLOOKUP($A122,DD_Info!$A$1:$E$222,5,0)),0,VLOOKUP($A122,DD_Info!$A$1:$E$222,5,0))</f>
        <v>1</v>
      </c>
      <c r="C122" t="str">
        <f>IF(ISNA(VLOOKUP($A122,DD_Info!$A$1:$E$222,2,0)),0,VLOOKUP($A122,DD_Info!$A$1:$E$222,2,0))</f>
        <v>Eugene  Presta</v>
      </c>
      <c r="D122" t="str">
        <f>IF(ISNA(VLOOKUP($A122,DD_Info!$A$1:$E$222,3,0)),0,VLOOKUP($A122,DD_Info!$A$1:$E$222,3,0))</f>
        <v>Austin</v>
      </c>
      <c r="E122">
        <f>ROUND(SUMIF(Councils!$C$6:$C$809,$A122,Councils!$E$6:$E$809),0)</f>
        <v>743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1</v>
      </c>
      <c r="K122">
        <f>ROUND(SUMIF(Councils!$C$6:$C$809,$A122,Councils!$T$6:$T$809)*0.7,0)</f>
        <v>2</v>
      </c>
      <c r="L122">
        <f>ROUND(SUMIF(Councils!$C$6:$C$809,$A122,Councils!$U$6:$U$809)*0.7,0)</f>
        <v>-1</v>
      </c>
      <c r="M122" s="63">
        <f t="shared" si="2"/>
        <v>0</v>
      </c>
      <c r="N122">
        <f t="shared" si="3"/>
        <v>1</v>
      </c>
    </row>
    <row r="123" spans="1:14">
      <c r="A123" s="67">
        <v>144</v>
      </c>
      <c r="B123" s="80">
        <f>IF(ISNA(VLOOKUP($A123,DD_Info!$A$1:$E$222,5,0)),0,VLOOKUP($A123,DD_Info!$A$1:$E$222,5,0))</f>
        <v>3</v>
      </c>
      <c r="C123" t="str">
        <f>IF(ISNA(VLOOKUP($A123,DD_Info!$A$1:$E$222,2,0)),0,VLOOKUP($A123,DD_Info!$A$1:$E$222,2,0))</f>
        <v>TO BE APPOINTED</v>
      </c>
      <c r="D123" t="str">
        <f>IF(ISNA(VLOOKUP($A123,DD_Info!$A$1:$E$222,3,0)),0,VLOOKUP($A123,DD_Info!$A$1:$E$222,3,0))</f>
        <v>Austin</v>
      </c>
      <c r="E123">
        <f>ROUND(SUMIF(Councils!$C$6:$C$809,$A123,Councils!$E$6:$E$809),0)</f>
        <v>266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0</v>
      </c>
      <c r="K123">
        <f>ROUND(SUMIF(Councils!$C$6:$C$809,$A123,Councils!$T$6:$T$809)*0.7,0)</f>
        <v>0</v>
      </c>
      <c r="L123">
        <f>ROUND(SUMIF(Councils!$C$6:$C$809,$A123,Councils!$U$6:$U$809)*0.7,0)</f>
        <v>0</v>
      </c>
      <c r="M123" s="63">
        <f t="shared" si="2"/>
        <v>0</v>
      </c>
      <c r="N123">
        <f t="shared" si="3"/>
        <v>1</v>
      </c>
    </row>
    <row r="124" spans="1:14">
      <c r="A124" s="67">
        <v>145</v>
      </c>
      <c r="B124" s="80">
        <f>IF(ISNA(VLOOKUP($A124,DD_Info!$A$1:$E$222,5,0)),0,VLOOKUP($A124,DD_Info!$A$1:$E$222,5,0))</f>
        <v>3</v>
      </c>
      <c r="C124" t="str">
        <f>IF(ISNA(VLOOKUP($A124,DD_Info!$A$1:$E$222,2,0)),0,VLOOKUP($A124,DD_Info!$A$1:$E$222,2,0))</f>
        <v>Wayne  McCart</v>
      </c>
      <c r="D124" t="str">
        <f>IF(ISNA(VLOOKUP($A124,DD_Info!$A$1:$E$222,3,0)),0,VLOOKUP($A124,DD_Info!$A$1:$E$222,3,0))</f>
        <v>Austin</v>
      </c>
      <c r="E124">
        <f>ROUND(SUMIF(Councils!$C$6:$C$809,$A124,Councils!$E$6:$E$809),0)</f>
        <v>80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1</v>
      </c>
      <c r="L124">
        <f>ROUND(SUMIF(Councils!$C$6:$C$809,$A124,Councils!$U$6:$U$809)*0.7,0)</f>
        <v>-1</v>
      </c>
      <c r="M124" s="63">
        <f t="shared" si="2"/>
        <v>0</v>
      </c>
      <c r="N124">
        <f t="shared" si="3"/>
        <v>1</v>
      </c>
    </row>
    <row r="125" spans="1:14">
      <c r="A125" s="67">
        <v>146</v>
      </c>
      <c r="B125" s="80">
        <f>IF(ISNA(VLOOKUP($A125,DD_Info!$A$1:$E$222,5,0)),0,VLOOKUP($A125,DD_Info!$A$1:$E$222,5,0))</f>
        <v>1</v>
      </c>
      <c r="C125" t="str">
        <f>IF(ISNA(VLOOKUP($A125,DD_Info!$A$1:$E$222,2,0)),0,VLOOKUP($A125,DD_Info!$A$1:$E$222,2,0))</f>
        <v>David  Lamme</v>
      </c>
      <c r="D125" t="str">
        <f>IF(ISNA(VLOOKUP($A125,DD_Info!$A$1:$E$222,3,0)),0,VLOOKUP($A125,DD_Info!$A$1:$E$222,3,0))</f>
        <v>Austin</v>
      </c>
      <c r="E125">
        <f>ROUND(SUMIF(Councils!$C$6:$C$809,$A125,Councils!$E$6:$E$809),0)</f>
        <v>1148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1</v>
      </c>
      <c r="I125">
        <f>ROUND(SUMIF(Councils!$C$6:$C$809,$A125,Councils!$R$6:$R$809)*0.7,0)</f>
        <v>-1</v>
      </c>
      <c r="J125">
        <f>ROUND(SUMIF(Councils!$C$6:$C$809,$A125,Councils!$S$6:$S$809)*0.7,0)</f>
        <v>2</v>
      </c>
      <c r="K125">
        <f>ROUND(SUMIF(Councils!$C$6:$C$809,$A125,Councils!$T$6:$T$809)*0.7,0)</f>
        <v>5</v>
      </c>
      <c r="L125">
        <f>ROUND(SUMIF(Councils!$C$6:$C$809,$A125,Councils!$U$6:$U$809)*0.7,0)</f>
        <v>-3</v>
      </c>
      <c r="M125" s="63">
        <f t="shared" si="2"/>
        <v>0</v>
      </c>
      <c r="N125">
        <f t="shared" si="3"/>
        <v>1</v>
      </c>
    </row>
    <row r="126" spans="1:14">
      <c r="A126" s="67">
        <v>147</v>
      </c>
      <c r="B126" s="80">
        <f>IF(ISNA(VLOOKUP($A126,DD_Info!$A$1:$E$222,5,0)),0,VLOOKUP($A126,DD_Info!$A$1:$E$222,5,0))</f>
        <v>1</v>
      </c>
      <c r="C126" t="str">
        <f>IF(ISNA(VLOOKUP($A126,DD_Info!$A$1:$E$222,2,0)),0,VLOOKUP($A126,DD_Info!$A$1:$E$222,2,0))</f>
        <v>Clarence  Troy</v>
      </c>
      <c r="D126" t="str">
        <f>IF(ISNA(VLOOKUP($A126,DD_Info!$A$1:$E$222,3,0)),0,VLOOKUP($A126,DD_Info!$A$1:$E$222,3,0))</f>
        <v>Austin</v>
      </c>
      <c r="E126">
        <f>ROUND(SUMIF(Councils!$C$6:$C$809,$A126,Councils!$E$6:$E$809),0)</f>
        <v>700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1</v>
      </c>
      <c r="I126">
        <f>ROUND(SUMIF(Councils!$C$6:$C$809,$A126,Councils!$R$6:$R$809)*0.7,0)</f>
        <v>-1</v>
      </c>
      <c r="J126">
        <f>ROUND(SUMIF(Councils!$C$6:$C$809,$A126,Councils!$S$6:$S$809)*0.7,0)</f>
        <v>1</v>
      </c>
      <c r="K126">
        <f>ROUND(SUMIF(Councils!$C$6:$C$809,$A126,Councils!$T$6:$T$809)*0.7,0)</f>
        <v>6</v>
      </c>
      <c r="L126">
        <f>ROUND(SUMIF(Councils!$C$6:$C$809,$A126,Councils!$U$6:$U$809)*0.7,0)</f>
        <v>-5</v>
      </c>
      <c r="M126" s="63">
        <f t="shared" si="2"/>
        <v>0</v>
      </c>
      <c r="N126">
        <f t="shared" si="3"/>
        <v>1</v>
      </c>
    </row>
    <row r="127" spans="1:14">
      <c r="A127" s="67">
        <v>148</v>
      </c>
      <c r="B127" s="80">
        <f>IF(ISNA(VLOOKUP($A127,DD_Info!$A$1:$E$222,5,0)),0,VLOOKUP($A127,DD_Info!$A$1:$E$222,5,0))</f>
        <v>1</v>
      </c>
      <c r="C127" t="str">
        <f>IF(ISNA(VLOOKUP($A127,DD_Info!$A$1:$E$222,2,0)),0,VLOOKUP($A127,DD_Info!$A$1:$E$222,2,0))</f>
        <v>Maurice  Jurena</v>
      </c>
      <c r="D127" t="str">
        <f>IF(ISNA(VLOOKUP($A127,DD_Info!$A$1:$E$222,3,0)),0,VLOOKUP($A127,DD_Info!$A$1:$E$222,3,0))</f>
        <v>Austin</v>
      </c>
      <c r="E127">
        <f>ROUND(SUMIF(Councils!$C$6:$C$809,$A127,Councils!$E$6:$E$809),0)</f>
        <v>575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0</v>
      </c>
      <c r="K127">
        <f>ROUND(SUMIF(Councils!$C$6:$C$809,$A127,Councils!$T$6:$T$809)*0.7,0)</f>
        <v>1</v>
      </c>
      <c r="L127">
        <f>ROUND(SUMIF(Councils!$C$6:$C$809,$A127,Councils!$U$6:$U$809)*0.7,0)</f>
        <v>-1</v>
      </c>
      <c r="M127" s="63">
        <f t="shared" si="2"/>
        <v>0</v>
      </c>
      <c r="N127">
        <f t="shared" si="3"/>
        <v>1</v>
      </c>
    </row>
    <row r="128" spans="1:14">
      <c r="A128" s="67">
        <v>149</v>
      </c>
      <c r="B128" s="80">
        <f>IF(ISNA(VLOOKUP($A128,DD_Info!$A$1:$E$222,5,0)),0,VLOOKUP($A128,DD_Info!$A$1:$E$222,5,0))</f>
        <v>1</v>
      </c>
      <c r="C128" t="str">
        <f>IF(ISNA(VLOOKUP($A128,DD_Info!$A$1:$E$222,2,0)),0,VLOOKUP($A128,DD_Info!$A$1:$E$222,2,0))</f>
        <v>Vince  Verdicchio</v>
      </c>
      <c r="D128" t="str">
        <f>IF(ISNA(VLOOKUP($A128,DD_Info!$A$1:$E$222,3,0)),0,VLOOKUP($A128,DD_Info!$A$1:$E$222,3,0))</f>
        <v>Austin</v>
      </c>
      <c r="E128">
        <f>ROUND(SUMIF(Councils!$C$6:$C$809,$A128,Councils!$E$6:$E$809),0)</f>
        <v>659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1</v>
      </c>
      <c r="K128">
        <f>ROUND(SUMIF(Councils!$C$6:$C$809,$A128,Councils!$T$6:$T$809)*0.7,0)</f>
        <v>0</v>
      </c>
      <c r="L128">
        <f>ROUND(SUMIF(Councils!$C$6:$C$809,$A128,Councils!$U$6:$U$809)*0.7,0)</f>
        <v>1</v>
      </c>
      <c r="M128" s="63">
        <f t="shared" si="2"/>
        <v>0</v>
      </c>
      <c r="N128">
        <f t="shared" si="3"/>
        <v>1</v>
      </c>
    </row>
    <row r="129" spans="1:14">
      <c r="A129" s="67">
        <v>150</v>
      </c>
      <c r="B129" s="80">
        <f>IF(ISNA(VLOOKUP($A129,DD_Info!$A$1:$E$222,5,0)),0,VLOOKUP($A129,DD_Info!$A$1:$E$222,5,0))</f>
        <v>1</v>
      </c>
      <c r="C129" t="str">
        <f>IF(ISNA(VLOOKUP($A129,DD_Info!$A$1:$E$222,2,0)),0,VLOOKUP($A129,DD_Info!$A$1:$E$222,2,0))</f>
        <v>Michael  Barnett</v>
      </c>
      <c r="D129" t="str">
        <f>IF(ISNA(VLOOKUP($A129,DD_Info!$A$1:$E$222,3,0)),0,VLOOKUP($A129,DD_Info!$A$1:$E$222,3,0))</f>
        <v>Austin</v>
      </c>
      <c r="E129">
        <f>ROUND(SUMIF(Councils!$C$6:$C$809,$A129,Councils!$E$6:$E$809),0)</f>
        <v>837</v>
      </c>
      <c r="F129">
        <f>ROUND(SUMIF(Councils!$C$6:$C$809,$A129,Councils!$O$6:$O$809)*0.7,0)</f>
        <v>0</v>
      </c>
      <c r="G129">
        <f>ROUND(SUMIF(Councils!$C$6:$C$809,$A129,Councils!$P$6:$P$809)*0.7,0)</f>
        <v>1</v>
      </c>
      <c r="H129">
        <f>ROUND(SUMIF(Councils!$C$6:$C$809,$A129,Councils!$Q$6:$Q$809)*0.7,0)</f>
        <v>2</v>
      </c>
      <c r="I129">
        <f>ROUND(SUMIF(Councils!$C$6:$C$809,$A129,Councils!$R$6:$R$809)*0.7,0)</f>
        <v>-1</v>
      </c>
      <c r="J129">
        <f>ROUND(SUMIF(Councils!$C$6:$C$809,$A129,Councils!$S$6:$S$809)*0.7,0)</f>
        <v>2</v>
      </c>
      <c r="K129">
        <f>ROUND(SUMIF(Councils!$C$6:$C$809,$A129,Councils!$T$6:$T$809)*0.7,0)</f>
        <v>2</v>
      </c>
      <c r="L129">
        <f>ROUND(SUMIF(Councils!$C$6:$C$809,$A129,Councils!$U$6:$U$809)*0.7,0)</f>
        <v>0</v>
      </c>
      <c r="M129" s="63">
        <f t="shared" si="2"/>
        <v>0</v>
      </c>
      <c r="N129">
        <f t="shared" si="3"/>
        <v>1</v>
      </c>
    </row>
    <row r="130" spans="1:14">
      <c r="A130" s="67">
        <v>151</v>
      </c>
      <c r="B130" s="80">
        <f>IF(ISNA(VLOOKUP($A130,DD_Info!$A$1:$E$222,5,0)),0,VLOOKUP($A130,DD_Info!$A$1:$E$222,5,0))</f>
        <v>1</v>
      </c>
      <c r="C130" t="str">
        <f>IF(ISNA(VLOOKUP($A130,DD_Info!$A$1:$E$222,2,0)),0,VLOOKUP($A130,DD_Info!$A$1:$E$222,2,0))</f>
        <v>John W Hicks</v>
      </c>
      <c r="D130" t="str">
        <f>IF(ISNA(VLOOKUP($A130,DD_Info!$A$1:$E$222,3,0)),0,VLOOKUP($A130,DD_Info!$A$1:$E$222,3,0))</f>
        <v>Austin</v>
      </c>
      <c r="E130">
        <f>ROUND(SUMIF(Councils!$C$6:$C$809,$A130,Councils!$E$6:$E$809),0)</f>
        <v>673</v>
      </c>
      <c r="F130">
        <f>ROUND(SUMIF(Councils!$C$6:$C$809,$A130,Councils!$O$6:$O$809)*0.7,0)</f>
        <v>0</v>
      </c>
      <c r="G130">
        <f>ROUND(SUMIF(Councils!$C$6:$C$809,$A130,Councils!$P$6:$P$809)*0.7,0)</f>
        <v>1</v>
      </c>
      <c r="H130">
        <f>ROUND(SUMIF(Councils!$C$6:$C$809,$A130,Councils!$Q$6:$Q$809)*0.7,0)</f>
        <v>0</v>
      </c>
      <c r="I130">
        <f>ROUND(SUMIF(Councils!$C$6:$C$809,$A130,Councils!$R$6:$R$809)*0.7,0)</f>
        <v>1</v>
      </c>
      <c r="J130">
        <f>ROUND(SUMIF(Councils!$C$6:$C$809,$A130,Councils!$S$6:$S$809)*0.7,0)</f>
        <v>4</v>
      </c>
      <c r="K130">
        <f>ROUND(SUMIF(Councils!$C$6:$C$809,$A130,Councils!$T$6:$T$809)*0.7,0)</f>
        <v>4</v>
      </c>
      <c r="L130">
        <f>ROUND(SUMIF(Councils!$C$6:$C$809,$A130,Councils!$U$6:$U$809)*0.7,0)</f>
        <v>1</v>
      </c>
      <c r="M130" s="63">
        <f t="shared" ref="M130:M193" si="4">IFERROR(L130/F130,0)</f>
        <v>0</v>
      </c>
      <c r="N130">
        <f t="shared" ref="N130:N195" si="5">RANK(M130,$M$2:$M$208,0)</f>
        <v>1</v>
      </c>
    </row>
    <row r="131" spans="1:14">
      <c r="A131" s="67">
        <v>152</v>
      </c>
      <c r="B131" s="80">
        <f>IF(ISNA(VLOOKUP($A131,DD_Info!$A$1:$E$222,5,0)),0,VLOOKUP($A131,DD_Info!$A$1:$E$222,5,0))</f>
        <v>2</v>
      </c>
      <c r="C131" t="str">
        <f>IF(ISNA(VLOOKUP($A131,DD_Info!$A$1:$E$222,2,0)),0,VLOOKUP($A131,DD_Info!$A$1:$E$222,2,0))</f>
        <v>Michael  D'Antonio</v>
      </c>
      <c r="D131" t="str">
        <f>IF(ISNA(VLOOKUP($A131,DD_Info!$A$1:$E$222,3,0)),0,VLOOKUP($A131,DD_Info!$A$1:$E$222,3,0))</f>
        <v>Austin</v>
      </c>
      <c r="E131">
        <f>ROUND(SUMIF(Councils!$C$6:$C$809,$A131,Councils!$E$6:$E$809),0)</f>
        <v>486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3</v>
      </c>
      <c r="I131">
        <f>ROUND(SUMIF(Councils!$C$6:$C$809,$A131,Councils!$R$6:$R$809)*0.7,0)</f>
        <v>-3</v>
      </c>
      <c r="J131">
        <f>ROUND(SUMIF(Councils!$C$6:$C$809,$A131,Councils!$S$6:$S$809)*0.7,0)</f>
        <v>1</v>
      </c>
      <c r="K131">
        <f>ROUND(SUMIF(Councils!$C$6:$C$809,$A131,Councils!$T$6:$T$809)*0.7,0)</f>
        <v>4</v>
      </c>
      <c r="L131">
        <f>ROUND(SUMIF(Councils!$C$6:$C$809,$A131,Councils!$U$6:$U$809)*0.7,0)</f>
        <v>-4</v>
      </c>
      <c r="M131" s="63">
        <f t="shared" si="4"/>
        <v>0</v>
      </c>
      <c r="N131">
        <f t="shared" si="5"/>
        <v>1</v>
      </c>
    </row>
    <row r="132" spans="1:14">
      <c r="A132" s="67">
        <v>153</v>
      </c>
      <c r="B132" s="80">
        <f>IF(ISNA(VLOOKUP($A132,DD_Info!$A$1:$E$222,5,0)),0,VLOOKUP($A132,DD_Info!$A$1:$E$222,5,0))</f>
        <v>2</v>
      </c>
      <c r="C132" t="str">
        <f>IF(ISNA(VLOOKUP($A132,DD_Info!$A$1:$E$222,2,0)),0,VLOOKUP($A132,DD_Info!$A$1:$E$222,2,0))</f>
        <v>Alex  Martinez</v>
      </c>
      <c r="D132" t="str">
        <f>IF(ISNA(VLOOKUP($A132,DD_Info!$A$1:$E$222,3,0)),0,VLOOKUP($A132,DD_Info!$A$1:$E$222,3,0))</f>
        <v>Austin</v>
      </c>
      <c r="E132">
        <f>ROUND(SUMIF(Councils!$C$6:$C$809,$A132,Councils!$E$6:$E$809),0)</f>
        <v>325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1</v>
      </c>
      <c r="I132">
        <f>ROUND(SUMIF(Councils!$C$6:$C$809,$A132,Councils!$R$6:$R$809)*0.7,0)</f>
        <v>-1</v>
      </c>
      <c r="J132">
        <f>ROUND(SUMIF(Councils!$C$6:$C$809,$A132,Councils!$S$6:$S$809)*0.7,0)</f>
        <v>1</v>
      </c>
      <c r="K132">
        <f>ROUND(SUMIF(Councils!$C$6:$C$809,$A132,Councils!$T$6:$T$809)*0.7,0)</f>
        <v>1</v>
      </c>
      <c r="L132">
        <f>ROUND(SUMIF(Councils!$C$6:$C$809,$A132,Councils!$U$6:$U$809)*0.7,0)</f>
        <v>-1</v>
      </c>
      <c r="M132" s="63">
        <f t="shared" si="4"/>
        <v>0</v>
      </c>
      <c r="N132">
        <f t="shared" si="5"/>
        <v>1</v>
      </c>
    </row>
    <row r="133" spans="1:14">
      <c r="A133" s="67">
        <v>154</v>
      </c>
      <c r="B133" s="80">
        <f>IF(ISNA(VLOOKUP($A133,DD_Info!$A$1:$E$222,5,0)),0,VLOOKUP($A133,DD_Info!$A$1:$E$222,5,0))</f>
        <v>1</v>
      </c>
      <c r="C133" t="str">
        <f>IF(ISNA(VLOOKUP($A133,DD_Info!$A$1:$E$222,2,0)),0,VLOOKUP($A133,DD_Info!$A$1:$E$222,2,0))</f>
        <v>Darris  Chapple</v>
      </c>
      <c r="D133" t="str">
        <f>IF(ISNA(VLOOKUP($A133,DD_Info!$A$1:$E$222,3,0)),0,VLOOKUP($A133,DD_Info!$A$1:$E$222,3,0))</f>
        <v>Austin</v>
      </c>
      <c r="E133">
        <f>ROUND(SUMIF(Councils!$C$6:$C$809,$A133,Councils!$E$6:$E$809),0)</f>
        <v>855</v>
      </c>
      <c r="F133">
        <f>ROUND(SUMIF(Councils!$C$6:$C$809,$A133,Councils!$O$6:$O$809)*0.7,0)</f>
        <v>0</v>
      </c>
      <c r="G133">
        <f>ROUND(SUMIF(Councils!$C$6:$C$809,$A133,Councils!$P$6:$P$809)*0.7,0)</f>
        <v>1</v>
      </c>
      <c r="H133">
        <f>ROUND(SUMIF(Councils!$C$6:$C$809,$A133,Councils!$Q$6:$Q$809)*0.7,0)</f>
        <v>1</v>
      </c>
      <c r="I133">
        <f>ROUND(SUMIF(Councils!$C$6:$C$809,$A133,Councils!$R$6:$R$809)*0.7,0)</f>
        <v>-1</v>
      </c>
      <c r="J133">
        <f>ROUND(SUMIF(Councils!$C$6:$C$809,$A133,Councils!$S$6:$S$809)*0.7,0)</f>
        <v>6</v>
      </c>
      <c r="K133">
        <f>ROUND(SUMIF(Councils!$C$6:$C$809,$A133,Councils!$T$6:$T$809)*0.7,0)</f>
        <v>2</v>
      </c>
      <c r="L133">
        <f>ROUND(SUMIF(Councils!$C$6:$C$809,$A133,Councils!$U$6:$U$809)*0.7,0)</f>
        <v>4</v>
      </c>
      <c r="M133" s="63">
        <f t="shared" si="4"/>
        <v>0</v>
      </c>
      <c r="N133">
        <f t="shared" si="5"/>
        <v>1</v>
      </c>
    </row>
    <row r="134" spans="1:14">
      <c r="A134" s="67">
        <v>155</v>
      </c>
      <c r="B134" s="80">
        <f>IF(ISNA(VLOOKUP($A134,DD_Info!$A$1:$E$222,5,0)),0,VLOOKUP($A134,DD_Info!$A$1:$E$222,5,0))</f>
        <v>1</v>
      </c>
      <c r="C134" t="str">
        <f>IF(ISNA(VLOOKUP($A134,DD_Info!$A$1:$E$222,2,0)),0,VLOOKUP($A134,DD_Info!$A$1:$E$222,2,0))</f>
        <v>Joseph "Pat" P Ortiz</v>
      </c>
      <c r="D134" t="str">
        <f>IF(ISNA(VLOOKUP($A134,DD_Info!$A$1:$E$222,3,0)),0,VLOOKUP($A134,DD_Info!$A$1:$E$222,3,0))</f>
        <v>Austin</v>
      </c>
      <c r="E134">
        <f>ROUND(SUMIF(Councils!$C$6:$C$809,$A134,Councils!$E$6:$E$809),0)</f>
        <v>677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1</v>
      </c>
      <c r="K134">
        <f>ROUND(SUMIF(Councils!$C$6:$C$809,$A134,Councils!$T$6:$T$809)*0.7,0)</f>
        <v>1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1</v>
      </c>
    </row>
    <row r="135" spans="1:14">
      <c r="A135" s="67">
        <v>156</v>
      </c>
      <c r="B135" s="80">
        <f>IF(ISNA(VLOOKUP($A135,DD_Info!$A$1:$E$222,5,0)),0,VLOOKUP($A135,DD_Info!$A$1:$E$222,5,0))</f>
        <v>1</v>
      </c>
      <c r="C135" t="str">
        <f>IF(ISNA(VLOOKUP($A135,DD_Info!$A$1:$E$222,2,0)),0,VLOOKUP($A135,DD_Info!$A$1:$E$222,2,0))</f>
        <v>George G Scott</v>
      </c>
      <c r="D135" t="str">
        <f>IF(ISNA(VLOOKUP($A135,DD_Info!$A$1:$E$222,3,0)),0,VLOOKUP($A135,DD_Info!$A$1:$E$222,3,0))</f>
        <v>Austin</v>
      </c>
      <c r="E135">
        <f>ROUND(SUMIF(Councils!$C$6:$C$809,$A135,Councils!$E$6:$E$809),0)</f>
        <v>662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2</v>
      </c>
      <c r="K135">
        <f>ROUND(SUMIF(Councils!$C$6:$C$809,$A135,Councils!$T$6:$T$809)*0.7,0)</f>
        <v>3</v>
      </c>
      <c r="L135">
        <f>ROUND(SUMIF(Councils!$C$6:$C$809,$A135,Councils!$U$6:$U$809)*0.7,0)</f>
        <v>-1</v>
      </c>
      <c r="M135" s="63">
        <f t="shared" si="4"/>
        <v>0</v>
      </c>
      <c r="N135">
        <f t="shared" si="5"/>
        <v>1</v>
      </c>
    </row>
    <row r="136" spans="1:14">
      <c r="A136" s="67">
        <v>157</v>
      </c>
      <c r="B136" s="80">
        <f>IF(ISNA(VLOOKUP($A136,DD_Info!$A$1:$E$222,5,0)),0,VLOOKUP($A136,DD_Info!$A$1:$E$222,5,0))</f>
        <v>2</v>
      </c>
      <c r="C136" t="str">
        <f>IF(ISNA(VLOOKUP($A136,DD_Info!$A$1:$E$222,2,0)),0,VLOOKUP($A136,DD_Info!$A$1:$E$222,2,0))</f>
        <v>TO BE APPOINTED</v>
      </c>
      <c r="D136" t="str">
        <f>IF(ISNA(VLOOKUP($A136,DD_Info!$A$1:$E$222,3,0)),0,VLOOKUP($A136,DD_Info!$A$1:$E$222,3,0))</f>
        <v>Austin</v>
      </c>
      <c r="E136">
        <f>ROUND(SUMIF(Councils!$C$6:$C$809,$A136,Councils!$E$6:$E$809),0)</f>
        <v>381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1</v>
      </c>
      <c r="I136">
        <f>ROUND(SUMIF(Councils!$C$6:$C$809,$A136,Councils!$R$6:$R$809)*0.7,0)</f>
        <v>-1</v>
      </c>
      <c r="J136">
        <f>ROUND(SUMIF(Councils!$C$6:$C$809,$A136,Councils!$S$6:$S$809)*0.7,0)</f>
        <v>0</v>
      </c>
      <c r="K136">
        <f>ROUND(SUMIF(Councils!$C$6:$C$809,$A136,Councils!$T$6:$T$809)*0.7,0)</f>
        <v>1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</v>
      </c>
    </row>
    <row r="137" spans="1:14">
      <c r="A137" s="67">
        <v>158</v>
      </c>
      <c r="B137" s="80">
        <f>IF(ISNA(VLOOKUP($A137,DD_Info!$A$1:$E$222,5,0)),0,VLOOKUP($A137,DD_Info!$A$1:$E$222,5,0))</f>
        <v>1</v>
      </c>
      <c r="C137" t="str">
        <f>IF(ISNA(VLOOKUP($A137,DD_Info!$A$1:$E$222,2,0)),0,VLOOKUP($A137,DD_Info!$A$1:$E$222,2,0))</f>
        <v>Kevin  Russell</v>
      </c>
      <c r="D137" t="str">
        <f>IF(ISNA(VLOOKUP($A137,DD_Info!$A$1:$E$222,3,0)),0,VLOOKUP($A137,DD_Info!$A$1:$E$222,3,0))</f>
        <v>Austin</v>
      </c>
      <c r="E137">
        <f>ROUND(SUMIF(Councils!$C$6:$C$809,$A137,Councils!$E$6:$E$809),0)</f>
        <v>767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0</v>
      </c>
      <c r="I137">
        <f>ROUND(SUMIF(Councils!$C$6:$C$809,$A137,Councils!$R$6:$R$809)*0.7,0)</f>
        <v>0</v>
      </c>
      <c r="J137">
        <f>ROUND(SUMIF(Councils!$C$6:$C$809,$A137,Councils!$S$6:$S$809)*0.7,0)</f>
        <v>0</v>
      </c>
      <c r="K137">
        <f>ROUND(SUMIF(Councils!$C$6:$C$809,$A137,Councils!$T$6:$T$809)*0.7,0)</f>
        <v>4</v>
      </c>
      <c r="L137">
        <f>ROUND(SUMIF(Councils!$C$6:$C$809,$A137,Councils!$U$6:$U$809)*0.7,0)</f>
        <v>-4</v>
      </c>
      <c r="M137" s="63">
        <f t="shared" si="4"/>
        <v>0</v>
      </c>
      <c r="N137">
        <f t="shared" si="5"/>
        <v>1</v>
      </c>
    </row>
    <row r="138" spans="1:14">
      <c r="A138" s="67">
        <v>159</v>
      </c>
      <c r="B138" s="80">
        <f>IF(ISNA(VLOOKUP($A138,DD_Info!$A$1:$E$222,5,0)),0,VLOOKUP($A138,DD_Info!$A$1:$E$222,5,0))</f>
        <v>2</v>
      </c>
      <c r="C138" t="str">
        <f>IF(ISNA(VLOOKUP($A138,DD_Info!$A$1:$E$222,2,0)),0,VLOOKUP($A138,DD_Info!$A$1:$E$222,2,0))</f>
        <v>Tony  Grandinetti</v>
      </c>
      <c r="D138" t="str">
        <f>IF(ISNA(VLOOKUP($A138,DD_Info!$A$1:$E$222,3,0)),0,VLOOKUP($A138,DD_Info!$A$1:$E$222,3,0))</f>
        <v>Austin</v>
      </c>
      <c r="E138">
        <f>ROUND(SUMIF(Councils!$C$6:$C$809,$A138,Councils!$E$6:$E$809),0)</f>
        <v>573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1</v>
      </c>
      <c r="I138">
        <f>ROUND(SUMIF(Councils!$C$6:$C$809,$A138,Councils!$R$6:$R$809)*0.7,0)</f>
        <v>-1</v>
      </c>
      <c r="J138">
        <f>ROUND(SUMIF(Councils!$C$6:$C$809,$A138,Councils!$S$6:$S$809)*0.7,0)</f>
        <v>2</v>
      </c>
      <c r="K138">
        <f>ROUND(SUMIF(Councils!$C$6:$C$809,$A138,Councils!$T$6:$T$809)*0.7,0)</f>
        <v>1</v>
      </c>
      <c r="L138">
        <f>ROUND(SUMIF(Councils!$C$6:$C$809,$A138,Councils!$U$6:$U$809)*0.7,0)</f>
        <v>1</v>
      </c>
      <c r="M138" s="63">
        <f t="shared" si="4"/>
        <v>0</v>
      </c>
      <c r="N138">
        <f t="shared" si="5"/>
        <v>1</v>
      </c>
    </row>
    <row r="139" spans="1:14">
      <c r="A139" s="67">
        <v>160</v>
      </c>
      <c r="B139" s="80">
        <f>IF(ISNA(VLOOKUP($A139,DD_Info!$A$1:$E$222,5,0)),0,VLOOKUP($A139,DD_Info!$A$1:$E$222,5,0))</f>
        <v>2</v>
      </c>
      <c r="C139" t="str">
        <f>IF(ISNA(VLOOKUP($A139,DD_Info!$A$1:$E$222,2,0)),0,VLOOKUP($A139,DD_Info!$A$1:$E$222,2,0))</f>
        <v>Patrick J Quinlan</v>
      </c>
      <c r="D139" t="str">
        <f>IF(ISNA(VLOOKUP($A139,DD_Info!$A$1:$E$222,3,0)),0,VLOOKUP($A139,DD_Info!$A$1:$E$222,3,0))</f>
        <v>Austin</v>
      </c>
      <c r="E139">
        <f>ROUND(SUMIF(Councils!$C$6:$C$809,$A139,Councils!$E$6:$E$809),0)</f>
        <v>274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1</v>
      </c>
      <c r="I139">
        <f>ROUND(SUMIF(Councils!$C$6:$C$809,$A139,Councils!$R$6:$R$809)*0.7,0)</f>
        <v>-1</v>
      </c>
      <c r="J139">
        <f>ROUND(SUMIF(Councils!$C$6:$C$809,$A139,Councils!$S$6:$S$809)*0.7,0)</f>
        <v>1</v>
      </c>
      <c r="K139">
        <f>ROUND(SUMIF(Councils!$C$6:$C$809,$A139,Councils!$T$6:$T$809)*0.7,0)</f>
        <v>1</v>
      </c>
      <c r="L139">
        <f>ROUND(SUMIF(Councils!$C$6:$C$809,$A139,Councils!$U$6:$U$809)*0.7,0)</f>
        <v>-1</v>
      </c>
      <c r="M139" s="63">
        <f t="shared" si="4"/>
        <v>0</v>
      </c>
      <c r="N139">
        <f t="shared" si="5"/>
        <v>1</v>
      </c>
    </row>
    <row r="140" spans="1:14">
      <c r="A140" s="67">
        <v>161</v>
      </c>
      <c r="B140" s="80">
        <f>IF(ISNA(VLOOKUP($A140,DD_Info!$A$1:$E$222,5,0)),0,VLOOKUP($A140,DD_Info!$A$1:$E$222,5,0))</f>
        <v>3</v>
      </c>
      <c r="C140" t="str">
        <f>IF(ISNA(VLOOKUP($A140,DD_Info!$A$1:$E$222,2,0)),0,VLOOKUP($A140,DD_Info!$A$1:$E$222,2,0))</f>
        <v>Armando  Montes Jr</v>
      </c>
      <c r="D140" t="str">
        <f>IF(ISNA(VLOOKUP($A140,DD_Info!$A$1:$E$222,3,0)),0,VLOOKUP($A140,DD_Info!$A$1:$E$222,3,0))</f>
        <v>Austin</v>
      </c>
      <c r="E140">
        <f>ROUND(SUMIF(Councils!$C$6:$C$809,$A140,Councils!$E$6:$E$809),0)</f>
        <v>242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1</v>
      </c>
      <c r="I140">
        <f>ROUND(SUMIF(Councils!$C$6:$C$809,$A140,Councils!$R$6:$R$809)*0.7,0)</f>
        <v>-1</v>
      </c>
      <c r="J140">
        <f>ROUND(SUMIF(Councils!$C$6:$C$809,$A140,Councils!$S$6:$S$809)*0.7,0)</f>
        <v>0</v>
      </c>
      <c r="K140">
        <f>ROUND(SUMIF(Councils!$C$6:$C$809,$A140,Councils!$T$6:$T$809)*0.7,0)</f>
        <v>1</v>
      </c>
      <c r="L140">
        <f>ROUND(SUMIF(Councils!$C$6:$C$809,$A140,Councils!$U$6:$U$809)*0.7,0)</f>
        <v>-1</v>
      </c>
      <c r="M140" s="63">
        <f t="shared" si="4"/>
        <v>0</v>
      </c>
      <c r="N140">
        <f t="shared" si="5"/>
        <v>1</v>
      </c>
    </row>
    <row r="141" spans="1:14">
      <c r="A141" s="67">
        <v>162</v>
      </c>
      <c r="B141" s="80">
        <f>IF(ISNA(VLOOKUP($A141,DD_Info!$A$1:$E$222,5,0)),0,VLOOKUP($A141,DD_Info!$A$1:$E$222,5,0))</f>
        <v>3</v>
      </c>
      <c r="C141" t="str">
        <f>IF(ISNA(VLOOKUP($A141,DD_Info!$A$1:$E$222,2,0)),0,VLOOKUP($A141,DD_Info!$A$1:$E$222,2,0))</f>
        <v>Edward  Tydings</v>
      </c>
      <c r="D141" t="str">
        <f>IF(ISNA(VLOOKUP($A141,DD_Info!$A$1:$E$222,3,0)),0,VLOOKUP($A141,DD_Info!$A$1:$E$222,3,0))</f>
        <v>Austin</v>
      </c>
      <c r="E141">
        <f>ROUND(SUMIF(Councils!$C$6:$C$809,$A141,Councils!$E$6:$E$809),0)</f>
        <v>131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0</v>
      </c>
      <c r="K141">
        <f>ROUND(SUMIF(Councils!$C$6:$C$809,$A141,Councils!$T$6:$T$809)*0.7,0)</f>
        <v>0</v>
      </c>
      <c r="L141">
        <f>ROUND(SUMIF(Councils!$C$6:$C$809,$A141,Councils!$U$6:$U$809)*0.7,0)</f>
        <v>0</v>
      </c>
      <c r="M141" s="63">
        <f t="shared" si="4"/>
        <v>0</v>
      </c>
      <c r="N141">
        <f t="shared" si="5"/>
        <v>1</v>
      </c>
    </row>
    <row r="142" spans="1:14">
      <c r="A142" s="67">
        <v>166</v>
      </c>
      <c r="B142" s="80">
        <f>IF(ISNA(VLOOKUP($A142,DD_Info!$A$1:$E$222,5,0)),0,VLOOKUP($A142,DD_Info!$A$1:$E$222,5,0))</f>
        <v>3</v>
      </c>
      <c r="C142" t="str">
        <f>IF(ISNA(VLOOKUP($A142,DD_Info!$A$1:$E$222,2,0)),0,VLOOKUP($A142,DD_Info!$A$1:$E$222,2,0))</f>
        <v>TO BE APPOINETED</v>
      </c>
      <c r="D142" t="str">
        <f>IF(ISNA(VLOOKUP($A142,DD_Info!$A$1:$E$222,3,0)),0,VLOOKUP($A142,DD_Info!$A$1:$E$222,3,0))</f>
        <v>Corpus Christi</v>
      </c>
      <c r="E142">
        <f>ROUND(SUMIF(Councils!$C$6:$C$809,$A142,Councils!$E$6:$E$809),0)</f>
        <v>223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0</v>
      </c>
      <c r="K142">
        <f>ROUND(SUMIF(Councils!$C$6:$C$809,$A142,Councils!$T$6:$T$809)*0.7,0)</f>
        <v>0</v>
      </c>
      <c r="L142">
        <f>ROUND(SUMIF(Councils!$C$6:$C$809,$A142,Councils!$U$6:$U$809)*0.7,0)</f>
        <v>0</v>
      </c>
      <c r="M142" s="63">
        <f t="shared" si="4"/>
        <v>0</v>
      </c>
      <c r="N142">
        <f t="shared" si="5"/>
        <v>1</v>
      </c>
    </row>
    <row r="143" spans="1:14">
      <c r="A143" s="67">
        <v>167</v>
      </c>
      <c r="B143" s="80">
        <f>IF(ISNA(VLOOKUP($A143,DD_Info!$A$1:$E$222,5,0)),0,VLOOKUP($A143,DD_Info!$A$1:$E$222,5,0))</f>
        <v>2</v>
      </c>
      <c r="C143" t="str">
        <f>IF(ISNA(VLOOKUP($A143,DD_Info!$A$1:$E$222,2,0)),0,VLOOKUP($A143,DD_Info!$A$1:$E$222,2,0))</f>
        <v>Joseph  Naderer</v>
      </c>
      <c r="D143" t="str">
        <f>IF(ISNA(VLOOKUP($A143,DD_Info!$A$1:$E$222,3,0)),0,VLOOKUP($A143,DD_Info!$A$1:$E$222,3,0))</f>
        <v>Corpus Christi</v>
      </c>
      <c r="E143">
        <f>ROUND(SUMIF(Councils!$C$6:$C$809,$A143,Councils!$E$6:$E$809),0)</f>
        <v>508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1</v>
      </c>
      <c r="I143">
        <f>ROUND(SUMIF(Councils!$C$6:$C$809,$A143,Councils!$R$6:$R$809)*0.7,0)</f>
        <v>-1</v>
      </c>
      <c r="J143">
        <f>ROUND(SUMIF(Councils!$C$6:$C$809,$A143,Councils!$S$6:$S$809)*0.7,0)</f>
        <v>0</v>
      </c>
      <c r="K143">
        <f>ROUND(SUMIF(Councils!$C$6:$C$809,$A143,Councils!$T$6:$T$809)*0.7,0)</f>
        <v>1</v>
      </c>
      <c r="L143">
        <f>ROUND(SUMIF(Councils!$C$6:$C$809,$A143,Councils!$U$6:$U$809)*0.7,0)</f>
        <v>-1</v>
      </c>
      <c r="M143" s="63">
        <f t="shared" si="4"/>
        <v>0</v>
      </c>
      <c r="N143">
        <f t="shared" si="5"/>
        <v>1</v>
      </c>
    </row>
    <row r="144" spans="1:14">
      <c r="A144" s="67">
        <v>168</v>
      </c>
      <c r="B144" s="80">
        <f>IF(ISNA(VLOOKUP($A144,DD_Info!$A$1:$E$222,5,0)),0,VLOOKUP($A144,DD_Info!$A$1:$E$222,5,0))</f>
        <v>2</v>
      </c>
      <c r="C144" t="str">
        <f>IF(ISNA(VLOOKUP($A144,DD_Info!$A$1:$E$222,2,0)),0,VLOOKUP($A144,DD_Info!$A$1:$E$222,2,0))</f>
        <v>Paul  Hickey</v>
      </c>
      <c r="D144" t="str">
        <f>IF(ISNA(VLOOKUP($A144,DD_Info!$A$1:$E$222,3,0)),0,VLOOKUP($A144,DD_Info!$A$1:$E$222,3,0))</f>
        <v>Corpus Christi</v>
      </c>
      <c r="E144">
        <f>ROUND(SUMIF(Councils!$C$6:$C$809,$A144,Councils!$E$6:$E$809),0)</f>
        <v>314</v>
      </c>
      <c r="F144">
        <f>ROUND(SUMIF(Councils!$C$6:$C$809,$A144,Councils!$O$6:$O$809)*0.7,0)</f>
        <v>0</v>
      </c>
      <c r="G144">
        <f>ROUND(SUMIF(Councils!$C$6:$C$809,$A144,Councils!$P$6:$P$809)*0.7,0)</f>
        <v>1</v>
      </c>
      <c r="H144">
        <f>ROUND(SUMIF(Councils!$C$6:$C$809,$A144,Councils!$Q$6:$Q$809)*0.7,0)</f>
        <v>1</v>
      </c>
      <c r="I144">
        <f>ROUND(SUMIF(Councils!$C$6:$C$809,$A144,Councils!$R$6:$R$809)*0.7,0)</f>
        <v>0</v>
      </c>
      <c r="J144">
        <f>ROUND(SUMIF(Councils!$C$6:$C$809,$A144,Councils!$S$6:$S$809)*0.7,0)</f>
        <v>1</v>
      </c>
      <c r="K144">
        <f>ROUND(SUMIF(Councils!$C$6:$C$809,$A144,Councils!$T$6:$T$809)*0.7,0)</f>
        <v>1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1</v>
      </c>
    </row>
    <row r="145" spans="1:14">
      <c r="A145" s="67">
        <v>169</v>
      </c>
      <c r="B145" s="80">
        <f>IF(ISNA(VLOOKUP($A145,DD_Info!$A$1:$E$222,5,0)),0,VLOOKUP($A145,DD_Info!$A$1:$E$222,5,0))</f>
        <v>3</v>
      </c>
      <c r="C145" t="str">
        <f>IF(ISNA(VLOOKUP($A145,DD_Info!$A$1:$E$222,2,0)),0,VLOOKUP($A145,DD_Info!$A$1:$E$222,2,0))</f>
        <v>Luis M Cadena</v>
      </c>
      <c r="D145" t="str">
        <f>IF(ISNA(VLOOKUP($A145,DD_Info!$A$1:$E$222,3,0)),0,VLOOKUP($A145,DD_Info!$A$1:$E$222,3,0))</f>
        <v>Corpus Christi</v>
      </c>
      <c r="E145">
        <f>ROUND(SUMIF(Councils!$C$6:$C$809,$A145,Councils!$E$6:$E$809),0)</f>
        <v>235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1</v>
      </c>
      <c r="I145">
        <f>ROUND(SUMIF(Councils!$C$6:$C$809,$A145,Councils!$R$6:$R$809)*0.7,0)</f>
        <v>-1</v>
      </c>
      <c r="J145">
        <f>ROUND(SUMIF(Councils!$C$6:$C$809,$A145,Councils!$S$6:$S$809)*0.7,0)</f>
        <v>0</v>
      </c>
      <c r="K145">
        <f>ROUND(SUMIF(Councils!$C$6:$C$809,$A145,Councils!$T$6:$T$809)*0.7,0)</f>
        <v>1</v>
      </c>
      <c r="L145">
        <f>ROUND(SUMIF(Councils!$C$6:$C$809,$A145,Councils!$U$6:$U$809)*0.7,0)</f>
        <v>-1</v>
      </c>
      <c r="M145" s="63">
        <f t="shared" si="4"/>
        <v>0</v>
      </c>
      <c r="N145">
        <f t="shared" si="5"/>
        <v>1</v>
      </c>
    </row>
    <row r="146" spans="1:14">
      <c r="A146" s="67">
        <v>170</v>
      </c>
      <c r="B146" s="80">
        <f>IF(ISNA(VLOOKUP($A146,DD_Info!$A$1:$E$222,5,0)),0,VLOOKUP($A146,DD_Info!$A$1:$E$222,5,0))</f>
        <v>3</v>
      </c>
      <c r="C146" t="str">
        <f>IF(ISNA(VLOOKUP($A146,DD_Info!$A$1:$E$222,2,0)),0,VLOOKUP($A146,DD_Info!$A$1:$E$222,2,0))</f>
        <v>Alfredo  Torres</v>
      </c>
      <c r="D146" t="str">
        <f>IF(ISNA(VLOOKUP($A146,DD_Info!$A$1:$E$222,3,0)),0,VLOOKUP($A146,DD_Info!$A$1:$E$222,3,0))</f>
        <v>Corpus Christi</v>
      </c>
      <c r="E146">
        <f>ROUND(SUMIF(Councils!$C$6:$C$809,$A146,Councils!$E$6:$E$809),0)</f>
        <v>275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1</v>
      </c>
      <c r="I146">
        <f>ROUND(SUMIF(Councils!$C$6:$C$809,$A146,Councils!$R$6:$R$809)*0.7,0)</f>
        <v>-1</v>
      </c>
      <c r="J146">
        <f>ROUND(SUMIF(Councils!$C$6:$C$809,$A146,Councils!$S$6:$S$809)*0.7,0)</f>
        <v>0</v>
      </c>
      <c r="K146">
        <f>ROUND(SUMIF(Councils!$C$6:$C$809,$A146,Councils!$T$6:$T$809)*0.7,0)</f>
        <v>1</v>
      </c>
      <c r="L146">
        <f>ROUND(SUMIF(Councils!$C$6:$C$809,$A146,Councils!$U$6:$U$809)*0.7,0)</f>
        <v>-1</v>
      </c>
      <c r="M146" s="63">
        <f t="shared" si="4"/>
        <v>0</v>
      </c>
      <c r="N146">
        <f t="shared" si="5"/>
        <v>1</v>
      </c>
    </row>
    <row r="147" spans="1:14">
      <c r="A147" s="67">
        <v>171</v>
      </c>
      <c r="B147" s="80">
        <f>IF(ISNA(VLOOKUP($A147,DD_Info!$A$1:$E$222,5,0)),0,VLOOKUP($A147,DD_Info!$A$1:$E$222,5,0))</f>
        <v>2</v>
      </c>
      <c r="C147" t="str">
        <f>IF(ISNA(VLOOKUP($A147,DD_Info!$A$1:$E$222,2,0)),0,VLOOKUP($A147,DD_Info!$A$1:$E$222,2,0))</f>
        <v>William G Archambeault</v>
      </c>
      <c r="D147" t="str">
        <f>IF(ISNA(VLOOKUP($A147,DD_Info!$A$1:$E$222,3,0)),0,VLOOKUP($A147,DD_Info!$A$1:$E$222,3,0))</f>
        <v>Corpus Christi</v>
      </c>
      <c r="E147">
        <f>ROUND(SUMIF(Councils!$C$6:$C$809,$A147,Councils!$E$6:$E$809),0)</f>
        <v>444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1</v>
      </c>
      <c r="I147">
        <f>ROUND(SUMIF(Councils!$C$6:$C$809,$A147,Councils!$R$6:$R$809)*0.7,0)</f>
        <v>-1</v>
      </c>
      <c r="J147">
        <f>ROUND(SUMIF(Councils!$C$6:$C$809,$A147,Councils!$S$6:$S$809)*0.7,0)</f>
        <v>1</v>
      </c>
      <c r="K147">
        <f>ROUND(SUMIF(Councils!$C$6:$C$809,$A147,Councils!$T$6:$T$809)*0.7,0)</f>
        <v>3</v>
      </c>
      <c r="L147">
        <f>ROUND(SUMIF(Councils!$C$6:$C$809,$A147,Councils!$U$6:$U$809)*0.7,0)</f>
        <v>-1</v>
      </c>
      <c r="M147" s="63">
        <f t="shared" si="4"/>
        <v>0</v>
      </c>
      <c r="N147">
        <f t="shared" si="5"/>
        <v>1</v>
      </c>
    </row>
    <row r="148" spans="1:14">
      <c r="A148" s="67">
        <v>172</v>
      </c>
      <c r="B148" s="80">
        <f>IF(ISNA(VLOOKUP($A148,DD_Info!$A$1:$E$222,5,0)),0,VLOOKUP($A148,DD_Info!$A$1:$E$222,5,0))</f>
        <v>2</v>
      </c>
      <c r="C148" t="str">
        <f>IF(ISNA(VLOOKUP($A148,DD_Info!$A$1:$E$222,2,0)),0,VLOOKUP($A148,DD_Info!$A$1:$E$222,2,0))</f>
        <v>TO BE APPOINTED</v>
      </c>
      <c r="D148" t="str">
        <f>IF(ISNA(VLOOKUP($A148,DD_Info!$A$1:$E$222,3,0)),0,VLOOKUP($A148,DD_Info!$A$1:$E$222,3,0))</f>
        <v>Corpus Christi</v>
      </c>
      <c r="E148">
        <f>ROUND(SUMIF(Councils!$C$6:$C$809,$A148,Councils!$E$6:$E$809),0)</f>
        <v>472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1</v>
      </c>
      <c r="I148">
        <f>ROUND(SUMIF(Councils!$C$6:$C$809,$A148,Councils!$R$6:$R$809)*0.7,0)</f>
        <v>-1</v>
      </c>
      <c r="J148">
        <f>ROUND(SUMIF(Councils!$C$6:$C$809,$A148,Councils!$S$6:$S$809)*0.7,0)</f>
        <v>0</v>
      </c>
      <c r="K148">
        <f>ROUND(SUMIF(Councils!$C$6:$C$809,$A148,Councils!$T$6:$T$809)*0.7,0)</f>
        <v>1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</v>
      </c>
    </row>
    <row r="149" spans="1:14">
      <c r="A149" s="67">
        <v>173</v>
      </c>
      <c r="B149" s="80">
        <f>IF(ISNA(VLOOKUP($A149,DD_Info!$A$1:$E$222,5,0)),0,VLOOKUP($A149,DD_Info!$A$1:$E$222,5,0))</f>
        <v>2</v>
      </c>
      <c r="C149" t="str">
        <f>IF(ISNA(VLOOKUP($A149,DD_Info!$A$1:$E$222,2,0)),0,VLOOKUP($A149,DD_Info!$A$1:$E$222,2,0))</f>
        <v>Pedro  Gonzalez</v>
      </c>
      <c r="D149" t="str">
        <f>IF(ISNA(VLOOKUP($A149,DD_Info!$A$1:$E$222,3,0)),0,VLOOKUP($A149,DD_Info!$A$1:$E$222,3,0))</f>
        <v>Corpus Christi</v>
      </c>
      <c r="E149">
        <f>ROUND(SUMIF(Councils!$C$6:$C$809,$A149,Councils!$E$6:$E$809),0)</f>
        <v>505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1</v>
      </c>
      <c r="I149">
        <f>ROUND(SUMIF(Councils!$C$6:$C$809,$A149,Councils!$R$6:$R$809)*0.7,0)</f>
        <v>-1</v>
      </c>
      <c r="J149">
        <f>ROUND(SUMIF(Councils!$C$6:$C$809,$A149,Councils!$S$6:$S$809)*0.7,0)</f>
        <v>1</v>
      </c>
      <c r="K149">
        <f>ROUND(SUMIF(Councils!$C$6:$C$809,$A149,Councils!$T$6:$T$809)*0.7,0)</f>
        <v>1</v>
      </c>
      <c r="L149">
        <f>ROUND(SUMIF(Councils!$C$6:$C$809,$A149,Councils!$U$6:$U$809)*0.7,0)</f>
        <v>-1</v>
      </c>
      <c r="M149" s="63">
        <f t="shared" si="4"/>
        <v>0</v>
      </c>
      <c r="N149">
        <f t="shared" si="5"/>
        <v>1</v>
      </c>
    </row>
    <row r="150" spans="1:14">
      <c r="A150" s="67">
        <v>174</v>
      </c>
      <c r="B150" s="80">
        <f>IF(ISNA(VLOOKUP($A150,DD_Info!$A$1:$E$222,5,0)),0,VLOOKUP($A150,DD_Info!$A$1:$E$222,5,0))</f>
        <v>3</v>
      </c>
      <c r="C150" t="str">
        <f>IF(ISNA(VLOOKUP($A150,DD_Info!$A$1:$E$222,2,0)),0,VLOOKUP($A150,DD_Info!$A$1:$E$222,2,0))</f>
        <v>Christopher  Hernandez</v>
      </c>
      <c r="D150" t="str">
        <f>IF(ISNA(VLOOKUP($A150,DD_Info!$A$1:$E$222,3,0)),0,VLOOKUP($A150,DD_Info!$A$1:$E$222,3,0))</f>
        <v>Corpus Christi</v>
      </c>
      <c r="E150">
        <f>ROUND(SUMIF(Councils!$C$6:$C$809,$A150,Councils!$E$6:$E$809),0)</f>
        <v>281</v>
      </c>
      <c r="F150">
        <f>ROUND(SUMIF(Councils!$C$6:$C$809,$A150,Councils!$O$6:$O$809)*0.7,0)</f>
        <v>0</v>
      </c>
      <c r="G150">
        <f>ROUND(SUMIF(Councils!$C$6:$C$809,$A150,Councils!$P$6:$P$809)*0.7,0)</f>
        <v>0</v>
      </c>
      <c r="H150">
        <f>ROUND(SUMIF(Councils!$C$6:$C$809,$A150,Councils!$Q$6:$Q$809)*0.7,0)</f>
        <v>0</v>
      </c>
      <c r="I150">
        <f>ROUND(SUMIF(Councils!$C$6:$C$809,$A150,Councils!$R$6:$R$809)*0.7,0)</f>
        <v>0</v>
      </c>
      <c r="J150">
        <f>ROUND(SUMIF(Councils!$C$6:$C$809,$A150,Councils!$S$6:$S$809)*0.7,0)</f>
        <v>0</v>
      </c>
      <c r="K150">
        <f>ROUND(SUMIF(Councils!$C$6:$C$809,$A150,Councils!$T$6:$T$809)*0.7,0)</f>
        <v>1</v>
      </c>
      <c r="L150">
        <f>ROUND(SUMIF(Councils!$C$6:$C$809,$A150,Councils!$U$6:$U$809)*0.7,0)</f>
        <v>-1</v>
      </c>
      <c r="M150" s="63">
        <f t="shared" si="4"/>
        <v>0</v>
      </c>
      <c r="N150">
        <f t="shared" si="5"/>
        <v>1</v>
      </c>
    </row>
    <row r="151" spans="1:14">
      <c r="A151" s="67">
        <v>175</v>
      </c>
      <c r="B151" s="80">
        <f>IF(ISNA(VLOOKUP($A151,DD_Info!$A$1:$E$222,5,0)),0,VLOOKUP($A151,DD_Info!$A$1:$E$222,5,0))</f>
        <v>3</v>
      </c>
      <c r="C151" t="str">
        <f>IF(ISNA(VLOOKUP($A151,DD_Info!$A$1:$E$222,2,0)),0,VLOOKUP($A151,DD_Info!$A$1:$E$222,2,0))</f>
        <v>Abel  Gutierrez</v>
      </c>
      <c r="D151" t="str">
        <f>IF(ISNA(VLOOKUP($A151,DD_Info!$A$1:$E$222,3,0)),0,VLOOKUP($A151,DD_Info!$A$1:$E$222,3,0))</f>
        <v>Corpus Christi</v>
      </c>
      <c r="E151">
        <f>ROUND(SUMIF(Councils!$C$6:$C$809,$A151,Councils!$E$6:$E$809),0)</f>
        <v>225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1</v>
      </c>
      <c r="L151">
        <f>ROUND(SUMIF(Councils!$C$6:$C$809,$A151,Councils!$U$6:$U$809)*0.7,0)</f>
        <v>-1</v>
      </c>
      <c r="M151" s="63">
        <f t="shared" si="4"/>
        <v>0</v>
      </c>
      <c r="N151">
        <f t="shared" si="5"/>
        <v>1</v>
      </c>
    </row>
    <row r="152" spans="1:14">
      <c r="A152" s="67">
        <v>176</v>
      </c>
      <c r="B152" s="80">
        <f>IF(ISNA(VLOOKUP($A152,DD_Info!$A$1:$E$222,5,0)),0,VLOOKUP($A152,DD_Info!$A$1:$E$222,5,0))</f>
        <v>3</v>
      </c>
      <c r="C152" t="str">
        <f>IF(ISNA(VLOOKUP($A152,DD_Info!$A$1:$E$222,2,0)),0,VLOOKUP($A152,DD_Info!$A$1:$E$222,2,0))</f>
        <v>Gilbert  Perez Sr</v>
      </c>
      <c r="D152" t="str">
        <f>IF(ISNA(VLOOKUP($A152,DD_Info!$A$1:$E$222,3,0)),0,VLOOKUP($A152,DD_Info!$A$1:$E$222,3,0))</f>
        <v>Corpus Christi</v>
      </c>
      <c r="E152">
        <f>ROUND(SUMIF(Councils!$C$6:$C$809,$A152,Councils!$E$6:$E$809),0)</f>
        <v>258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</v>
      </c>
    </row>
    <row r="153" spans="1:14">
      <c r="A153" s="67">
        <v>177</v>
      </c>
      <c r="B153" s="80">
        <f>IF(ISNA(VLOOKUP($A153,DD_Info!$A$1:$E$222,5,0)),0,VLOOKUP($A153,DD_Info!$A$1:$E$222,5,0))</f>
        <v>2</v>
      </c>
      <c r="C153" t="str">
        <f>IF(ISNA(VLOOKUP($A153,DD_Info!$A$1:$E$222,2,0)),0,VLOOKUP($A153,DD_Info!$A$1:$E$222,2,0))</f>
        <v>Juan M Hernandez</v>
      </c>
      <c r="D153" t="str">
        <f>IF(ISNA(VLOOKUP($A153,DD_Info!$A$1:$E$222,3,0)),0,VLOOKUP($A153,DD_Info!$A$1:$E$222,3,0))</f>
        <v>Corpus Christi</v>
      </c>
      <c r="E153">
        <f>ROUND(SUMIF(Councils!$C$6:$C$809,$A153,Councils!$E$6:$E$809),0)</f>
        <v>379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1</v>
      </c>
      <c r="I153">
        <f>ROUND(SUMIF(Councils!$C$6:$C$809,$A153,Councils!$R$6:$R$809)*0.7,0)</f>
        <v>-1</v>
      </c>
      <c r="J153">
        <f>ROUND(SUMIF(Councils!$C$6:$C$809,$A153,Councils!$S$6:$S$809)*0.7,0)</f>
        <v>0</v>
      </c>
      <c r="K153">
        <f>ROUND(SUMIF(Councils!$C$6:$C$809,$A153,Councils!$T$6:$T$809)*0.7,0)</f>
        <v>2</v>
      </c>
      <c r="L153">
        <f>ROUND(SUMIF(Councils!$C$6:$C$809,$A153,Councils!$U$6:$U$809)*0.7,0)</f>
        <v>-2</v>
      </c>
      <c r="M153" s="63">
        <f t="shared" si="4"/>
        <v>0</v>
      </c>
      <c r="N153">
        <f t="shared" si="5"/>
        <v>1</v>
      </c>
    </row>
    <row r="154" spans="1:14">
      <c r="A154" s="67">
        <v>178</v>
      </c>
      <c r="B154" s="80">
        <f>IF(ISNA(VLOOKUP($A154,DD_Info!$A$1:$E$222,5,0)),0,VLOOKUP($A154,DD_Info!$A$1:$E$222,5,0))</f>
        <v>3</v>
      </c>
      <c r="C154" t="str">
        <f>IF(ISNA(VLOOKUP($A154,DD_Info!$A$1:$E$222,2,0)),0,VLOOKUP($A154,DD_Info!$A$1:$E$222,2,0))</f>
        <v>Ervey  Martinez</v>
      </c>
      <c r="D154" t="str">
        <f>IF(ISNA(VLOOKUP($A154,DD_Info!$A$1:$E$222,3,0)),0,VLOOKUP($A154,DD_Info!$A$1:$E$222,3,0))</f>
        <v>Corpus Christi</v>
      </c>
      <c r="E154">
        <f>ROUND(SUMIF(Councils!$C$6:$C$809,$A154,Councils!$E$6:$E$809),0)</f>
        <v>287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1</v>
      </c>
      <c r="I154">
        <f>ROUND(SUMIF(Councils!$C$6:$C$809,$A154,Councils!$R$6:$R$809)*0.7,0)</f>
        <v>-1</v>
      </c>
      <c r="J154">
        <f>ROUND(SUMIF(Councils!$C$6:$C$809,$A154,Councils!$S$6:$S$809)*0.7,0)</f>
        <v>0</v>
      </c>
      <c r="K154">
        <f>ROUND(SUMIF(Councils!$C$6:$C$809,$A154,Councils!$T$6:$T$809)*0.7,0)</f>
        <v>1</v>
      </c>
      <c r="L154">
        <f>ROUND(SUMIF(Councils!$C$6:$C$809,$A154,Councils!$U$6:$U$809)*0.7,0)</f>
        <v>-1</v>
      </c>
      <c r="M154" s="63">
        <f t="shared" si="4"/>
        <v>0</v>
      </c>
      <c r="N154">
        <f t="shared" si="5"/>
        <v>1</v>
      </c>
    </row>
    <row r="155" spans="1:14">
      <c r="A155" s="67">
        <v>179</v>
      </c>
      <c r="B155" s="80">
        <f>IF(ISNA(VLOOKUP($A155,DD_Info!$A$1:$E$222,5,0)),0,VLOOKUP($A155,DD_Info!$A$1:$E$222,5,0))</f>
        <v>2</v>
      </c>
      <c r="C155" t="str">
        <f>IF(ISNA(VLOOKUP($A155,DD_Info!$A$1:$E$222,2,0)),0,VLOOKUP($A155,DD_Info!$A$1:$E$222,2,0))</f>
        <v>Jesse Q Garcia</v>
      </c>
      <c r="D155" t="str">
        <f>IF(ISNA(VLOOKUP($A155,DD_Info!$A$1:$E$222,3,0)),0,VLOOKUP($A155,DD_Info!$A$1:$E$222,3,0))</f>
        <v>Corpus Christi</v>
      </c>
      <c r="E155">
        <f>ROUND(SUMIF(Councils!$C$6:$C$809,$A155,Councils!$E$6:$E$809),0)</f>
        <v>318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1</v>
      </c>
      <c r="I155">
        <f>ROUND(SUMIF(Councils!$C$6:$C$809,$A155,Councils!$R$6:$R$809)*0.7,0)</f>
        <v>-1</v>
      </c>
      <c r="J155">
        <f>ROUND(SUMIF(Councils!$C$6:$C$809,$A155,Councils!$S$6:$S$809)*0.7,0)</f>
        <v>0</v>
      </c>
      <c r="K155">
        <f>ROUND(SUMIF(Councils!$C$6:$C$809,$A155,Councils!$T$6:$T$809)*0.7,0)</f>
        <v>1</v>
      </c>
      <c r="L155">
        <f>ROUND(SUMIF(Councils!$C$6:$C$809,$A155,Councils!$U$6:$U$809)*0.7,0)</f>
        <v>-1</v>
      </c>
      <c r="M155" s="63">
        <f t="shared" si="4"/>
        <v>0</v>
      </c>
      <c r="N155">
        <f t="shared" si="5"/>
        <v>1</v>
      </c>
    </row>
    <row r="156" spans="1:14">
      <c r="A156" s="67">
        <v>180</v>
      </c>
      <c r="B156" s="80">
        <f>IF(ISNA(VLOOKUP($A156,DD_Info!$A$1:$E$222,5,0)),0,VLOOKUP($A156,DD_Info!$A$1:$E$222,5,0))</f>
        <v>3</v>
      </c>
      <c r="C156" t="str">
        <f>IF(ISNA(VLOOKUP($A156,DD_Info!$A$1:$E$222,2,0)),0,VLOOKUP($A156,DD_Info!$A$1:$E$222,2,0))</f>
        <v>Rudy  Ortiz</v>
      </c>
      <c r="D156" t="str">
        <f>IF(ISNA(VLOOKUP($A156,DD_Info!$A$1:$E$222,3,0)),0,VLOOKUP($A156,DD_Info!$A$1:$E$222,3,0))</f>
        <v>Corpus Christi</v>
      </c>
      <c r="E156">
        <f>ROUND(SUMIF(Councils!$C$6:$C$809,$A156,Councils!$E$6:$E$809),0)</f>
        <v>170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1</v>
      </c>
    </row>
    <row r="157" spans="1:14">
      <c r="A157" s="67">
        <v>186</v>
      </c>
      <c r="B157" s="80">
        <f>IF(ISNA(VLOOKUP($A157,DD_Info!$A$1:$E$222,5,0)),0,VLOOKUP($A157,DD_Info!$A$1:$E$222,5,0))</f>
        <v>2</v>
      </c>
      <c r="C157" t="str">
        <f>IF(ISNA(VLOOKUP($A157,DD_Info!$A$1:$E$222,2,0)),0,VLOOKUP($A157,DD_Info!$A$1:$E$222,2,0))</f>
        <v>Robert  Landry</v>
      </c>
      <c r="D157" t="str">
        <f>IF(ISNA(VLOOKUP($A157,DD_Info!$A$1:$E$222,3,0)),0,VLOOKUP($A157,DD_Info!$A$1:$E$222,3,0))</f>
        <v>Victoria</v>
      </c>
      <c r="E157">
        <f>ROUND(SUMIF(Councils!$C$6:$C$809,$A157,Councils!$E$6:$E$809),0)</f>
        <v>510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1</v>
      </c>
      <c r="I157">
        <f>ROUND(SUMIF(Councils!$C$6:$C$809,$A157,Councils!$R$6:$R$809)*0.7,0)</f>
        <v>-1</v>
      </c>
      <c r="J157">
        <f>ROUND(SUMIF(Councils!$C$6:$C$809,$A157,Councils!$S$6:$S$809)*0.7,0)</f>
        <v>3</v>
      </c>
      <c r="K157">
        <f>ROUND(SUMIF(Councils!$C$6:$C$809,$A157,Councils!$T$6:$T$809)*0.7,0)</f>
        <v>2</v>
      </c>
      <c r="L157">
        <f>ROUND(SUMIF(Councils!$C$6:$C$809,$A157,Councils!$U$6:$U$809)*0.7,0)</f>
        <v>1</v>
      </c>
      <c r="M157" s="63">
        <f t="shared" si="4"/>
        <v>0</v>
      </c>
      <c r="N157">
        <f t="shared" si="5"/>
        <v>1</v>
      </c>
    </row>
    <row r="158" spans="1:14">
      <c r="A158" s="67">
        <v>187</v>
      </c>
      <c r="B158" s="80">
        <f>IF(ISNA(VLOOKUP($A158,DD_Info!$A$1:$E$222,5,0)),0,VLOOKUP($A158,DD_Info!$A$1:$E$222,5,0))</f>
        <v>2</v>
      </c>
      <c r="C158" t="str">
        <f>IF(ISNA(VLOOKUP($A158,DD_Info!$A$1:$E$222,2,0)),0,VLOOKUP($A158,DD_Info!$A$1:$E$222,2,0))</f>
        <v>Harry A Isenberger</v>
      </c>
      <c r="D158" t="str">
        <f>IF(ISNA(VLOOKUP($A158,DD_Info!$A$1:$E$222,3,0)),0,VLOOKUP($A158,DD_Info!$A$1:$E$222,3,0))</f>
        <v>Victoria</v>
      </c>
      <c r="E158">
        <f>ROUND(SUMIF(Councils!$C$6:$C$809,$A158,Councils!$E$6:$E$809),0)</f>
        <v>369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1</v>
      </c>
      <c r="K158">
        <f>ROUND(SUMIF(Councils!$C$6:$C$809,$A158,Councils!$T$6:$T$809)*0.7,0)</f>
        <v>0</v>
      </c>
      <c r="L158">
        <f>ROUND(SUMIF(Councils!$C$6:$C$809,$A158,Councils!$U$6:$U$809)*0.7,0)</f>
        <v>1</v>
      </c>
      <c r="M158" s="63">
        <f t="shared" si="4"/>
        <v>0</v>
      </c>
      <c r="N158">
        <f t="shared" si="5"/>
        <v>1</v>
      </c>
    </row>
    <row r="159" spans="1:14">
      <c r="A159" s="67">
        <v>188</v>
      </c>
      <c r="B159" s="80">
        <f>IF(ISNA(VLOOKUP($A159,DD_Info!$A$1:$E$222,5,0)),0,VLOOKUP($A159,DD_Info!$A$1:$E$222,5,0))</f>
        <v>1</v>
      </c>
      <c r="C159" t="str">
        <f>IF(ISNA(VLOOKUP($A159,DD_Info!$A$1:$E$222,2,0)),0,VLOOKUP($A159,DD_Info!$A$1:$E$222,2,0))</f>
        <v>James A Kocurek</v>
      </c>
      <c r="D159" t="str">
        <f>IF(ISNA(VLOOKUP($A159,DD_Info!$A$1:$E$222,3,0)),0,VLOOKUP($A159,DD_Info!$A$1:$E$222,3,0))</f>
        <v>Victoria</v>
      </c>
      <c r="E159">
        <f>ROUND(SUMIF(Councils!$C$6:$C$809,$A159,Councils!$E$6:$E$809),0)</f>
        <v>1069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4</v>
      </c>
      <c r="I159">
        <f>ROUND(SUMIF(Councils!$C$6:$C$809,$A159,Councils!$R$6:$R$809)*0.7,0)</f>
        <v>-4</v>
      </c>
      <c r="J159">
        <f>ROUND(SUMIF(Councils!$C$6:$C$809,$A159,Councils!$S$6:$S$809)*0.7,0)</f>
        <v>2</v>
      </c>
      <c r="K159">
        <f>ROUND(SUMIF(Councils!$C$6:$C$809,$A159,Councils!$T$6:$T$809)*0.7,0)</f>
        <v>5</v>
      </c>
      <c r="L159">
        <f>ROUND(SUMIF(Councils!$C$6:$C$809,$A159,Councils!$U$6:$U$809)*0.7,0)</f>
        <v>-3</v>
      </c>
      <c r="M159" s="63">
        <f t="shared" si="4"/>
        <v>0</v>
      </c>
      <c r="N159">
        <f t="shared" si="5"/>
        <v>1</v>
      </c>
    </row>
    <row r="160" spans="1:14">
      <c r="A160" s="67">
        <v>189</v>
      </c>
      <c r="B160" s="80">
        <f>IF(ISNA(VLOOKUP($A160,DD_Info!$A$1:$E$222,5,0)),0,VLOOKUP($A160,DD_Info!$A$1:$E$222,5,0))</f>
        <v>1</v>
      </c>
      <c r="C160" t="str">
        <f>IF(ISNA(VLOOKUP($A160,DD_Info!$A$1:$E$222,2,0)),0,VLOOKUP($A160,DD_Info!$A$1:$E$222,2,0))</f>
        <v>Jeff  Popp</v>
      </c>
      <c r="D160" t="str">
        <f>IF(ISNA(VLOOKUP($A160,DD_Info!$A$1:$E$222,3,0)),0,VLOOKUP($A160,DD_Info!$A$1:$E$222,3,0))</f>
        <v>Victoria</v>
      </c>
      <c r="E160">
        <f>ROUND(SUMIF(Councils!$C$6:$C$809,$A160,Councils!$E$6:$E$809),0)</f>
        <v>796</v>
      </c>
      <c r="F160">
        <f>ROUND(SUMIF(Councils!$C$6:$C$809,$A160,Councils!$O$6:$O$809)*0.7,0)</f>
        <v>0</v>
      </c>
      <c r="G160">
        <f>ROUND(SUMIF(Councils!$C$6:$C$809,$A160,Councils!$P$6:$P$809)*0.7,0)</f>
        <v>1</v>
      </c>
      <c r="H160">
        <f>ROUND(SUMIF(Councils!$C$6:$C$809,$A160,Councils!$Q$6:$Q$809)*0.7,0)</f>
        <v>1</v>
      </c>
      <c r="I160">
        <f>ROUND(SUMIF(Councils!$C$6:$C$809,$A160,Councils!$R$6:$R$809)*0.7,0)</f>
        <v>-1</v>
      </c>
      <c r="J160">
        <f>ROUND(SUMIF(Councils!$C$6:$C$809,$A160,Councils!$S$6:$S$809)*0.7,0)</f>
        <v>2</v>
      </c>
      <c r="K160">
        <f>ROUND(SUMIF(Councils!$C$6:$C$809,$A160,Councils!$T$6:$T$809)*0.7,0)</f>
        <v>4</v>
      </c>
      <c r="L160">
        <f>ROUND(SUMIF(Councils!$C$6:$C$809,$A160,Councils!$U$6:$U$809)*0.7,0)</f>
        <v>-1</v>
      </c>
      <c r="M160" s="63">
        <f t="shared" si="4"/>
        <v>0</v>
      </c>
      <c r="N160">
        <f t="shared" si="5"/>
        <v>1</v>
      </c>
    </row>
    <row r="161" spans="1:14">
      <c r="A161" s="67">
        <v>190</v>
      </c>
      <c r="B161" s="80">
        <f>IF(ISNA(VLOOKUP($A161,DD_Info!$A$1:$E$222,5,0)),0,VLOOKUP($A161,DD_Info!$A$1:$E$222,5,0))</f>
        <v>1</v>
      </c>
      <c r="C161" t="str">
        <f>IF(ISNA(VLOOKUP($A161,DD_Info!$A$1:$E$222,2,0)),0,VLOOKUP($A161,DD_Info!$A$1:$E$222,2,0))</f>
        <v>William  Schuette</v>
      </c>
      <c r="D161" t="str">
        <f>IF(ISNA(VLOOKUP($A161,DD_Info!$A$1:$E$222,3,0)),0,VLOOKUP($A161,DD_Info!$A$1:$E$222,3,0))</f>
        <v>Victoria</v>
      </c>
      <c r="E161">
        <f>ROUND(SUMIF(Councils!$C$6:$C$809,$A161,Councils!$E$6:$E$809),0)</f>
        <v>841</v>
      </c>
      <c r="F161">
        <f>ROUND(SUMIF(Councils!$C$6:$C$809,$A161,Councils!$O$6:$O$809)*0.7,0)</f>
        <v>0</v>
      </c>
      <c r="G161">
        <f>ROUND(SUMIF(Councils!$C$6:$C$809,$A161,Councils!$P$6:$P$809)*0.7,0)</f>
        <v>1</v>
      </c>
      <c r="H161">
        <f>ROUND(SUMIF(Councils!$C$6:$C$809,$A161,Councils!$Q$6:$Q$809)*0.7,0)</f>
        <v>1</v>
      </c>
      <c r="I161">
        <f>ROUND(SUMIF(Councils!$C$6:$C$809,$A161,Councils!$R$6:$R$809)*0.7,0)</f>
        <v>0</v>
      </c>
      <c r="J161">
        <f>ROUND(SUMIF(Councils!$C$6:$C$809,$A161,Councils!$S$6:$S$809)*0.7,0)</f>
        <v>4</v>
      </c>
      <c r="K161">
        <f>ROUND(SUMIF(Councils!$C$6:$C$809,$A161,Councils!$T$6:$T$809)*0.7,0)</f>
        <v>2</v>
      </c>
      <c r="L161">
        <f>ROUND(SUMIF(Councils!$C$6:$C$809,$A161,Councils!$U$6:$U$809)*0.7,0)</f>
        <v>1</v>
      </c>
      <c r="M161" s="63">
        <f t="shared" si="4"/>
        <v>0</v>
      </c>
      <c r="N161">
        <f t="shared" si="5"/>
        <v>1</v>
      </c>
    </row>
    <row r="162" spans="1:14">
      <c r="A162" s="67">
        <v>191</v>
      </c>
      <c r="B162" s="80">
        <f>IF(ISNA(VLOOKUP($A162,DD_Info!$A$1:$E$222,5,0)),0,VLOOKUP($A162,DD_Info!$A$1:$E$222,5,0))</f>
        <v>1</v>
      </c>
      <c r="C162" t="str">
        <f>IF(ISNA(VLOOKUP($A162,DD_Info!$A$1:$E$222,2,0)),0,VLOOKUP($A162,DD_Info!$A$1:$E$222,2,0))</f>
        <v>Andrew  Pesek</v>
      </c>
      <c r="D162" t="str">
        <f>IF(ISNA(VLOOKUP($A162,DD_Info!$A$1:$E$222,3,0)),0,VLOOKUP($A162,DD_Info!$A$1:$E$222,3,0))</f>
        <v>Victoria</v>
      </c>
      <c r="E162">
        <f>ROUND(SUMIF(Councils!$C$6:$C$809,$A162,Councils!$E$6:$E$809),0)</f>
        <v>1302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1</v>
      </c>
      <c r="I162">
        <f>ROUND(SUMIF(Councils!$C$6:$C$809,$A162,Councils!$R$6:$R$809)*0.7,0)</f>
        <v>-1</v>
      </c>
      <c r="J162">
        <f>ROUND(SUMIF(Councils!$C$6:$C$809,$A162,Councils!$S$6:$S$809)*0.7,0)</f>
        <v>3</v>
      </c>
      <c r="K162">
        <f>ROUND(SUMIF(Councils!$C$6:$C$809,$A162,Councils!$T$6:$T$809)*0.7,0)</f>
        <v>4</v>
      </c>
      <c r="L162">
        <f>ROUND(SUMIF(Councils!$C$6:$C$809,$A162,Councils!$U$6:$U$809)*0.7,0)</f>
        <v>-1</v>
      </c>
      <c r="M162" s="63">
        <f t="shared" si="4"/>
        <v>0</v>
      </c>
      <c r="N162">
        <f t="shared" si="5"/>
        <v>1</v>
      </c>
    </row>
    <row r="163" spans="1:14">
      <c r="A163" s="67">
        <v>192</v>
      </c>
      <c r="B163" s="80">
        <f>IF(ISNA(VLOOKUP($A163,DD_Info!$A$1:$E$222,5,0)),0,VLOOKUP($A163,DD_Info!$A$1:$E$222,5,0))</f>
        <v>2</v>
      </c>
      <c r="C163" t="str">
        <f>IF(ISNA(VLOOKUP($A163,DD_Info!$A$1:$E$222,2,0)),0,VLOOKUP($A163,DD_Info!$A$1:$E$222,2,0))</f>
        <v>Lukas F Janak Jr</v>
      </c>
      <c r="D163" t="str">
        <f>IF(ISNA(VLOOKUP($A163,DD_Info!$A$1:$E$222,3,0)),0,VLOOKUP($A163,DD_Info!$A$1:$E$222,3,0))</f>
        <v>Victoria</v>
      </c>
      <c r="E163">
        <f>ROUND(SUMIF(Councils!$C$6:$C$809,$A163,Councils!$E$6:$E$809),0)</f>
        <v>524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2</v>
      </c>
      <c r="L163">
        <f>ROUND(SUMIF(Councils!$C$6:$C$809,$A163,Councils!$U$6:$U$809)*0.7,0)</f>
        <v>-1</v>
      </c>
      <c r="M163" s="63">
        <f t="shared" si="4"/>
        <v>0</v>
      </c>
      <c r="N163">
        <f t="shared" si="5"/>
        <v>1</v>
      </c>
    </row>
    <row r="164" spans="1:14">
      <c r="A164" s="67">
        <v>193</v>
      </c>
      <c r="B164" s="80">
        <f>IF(ISNA(VLOOKUP($A164,DD_Info!$A$1:$E$222,5,0)),0,VLOOKUP($A164,DD_Info!$A$1:$E$222,5,0))</f>
        <v>1</v>
      </c>
      <c r="C164" t="str">
        <f>IF(ISNA(VLOOKUP($A164,DD_Info!$A$1:$E$222,2,0)),0,VLOOKUP($A164,DD_Info!$A$1:$E$222,2,0))</f>
        <v>Manuel  Gonzales III</v>
      </c>
      <c r="D164" t="str">
        <f>IF(ISNA(VLOOKUP($A164,DD_Info!$A$1:$E$222,3,0)),0,VLOOKUP($A164,DD_Info!$A$1:$E$222,3,0))</f>
        <v>Victoria</v>
      </c>
      <c r="E164">
        <f>ROUND(SUMIF(Councils!$C$6:$C$809,$A164,Councils!$E$6:$E$809),0)</f>
        <v>1215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2</v>
      </c>
      <c r="I164">
        <f>ROUND(SUMIF(Councils!$C$6:$C$809,$A164,Councils!$R$6:$R$809)*0.7,0)</f>
        <v>-2</v>
      </c>
      <c r="J164">
        <f>ROUND(SUMIF(Councils!$C$6:$C$809,$A164,Councils!$S$6:$S$809)*0.7,0)</f>
        <v>4</v>
      </c>
      <c r="K164">
        <f>ROUND(SUMIF(Councils!$C$6:$C$809,$A164,Councils!$T$6:$T$809)*0.7,0)</f>
        <v>6</v>
      </c>
      <c r="L164">
        <f>ROUND(SUMIF(Councils!$C$6:$C$809,$A164,Councils!$U$6:$U$809)*0.7,0)</f>
        <v>-2</v>
      </c>
      <c r="M164" s="63">
        <f t="shared" si="4"/>
        <v>0</v>
      </c>
      <c r="N164">
        <f t="shared" si="5"/>
        <v>1</v>
      </c>
    </row>
    <row r="165" spans="1:14">
      <c r="A165" s="67">
        <v>196</v>
      </c>
      <c r="B165" s="80">
        <f>IF(ISNA(VLOOKUP($A165,DD_Info!$A$1:$E$222,5,0)),0,VLOOKUP($A165,DD_Info!$A$1:$E$222,5,0))</f>
        <v>1</v>
      </c>
      <c r="C165" t="str">
        <f>IF(ISNA(VLOOKUP($A165,DD_Info!$A$1:$E$222,2,0)),0,VLOOKUP($A165,DD_Info!$A$1:$E$222,2,0))</f>
        <v>Ron  Railsback</v>
      </c>
      <c r="D165" t="str">
        <f>IF(ISNA(VLOOKUP($A165,DD_Info!$A$1:$E$222,3,0)),0,VLOOKUP($A165,DD_Info!$A$1:$E$222,3,0))</f>
        <v>Amarillo</v>
      </c>
      <c r="E165">
        <f>ROUND(SUMIF(Councils!$C$6:$C$809,$A165,Councils!$E$6:$E$809),0)</f>
        <v>585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1</v>
      </c>
      <c r="I165">
        <f>ROUND(SUMIF(Councils!$C$6:$C$809,$A165,Councils!$R$6:$R$809)*0.7,0)</f>
        <v>-1</v>
      </c>
      <c r="J165">
        <f>ROUND(SUMIF(Councils!$C$6:$C$809,$A165,Councils!$S$6:$S$809)*0.7,0)</f>
        <v>1</v>
      </c>
      <c r="K165">
        <f>ROUND(SUMIF(Councils!$C$6:$C$809,$A165,Councils!$T$6:$T$809)*0.7,0)</f>
        <v>2</v>
      </c>
      <c r="L165">
        <f>ROUND(SUMIF(Councils!$C$6:$C$809,$A165,Councils!$U$6:$U$809)*0.7,0)</f>
        <v>-1</v>
      </c>
      <c r="M165" s="63">
        <f t="shared" si="4"/>
        <v>0</v>
      </c>
      <c r="N165">
        <f t="shared" si="5"/>
        <v>1</v>
      </c>
    </row>
    <row r="166" spans="1:14">
      <c r="A166" s="67">
        <v>197</v>
      </c>
      <c r="B166" s="80">
        <f>IF(ISNA(VLOOKUP($A166,DD_Info!$A$1:$E$222,5,0)),0,VLOOKUP($A166,DD_Info!$A$1:$E$222,5,0))</f>
        <v>3</v>
      </c>
      <c r="C166" t="str">
        <f>IF(ISNA(VLOOKUP($A166,DD_Info!$A$1:$E$222,2,0)),0,VLOOKUP($A166,DD_Info!$A$1:$E$222,2,0))</f>
        <v>James C Stark II</v>
      </c>
      <c r="D166" t="str">
        <f>IF(ISNA(VLOOKUP($A166,DD_Info!$A$1:$E$222,3,0)),0,VLOOKUP($A166,DD_Info!$A$1:$E$222,3,0))</f>
        <v>Amarillo</v>
      </c>
      <c r="E166">
        <f>ROUND(SUMIF(Councils!$C$6:$C$809,$A166,Councils!$E$6:$E$809),0)</f>
        <v>292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1</v>
      </c>
      <c r="L166">
        <f>ROUND(SUMIF(Councils!$C$6:$C$809,$A166,Councils!$U$6:$U$809)*0.7,0)</f>
        <v>-1</v>
      </c>
      <c r="M166" s="63">
        <f t="shared" si="4"/>
        <v>0</v>
      </c>
      <c r="N166">
        <f t="shared" si="5"/>
        <v>1</v>
      </c>
    </row>
    <row r="167" spans="1:14">
      <c r="A167" s="67">
        <v>198</v>
      </c>
      <c r="B167" s="80">
        <f>IF(ISNA(VLOOKUP($A167,DD_Info!$A$1:$E$222,5,0)),0,VLOOKUP($A167,DD_Info!$A$1:$E$222,5,0))</f>
        <v>2</v>
      </c>
      <c r="C167" t="str">
        <f>IF(ISNA(VLOOKUP($A167,DD_Info!$A$1:$E$222,2,0)),0,VLOOKUP($A167,DD_Info!$A$1:$E$222,2,0))</f>
        <v>Ignacio "Richard"  Romero</v>
      </c>
      <c r="D167" t="str">
        <f>IF(ISNA(VLOOKUP($A167,DD_Info!$A$1:$E$222,3,0)),0,VLOOKUP($A167,DD_Info!$A$1:$E$222,3,0))</f>
        <v>Amarillo</v>
      </c>
      <c r="E167">
        <f>ROUND(SUMIF(Councils!$C$6:$C$809,$A167,Councils!$E$6:$E$809),0)</f>
        <v>330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1</v>
      </c>
      <c r="K167">
        <f>ROUND(SUMIF(Councils!$C$6:$C$809,$A167,Councils!$T$6:$T$809)*0.7,0)</f>
        <v>4</v>
      </c>
      <c r="L167">
        <f>ROUND(SUMIF(Councils!$C$6:$C$809,$A167,Councils!$U$6:$U$809)*0.7,0)</f>
        <v>-3</v>
      </c>
      <c r="M167" s="63">
        <f t="shared" si="4"/>
        <v>0</v>
      </c>
      <c r="N167">
        <f t="shared" si="5"/>
        <v>1</v>
      </c>
    </row>
    <row r="168" spans="1:14">
      <c r="A168" s="67">
        <v>199</v>
      </c>
      <c r="B168" s="80">
        <f>IF(ISNA(VLOOKUP($A168,DD_Info!$A$1:$E$222,5,0)),0,VLOOKUP($A168,DD_Info!$A$1:$E$222,5,0))</f>
        <v>2</v>
      </c>
      <c r="C168" t="str">
        <f>IF(ISNA(VLOOKUP($A168,DD_Info!$A$1:$E$222,2,0)),0,VLOOKUP($A168,DD_Info!$A$1:$E$222,2,0))</f>
        <v>Ray G Sistos</v>
      </c>
      <c r="D168" t="str">
        <f>IF(ISNA(VLOOKUP($A168,DD_Info!$A$1:$E$222,3,0)),0,VLOOKUP($A168,DD_Info!$A$1:$E$222,3,0))</f>
        <v>Amarillo</v>
      </c>
      <c r="E168">
        <f>ROUND(SUMIF(Councils!$C$6:$C$809,$A168,Councils!$E$6:$E$809),0)</f>
        <v>356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0</v>
      </c>
      <c r="I168">
        <f>ROUND(SUMIF(Councils!$C$6:$C$809,$A168,Councils!$R$6:$R$809)*0.7,0)</f>
        <v>0</v>
      </c>
      <c r="J168">
        <f>ROUND(SUMIF(Councils!$C$6:$C$809,$A168,Councils!$S$6:$S$809)*0.7,0)</f>
        <v>1</v>
      </c>
      <c r="K168">
        <f>ROUND(SUMIF(Councils!$C$6:$C$809,$A168,Councils!$T$6:$T$809)*0.7,0)</f>
        <v>4</v>
      </c>
      <c r="L168">
        <f>ROUND(SUMIF(Councils!$C$6:$C$809,$A168,Councils!$U$6:$U$809)*0.7,0)</f>
        <v>-2</v>
      </c>
      <c r="M168" s="63">
        <f t="shared" si="4"/>
        <v>0</v>
      </c>
      <c r="N168">
        <f t="shared" si="5"/>
        <v>1</v>
      </c>
    </row>
    <row r="169" spans="1:14">
      <c r="A169" s="67">
        <v>200</v>
      </c>
      <c r="B169" s="80">
        <f>IF(ISNA(VLOOKUP($A169,DD_Info!$A$1:$E$222,5,0)),0,VLOOKUP($A169,DD_Info!$A$1:$E$222,5,0))</f>
        <v>2</v>
      </c>
      <c r="C169" t="str">
        <f>IF(ISNA(VLOOKUP($A169,DD_Info!$A$1:$E$222,2,0)),0,VLOOKUP($A169,DD_Info!$A$1:$E$222,2,0))</f>
        <v>Heath  Henderson</v>
      </c>
      <c r="D169" t="str">
        <f>IF(ISNA(VLOOKUP($A169,DD_Info!$A$1:$E$222,3,0)),0,VLOOKUP($A169,DD_Info!$A$1:$E$222,3,0))</f>
        <v>Amarillo</v>
      </c>
      <c r="E169">
        <f>ROUND(SUMIF(Councils!$C$6:$C$809,$A169,Councils!$E$6:$E$809),0)</f>
        <v>324</v>
      </c>
      <c r="F169">
        <f>ROUND(SUMIF(Councils!$C$6:$C$809,$A169,Councils!$O$6:$O$809)*0.7,0)</f>
        <v>0</v>
      </c>
      <c r="G169">
        <f>ROUND(SUMIF(Councils!$C$6:$C$809,$A169,Councils!$P$6:$P$809)*0.7,0)</f>
        <v>1</v>
      </c>
      <c r="H169">
        <f>ROUND(SUMIF(Councils!$C$6:$C$809,$A169,Councils!$Q$6:$Q$809)*0.7,0)</f>
        <v>0</v>
      </c>
      <c r="I169">
        <f>ROUND(SUMIF(Councils!$C$6:$C$809,$A169,Councils!$R$6:$R$809)*0.7,0)</f>
        <v>1</v>
      </c>
      <c r="J169">
        <f>ROUND(SUMIF(Councils!$C$6:$C$809,$A169,Councils!$S$6:$S$809)*0.7,0)</f>
        <v>1</v>
      </c>
      <c r="K169">
        <f>ROUND(SUMIF(Councils!$C$6:$C$809,$A169,Councils!$T$6:$T$809)*0.7,0)</f>
        <v>0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1</v>
      </c>
    </row>
    <row r="170" spans="1:14">
      <c r="A170" s="67">
        <v>201</v>
      </c>
      <c r="B170" s="80">
        <f>IF(ISNA(VLOOKUP($A170,DD_Info!$A$1:$E$222,5,0)),0,VLOOKUP($A170,DD_Info!$A$1:$E$222,5,0))</f>
        <v>3</v>
      </c>
      <c r="C170" t="str">
        <f>IF(ISNA(VLOOKUP($A170,DD_Info!$A$1:$E$222,2,0)),0,VLOOKUP($A170,DD_Info!$A$1:$E$222,2,0))</f>
        <v>TO BE APPOINTED</v>
      </c>
      <c r="D170" t="str">
        <f>IF(ISNA(VLOOKUP($A170,DD_Info!$A$1:$E$222,3,0)),0,VLOOKUP($A170,DD_Info!$A$1:$E$222,3,0))</f>
        <v>Amarillo</v>
      </c>
      <c r="E170">
        <f>ROUND(SUMIF(Councils!$C$6:$C$809,$A170,Councils!$E$6:$E$809),0)</f>
        <v>289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0</v>
      </c>
      <c r="K170">
        <f>ROUND(SUMIF(Councils!$C$6:$C$809,$A170,Councils!$T$6:$T$809)*0.7,0)</f>
        <v>1</v>
      </c>
      <c r="L170">
        <f>ROUND(SUMIF(Councils!$C$6:$C$809,$A170,Councils!$U$6:$U$809)*0.7,0)</f>
        <v>-1</v>
      </c>
      <c r="M170" s="63">
        <f t="shared" ref="M170:M171" si="6">IFERROR(L170/F170,0)</f>
        <v>0</v>
      </c>
      <c r="N170">
        <f t="shared" ref="N170:N171" si="7">RANK(M170,$M$2:$M$208,0)</f>
        <v>1</v>
      </c>
    </row>
    <row r="171" spans="1:14">
      <c r="A171" s="67">
        <v>202</v>
      </c>
      <c r="B171" s="80">
        <f>IF(ISNA(VLOOKUP($A171,DD_Info!$A$1:$E$222,5,0)),0,VLOOKUP($A171,DD_Info!$A$1:$E$222,5,0))</f>
        <v>3</v>
      </c>
      <c r="C171" t="str">
        <f>IF(ISNA(VLOOKUP($A171,DD_Info!$A$1:$E$222,2,0)),0,VLOOKUP($A171,DD_Info!$A$1:$E$222,2,0))</f>
        <v>Christopher A Johnson</v>
      </c>
      <c r="D171" t="str">
        <f>IF(ISNA(VLOOKUP($A171,DD_Info!$A$1:$E$222,3,0)),0,VLOOKUP($A171,DD_Info!$A$1:$E$222,3,0))</f>
        <v>Amarillo</v>
      </c>
      <c r="E171">
        <f>ROUND(SUMIF(Councils!$C$6:$C$809,$A171,Councils!$E$6:$E$809),0)</f>
        <v>84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0</v>
      </c>
      <c r="I171">
        <f>ROUND(SUMIF(Councils!$C$6:$C$809,$A171,Councils!$R$6:$R$809)*0.7,0)</f>
        <v>0</v>
      </c>
      <c r="J171">
        <f>ROUND(SUMIF(Councils!$C$6:$C$809,$A171,Councils!$S$6:$S$809)*0.7,0)</f>
        <v>0</v>
      </c>
      <c r="K171">
        <f>ROUND(SUMIF(Councils!$C$6:$C$809,$A171,Councils!$T$6:$T$809)*0.7,0)</f>
        <v>0</v>
      </c>
      <c r="L171">
        <f>ROUND(SUMIF(Councils!$C$6:$C$809,$A171,Councils!$U$6:$U$809)*0.7,0)</f>
        <v>0</v>
      </c>
      <c r="M171" s="63">
        <f t="shared" si="6"/>
        <v>0</v>
      </c>
      <c r="N171">
        <f t="shared" si="7"/>
        <v>1</v>
      </c>
    </row>
    <row r="172" spans="1:14">
      <c r="A172" s="67">
        <v>206</v>
      </c>
      <c r="B172" s="80">
        <f>IF(ISNA(VLOOKUP($A172,DD_Info!$A$1:$E$222,5,0)),0,VLOOKUP($A172,DD_Info!$A$1:$E$222,5,0))</f>
        <v>3</v>
      </c>
      <c r="C172" t="str">
        <f>IF(ISNA(VLOOKUP($A172,DD_Info!$A$1:$E$222,2,0)),0,VLOOKUP($A172,DD_Info!$A$1:$E$222,2,0))</f>
        <v>Jose  Garza Jr</v>
      </c>
      <c r="D172" t="str">
        <f>IF(ISNA(VLOOKUP($A172,DD_Info!$A$1:$E$222,3,0)),0,VLOOKUP($A172,DD_Info!$A$1:$E$222,3,0))</f>
        <v>Brownsville</v>
      </c>
      <c r="E172">
        <f>ROUND(SUMIF(Councils!$C$6:$C$809,$A172,Councils!$E$6:$E$809),0)</f>
        <v>183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0</v>
      </c>
      <c r="K172">
        <f>ROUND(SUMIF(Councils!$C$6:$C$809,$A172,Councils!$T$6:$T$809)*0.7,0)</f>
        <v>1</v>
      </c>
      <c r="L172">
        <f>ROUND(SUMIF(Councils!$C$6:$C$809,$A172,Councils!$U$6:$U$809)*0.7,0)</f>
        <v>-1</v>
      </c>
      <c r="M172" s="63">
        <f t="shared" si="4"/>
        <v>0</v>
      </c>
      <c r="N172">
        <f t="shared" si="5"/>
        <v>1</v>
      </c>
    </row>
    <row r="173" spans="1:14">
      <c r="A173" s="67">
        <v>207</v>
      </c>
      <c r="B173" s="80">
        <f>IF(ISNA(VLOOKUP($A173,DD_Info!$A$1:$E$222,5,0)),0,VLOOKUP($A173,DD_Info!$A$1:$E$222,5,0))</f>
        <v>1</v>
      </c>
      <c r="C173" t="str">
        <f>IF(ISNA(VLOOKUP($A173,DD_Info!$A$1:$E$222,2,0)),0,VLOOKUP($A173,DD_Info!$A$1:$E$222,2,0))</f>
        <v>Juan A Lopez</v>
      </c>
      <c r="D173" t="str">
        <f>IF(ISNA(VLOOKUP($A173,DD_Info!$A$1:$E$222,3,0)),0,VLOOKUP($A173,DD_Info!$A$1:$E$222,3,0))</f>
        <v>Brownsville</v>
      </c>
      <c r="E173">
        <f>ROUND(SUMIF(Councils!$C$6:$C$809,$A173,Councils!$E$6:$E$809),0)</f>
        <v>718</v>
      </c>
      <c r="F173">
        <f>ROUND(SUMIF(Councils!$C$6:$C$809,$A173,Councils!$O$6:$O$809)*0.7,0)</f>
        <v>0</v>
      </c>
      <c r="G173">
        <f>ROUND(SUMIF(Councils!$C$6:$C$809,$A173,Councils!$P$6:$P$809)*0.7,0)</f>
        <v>1</v>
      </c>
      <c r="H173">
        <f>ROUND(SUMIF(Councils!$C$6:$C$809,$A173,Councils!$Q$6:$Q$809)*0.7,0)</f>
        <v>0</v>
      </c>
      <c r="I173">
        <f>ROUND(SUMIF(Councils!$C$6:$C$809,$A173,Councils!$R$6:$R$809)*0.7,0)</f>
        <v>1</v>
      </c>
      <c r="J173">
        <f>ROUND(SUMIF(Councils!$C$6:$C$809,$A173,Councils!$S$6:$S$809)*0.7,0)</f>
        <v>1</v>
      </c>
      <c r="K173">
        <f>ROUND(SUMIF(Councils!$C$6:$C$809,$A173,Councils!$T$6:$T$809)*0.7,0)</f>
        <v>2</v>
      </c>
      <c r="L173">
        <f>ROUND(SUMIF(Councils!$C$6:$C$809,$A173,Councils!$U$6:$U$809)*0.7,0)</f>
        <v>-1</v>
      </c>
      <c r="M173" s="63">
        <f t="shared" si="4"/>
        <v>0</v>
      </c>
      <c r="N173">
        <f t="shared" si="5"/>
        <v>1</v>
      </c>
    </row>
    <row r="174" spans="1:14">
      <c r="A174" s="67">
        <v>208</v>
      </c>
      <c r="B174" s="80">
        <f>IF(ISNA(VLOOKUP($A174,DD_Info!$A$1:$E$222,5,0)),0,VLOOKUP($A174,DD_Info!$A$1:$E$222,5,0))</f>
        <v>2</v>
      </c>
      <c r="C174" t="str">
        <f>IF(ISNA(VLOOKUP($A174,DD_Info!$A$1:$E$222,2,0)),0,VLOOKUP($A174,DD_Info!$A$1:$E$222,2,0))</f>
        <v>Albert  Esparza</v>
      </c>
      <c r="D174" t="str">
        <f>IF(ISNA(VLOOKUP($A174,DD_Info!$A$1:$E$222,3,0)),0,VLOOKUP($A174,DD_Info!$A$1:$E$222,3,0))</f>
        <v>Brownsville</v>
      </c>
      <c r="E174">
        <f>ROUND(SUMIF(Councils!$C$6:$C$809,$A174,Councils!$E$6:$E$809),0)</f>
        <v>512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1</v>
      </c>
      <c r="I174">
        <f>ROUND(SUMIF(Councils!$C$6:$C$809,$A174,Councils!$R$6:$R$809)*0.7,0)</f>
        <v>-1</v>
      </c>
      <c r="J174">
        <f>ROUND(SUMIF(Councils!$C$6:$C$809,$A174,Councils!$S$6:$S$809)*0.7,0)</f>
        <v>1</v>
      </c>
      <c r="K174">
        <f>ROUND(SUMIF(Councils!$C$6:$C$809,$A174,Councils!$T$6:$T$809)*0.7,0)</f>
        <v>1</v>
      </c>
      <c r="L174">
        <f>ROUND(SUMIF(Councils!$C$6:$C$809,$A174,Councils!$U$6:$U$809)*0.7,0)</f>
        <v>0</v>
      </c>
      <c r="M174" s="63">
        <f t="shared" si="4"/>
        <v>0</v>
      </c>
      <c r="N174">
        <f t="shared" si="5"/>
        <v>1</v>
      </c>
    </row>
    <row r="175" spans="1:14">
      <c r="A175" s="67">
        <v>209</v>
      </c>
      <c r="B175" s="80">
        <f>IF(ISNA(VLOOKUP($A175,DD_Info!$A$1:$E$222,5,0)),0,VLOOKUP($A175,DD_Info!$A$1:$E$222,5,0))</f>
        <v>2</v>
      </c>
      <c r="C175" t="str">
        <f>IF(ISNA(VLOOKUP($A175,DD_Info!$A$1:$E$222,2,0)),0,VLOOKUP($A175,DD_Info!$A$1:$E$222,2,0))</f>
        <v>George L Ramirez</v>
      </c>
      <c r="D175" t="str">
        <f>IF(ISNA(VLOOKUP($A175,DD_Info!$A$1:$E$222,3,0)),0,VLOOKUP($A175,DD_Info!$A$1:$E$222,3,0))</f>
        <v>Brownsville</v>
      </c>
      <c r="E175">
        <f>ROUND(SUMIF(Councils!$C$6:$C$809,$A175,Councils!$E$6:$E$809),0)</f>
        <v>435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0</v>
      </c>
      <c r="K175">
        <f>ROUND(SUMIF(Councils!$C$6:$C$809,$A175,Councils!$T$6:$T$809)*0.7,0)</f>
        <v>1</v>
      </c>
      <c r="L175">
        <f>ROUND(SUMIF(Councils!$C$6:$C$809,$A175,Councils!$U$6:$U$809)*0.7,0)</f>
        <v>-1</v>
      </c>
      <c r="M175" s="63">
        <f t="shared" si="4"/>
        <v>0</v>
      </c>
      <c r="N175">
        <f t="shared" si="5"/>
        <v>1</v>
      </c>
    </row>
    <row r="176" spans="1:14">
      <c r="A176" s="67">
        <v>210</v>
      </c>
      <c r="B176" s="80">
        <f>IF(ISNA(VLOOKUP($A176,DD_Info!$A$1:$E$222,5,0)),0,VLOOKUP($A176,DD_Info!$A$1:$E$222,5,0))</f>
        <v>2</v>
      </c>
      <c r="C176" t="str">
        <f>IF(ISNA(VLOOKUP($A176,DD_Info!$A$1:$E$222,2,0)),0,VLOOKUP($A176,DD_Info!$A$1:$E$222,2,0))</f>
        <v>Antonio C Puente Sr</v>
      </c>
      <c r="D176" t="str">
        <f>IF(ISNA(VLOOKUP($A176,DD_Info!$A$1:$E$222,3,0)),0,VLOOKUP($A176,DD_Info!$A$1:$E$222,3,0))</f>
        <v>Brownsville</v>
      </c>
      <c r="E176">
        <f>ROUND(SUMIF(Councils!$C$6:$C$809,$A176,Councils!$E$6:$E$809),0)</f>
        <v>574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1</v>
      </c>
      <c r="I176">
        <f>ROUND(SUMIF(Councils!$C$6:$C$809,$A176,Councils!$R$6:$R$809)*0.7,0)</f>
        <v>-1</v>
      </c>
      <c r="J176">
        <f>ROUND(SUMIF(Councils!$C$6:$C$809,$A176,Councils!$S$6:$S$809)*0.7,0)</f>
        <v>2</v>
      </c>
      <c r="K176">
        <f>ROUND(SUMIF(Councils!$C$6:$C$809,$A176,Councils!$T$6:$T$809)*0.7,0)</f>
        <v>3</v>
      </c>
      <c r="L176">
        <f>ROUND(SUMIF(Councils!$C$6:$C$809,$A176,Councils!$U$6:$U$809)*0.7,0)</f>
        <v>-1</v>
      </c>
      <c r="M176" s="63">
        <f t="shared" si="4"/>
        <v>0</v>
      </c>
      <c r="N176">
        <f t="shared" si="5"/>
        <v>1</v>
      </c>
    </row>
    <row r="177" spans="1:14">
      <c r="A177" s="67">
        <v>211</v>
      </c>
      <c r="B177" s="80">
        <f>IF(ISNA(VLOOKUP($A177,DD_Info!$A$1:$E$222,5,0)),0,VLOOKUP($A177,DD_Info!$A$1:$E$222,5,0))</f>
        <v>3</v>
      </c>
      <c r="C177" t="str">
        <f>IF(ISNA(VLOOKUP($A177,DD_Info!$A$1:$E$222,2,0)),0,VLOOKUP($A177,DD_Info!$A$1:$E$222,2,0))</f>
        <v>Martin  Rivas</v>
      </c>
      <c r="D177" t="str">
        <f>IF(ISNA(VLOOKUP($A177,DD_Info!$A$1:$E$222,3,0)),0,VLOOKUP($A177,DD_Info!$A$1:$E$222,3,0))</f>
        <v>Brownsville</v>
      </c>
      <c r="E177">
        <f>ROUND(SUMIF(Councils!$C$6:$C$809,$A177,Councils!$E$6:$E$809),0)</f>
        <v>129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1</v>
      </c>
      <c r="K177">
        <f>ROUND(SUMIF(Councils!$C$6:$C$809,$A177,Councils!$T$6:$T$809)*0.7,0)</f>
        <v>1</v>
      </c>
      <c r="L177">
        <f>ROUND(SUMIF(Councils!$C$6:$C$809,$A177,Councils!$U$6:$U$809)*0.7,0)</f>
        <v>0</v>
      </c>
      <c r="M177" s="63">
        <f t="shared" si="4"/>
        <v>0</v>
      </c>
      <c r="N177">
        <f t="shared" si="5"/>
        <v>1</v>
      </c>
    </row>
    <row r="178" spans="1:14">
      <c r="A178" s="67">
        <v>212</v>
      </c>
      <c r="B178" s="80">
        <f>IF(ISNA(VLOOKUP($A178,DD_Info!$A$1:$E$222,5,0)),0,VLOOKUP($A178,DD_Info!$A$1:$E$222,5,0))</f>
        <v>1</v>
      </c>
      <c r="C178" t="str">
        <f>IF(ISNA(VLOOKUP($A178,DD_Info!$A$1:$E$222,2,0)),0,VLOOKUP($A178,DD_Info!$A$1:$E$222,2,0))</f>
        <v>Noel P Benavides Jr</v>
      </c>
      <c r="D178" t="str">
        <f>IF(ISNA(VLOOKUP($A178,DD_Info!$A$1:$E$222,3,0)),0,VLOOKUP($A178,DD_Info!$A$1:$E$222,3,0))</f>
        <v>Brownsville</v>
      </c>
      <c r="E178">
        <f>ROUND(SUMIF(Councils!$C$6:$C$809,$A178,Councils!$E$6:$E$809),0)</f>
        <v>637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2</v>
      </c>
      <c r="I178">
        <f>ROUND(SUMIF(Councils!$C$6:$C$809,$A178,Councils!$R$6:$R$809)*0.7,0)</f>
        <v>-2</v>
      </c>
      <c r="J178">
        <f>ROUND(SUMIF(Councils!$C$6:$C$809,$A178,Councils!$S$6:$S$809)*0.7,0)</f>
        <v>0</v>
      </c>
      <c r="K178">
        <f>ROUND(SUMIF(Councils!$C$6:$C$809,$A178,Councils!$T$6:$T$809)*0.7,0)</f>
        <v>3</v>
      </c>
      <c r="L178">
        <f>ROUND(SUMIF(Councils!$C$6:$C$809,$A178,Councils!$U$6:$U$809)*0.7,0)</f>
        <v>-3</v>
      </c>
      <c r="M178" s="63">
        <f t="shared" si="4"/>
        <v>0</v>
      </c>
      <c r="N178">
        <f t="shared" si="5"/>
        <v>1</v>
      </c>
    </row>
    <row r="179" spans="1:14">
      <c r="A179" s="67">
        <v>213</v>
      </c>
      <c r="B179" s="80">
        <f>IF(ISNA(VLOOKUP($A179,DD_Info!$A$1:$E$222,5,0)),0,VLOOKUP($A179,DD_Info!$A$1:$E$222,5,0))</f>
        <v>2</v>
      </c>
      <c r="C179" t="str">
        <f>IF(ISNA(VLOOKUP($A179,DD_Info!$A$1:$E$222,2,0)),0,VLOOKUP($A179,DD_Info!$A$1:$E$222,2,0))</f>
        <v>Vincent M Pena</v>
      </c>
      <c r="D179" t="str">
        <f>IF(ISNA(VLOOKUP($A179,DD_Info!$A$1:$E$222,3,0)),0,VLOOKUP($A179,DD_Info!$A$1:$E$222,3,0))</f>
        <v>Brownsville</v>
      </c>
      <c r="E179">
        <f>ROUND(SUMIF(Councils!$C$6:$C$809,$A179,Councils!$E$6:$E$809),0)</f>
        <v>350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1</v>
      </c>
      <c r="I179">
        <f>ROUND(SUMIF(Councils!$C$6:$C$809,$A179,Councils!$R$6:$R$809)*0.7,0)</f>
        <v>-1</v>
      </c>
      <c r="J179">
        <f>ROUND(SUMIF(Councils!$C$6:$C$809,$A179,Councils!$S$6:$S$809)*0.7,0)</f>
        <v>1</v>
      </c>
      <c r="K179">
        <f>ROUND(SUMIF(Councils!$C$6:$C$809,$A179,Councils!$T$6:$T$809)*0.7,0)</f>
        <v>2</v>
      </c>
      <c r="L179">
        <f>ROUND(SUMIF(Councils!$C$6:$C$809,$A179,Councils!$U$6:$U$809)*0.7,0)</f>
        <v>-1</v>
      </c>
      <c r="M179" s="63">
        <f t="shared" si="4"/>
        <v>0</v>
      </c>
      <c r="N179">
        <f t="shared" si="5"/>
        <v>1</v>
      </c>
    </row>
    <row r="180" spans="1:14">
      <c r="A180" s="67">
        <v>214</v>
      </c>
      <c r="B180" s="80">
        <f>IF(ISNA(VLOOKUP($A180,DD_Info!$A$1:$E$222,5,0)),0,VLOOKUP($A180,DD_Info!$A$1:$E$222,5,0))</f>
        <v>2</v>
      </c>
      <c r="C180" t="str">
        <f>IF(ISNA(VLOOKUP($A180,DD_Info!$A$1:$E$222,2,0)),0,VLOOKUP($A180,DD_Info!$A$1:$E$222,2,0))</f>
        <v>Apolonio  Zuniga Jr</v>
      </c>
      <c r="D180" t="str">
        <f>IF(ISNA(VLOOKUP($A180,DD_Info!$A$1:$E$222,3,0)),0,VLOOKUP($A180,DD_Info!$A$1:$E$222,3,0))</f>
        <v>Brownsville</v>
      </c>
      <c r="E180">
        <f>ROUND(SUMIF(Councils!$C$6:$C$809,$A180,Councils!$E$6:$E$809),0)</f>
        <v>338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1</v>
      </c>
      <c r="K180">
        <f>ROUND(SUMIF(Councils!$C$6:$C$809,$A180,Councils!$T$6:$T$809)*0.7,0)</f>
        <v>1</v>
      </c>
      <c r="L180">
        <f>ROUND(SUMIF(Councils!$C$6:$C$809,$A180,Councils!$U$6:$U$809)*0.7,0)</f>
        <v>0</v>
      </c>
      <c r="M180" s="63">
        <f t="shared" si="4"/>
        <v>0</v>
      </c>
      <c r="N180">
        <f t="shared" si="5"/>
        <v>1</v>
      </c>
    </row>
    <row r="181" spans="1:14">
      <c r="A181" s="67">
        <v>215</v>
      </c>
      <c r="B181" s="80">
        <f>IF(ISNA(VLOOKUP($A181,DD_Info!$A$1:$E$222,5,0)),0,VLOOKUP($A181,DD_Info!$A$1:$E$222,5,0))</f>
        <v>2</v>
      </c>
      <c r="C181" t="str">
        <f>IF(ISNA(VLOOKUP($A181,DD_Info!$A$1:$E$222,2,0)),0,VLOOKUP($A181,DD_Info!$A$1:$E$222,2,0))</f>
        <v>Arnulfo  Esqueda</v>
      </c>
      <c r="D181" t="str">
        <f>IF(ISNA(VLOOKUP($A181,DD_Info!$A$1:$E$222,3,0)),0,VLOOKUP($A181,DD_Info!$A$1:$E$222,3,0))</f>
        <v>Brownsville</v>
      </c>
      <c r="E181">
        <f>ROUND(SUMIF(Councils!$C$6:$C$809,$A181,Councils!$E$6:$E$809),0)</f>
        <v>367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1</v>
      </c>
      <c r="I181">
        <f>ROUND(SUMIF(Councils!$C$6:$C$809,$A181,Councils!$R$6:$R$809)*0.7,0)</f>
        <v>-1</v>
      </c>
      <c r="J181">
        <f>ROUND(SUMIF(Councils!$C$6:$C$809,$A181,Councils!$S$6:$S$809)*0.7,0)</f>
        <v>1</v>
      </c>
      <c r="K181">
        <f>ROUND(SUMIF(Councils!$C$6:$C$809,$A181,Councils!$T$6:$T$809)*0.7,0)</f>
        <v>2</v>
      </c>
      <c r="L181">
        <f>ROUND(SUMIF(Councils!$C$6:$C$809,$A181,Councils!$U$6:$U$809)*0.7,0)</f>
        <v>-1</v>
      </c>
      <c r="M181" s="63">
        <f t="shared" si="4"/>
        <v>0</v>
      </c>
      <c r="N181">
        <f t="shared" si="5"/>
        <v>1</v>
      </c>
    </row>
    <row r="182" spans="1:14">
      <c r="A182" s="67">
        <v>216</v>
      </c>
      <c r="B182" s="80">
        <f>IF(ISNA(VLOOKUP($A182,DD_Info!$A$1:$E$222,5,0)),0,VLOOKUP($A182,DD_Info!$A$1:$E$222,5,0))</f>
        <v>3</v>
      </c>
      <c r="C182" t="str">
        <f>IF(ISNA(VLOOKUP($A182,DD_Info!$A$1:$E$222,2,0)),0,VLOOKUP($A182,DD_Info!$A$1:$E$222,2,0))</f>
        <v>Carlos  Perez</v>
      </c>
      <c r="D182" t="str">
        <f>IF(ISNA(VLOOKUP($A182,DD_Info!$A$1:$E$222,3,0)),0,VLOOKUP($A182,DD_Info!$A$1:$E$222,3,0))</f>
        <v>Brownsville</v>
      </c>
      <c r="E182">
        <f>ROUND(SUMIF(Councils!$C$6:$C$809,$A182,Councils!$E$6:$E$809),0)</f>
        <v>282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4</v>
      </c>
      <c r="K182">
        <f>ROUND(SUMIF(Councils!$C$6:$C$809,$A182,Councils!$T$6:$T$809)*0.7,0)</f>
        <v>1</v>
      </c>
      <c r="L182">
        <f>ROUND(SUMIF(Councils!$C$6:$C$809,$A182,Councils!$U$6:$U$809)*0.7,0)</f>
        <v>3</v>
      </c>
      <c r="M182" s="63">
        <f t="shared" si="4"/>
        <v>0</v>
      </c>
      <c r="N182">
        <f t="shared" si="5"/>
        <v>1</v>
      </c>
    </row>
    <row r="183" spans="1:14">
      <c r="A183" s="67">
        <v>217</v>
      </c>
      <c r="B183" s="80">
        <f>IF(ISNA(VLOOKUP($A183,DD_Info!$A$1:$E$222,5,0)),0,VLOOKUP($A183,DD_Info!$A$1:$E$222,5,0))</f>
        <v>3</v>
      </c>
      <c r="C183" t="str">
        <f>IF(ISNA(VLOOKUP($A183,DD_Info!$A$1:$E$222,2,0)),0,VLOOKUP($A183,DD_Info!$A$1:$E$222,2,0))</f>
        <v>Eduardo  Garcia</v>
      </c>
      <c r="D183" t="str">
        <f>IF(ISNA(VLOOKUP($A183,DD_Info!$A$1:$E$222,3,0)),0,VLOOKUP($A183,DD_Info!$A$1:$E$222,3,0))</f>
        <v>Brownsville</v>
      </c>
      <c r="E183">
        <f>ROUND(SUMIF(Councils!$C$6:$C$809,$A183,Councils!$E$6:$E$809),0)</f>
        <v>209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1</v>
      </c>
      <c r="I183">
        <f>ROUND(SUMIF(Councils!$C$6:$C$809,$A183,Councils!$R$6:$R$809)*0.7,0)</f>
        <v>-1</v>
      </c>
      <c r="J183">
        <f>ROUND(SUMIF(Councils!$C$6:$C$809,$A183,Councils!$S$6:$S$809)*0.7,0)</f>
        <v>1</v>
      </c>
      <c r="K183">
        <f>ROUND(SUMIF(Councils!$C$6:$C$809,$A183,Councils!$T$6:$T$809)*0.7,0)</f>
        <v>4</v>
      </c>
      <c r="L183">
        <f>ROUND(SUMIF(Councils!$C$6:$C$809,$A183,Councils!$U$6:$U$809)*0.7,0)</f>
        <v>-2</v>
      </c>
      <c r="M183" s="63">
        <f t="shared" si="4"/>
        <v>0</v>
      </c>
      <c r="N183">
        <f t="shared" si="5"/>
        <v>1</v>
      </c>
    </row>
    <row r="184" spans="1:14">
      <c r="A184" s="67">
        <v>221</v>
      </c>
      <c r="B184" s="80">
        <f>IF(ISNA(VLOOKUP($A184,DD_Info!$A$1:$E$222,5,0)),0,VLOOKUP($A184,DD_Info!$A$1:$E$222,5,0))</f>
        <v>2</v>
      </c>
      <c r="C184" t="str">
        <f>IF(ISNA(VLOOKUP($A184,DD_Info!$A$1:$E$222,2,0)),0,VLOOKUP($A184,DD_Info!$A$1:$E$222,2,0))</f>
        <v>Roman M Estrada</v>
      </c>
      <c r="D184" t="str">
        <f>IF(ISNA(VLOOKUP($A184,DD_Info!$A$1:$E$222,3,0)),0,VLOOKUP($A184,DD_Info!$A$1:$E$222,3,0))</f>
        <v>San Angelo</v>
      </c>
      <c r="E184">
        <f>ROUND(SUMIF(Councils!$C$6:$C$809,$A184,Councils!$E$6:$E$809),0)</f>
        <v>314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1</v>
      </c>
      <c r="K184">
        <f>ROUND(SUMIF(Councils!$C$6:$C$809,$A184,Councils!$T$6:$T$809)*0.7,0)</f>
        <v>2</v>
      </c>
      <c r="L184">
        <f>ROUND(SUMIF(Councils!$C$6:$C$809,$A184,Councils!$U$6:$U$809)*0.7,0)</f>
        <v>-1</v>
      </c>
      <c r="M184" s="63">
        <f t="shared" si="4"/>
        <v>0</v>
      </c>
      <c r="N184">
        <f t="shared" si="5"/>
        <v>1</v>
      </c>
    </row>
    <row r="185" spans="1:14">
      <c r="A185" s="67">
        <v>222</v>
      </c>
      <c r="B185" s="80">
        <f>IF(ISNA(VLOOKUP($A185,DD_Info!$A$1:$E$222,5,0)),0,VLOOKUP($A185,DD_Info!$A$1:$E$222,5,0))</f>
        <v>2</v>
      </c>
      <c r="C185" t="str">
        <f>IF(ISNA(VLOOKUP($A185,DD_Info!$A$1:$E$222,2,0)),0,VLOOKUP($A185,DD_Info!$A$1:$E$222,2,0))</f>
        <v>Gregory J Dutchover</v>
      </c>
      <c r="D185" t="str">
        <f>IF(ISNA(VLOOKUP($A185,DD_Info!$A$1:$E$222,3,0)),0,VLOOKUP($A185,DD_Info!$A$1:$E$222,3,0))</f>
        <v>San Angelo</v>
      </c>
      <c r="E185">
        <f>ROUND(SUMIF(Councils!$C$6:$C$809,$A185,Councils!$E$6:$E$809),0)</f>
        <v>339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0</v>
      </c>
      <c r="K185">
        <f>ROUND(SUMIF(Councils!$C$6:$C$809,$A185,Councils!$T$6:$T$809)*0.7,0)</f>
        <v>1</v>
      </c>
      <c r="L185">
        <f>ROUND(SUMIF(Councils!$C$6:$C$809,$A185,Councils!$U$6:$U$809)*0.7,0)</f>
        <v>-1</v>
      </c>
      <c r="M185" s="63">
        <f t="shared" si="4"/>
        <v>0</v>
      </c>
      <c r="N185">
        <f t="shared" si="5"/>
        <v>1</v>
      </c>
    </row>
    <row r="186" spans="1:14">
      <c r="A186" s="67">
        <v>223</v>
      </c>
      <c r="B186" s="80">
        <f>IF(ISNA(VLOOKUP($A186,DD_Info!$A$1:$E$222,5,0)),0,VLOOKUP($A186,DD_Info!$A$1:$E$222,5,0))</f>
        <v>1</v>
      </c>
      <c r="C186" t="str">
        <f>IF(ISNA(VLOOKUP($A186,DD_Info!$A$1:$E$222,2,0)),0,VLOOKUP($A186,DD_Info!$A$1:$E$222,2,0))</f>
        <v>Aloysius "Al" E NovoGradac Jr</v>
      </c>
      <c r="D186" t="str">
        <f>IF(ISNA(VLOOKUP($A186,DD_Info!$A$1:$E$222,3,0)),0,VLOOKUP($A186,DD_Info!$A$1:$E$222,3,0))</f>
        <v>San Angelo</v>
      </c>
      <c r="E186">
        <f>ROUND(SUMIF(Councils!$C$6:$C$809,$A186,Councils!$E$6:$E$809),0)</f>
        <v>732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2</v>
      </c>
      <c r="I186">
        <f>ROUND(SUMIF(Councils!$C$6:$C$809,$A186,Councils!$R$6:$R$809)*0.7,0)</f>
        <v>-2</v>
      </c>
      <c r="J186">
        <f>ROUND(SUMIF(Councils!$C$6:$C$809,$A186,Councils!$S$6:$S$809)*0.7,0)</f>
        <v>1</v>
      </c>
      <c r="K186">
        <f>ROUND(SUMIF(Councils!$C$6:$C$809,$A186,Councils!$T$6:$T$809)*0.7,0)</f>
        <v>6</v>
      </c>
      <c r="L186">
        <f>ROUND(SUMIF(Councils!$C$6:$C$809,$A186,Councils!$U$6:$U$809)*0.7,0)</f>
        <v>-5</v>
      </c>
      <c r="M186" s="63">
        <f t="shared" si="4"/>
        <v>0</v>
      </c>
      <c r="N186">
        <f t="shared" si="5"/>
        <v>1</v>
      </c>
    </row>
    <row r="187" spans="1:14">
      <c r="A187" s="67">
        <v>224</v>
      </c>
      <c r="B187" s="80">
        <f>IF(ISNA(VLOOKUP($A187,DD_Info!$A$1:$E$222,5,0)),0,VLOOKUP($A187,DD_Info!$A$1:$E$222,5,0))</f>
        <v>2</v>
      </c>
      <c r="C187" t="str">
        <f>IF(ISNA(VLOOKUP($A187,DD_Info!$A$1:$E$222,2,0)),0,VLOOKUP($A187,DD_Info!$A$1:$E$222,2,0))</f>
        <v>Lupe M Rodriguez</v>
      </c>
      <c r="D187" t="str">
        <f>IF(ISNA(VLOOKUP($A187,DD_Info!$A$1:$E$222,3,0)),0,VLOOKUP($A187,DD_Info!$A$1:$E$222,3,0))</f>
        <v>San Angelo</v>
      </c>
      <c r="E187">
        <f>ROUND(SUMIF(Councils!$C$6:$C$809,$A187,Councils!$E$6:$E$809),0)</f>
        <v>527</v>
      </c>
      <c r="F187">
        <f>ROUND(SUMIF(Councils!$C$6:$C$809,$A187,Councils!$O$6:$O$809)*0.7,0)</f>
        <v>0</v>
      </c>
      <c r="G187">
        <f>ROUND(SUMIF(Councils!$C$6:$C$809,$A187,Councils!$P$6:$P$809)*0.7,0)</f>
        <v>1</v>
      </c>
      <c r="H187">
        <f>ROUND(SUMIF(Councils!$C$6:$C$809,$A187,Councils!$Q$6:$Q$809)*0.7,0)</f>
        <v>0</v>
      </c>
      <c r="I187">
        <f>ROUND(SUMIF(Councils!$C$6:$C$809,$A187,Councils!$R$6:$R$809)*0.7,0)</f>
        <v>1</v>
      </c>
      <c r="J187">
        <f>ROUND(SUMIF(Councils!$C$6:$C$809,$A187,Councils!$S$6:$S$809)*0.7,0)</f>
        <v>1</v>
      </c>
      <c r="K187">
        <f>ROUND(SUMIF(Councils!$C$6:$C$809,$A187,Councils!$T$6:$T$809)*0.7,0)</f>
        <v>1</v>
      </c>
      <c r="L187">
        <f>ROUND(SUMIF(Councils!$C$6:$C$809,$A187,Councils!$U$6:$U$809)*0.7,0)</f>
        <v>0</v>
      </c>
      <c r="M187" s="63">
        <f t="shared" si="4"/>
        <v>0</v>
      </c>
      <c r="N187">
        <f t="shared" si="5"/>
        <v>1</v>
      </c>
    </row>
    <row r="188" spans="1:14">
      <c r="A188" s="67">
        <v>225</v>
      </c>
      <c r="B188" s="80">
        <f>IF(ISNA(VLOOKUP($A188,DD_Info!$A$1:$E$222,5,0)),0,VLOOKUP($A188,DD_Info!$A$1:$E$222,5,0))</f>
        <v>3</v>
      </c>
      <c r="C188" t="str">
        <f>IF(ISNA(VLOOKUP($A188,DD_Info!$A$1:$E$222,2,0)),0,VLOOKUP($A188,DD_Info!$A$1:$E$222,2,0))</f>
        <v>Frank  Casares</v>
      </c>
      <c r="D188" t="str">
        <f>IF(ISNA(VLOOKUP($A188,DD_Info!$A$1:$E$222,3,0)),0,VLOOKUP($A188,DD_Info!$A$1:$E$222,3,0))</f>
        <v>San Angelo</v>
      </c>
      <c r="E188">
        <f>ROUND(SUMIF(Councils!$C$6:$C$809,$A188,Councils!$E$6:$E$809),0)</f>
        <v>211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1</v>
      </c>
    </row>
    <row r="189" spans="1:14">
      <c r="A189" s="67">
        <v>226</v>
      </c>
      <c r="B189" s="80">
        <f>IF(ISNA(VLOOKUP($A189,DD_Info!$A$1:$E$222,5,0)),0,VLOOKUP($A189,DD_Info!$A$1:$E$222,5,0))</f>
        <v>3</v>
      </c>
      <c r="C189" t="str">
        <f>IF(ISNA(VLOOKUP($A189,DD_Info!$A$1:$E$222,2,0)),0,VLOOKUP($A189,DD_Info!$A$1:$E$222,2,0))</f>
        <v>Deacon Frankie D Aguirre</v>
      </c>
      <c r="D189" t="str">
        <f>IF(ISNA(VLOOKUP($A189,DD_Info!$A$1:$E$222,3,0)),0,VLOOKUP($A189,DD_Info!$A$1:$E$222,3,0))</f>
        <v>San Angelo</v>
      </c>
      <c r="E189">
        <f>ROUND(SUMIF(Councils!$C$6:$C$809,$A189,Councils!$E$6:$E$809),0)</f>
        <v>281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0</v>
      </c>
      <c r="L189">
        <f>ROUND(SUMIF(Councils!$C$6:$C$809,$A189,Councils!$U$6:$U$809)*0.7,0)</f>
        <v>0</v>
      </c>
      <c r="M189" s="63">
        <f t="shared" si="4"/>
        <v>0</v>
      </c>
      <c r="N189">
        <f t="shared" si="5"/>
        <v>1</v>
      </c>
    </row>
    <row r="190" spans="1:14">
      <c r="A190" s="67">
        <v>227</v>
      </c>
      <c r="B190" s="80">
        <f>IF(ISNA(VLOOKUP($A190,DD_Info!$A$1:$E$222,5,0)),0,VLOOKUP($A190,DD_Info!$A$1:$E$222,5,0))</f>
        <v>3</v>
      </c>
      <c r="C190" t="str">
        <f>IF(ISNA(VLOOKUP($A190,DD_Info!$A$1:$E$222,2,0)),0,VLOOKUP($A190,DD_Info!$A$1:$E$222,2,0))</f>
        <v>Michael M Murray</v>
      </c>
      <c r="D190" t="str">
        <f>IF(ISNA(VLOOKUP($A190,DD_Info!$A$1:$E$222,3,0)),0,VLOOKUP($A190,DD_Info!$A$1:$E$222,3,0))</f>
        <v>San Angelo</v>
      </c>
      <c r="E190">
        <f>ROUND(SUMIF(Councils!$C$6:$C$809,$A190,Councils!$E$6:$E$809),0)</f>
        <v>184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1</v>
      </c>
      <c r="L190">
        <f>ROUND(SUMIF(Councils!$C$6:$C$809,$A190,Councils!$U$6:$U$809)*0.7,0)</f>
        <v>-1</v>
      </c>
      <c r="M190" s="63">
        <f t="shared" si="4"/>
        <v>0</v>
      </c>
      <c r="N190">
        <f t="shared" si="5"/>
        <v>1</v>
      </c>
    </row>
    <row r="191" spans="1:14">
      <c r="A191" s="67">
        <v>228</v>
      </c>
      <c r="B191" s="80">
        <f>IF(ISNA(VLOOKUP($A191,DD_Info!$A$1:$E$222,5,0)),0,VLOOKUP($A191,DD_Info!$A$1:$E$222,5,0))</f>
        <v>2</v>
      </c>
      <c r="C191" t="str">
        <f>IF(ISNA(VLOOKUP($A191,DD_Info!$A$1:$E$222,2,0)),0,VLOOKUP($A191,DD_Info!$A$1:$E$222,2,0))</f>
        <v>Steven  Knight</v>
      </c>
      <c r="D191" t="str">
        <f>IF(ISNA(VLOOKUP($A191,DD_Info!$A$1:$E$222,3,0)),0,VLOOKUP($A191,DD_Info!$A$1:$E$222,3,0))</f>
        <v>San Angelo</v>
      </c>
      <c r="E191">
        <f>ROUND(SUMIF(Councils!$C$6:$C$809,$A191,Councils!$E$6:$E$809),0)</f>
        <v>473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1</v>
      </c>
    </row>
    <row r="192" spans="1:14">
      <c r="A192" s="67">
        <v>229</v>
      </c>
      <c r="B192" s="80">
        <f>IF(ISNA(VLOOKUP($A192,DD_Info!$A$1:$E$222,5,0)),0,VLOOKUP($A192,DD_Info!$A$1:$E$222,5,0))</f>
        <v>2</v>
      </c>
      <c r="C192" t="str">
        <f>IF(ISNA(VLOOKUP($A192,DD_Info!$A$1:$E$222,2,0)),0,VLOOKUP($A192,DD_Info!$A$1:$E$222,2,0))</f>
        <v>Gregory  Huffman</v>
      </c>
      <c r="D192" t="str">
        <f>IF(ISNA(VLOOKUP($A192,DD_Info!$A$1:$E$222,3,0)),0,VLOOKUP($A192,DD_Info!$A$1:$E$222,3,0))</f>
        <v>San Angelo</v>
      </c>
      <c r="E192">
        <f>ROUND(SUMIF(Councils!$C$6:$C$809,$A192,Councils!$E$6:$E$809),0)</f>
        <v>363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1</v>
      </c>
      <c r="K192">
        <f>ROUND(SUMIF(Councils!$C$6:$C$809,$A192,Councils!$T$6:$T$809)*0.7,0)</f>
        <v>1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1</v>
      </c>
    </row>
    <row r="193" spans="1:14">
      <c r="A193" s="67">
        <v>230</v>
      </c>
      <c r="B193" s="80">
        <f>IF(ISNA(VLOOKUP($A193,DD_Info!$A$1:$E$222,5,0)),0,VLOOKUP($A193,DD_Info!$A$1:$E$222,5,0))</f>
        <v>3</v>
      </c>
      <c r="C193" t="str">
        <f>IF(ISNA(VLOOKUP($A193,DD_Info!$A$1:$E$222,2,0)),0,VLOOKUP($A193,DD_Info!$A$1:$E$222,2,0))</f>
        <v>Joe  Jacobo</v>
      </c>
      <c r="D193" t="str">
        <f>IF(ISNA(VLOOKUP($A193,DD_Info!$A$1:$E$222,3,0)),0,VLOOKUP($A193,DD_Info!$A$1:$E$222,3,0))</f>
        <v>San Angelo</v>
      </c>
      <c r="E193">
        <f>ROUND(SUMIF(Councils!$C$6:$C$809,$A193,Councils!$E$6:$E$809),0)</f>
        <v>14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1</v>
      </c>
    </row>
    <row r="194" spans="1:14">
      <c r="A194" s="67">
        <v>231</v>
      </c>
      <c r="B194" s="80">
        <f>IF(ISNA(VLOOKUP($A194,DD_Info!$A$1:$E$222,5,0)),0,VLOOKUP($A194,DD_Info!$A$1:$E$222,5,0))</f>
        <v>2</v>
      </c>
      <c r="C194" t="str">
        <f>IF(ISNA(VLOOKUP($A194,DD_Info!$A$1:$E$222,2,0)),0,VLOOKUP($A194,DD_Info!$A$1:$E$222,2,0))</f>
        <v>Isaac A Gonzalez</v>
      </c>
      <c r="D194" t="str">
        <f>IF(ISNA(VLOOKUP($A194,DD_Info!$A$1:$E$222,3,0)),0,VLOOKUP($A194,DD_Info!$A$1:$E$222,3,0))</f>
        <v>Laredo</v>
      </c>
      <c r="E194">
        <f>ROUND(SUMIF(Councils!$C$6:$C$809,$A194,Councils!$E$6:$E$809),0)</f>
        <v>354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0</v>
      </c>
      <c r="K194">
        <f>ROUND(SUMIF(Councils!$C$6:$C$809,$A194,Councils!$T$6:$T$809)*0.7,0)</f>
        <v>1</v>
      </c>
      <c r="L194">
        <f>ROUND(SUMIF(Councils!$C$6:$C$809,$A194,Councils!$U$6:$U$809)*0.7,0)</f>
        <v>-1</v>
      </c>
      <c r="M194" s="63">
        <f t="shared" ref="M194:M208" si="8">IFERROR(L194/F194,0)</f>
        <v>0</v>
      </c>
      <c r="N194">
        <f t="shared" si="5"/>
        <v>1</v>
      </c>
    </row>
    <row r="195" spans="1:14">
      <c r="A195" s="67">
        <v>232</v>
      </c>
      <c r="B195" s="80">
        <f>IF(ISNA(VLOOKUP($A195,DD_Info!$A$1:$E$222,5,0)),0,VLOOKUP($A195,DD_Info!$A$1:$E$222,5,0))</f>
        <v>3</v>
      </c>
      <c r="C195" t="str">
        <f>IF(ISNA(VLOOKUP($A195,DD_Info!$A$1:$E$222,2,0)),0,VLOOKUP($A195,DD_Info!$A$1:$E$222,2,0))</f>
        <v>Jose Luis  Rodriguez</v>
      </c>
      <c r="D195" t="str">
        <f>IF(ISNA(VLOOKUP($A195,DD_Info!$A$1:$E$222,3,0)),0,VLOOKUP($A195,DD_Info!$A$1:$E$222,3,0))</f>
        <v>Laredo</v>
      </c>
      <c r="E195">
        <f>ROUND(SUMIF(Councils!$C$6:$C$809,$A195,Councils!$E$6:$E$809),0)</f>
        <v>189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8"/>
        <v>0</v>
      </c>
      <c r="N195">
        <f t="shared" si="5"/>
        <v>1</v>
      </c>
    </row>
    <row r="196" spans="1:14">
      <c r="A196" s="67">
        <v>233</v>
      </c>
      <c r="B196" s="80">
        <f>IF(ISNA(VLOOKUP($A196,DD_Info!$A$1:$E$222,5,0)),0,VLOOKUP($A196,DD_Info!$A$1:$E$222,5,0))</f>
        <v>3</v>
      </c>
      <c r="C196" t="str">
        <f>IF(ISNA(VLOOKUP($A196,DD_Info!$A$1:$E$222,2,0)),0,VLOOKUP($A196,DD_Info!$A$1:$E$222,2,0))</f>
        <v>Luis J Collazo</v>
      </c>
      <c r="D196" t="str">
        <f>IF(ISNA(VLOOKUP($A196,DD_Info!$A$1:$E$222,3,0)),0,VLOOKUP($A196,DD_Info!$A$1:$E$222,3,0))</f>
        <v>Laredo</v>
      </c>
      <c r="E196">
        <f>ROUND(SUMIF(Councils!$C$6:$C$809,$A196,Councils!$E$6:$E$809),0)</f>
        <v>135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0</v>
      </c>
      <c r="L196">
        <f>ROUND(SUMIF(Councils!$C$6:$C$809,$A196,Councils!$U$6:$U$809)*0.7,0)</f>
        <v>0</v>
      </c>
      <c r="M196" s="63">
        <f t="shared" si="8"/>
        <v>0</v>
      </c>
      <c r="N196">
        <f t="shared" ref="N196:N208" si="9">RANK(M196,$M$2:$M$208,0)</f>
        <v>1</v>
      </c>
    </row>
    <row r="197" spans="1:14">
      <c r="A197" s="67">
        <v>234</v>
      </c>
      <c r="B197" s="80">
        <f>IF(ISNA(VLOOKUP($A197,DD_Info!$A$1:$E$222,5,0)),0,VLOOKUP($A197,DD_Info!$A$1:$E$222,5,0))</f>
        <v>2</v>
      </c>
      <c r="C197" t="str">
        <f>IF(ISNA(VLOOKUP($A197,DD_Info!$A$1:$E$222,2,0)),0,VLOOKUP($A197,DD_Info!$A$1:$E$222,2,0))</f>
        <v>Jose A Ramos</v>
      </c>
      <c r="D197" t="str">
        <f>IF(ISNA(VLOOKUP($A197,DD_Info!$A$1:$E$222,3,0)),0,VLOOKUP($A197,DD_Info!$A$1:$E$222,3,0))</f>
        <v>Laredo</v>
      </c>
      <c r="E197">
        <f>ROUND(SUMIF(Councils!$C$6:$C$809,$A197,Councils!$E$6:$E$809),0)</f>
        <v>332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1</v>
      </c>
      <c r="K197">
        <f>ROUND(SUMIF(Councils!$C$6:$C$809,$A197,Councils!$T$6:$T$809)*0.7,0)</f>
        <v>0</v>
      </c>
      <c r="L197">
        <f>ROUND(SUMIF(Councils!$C$6:$C$809,$A197,Councils!$U$6:$U$809)*0.7,0)</f>
        <v>1</v>
      </c>
      <c r="M197" s="63">
        <f t="shared" si="8"/>
        <v>0</v>
      </c>
      <c r="N197">
        <f t="shared" si="9"/>
        <v>1</v>
      </c>
    </row>
    <row r="198" spans="1:14">
      <c r="A198" s="67">
        <v>235</v>
      </c>
      <c r="B198" s="80">
        <f>IF(ISNA(VLOOKUP($A198,DD_Info!$A$1:$E$222,5,0)),0,VLOOKUP($A198,DD_Info!$A$1:$E$222,5,0))</f>
        <v>2</v>
      </c>
      <c r="C198" t="str">
        <f>IF(ISNA(VLOOKUP($A198,DD_Info!$A$1:$E$222,2,0)),0,VLOOKUP($A198,DD_Info!$A$1:$E$222,2,0))</f>
        <v>Luciano V Vargas</v>
      </c>
      <c r="D198" t="str">
        <f>IF(ISNA(VLOOKUP($A198,DD_Info!$A$1:$E$222,3,0)),0,VLOOKUP($A198,DD_Info!$A$1:$E$222,3,0))</f>
        <v>Laredo</v>
      </c>
      <c r="E198">
        <f>ROUND(SUMIF(Councils!$C$6:$C$809,$A198,Councils!$E$6:$E$809),0)</f>
        <v>307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0</v>
      </c>
      <c r="K198">
        <f>ROUND(SUMIF(Councils!$C$6:$C$809,$A198,Councils!$T$6:$T$809)*0.7,0)</f>
        <v>1</v>
      </c>
      <c r="L198">
        <f>ROUND(SUMIF(Councils!$C$6:$C$809,$A198,Councils!$U$6:$U$809)*0.7,0)</f>
        <v>-1</v>
      </c>
      <c r="M198" s="63">
        <f t="shared" si="8"/>
        <v>0</v>
      </c>
      <c r="N198">
        <f t="shared" si="9"/>
        <v>1</v>
      </c>
    </row>
    <row r="199" spans="1:14">
      <c r="A199" s="67">
        <v>236</v>
      </c>
      <c r="B199" s="80">
        <f>IF(ISNA(VLOOKUP($A199,DD_Info!$A$1:$E$222,5,0)),0,VLOOKUP($A199,DD_Info!$A$1:$E$222,5,0))</f>
        <v>3</v>
      </c>
      <c r="C199" t="str">
        <f>IF(ISNA(VLOOKUP($A199,DD_Info!$A$1:$E$222,2,0)),0,VLOOKUP($A199,DD_Info!$A$1:$E$222,2,0))</f>
        <v>Enrique  Adriano</v>
      </c>
      <c r="D199" t="str">
        <f>IF(ISNA(VLOOKUP($A199,DD_Info!$A$1:$E$222,3,0)),0,VLOOKUP($A199,DD_Info!$A$1:$E$222,3,0))</f>
        <v>Laredo</v>
      </c>
      <c r="E199">
        <f>ROUND(SUMIF(Councils!$C$6:$C$809,$A199,Councils!$E$6:$E$809),0)</f>
        <v>193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0</v>
      </c>
      <c r="M199" s="63">
        <f t="shared" si="8"/>
        <v>0</v>
      </c>
      <c r="N199">
        <f t="shared" si="9"/>
        <v>1</v>
      </c>
    </row>
    <row r="200" spans="1:14">
      <c r="A200" s="67">
        <v>237</v>
      </c>
      <c r="B200" s="80">
        <f>IF(ISNA(VLOOKUP($A200,DD_Info!$A$1:$E$222,5,0)),0,VLOOKUP($A200,DD_Info!$A$1:$E$222,5,0))</f>
        <v>3</v>
      </c>
      <c r="C200" t="str">
        <f>IF(ISNA(VLOOKUP($A200,DD_Info!$A$1:$E$222,2,0)),0,VLOOKUP($A200,DD_Info!$A$1:$E$222,2,0))</f>
        <v>Eduardo  Benavidez</v>
      </c>
      <c r="D200" t="str">
        <f>IF(ISNA(VLOOKUP($A200,DD_Info!$A$1:$E$222,3,0)),0,VLOOKUP($A200,DD_Info!$A$1:$E$222,3,0))</f>
        <v>Laredo</v>
      </c>
      <c r="E200">
        <f>ROUND(SUMIF(Councils!$C$6:$C$809,$A200,Councils!$E$6:$E$809),0)</f>
        <v>155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1</v>
      </c>
      <c r="L200">
        <f>ROUND(SUMIF(Councils!$C$6:$C$809,$A200,Councils!$U$6:$U$809)*0.7,0)</f>
        <v>-1</v>
      </c>
      <c r="M200" s="63">
        <f t="shared" si="8"/>
        <v>0</v>
      </c>
      <c r="N200">
        <f t="shared" si="9"/>
        <v>1</v>
      </c>
    </row>
    <row r="201" spans="1:14">
      <c r="A201" s="67">
        <v>238</v>
      </c>
      <c r="B201" s="80">
        <f>IF(ISNA(VLOOKUP($A201,DD_Info!$A$1:$E$222,5,0)),0,VLOOKUP($A201,DD_Info!$A$1:$E$222,5,0))</f>
        <v>3</v>
      </c>
      <c r="C201" t="str">
        <f>IF(ISNA(VLOOKUP($A201,DD_Info!$A$1:$E$222,2,0)),0,VLOOKUP($A201,DD_Info!$A$1:$E$222,2,0))</f>
        <v>Adan  Gonzalez</v>
      </c>
      <c r="D201" t="str">
        <f>IF(ISNA(VLOOKUP($A201,DD_Info!$A$1:$E$222,3,0)),0,VLOOKUP($A201,DD_Info!$A$1:$E$222,3,0))</f>
        <v>Laredo</v>
      </c>
      <c r="E201">
        <f>ROUND(SUMIF(Councils!$C$6:$C$809,$A201,Councils!$E$6:$E$809),0)</f>
        <v>176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8"/>
        <v>0</v>
      </c>
      <c r="N201">
        <f t="shared" si="9"/>
        <v>1</v>
      </c>
    </row>
    <row r="202" spans="1:14">
      <c r="A202" s="67">
        <v>241</v>
      </c>
      <c r="B202" s="80">
        <f>IF(ISNA(VLOOKUP($A202,DD_Info!$A$1:$E$222,5,0)),0,VLOOKUP($A202,DD_Info!$A$1:$E$222,5,0))</f>
        <v>3</v>
      </c>
      <c r="C202" t="str">
        <f>IF(ISNA(VLOOKUP($A202,DD_Info!$A$1:$E$222,2,0)),0,VLOOKUP($A202,DD_Info!$A$1:$E$222,2,0))</f>
        <v>Arlie E Markusen</v>
      </c>
      <c r="D202" t="str">
        <f>IF(ISNA(VLOOKUP($A202,DD_Info!$A$1:$E$222,3,0)),0,VLOOKUP($A202,DD_Info!$A$1:$E$222,3,0))</f>
        <v>Lubbock</v>
      </c>
      <c r="E202">
        <f>ROUND(SUMIF(Councils!$C$6:$C$809,$A202,Councils!$E$6:$E$809),0)</f>
        <v>93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0</v>
      </c>
      <c r="L202">
        <f>ROUND(SUMIF(Councils!$C$6:$C$809,$A202,Councils!$U$6:$U$809)*0.7,0)</f>
        <v>0</v>
      </c>
      <c r="M202" s="63">
        <f t="shared" si="8"/>
        <v>0</v>
      </c>
      <c r="N202">
        <f t="shared" si="9"/>
        <v>1</v>
      </c>
    </row>
    <row r="203" spans="1:14">
      <c r="A203" s="67">
        <v>242</v>
      </c>
      <c r="B203" s="80">
        <f>IF(ISNA(VLOOKUP($A203,DD_Info!$A$1:$E$222,5,0)),0,VLOOKUP($A203,DD_Info!$A$1:$E$222,5,0))</f>
        <v>3</v>
      </c>
      <c r="C203" t="str">
        <f>IF(ISNA(VLOOKUP($A203,DD_Info!$A$1:$E$222,2,0)),0,VLOOKUP($A203,DD_Info!$A$1:$E$222,2,0))</f>
        <v>TO BE APPOINTED</v>
      </c>
      <c r="D203" t="str">
        <f>IF(ISNA(VLOOKUP($A203,DD_Info!$A$1:$E$222,3,0)),0,VLOOKUP($A203,DD_Info!$A$1:$E$222,3,0))</f>
        <v>Lubbock</v>
      </c>
      <c r="E203">
        <f>ROUND(SUMIF(Councils!$C$6:$C$809,$A203,Councils!$E$6:$E$809),0)</f>
        <v>114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1</v>
      </c>
      <c r="L203">
        <f>ROUND(SUMIF(Councils!$C$6:$C$809,$A203,Councils!$U$6:$U$809)*0.7,0)</f>
        <v>-1</v>
      </c>
      <c r="M203" s="63">
        <f t="shared" si="8"/>
        <v>0</v>
      </c>
      <c r="N203">
        <f t="shared" si="9"/>
        <v>1</v>
      </c>
    </row>
    <row r="204" spans="1:14">
      <c r="A204" s="67">
        <v>243</v>
      </c>
      <c r="B204" s="80">
        <f>IF(ISNA(VLOOKUP($A204,DD_Info!$A$1:$E$222,5,0)),0,VLOOKUP($A204,DD_Info!$A$1:$E$222,5,0))</f>
        <v>2</v>
      </c>
      <c r="C204" t="str">
        <f>IF(ISNA(VLOOKUP($A204,DD_Info!$A$1:$E$222,2,0)),0,VLOOKUP($A204,DD_Info!$A$1:$E$222,2,0))</f>
        <v>Brad  Simmons</v>
      </c>
      <c r="D204" t="str">
        <f>IF(ISNA(VLOOKUP($A204,DD_Info!$A$1:$E$222,3,0)),0,VLOOKUP($A204,DD_Info!$A$1:$E$222,3,0))</f>
        <v>Lubbock</v>
      </c>
      <c r="E204">
        <f>ROUND(SUMIF(Councils!$C$6:$C$809,$A204,Councils!$E$6:$E$809),0)</f>
        <v>455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1</v>
      </c>
      <c r="I204">
        <f>ROUND(SUMIF(Councils!$C$6:$C$809,$A204,Councils!$R$6:$R$809)*0.7,0)</f>
        <v>-1</v>
      </c>
      <c r="J204">
        <f>ROUND(SUMIF(Councils!$C$6:$C$809,$A204,Councils!$S$6:$S$809)*0.7,0)</f>
        <v>1</v>
      </c>
      <c r="K204">
        <f>ROUND(SUMIF(Councils!$C$6:$C$809,$A204,Councils!$T$6:$T$809)*0.7,0)</f>
        <v>2</v>
      </c>
      <c r="L204">
        <f>ROUND(SUMIF(Councils!$C$6:$C$809,$A204,Councils!$U$6:$U$809)*0.7,0)</f>
        <v>-1</v>
      </c>
      <c r="M204" s="63">
        <f t="shared" si="8"/>
        <v>0</v>
      </c>
      <c r="N204">
        <f t="shared" si="9"/>
        <v>1</v>
      </c>
    </row>
    <row r="205" spans="1:14">
      <c r="A205" s="67">
        <v>244</v>
      </c>
      <c r="B205" s="80">
        <f>IF(ISNA(VLOOKUP($A205,DD_Info!$A$1:$E$222,5,0)),0,VLOOKUP($A205,DD_Info!$A$1:$E$222,5,0))</f>
        <v>2</v>
      </c>
      <c r="C205" t="str">
        <f>IF(ISNA(VLOOKUP($A205,DD_Info!$A$1:$E$222,2,0)),0,VLOOKUP($A205,DD_Info!$A$1:$E$222,2,0))</f>
        <v>Joe  Leos</v>
      </c>
      <c r="D205" t="str">
        <f>IF(ISNA(VLOOKUP($A205,DD_Info!$A$1:$E$222,3,0)),0,VLOOKUP($A205,DD_Info!$A$1:$E$222,3,0))</f>
        <v>Lubbock</v>
      </c>
      <c r="E205">
        <f>ROUND(SUMIF(Councils!$C$6:$C$809,$A205,Councils!$E$6:$E$809),0)</f>
        <v>308</v>
      </c>
      <c r="F205">
        <f>ROUND(SUMIF(Councils!$C$6:$C$809,$A205,Councils!$O$6:$O$809)*0.7,0)</f>
        <v>0</v>
      </c>
      <c r="G205">
        <f>ROUND(SUMIF(Councils!$C$6:$C$809,$A205,Councils!$P$6:$P$809)*0.7,0)</f>
        <v>1</v>
      </c>
      <c r="H205">
        <f>ROUND(SUMIF(Councils!$C$6:$C$809,$A205,Councils!$Q$6:$Q$809)*0.7,0)</f>
        <v>1</v>
      </c>
      <c r="I205">
        <f>ROUND(SUMIF(Councils!$C$6:$C$809,$A205,Councils!$R$6:$R$809)*0.7,0)</f>
        <v>0</v>
      </c>
      <c r="J205">
        <f>ROUND(SUMIF(Councils!$C$6:$C$809,$A205,Councils!$S$6:$S$809)*0.7,0)</f>
        <v>2</v>
      </c>
      <c r="K205">
        <f>ROUND(SUMIF(Councils!$C$6:$C$809,$A205,Councils!$T$6:$T$809)*0.7,0)</f>
        <v>2</v>
      </c>
      <c r="L205">
        <f>ROUND(SUMIF(Councils!$C$6:$C$809,$A205,Councils!$U$6:$U$809)*0.7,0)</f>
        <v>0</v>
      </c>
      <c r="M205" s="63">
        <f t="shared" si="8"/>
        <v>0</v>
      </c>
      <c r="N205">
        <f t="shared" si="9"/>
        <v>1</v>
      </c>
    </row>
    <row r="206" spans="1:14">
      <c r="A206" s="67">
        <v>245</v>
      </c>
      <c r="B206" s="80">
        <f>IF(ISNA(VLOOKUP($A206,DD_Info!$A$1:$E$222,5,0)),0,VLOOKUP($A206,DD_Info!$A$1:$E$222,5,0))</f>
        <v>3</v>
      </c>
      <c r="C206" t="str">
        <f>IF(ISNA(VLOOKUP($A206,DD_Info!$A$1:$E$222,2,0)),0,VLOOKUP($A206,DD_Info!$A$1:$E$222,2,0))</f>
        <v>Leandro H Trinidad , Jr</v>
      </c>
      <c r="D206" t="str">
        <f>IF(ISNA(VLOOKUP($A206,DD_Info!$A$1:$E$222,3,0)),0,VLOOKUP($A206,DD_Info!$A$1:$E$222,3,0))</f>
        <v>Lubbock</v>
      </c>
      <c r="E206">
        <f>ROUND(SUMIF(Councils!$C$6:$C$809,$A206,Councils!$E$6:$E$809),0)</f>
        <v>284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1</v>
      </c>
      <c r="I206">
        <f>ROUND(SUMIF(Councils!$C$6:$C$809,$A206,Councils!$R$6:$R$809)*0.7,0)</f>
        <v>-1</v>
      </c>
      <c r="J206">
        <f>ROUND(SUMIF(Councils!$C$6:$C$809,$A206,Councils!$S$6:$S$809)*0.7,0)</f>
        <v>1</v>
      </c>
      <c r="K206">
        <f>ROUND(SUMIF(Councils!$C$6:$C$809,$A206,Councils!$T$6:$T$809)*0.7,0)</f>
        <v>2</v>
      </c>
      <c r="L206">
        <f>ROUND(SUMIF(Councils!$C$6:$C$809,$A206,Councils!$U$6:$U$809)*0.7,0)</f>
        <v>-1</v>
      </c>
      <c r="M206" s="63">
        <f t="shared" si="8"/>
        <v>0</v>
      </c>
      <c r="N206">
        <f t="shared" si="9"/>
        <v>1</v>
      </c>
    </row>
    <row r="207" spans="1:14">
      <c r="A207" s="67">
        <v>246</v>
      </c>
      <c r="B207" s="80">
        <f>IF(ISNA(VLOOKUP($A207,DD_Info!$A$1:$E$222,5,0)),0,VLOOKUP($A207,DD_Info!$A$1:$E$222,5,0))</f>
        <v>1</v>
      </c>
      <c r="C207" t="str">
        <f>IF(ISNA(VLOOKUP($A207,DD_Info!$A$1:$E$222,2,0)),0,VLOOKUP($A207,DD_Info!$A$1:$E$222,2,0))</f>
        <v>Francisco  Sotelo</v>
      </c>
      <c r="D207" t="str">
        <f>IF(ISNA(VLOOKUP($A207,DD_Info!$A$1:$E$222,3,0)),0,VLOOKUP($A207,DD_Info!$A$1:$E$222,3,0))</f>
        <v>Lubbock</v>
      </c>
      <c r="E207">
        <f>ROUND(SUMIF(Councils!$C$6:$C$809,$A207,Councils!$E$6:$E$809),0)</f>
        <v>750</v>
      </c>
      <c r="F207">
        <f>ROUND(SUMIF(Councils!$C$6:$C$809,$A207,Councils!$O$6:$O$809)*0.7,0)</f>
        <v>0</v>
      </c>
      <c r="G207">
        <f>ROUND(SUMIF(Councils!$C$6:$C$809,$A207,Councils!$P$6:$P$809)*0.7,0)</f>
        <v>1</v>
      </c>
      <c r="H207">
        <f>ROUND(SUMIF(Councils!$C$6:$C$809,$A207,Councils!$Q$6:$Q$809)*0.7,0)</f>
        <v>0</v>
      </c>
      <c r="I207">
        <f>ROUND(SUMIF(Councils!$C$6:$C$809,$A207,Councils!$R$6:$R$809)*0.7,0)</f>
        <v>1</v>
      </c>
      <c r="J207">
        <f>ROUND(SUMIF(Councils!$C$6:$C$809,$A207,Councils!$S$6:$S$809)*0.7,0)</f>
        <v>6</v>
      </c>
      <c r="K207">
        <f>ROUND(SUMIF(Councils!$C$6:$C$809,$A207,Councils!$T$6:$T$809)*0.7,0)</f>
        <v>2</v>
      </c>
      <c r="L207">
        <f>ROUND(SUMIF(Councils!$C$6:$C$809,$A207,Councils!$U$6:$U$809)*0.7,0)</f>
        <v>4</v>
      </c>
      <c r="M207" s="63">
        <f t="shared" si="8"/>
        <v>0</v>
      </c>
      <c r="N207">
        <f t="shared" si="9"/>
        <v>1</v>
      </c>
    </row>
    <row r="208" spans="1:14">
      <c r="A208" t="s">
        <v>93</v>
      </c>
      <c r="B208" s="80">
        <f>IF(ISNA(VLOOKUP($A208,DD_Info!$A$1:$E$222,5,0)),0,VLOOKUP($A208,DD_Info!$A$1:$E$222,5,0))</f>
        <v>0</v>
      </c>
      <c r="E208">
        <f>ROUND(SUMIF(Councils!$C$6:$C$809,$A208,Councils!$E$6:$E$809),0)</f>
        <v>122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1</v>
      </c>
      <c r="L208">
        <f>ROUND(SUMIF(Councils!$C$6:$C$809,$A208,Councils!$U$6:$U$809)*0.7,0)</f>
        <v>-1</v>
      </c>
      <c r="M208" s="63">
        <f t="shared" si="8"/>
        <v>0</v>
      </c>
      <c r="N208">
        <f t="shared" si="9"/>
        <v>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5052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302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13</v>
      </c>
      <c r="J3">
        <f>IF(ISNA(VLOOKUP($A3,Councils!$B$6:$AE$841,11,0)),0,VLOOKUP($A3,Councils!$B$6:$AE$841,11,0))</f>
        <v>-13</v>
      </c>
      <c r="K3" s="63">
        <f>IFERROR(J3/D3,0)</f>
        <v>-1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5656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249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8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8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11169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138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0.14285714285714285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11716</v>
      </c>
      <c r="B6" t="str">
        <f>IF(ISNA(VLOOKUP($A6,Councils!$B$6:$AE$841,3,0)),0,VLOOKUP($A6,Councils!$B$6:$AE$841,3,0))</f>
        <v>Plano</v>
      </c>
      <c r="C6">
        <f>IF(ISNA(VLOOKUP($A6,Councils!$B$6:$AE$841,4,0)),0,VLOOKUP($A6,Councils!$B$6:$AE$841,4,0))</f>
        <v>251</v>
      </c>
      <c r="D6">
        <f>IF(ISNA(VLOOKUP($A6,Councils!$B$6:$AE$841,5,0)),0,VLOOKUP($A6,Councils!$B$6:$AE$841,5,0))</f>
        <v>12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0.16666666666666666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1</v>
      </c>
    </row>
  </sheetData>
  <conditionalFormatting sqref="A3:A4">
    <cfRule type="expression" dxfId="105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6887</v>
      </c>
      <c r="B3" t="str">
        <f>IF(ISNA(VLOOKUP($A3,Councils!$B$6:$AE$841,3,0)),0,VLOOKUP($A3,Councils!$B$6:$AE$841,3,0))</f>
        <v>Terrell</v>
      </c>
      <c r="C3">
        <f>IF(ISNA(VLOOKUP($A3,Councils!$B$6:$AE$841,4,0)),0,VLOOKUP($A3,Councils!$B$6:$AE$841,4,0))</f>
        <v>84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11721</v>
      </c>
      <c r="B4" t="str">
        <f>IF(ISNA(VLOOKUP($A4,Councils!$B$6:$AE$841,3,0)),0,VLOOKUP($A4,Councils!$B$6:$AE$841,3,0))</f>
        <v>Kaufman</v>
      </c>
      <c r="C4">
        <f>IF(ISNA(VLOOKUP($A4,Councils!$B$6:$AE$841,4,0)),0,VLOOKUP($A4,Councils!$B$6:$AE$841,4,0))</f>
        <v>93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13133</v>
      </c>
      <c r="B5" t="str">
        <f>IF(ISNA(VLOOKUP($A5,Councils!$B$6:$AE$841,3,0)),0,VLOOKUP($A5,Councils!$B$6:$AE$841,3,0))</f>
        <v>Talty</v>
      </c>
      <c r="C5">
        <f>IF(ISNA(VLOOKUP($A5,Councils!$B$6:$AE$841,4,0)),0,VLOOKUP($A5,Councils!$B$6:$AE$841,4,0))</f>
        <v>162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13158</v>
      </c>
      <c r="B6" t="str">
        <f>IF(ISNA(VLOOKUP($A6,Councils!$B$6:$AE$841,3,0)),0,VLOOKUP($A6,Councils!$B$6:$AE$841,3,0))</f>
        <v>Mesquite</v>
      </c>
      <c r="C6">
        <f>IF(ISNA(VLOOKUP($A6,Councils!$B$6:$AE$841,4,0)),0,VLOOKUP($A6,Councils!$B$6:$AE$841,4,0))</f>
        <v>120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10245</v>
      </c>
      <c r="B3" t="str">
        <f>IF(ISNA(VLOOKUP($A3,Councils!$B$6:$AE$841,3,0)),0,VLOOKUP($A3,Councils!$B$6:$AE$841,3,0))</f>
        <v>Coppell</v>
      </c>
      <c r="C3">
        <f>IF(ISNA(VLOOKUP($A3,Councils!$B$6:$AE$841,4,0)),0,VLOOKUP($A3,Councils!$B$6:$AE$841,4,0))</f>
        <v>359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13520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338</v>
      </c>
      <c r="D4">
        <f>IF(ISNA(VLOOKUP($A4,Councils!$B$6:$AE$841,5,0)),0,VLOOKUP($A4,Councils!$B$6:$AE$841,5,0))</f>
        <v>17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15033</v>
      </c>
      <c r="B5" t="str">
        <f>IF(ISNA(VLOOKUP($A5,Councils!$B$6:$AE$841,3,0)),0,VLOOKUP($A5,Councils!$B$6:$AE$841,3,0))</f>
        <v>Irving</v>
      </c>
      <c r="C5">
        <f>IF(ISNA(VLOOKUP($A5,Councils!$B$6:$AE$841,4,0)),0,VLOOKUP($A5,Councils!$B$6:$AE$841,4,0))</f>
        <v>125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4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3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7017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105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8157</v>
      </c>
      <c r="B4" t="str">
        <f>IF(ISNA(VLOOKUP($A4,Councils!$B$6:$AE$841,3,0)),0,VLOOKUP($A4,Councils!$B$6:$AE$841,3,0))</f>
        <v>Duncanville</v>
      </c>
      <c r="C4">
        <f>IF(ISNA(VLOOKUP($A4,Councils!$B$6:$AE$841,4,0)),0,VLOOKUP($A4,Councils!$B$6:$AE$841,4,0))</f>
        <v>244</v>
      </c>
      <c r="D4">
        <f>IF(ISNA(VLOOKUP($A4,Councils!$B$6:$AE$841,5,0)),0,VLOOKUP($A4,Councils!$B$6:$AE$841,5,0))</f>
        <v>11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0.45454545454545453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12484</v>
      </c>
      <c r="B5" t="str">
        <f>IF(ISNA(VLOOKUP($A5,Councils!$B$6:$AE$841,3,0)),0,VLOOKUP($A5,Councils!$B$6:$AE$841,3,0))</f>
        <v>Lancaster</v>
      </c>
      <c r="C5">
        <f>IF(ISNA(VLOOKUP($A5,Councils!$B$6:$AE$841,4,0)),0,VLOOKUP($A5,Councils!$B$6:$AE$841,4,0))</f>
        <v>91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  <row r="6" spans="1:22">
      <c r="A6" s="50">
        <v>17111</v>
      </c>
      <c r="B6" t="str">
        <f>IF(ISNA(VLOOKUP($A6,Councils!$B$6:$AE$841,3,0)),0,VLOOKUP($A6,Councils!$B$6:$AE$841,3,0))</f>
        <v>Dallas</v>
      </c>
      <c r="C6">
        <f>IF(ISNA(VLOOKUP($A6,Councils!$B$6:$AE$841,4,0)),0,VLOOKUP($A6,Councils!$B$6:$AE$841,4,0))</f>
        <v>42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3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5538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127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7438</v>
      </c>
      <c r="B4" t="str">
        <f>IF(ISNA(VLOOKUP($A4,Councils!$B$6:$AE$841,3,0)),0,VLOOKUP($A4,Councils!$B$6:$AE$841,3,0))</f>
        <v>Greenville</v>
      </c>
      <c r="C4">
        <f>IF(ISNA(VLOOKUP($A4,Councils!$B$6:$AE$841,4,0)),0,VLOOKUP($A4,Councils!$B$6:$AE$841,4,0))</f>
        <v>136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3</v>
      </c>
      <c r="K4" s="63">
        <f>IFERROR(J4/D4,0)</f>
        <v>0.42857142857142855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12300</v>
      </c>
      <c r="B5" t="str">
        <f>IF(ISNA(VLOOKUP($A5,Councils!$B$6:$AE$841,3,0)),0,VLOOKUP($A5,Councils!$B$6:$AE$841,3,0))</f>
        <v>Wylie</v>
      </c>
      <c r="C5">
        <f>IF(ISNA(VLOOKUP($A5,Councils!$B$6:$AE$841,4,0)),0,VLOOKUP($A5,Councils!$B$6:$AE$841,4,0))</f>
        <v>258</v>
      </c>
      <c r="D5">
        <f>IF(ISNA(VLOOKUP($A5,Councils!$B$6:$AE$841,5,0)),0,VLOOKUP($A5,Councils!$B$6:$AE$841,5,0))</f>
        <v>12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8.3333333333333329E-2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16202</v>
      </c>
      <c r="B6" t="str">
        <f>IF(ISNA(VLOOKUP($A6,Councils!$B$6:$AE$841,3,0)),0,VLOOKUP($A6,Councils!$B$6:$AE$841,3,0))</f>
        <v>Commerce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4">
    <cfRule type="expression" dxfId="102" priority="2">
      <formula>IF(AND($H4="*"),($R4="*"))</formula>
    </cfRule>
  </conditionalFormatting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workbookViewId="0"/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6065</v>
      </c>
      <c r="B3" t="str">
        <f>IF(ISNA(VLOOKUP($A3,Councils!$B$6:$AE$841,3,0)),0,VLOOKUP($A3,Councils!$B$6:$AE$841,3,0))</f>
        <v>Plano</v>
      </c>
      <c r="C3">
        <f>IF(ISNA(VLOOKUP($A3,Councils!$B$6:$AE$841,4,0)),0,VLOOKUP($A3,Councils!$B$6:$AE$841,4,0))</f>
        <v>394</v>
      </c>
      <c r="D3">
        <f>IF(ISNA(VLOOKUP($A3,Councils!$B$6:$AE$841,5,0)),0,VLOOKUP($A3,Councils!$B$6:$AE$841,5,0))</f>
        <v>19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12</v>
      </c>
      <c r="K3" s="63">
        <f>IFERROR(J3/D3,0)</f>
        <v>0.63157894736842102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7850</v>
      </c>
      <c r="B4" t="str">
        <f>IF(ISNA(VLOOKUP($A4,Councils!$B$6:$AE$841,3,0)),0,VLOOKUP($A4,Councils!$B$6:$AE$841,3,0))</f>
        <v>Plano</v>
      </c>
      <c r="C4">
        <f>IF(ISNA(VLOOKUP($A4,Councils!$B$6:$AE$841,4,0)),0,VLOOKUP($A4,Councils!$B$6:$AE$841,4,0))</f>
        <v>349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12480</v>
      </c>
      <c r="B5" t="str">
        <f>IF(ISNA(VLOOKUP($A5,Councils!$B$6:$AE$841,3,0)),0,VLOOKUP($A5,Councils!$B$6:$AE$841,3,0))</f>
        <v>Frisco</v>
      </c>
      <c r="C5">
        <f>IF(ISNA(VLOOKUP($A5,Councils!$B$6:$AE$841,4,0)),0,VLOOKUP($A5,Councils!$B$6:$AE$841,4,0))</f>
        <v>562</v>
      </c>
      <c r="D5">
        <f>IF(ISNA(VLOOKUP($A5,Councils!$B$6:$AE$841,5,0)),0,VLOOKUP($A5,Councils!$B$6:$AE$841,5,0))</f>
        <v>20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48</v>
      </c>
      <c r="G5">
        <f>IF(ISNA(VLOOKUP($A5,Councils!$B$6:$AE$81023,0)),0,VLOOKUP($A5,Councils!$B$6:$AE$841,8,0))</f>
        <v>-48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49</v>
      </c>
      <c r="J5">
        <f>IF(ISNA(VLOOKUP($A5,Councils!$B$6:$AE$841,11,0)),0,VLOOKUP($A5,Councils!$B$6:$AE$841,11,0))</f>
        <v>-46</v>
      </c>
      <c r="K5" s="63">
        <f>IFERROR(J5/D5,0)</f>
        <v>-2.2999999999999998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3</v>
      </c>
      <c r="P5">
        <f>IF(ISNA(VLOOKUP($A5,Councils!$B$6:$AE$841,17,0)),0,VLOOKUP($A5,Councils!$B$6:$AE$841,17,0))</f>
        <v>-2</v>
      </c>
      <c r="Q5">
        <f>IF(ISNA(VLOOKUP($A5,Councils!$B$6:$AE$841,18,0)),0,VLOOKUP($A5,Councils!$B$6:$AE$841,18,0))</f>
        <v>4</v>
      </c>
      <c r="R5">
        <f>IF(ISNA(VLOOKUP($A5,Councils!$B$6:$AE$841,19,0)),0,VLOOKUP($A5,Councils!$B$6:$AE$841,19,0))</f>
        <v>6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13044</v>
      </c>
      <c r="B6" t="str">
        <f>IF(ISNA(VLOOKUP($A6,Councils!$B$6:$AE$841,3,0)),0,VLOOKUP($A6,Councils!$B$6:$AE$841,3,0))</f>
        <v>Allen</v>
      </c>
      <c r="C6">
        <f>IF(ISNA(VLOOKUP($A6,Councils!$B$6:$AE$841,4,0)),0,VLOOKUP($A6,Councils!$B$6:$AE$841,4,0))</f>
        <v>226</v>
      </c>
      <c r="D6">
        <f>IF(ISNA(VLOOKUP($A6,Councils!$B$6:$AE$841,5,0)),0,VLOOKUP($A6,Councils!$B$6:$AE$841,5,0))</f>
        <v>11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26</v>
      </c>
      <c r="J6">
        <f>IF(ISNA(VLOOKUP($A6,Councils!$B$6:$AE$841,11,0)),0,VLOOKUP($A6,Councils!$B$6:$AE$841,11,0))</f>
        <v>-25</v>
      </c>
      <c r="K6" s="63">
        <f>IFERROR(J6/D6,0)</f>
        <v>-2.2727272727272729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6</v>
      </c>
      <c r="S6">
        <f>IF(ISNA(VLOOKUP($A6,Councils!$B$6:$AE$841,20,0)),0,VLOOKUP($A6,Councils!$B$6:$AE$841,20,0))</f>
        <v>-4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1</v>
      </c>
    </row>
  </sheetData>
  <conditionalFormatting sqref="A3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14568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123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0.66666666666666663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14810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53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76">
        <v>16375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48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16820</v>
      </c>
      <c r="B6" t="str">
        <f>IF(ISNA(VLOOKUP($A6,Councils!$B$6:$AE$841,3,0)),0,VLOOKUP($A6,Councils!$B$6:$AE$841,3,0))</f>
        <v>Dallas</v>
      </c>
      <c r="C6">
        <f>IF(ISNA(VLOOKUP($A6,Councils!$B$6:$AE$841,4,0)),0,VLOOKUP($A6,Councils!$B$6:$AE$841,4,0))</f>
        <v>42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6402</v>
      </c>
      <c r="B3" t="str">
        <f>IF(ISNA(VLOOKUP($A3,Councils!$B$6:$AE$841,3,0)),0,VLOOKUP($A3,Councils!$B$6:$AE$841,3,0))</f>
        <v>Garland</v>
      </c>
      <c r="C3">
        <f>IF(ISNA(VLOOKUP($A3,Councils!$B$6:$AE$841,4,0)),0,VLOOKUP($A3,Councils!$B$6:$AE$841,4,0))</f>
        <v>153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13068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36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13322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102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16665</v>
      </c>
      <c r="B6" t="str">
        <f>IF(ISNA(VLOOKUP($A6,Councils!$B$6:$AE$841,3,0)),0,VLOOKUP($A6,Councils!$B$6:$AE$841,3,0))</f>
        <v>Dallas</v>
      </c>
      <c r="C6">
        <f>IF(ISNA(VLOOKUP($A6,Councils!$B$6:$AE$841,4,0)),0,VLOOKUP($A6,Councils!$B$6:$AE$841,4,0))</f>
        <v>78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9903</v>
      </c>
      <c r="B3" t="str">
        <f>IF(ISNA(VLOOKUP($A3,Councils!$B$6:$AE$841,3,0)),0,VLOOKUP($A3,Councils!$B$6:$AE$841,3,0))</f>
        <v>Mckinney</v>
      </c>
      <c r="C3">
        <f>IF(ISNA(VLOOKUP($A3,Councils!$B$6:$AE$841,4,0)),0,VLOOKUP($A3,Councils!$B$6:$AE$841,4,0))</f>
        <v>205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11293</v>
      </c>
      <c r="B4" t="str">
        <f>IF(ISNA(VLOOKUP($A4,Councils!$B$6:$AE$841,3,0)),0,VLOOKUP($A4,Councils!$B$6:$AE$841,3,0))</f>
        <v>Allen</v>
      </c>
      <c r="C4">
        <f>IF(ISNA(VLOOKUP($A4,Councils!$B$6:$AE$841,4,0)),0,VLOOKUP($A4,Councils!$B$6:$AE$841,4,0))</f>
        <v>478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3</v>
      </c>
      <c r="F4">
        <f>IF(ISNA(VLOOKUP($A4,Councils!$B$6:$AE$841,7,0)),0,VLOOKUP($A4,Councils!$B$6:$AE$841,7,0))</f>
        <v>5</v>
      </c>
      <c r="G4">
        <f>IF(ISNA(VLOOKUP($A4,Councils!$B$6:$AE$81023,0)),0,VLOOKUP($A4,Councils!$B$6:$AE$841,8,0))</f>
        <v>-2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5</v>
      </c>
      <c r="J4">
        <f>IF(ISNA(VLOOKUP($A4,Councils!$B$6:$AE$841,11,0)),0,VLOOKUP($A4,Councils!$B$6:$AE$841,11,0))</f>
        <v>1</v>
      </c>
      <c r="K4" s="63">
        <f>IFERROR(J4/D4,0)</f>
        <v>0.05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-2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-4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12021</v>
      </c>
      <c r="B5" t="str">
        <f>IF(ISNA(VLOOKUP($A5,Councils!$B$6:$AE$841,3,0)),0,VLOOKUP($A5,Councils!$B$6:$AE$841,3,0))</f>
        <v>Richardson</v>
      </c>
      <c r="C5">
        <f>IF(ISNA(VLOOKUP($A5,Councils!$B$6:$AE$841,4,0)),0,VLOOKUP($A5,Councils!$B$6:$AE$841,4,0))</f>
        <v>131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0.16666666666666666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12153</v>
      </c>
      <c r="B6" t="str">
        <f>IF(ISNA(VLOOKUP($A6,Councils!$B$6:$AE$841,3,0)),0,VLOOKUP($A6,Councils!$B$6:$AE$841,3,0))</f>
        <v>Mckinney</v>
      </c>
      <c r="C6">
        <f>IF(ISNA(VLOOKUP($A6,Councils!$B$6:$AE$841,4,0)),0,VLOOKUP($A6,Councils!$B$6:$AE$841,4,0))</f>
        <v>324</v>
      </c>
      <c r="D6">
        <f>IF(ISNA(VLOOKUP($A6,Councils!$B$6:$AE$841,5,0)),0,VLOOKUP($A6,Councils!$B$6:$AE$841,5,0))</f>
        <v>16</v>
      </c>
      <c r="E6">
        <f>IF(ISNA(VLOOKUP($A6,Councils!$B$6:$AE$841,6,0)),0,VLOOKUP($A6,Councils!$B$6:$AE$841,6,0))</f>
        <v>2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2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1</v>
      </c>
      <c r="K6" s="63">
        <f>IFERROR(J6/D6,0)</f>
        <v>6.25E-2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3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1</v>
      </c>
    </row>
  </sheetData>
  <conditionalFormatting sqref="A3">
    <cfRule type="expression" dxfId="98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5243</v>
      </c>
      <c r="B3" t="str">
        <f>IF(ISNA(VLOOKUP($A3,Councils!$B$6:$AE$841,3,0)),0,VLOOKUP($A3,Councils!$B$6:$AE$841,3,0))</f>
        <v>Irving</v>
      </c>
      <c r="C3">
        <f>IF(ISNA(VLOOKUP($A3,Councils!$B$6:$AE$841,4,0)),0,VLOOKUP($A3,Councils!$B$6:$AE$841,4,0))</f>
        <v>262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10523</v>
      </c>
      <c r="B4" t="str">
        <f>IF(ISNA(VLOOKUP($A4,Councils!$B$6:$AE$841,3,0)),0,VLOOKUP($A4,Councils!$B$6:$AE$841,3,0))</f>
        <v>Grand Praire</v>
      </c>
      <c r="C4">
        <f>IF(ISNA(VLOOKUP($A4,Councils!$B$6:$AE$841,4,0)),0,VLOOKUP($A4,Councils!$B$6:$AE$841,4,0))</f>
        <v>141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9</v>
      </c>
      <c r="I4">
        <f>IF(ISNA(VLOOKUP($A4,Councils!$B$6:$AE$841,10,0)),0,VLOOKUP($A4,Councils!$B$6:$AE$841,10,0))</f>
        <v>38</v>
      </c>
      <c r="J4">
        <f>IF(ISNA(VLOOKUP($A4,Councils!$B$6:$AE$841,11,0)),0,VLOOKUP($A4,Councils!$B$6:$AE$841,11,0))</f>
        <v>-29</v>
      </c>
      <c r="K4" s="63">
        <f>IFERROR(J4/D4,0)</f>
        <v>-4.1428571428571432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4</v>
      </c>
      <c r="R4">
        <f>IF(ISNA(VLOOKUP($A4,Councils!$B$6:$AE$841,19,0)),0,VLOOKUP($A4,Councils!$B$6:$AE$841,19,0))</f>
        <v>9</v>
      </c>
      <c r="S4">
        <f>IF(ISNA(VLOOKUP($A4,Councils!$B$6:$AE$841,20,0)),0,VLOOKUP($A4,Councils!$B$6:$AE$841,20,0))</f>
        <v>-5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307">
        <v>17026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31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17146</v>
      </c>
      <c r="B6" t="str">
        <f>IF(ISNA(VLOOKUP($A6,Councils!$B$6:$AE$841,3,0)),0,VLOOKUP($A6,Councils!$B$6:$AE$841,3,0))</f>
        <v>Irving</v>
      </c>
      <c r="C6">
        <f>IF(ISNA(VLOOKUP($A6,Councils!$B$6:$AE$841,4,0)),0,VLOOKUP($A6,Councils!$B$6:$AE$841,4,0))</f>
        <v>28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97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831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725</v>
      </c>
      <c r="H1" s="72" t="s">
        <v>724</v>
      </c>
      <c r="I1" s="72" t="s">
        <v>726</v>
      </c>
      <c r="J1" s="72" t="s">
        <v>727</v>
      </c>
      <c r="K1" s="72" t="s">
        <v>728</v>
      </c>
      <c r="L1" s="72" t="s">
        <v>729</v>
      </c>
      <c r="M1" s="72" t="s">
        <v>730</v>
      </c>
      <c r="N1" s="73" t="s">
        <v>818</v>
      </c>
    </row>
    <row r="2" spans="1:14">
      <c r="A2">
        <f t="shared" ref="A2:A65" si="0">RANK(N2,$N$2:$N$208,0)</f>
        <v>123</v>
      </c>
      <c r="B2" s="67">
        <v>227</v>
      </c>
      <c r="C2" s="81">
        <f>IF(ISNA(VLOOKUP($B2,DD_Info!$A$1:$E$216,5,0)),0,VLOOKUP($B2,DD_Info!$A$1:$E$216,5,0))</f>
        <v>3</v>
      </c>
      <c r="D2" t="str">
        <f>IF(ISNA(VLOOKUP($B2,DD_Info!$A$1:$E$216,2,0)),0,VLOOKUP($B2,DD_Info!$A$1:$E$216,2,0))</f>
        <v>Michael M Murray</v>
      </c>
      <c r="E2" t="str">
        <f>IF(ISNA(VLOOKUP($B2,DD_Info!$A$1:$E$216,3,0)),0,VLOOKUP($B2,DD_Info!$A$1:$E$216,3,0))</f>
        <v>San Angelo</v>
      </c>
      <c r="F2">
        <f>ROUND(SUMIF(Councils!$C$6:$C$809,$B2,Councils!$E$6:$E$809),0)</f>
        <v>184</v>
      </c>
      <c r="G2">
        <f>ROUND(SUMIF(Councils!$C$6:$C$809,$B2,Councils!$F$6:$F$809)*0.7,0)</f>
        <v>8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0</v>
      </c>
      <c r="L2">
        <f>ROUND(SUMIF(Councils!$C$6:$C$809,$B2,Councils!$K$6:$K$809),0)</f>
        <v>0</v>
      </c>
      <c r="M2">
        <f>ROUND(SUMIF(Councils!$C$6:$C$809,$B2,Councils!$L$6:$L$809),0)</f>
        <v>0</v>
      </c>
      <c r="N2" s="63">
        <f t="shared" ref="N2:N65" si="1">IFERROR(M2/G2,0)</f>
        <v>0</v>
      </c>
    </row>
    <row r="3" spans="1:14">
      <c r="A3">
        <f t="shared" si="0"/>
        <v>123</v>
      </c>
      <c r="B3" t="s">
        <v>93</v>
      </c>
      <c r="C3" s="81">
        <f>IF(ISNA(VLOOKUP($B3,DD_Info!$A$1:$E$216,5,0)),0,VLOOKUP($B3,DD_Info!$A$1:$E$216,5,0))</f>
        <v>0</v>
      </c>
      <c r="F3">
        <f>ROUND(SUMIF(Councils!$C$6:$C$809,$B3,Councils!$E$6:$E$809),0)</f>
        <v>122</v>
      </c>
      <c r="G3">
        <f>ROUND(SUMIF(Councils!$C$6:$C$809,$B3,Councils!$F$6:$F$809)*0.7,0)</f>
        <v>4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21</v>
      </c>
      <c r="B4" s="67">
        <v>167</v>
      </c>
      <c r="C4" s="81">
        <f>IF(ISNA(VLOOKUP($B4,DD_Info!$A$1:$E$216,5,0)),0,VLOOKUP($B4,DD_Info!$A$1:$E$216,5,0))</f>
        <v>2</v>
      </c>
      <c r="D4" t="str">
        <f>IF(ISNA(VLOOKUP($B4,DD_Info!$A$1:$E$216,2,0)),0,VLOOKUP($B4,DD_Info!$A$1:$E$216,2,0))</f>
        <v>Joseph  Naderer</v>
      </c>
      <c r="E4" t="str">
        <f>IF(ISNA(VLOOKUP($B4,DD_Info!$A$1:$E$216,3,0)),0,VLOOKUP($B4,DD_Info!$A$1:$E$216,3,0))</f>
        <v>Corpus Christi</v>
      </c>
      <c r="F4">
        <f>ROUND(SUMIF(Councils!$C$6:$C$809,$B4,Councils!$E$6:$E$809),0)</f>
        <v>508</v>
      </c>
      <c r="G4">
        <f>ROUND(SUMIF(Councils!$C$6:$C$809,$B4,Councils!$F$6:$F$809)*0.7,0)</f>
        <v>18</v>
      </c>
      <c r="H4">
        <f>ROUND(SUMIF(Councils!$C$6:$C$809,$B4,Councils!$G$6:$G$809),0)</f>
        <v>0</v>
      </c>
      <c r="I4">
        <f>ROUND(SUMIF(Councils!$C$6:$C$809,$B4,Councils!$H$6:$H$809),0)</f>
        <v>1</v>
      </c>
      <c r="J4">
        <f>ROUND(SUMIF(Councils!$C$6:$C$809,$B4,Councils!$I$6:$I$809),0)</f>
        <v>-1</v>
      </c>
      <c r="K4">
        <f>ROUND(SUMIF(Councils!$C$6:$C$809,$B4,Councils!$J$6:$J$809),0)</f>
        <v>12</v>
      </c>
      <c r="L4">
        <f>ROUND(SUMIF(Councils!$C$6:$C$809,$B4,Councils!$K$6:$K$809),0)</f>
        <v>1</v>
      </c>
      <c r="M4">
        <f>ROUND(SUMIF(Councils!$C$6:$C$809,$B4,Councils!$L$6:$L$809),0)</f>
        <v>11</v>
      </c>
      <c r="N4" s="63">
        <f t="shared" si="1"/>
        <v>0.61111111111111116</v>
      </c>
    </row>
    <row r="5" spans="1:14">
      <c r="A5">
        <f t="shared" si="0"/>
        <v>59</v>
      </c>
      <c r="B5" s="67">
        <v>78</v>
      </c>
      <c r="C5" s="81">
        <f>IF(ISNA(VLOOKUP($B5,DD_Info!$A$1:$E$216,5,0)),0,VLOOKUP($B5,DD_Info!$A$1:$E$216,5,0))</f>
        <v>3</v>
      </c>
      <c r="D5" t="str">
        <f>IF(ISNA(VLOOKUP($B5,DD_Info!$A$1:$E$216,2,0)),0,VLOOKUP($B5,DD_Info!$A$1:$E$216,2,0))</f>
        <v>Ernest Garcia</v>
      </c>
      <c r="E5" t="str">
        <f>IF(ISNA(VLOOKUP($B5,DD_Info!$A$1:$E$216,3,0)),0,VLOOKUP($B5,DD_Info!$A$1:$E$216,3,0))</f>
        <v>Galv/Hous</v>
      </c>
      <c r="F5">
        <f>ROUND(SUMIF(Councils!$C$6:$C$809,$B5,Councils!$E$6:$E$809),0)</f>
        <v>223</v>
      </c>
      <c r="G5">
        <f>ROUND(SUMIF(Councils!$C$6:$C$809,$B5,Councils!$F$6:$F$809)*0.7,0)</f>
        <v>8</v>
      </c>
      <c r="H5">
        <f>ROUND(SUMIF(Councils!$C$6:$C$809,$B5,Councils!$G$6:$G$809),0)</f>
        <v>0</v>
      </c>
      <c r="I5">
        <f>ROUND(SUMIF(Councils!$C$6:$C$809,$B5,Councils!$H$6:$H$809),0)</f>
        <v>0</v>
      </c>
      <c r="J5">
        <f>ROUND(SUMIF(Councils!$C$6:$C$809,$B5,Councils!$I$6:$I$809),0)</f>
        <v>0</v>
      </c>
      <c r="K5">
        <f>ROUND(SUMIF(Councils!$C$6:$C$809,$B5,Councils!$J$6:$J$809),0)</f>
        <v>2</v>
      </c>
      <c r="L5">
        <f>ROUND(SUMIF(Councils!$C$6:$C$809,$B5,Councils!$K$6:$K$809),0)</f>
        <v>0</v>
      </c>
      <c r="M5">
        <f>ROUND(SUMIF(Councils!$C$6:$C$809,$B5,Councils!$L$6:$L$809),0)</f>
        <v>2</v>
      </c>
      <c r="N5" s="63">
        <f t="shared" si="1"/>
        <v>0.25</v>
      </c>
    </row>
    <row r="6" spans="1:14">
      <c r="A6">
        <f t="shared" si="0"/>
        <v>91</v>
      </c>
      <c r="B6" s="67">
        <v>123</v>
      </c>
      <c r="C6" s="81">
        <f>IF(ISNA(VLOOKUP($B6,DD_Info!$A$1:$E$216,5,0)),0,VLOOKUP($B6,DD_Info!$A$1:$E$216,5,0))</f>
        <v>3</v>
      </c>
      <c r="D6" t="str">
        <f>IF(ISNA(VLOOKUP($B6,DD_Info!$A$1:$E$216,2,0)),0,VLOOKUP($B6,DD_Info!$A$1:$E$216,2,0))</f>
        <v>Robert "Bobby"  Wilson</v>
      </c>
      <c r="E6" t="str">
        <f>IF(ISNA(VLOOKUP($B6,DD_Info!$A$1:$E$216,3,0)),0,VLOOKUP($B6,DD_Info!$A$1:$E$216,3,0))</f>
        <v>Beaumont</v>
      </c>
      <c r="F6">
        <f>ROUND(SUMIF(Councils!$C$6:$C$809,$B6,Councils!$E$6:$E$809),0)</f>
        <v>260</v>
      </c>
      <c r="G6">
        <f>ROUND(SUMIF(Councils!$C$6:$C$809,$B6,Councils!$F$6:$F$809)*0.7,0)</f>
        <v>9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1</v>
      </c>
      <c r="L6">
        <f>ROUND(SUMIF(Councils!$C$6:$C$809,$B6,Councils!$K$6:$K$809),0)</f>
        <v>0</v>
      </c>
      <c r="M6">
        <f>ROUND(SUMIF(Councils!$C$6:$C$809,$B6,Councils!$L$6:$L$809),0)</f>
        <v>1</v>
      </c>
      <c r="N6" s="63">
        <f t="shared" si="1"/>
        <v>0.1111111111111111</v>
      </c>
    </row>
    <row r="7" spans="1:14">
      <c r="A7">
        <f t="shared" si="0"/>
        <v>88</v>
      </c>
      <c r="B7" s="67">
        <v>48</v>
      </c>
      <c r="C7" s="81">
        <f>IF(ISNA(VLOOKUP($B7,DD_Info!$A$1:$E$216,5,0)),0,VLOOKUP($B7,DD_Info!$A$1:$E$216,5,0))</f>
        <v>1</v>
      </c>
      <c r="D7" t="str">
        <f>IF(ISNA(VLOOKUP($B7,DD_Info!$A$1:$E$216,2,0)),0,VLOOKUP($B7,DD_Info!$A$1:$E$216,2,0))</f>
        <v>Henry  Alves</v>
      </c>
      <c r="E7" t="str">
        <f>IF(ISNA(VLOOKUP($B7,DD_Info!$A$1:$E$216,3,0)),0,VLOOKUP($B7,DD_Info!$A$1:$E$216,3,0))</f>
        <v>San Antonio</v>
      </c>
      <c r="F7">
        <f>ROUND(SUMIF(Councils!$C$6:$C$809,$B7,Councils!$E$6:$E$809),0)</f>
        <v>659</v>
      </c>
      <c r="G7">
        <f>ROUND(SUMIF(Councils!$C$6:$C$809,$B7,Councils!$F$6:$F$809)*0.7,0)</f>
        <v>22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9</v>
      </c>
      <c r="L7">
        <f>ROUND(SUMIF(Councils!$C$6:$C$809,$B7,Councils!$K$6:$K$809),0)</f>
        <v>6</v>
      </c>
      <c r="M7">
        <f>ROUND(SUMIF(Councils!$C$6:$C$809,$B7,Councils!$L$6:$L$809),0)</f>
        <v>3</v>
      </c>
      <c r="N7" s="63">
        <f t="shared" si="1"/>
        <v>0.13636363636363635</v>
      </c>
    </row>
    <row r="8" spans="1:14">
      <c r="A8">
        <f t="shared" si="0"/>
        <v>12</v>
      </c>
      <c r="B8" s="67">
        <v>242</v>
      </c>
      <c r="C8" s="81">
        <f>IF(ISNA(VLOOKUP($B8,DD_Info!$A$1:$E$216,5,0)),0,VLOOKUP($B8,DD_Info!$A$1:$E$216,5,0))</f>
        <v>3</v>
      </c>
      <c r="D8" t="str">
        <f>IF(ISNA(VLOOKUP($B8,DD_Info!$A$1:$E$216,2,0)),0,VLOOKUP($B8,DD_Info!$A$1:$E$216,2,0))</f>
        <v>TO BE APPOINTED</v>
      </c>
      <c r="E8" t="str">
        <f>IF(ISNA(VLOOKUP($B8,DD_Info!$A$1:$E$216,3,0)),0,VLOOKUP($B8,DD_Info!$A$1:$E$216,3,0))</f>
        <v>Lubbock</v>
      </c>
      <c r="F8">
        <f>ROUND(SUMIF(Councils!$C$6:$C$809,$B8,Councils!$E$6:$E$809),0)</f>
        <v>114</v>
      </c>
      <c r="G8">
        <f>ROUND(SUMIF(Councils!$C$6:$C$809,$B8,Councils!$F$6:$F$809)*0.7,0)</f>
        <v>4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3</v>
      </c>
      <c r="L8">
        <f>ROUND(SUMIF(Councils!$C$6:$C$809,$B8,Councils!$K$6:$K$809),0)</f>
        <v>0</v>
      </c>
      <c r="M8">
        <f>ROUND(SUMIF(Councils!$C$6:$C$809,$B8,Councils!$L$6:$L$809),0)</f>
        <v>3</v>
      </c>
      <c r="N8" s="63">
        <f t="shared" si="1"/>
        <v>0.75</v>
      </c>
    </row>
    <row r="9" spans="1:14">
      <c r="A9">
        <f t="shared" si="0"/>
        <v>185</v>
      </c>
      <c r="B9" s="67">
        <v>56</v>
      </c>
      <c r="C9" s="81">
        <f>IF(ISNA(VLOOKUP($B9,DD_Info!$A$1:$E$216,5,0)),0,VLOOKUP($B9,DD_Info!$A$1:$E$216,5,0))</f>
        <v>2</v>
      </c>
      <c r="D9" t="str">
        <f>IF(ISNA(VLOOKUP($B9,DD_Info!$A$1:$E$216,2,0)),0,VLOOKUP($B9,DD_Info!$A$1:$E$216,2,0))</f>
        <v>Carlos J Gonzalez</v>
      </c>
      <c r="E9" t="str">
        <f>IF(ISNA(VLOOKUP($B9,DD_Info!$A$1:$E$216,3,0)),0,VLOOKUP($B9,DD_Info!$A$1:$E$216,3,0))</f>
        <v>San Antonio</v>
      </c>
      <c r="F9">
        <f>ROUND(SUMIF(Councils!$C$6:$C$809,$B9,Councils!$E$6:$E$809),0)</f>
        <v>333</v>
      </c>
      <c r="G9">
        <f>ROUND(SUMIF(Councils!$C$6:$C$809,$B9,Councils!$F$6:$F$809)*0.7,0)</f>
        <v>13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0</v>
      </c>
      <c r="L9">
        <f>ROUND(SUMIF(Councils!$C$6:$C$809,$B9,Councils!$K$6:$K$809),0)</f>
        <v>4</v>
      </c>
      <c r="M9">
        <f>ROUND(SUMIF(Councils!$C$6:$C$809,$B9,Councils!$L$6:$L$809),0)</f>
        <v>-4</v>
      </c>
      <c r="N9" s="63">
        <f t="shared" si="1"/>
        <v>-0.30769230769230771</v>
      </c>
    </row>
    <row r="10" spans="1:14">
      <c r="A10">
        <f t="shared" si="0"/>
        <v>26</v>
      </c>
      <c r="B10" s="67">
        <v>84</v>
      </c>
      <c r="C10" s="81">
        <f>IF(ISNA(VLOOKUP($B10,DD_Info!$A$1:$E$216,5,0)),0,VLOOKUP($B10,DD_Info!$A$1:$E$216,5,0))</f>
        <v>3</v>
      </c>
      <c r="D10" t="str">
        <f>IF(ISNA(VLOOKUP($B10,DD_Info!$A$1:$E$216,2,0)),0,VLOOKUP($B10,DD_Info!$A$1:$E$216,2,0))</f>
        <v>Thomas J. Gooney</v>
      </c>
      <c r="E10" t="str">
        <f>IF(ISNA(VLOOKUP($B10,DD_Info!$A$1:$E$216,3,0)),0,VLOOKUP($B10,DD_Info!$A$1:$E$216,3,0))</f>
        <v>Galv/Hous</v>
      </c>
      <c r="F10">
        <f>ROUND(SUMIF(Councils!$C$6:$C$809,$B10,Councils!$E$6:$E$809),0)</f>
        <v>288</v>
      </c>
      <c r="G10">
        <f>ROUND(SUMIF(Councils!$C$6:$C$809,$B10,Councils!$F$6:$F$809)*0.7,0)</f>
        <v>10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5</v>
      </c>
      <c r="L10">
        <f>ROUND(SUMIF(Councils!$C$6:$C$809,$B10,Councils!$K$6:$K$809),0)</f>
        <v>0</v>
      </c>
      <c r="M10">
        <f>ROUND(SUMIF(Councils!$C$6:$C$809,$B10,Councils!$L$6:$L$809),0)</f>
        <v>5</v>
      </c>
      <c r="N10" s="63">
        <f t="shared" si="1"/>
        <v>0.5</v>
      </c>
    </row>
    <row r="11" spans="1:14">
      <c r="A11">
        <f t="shared" si="0"/>
        <v>9</v>
      </c>
      <c r="B11" s="67">
        <v>222</v>
      </c>
      <c r="C11" s="81">
        <f>IF(ISNA(VLOOKUP($B11,DD_Info!$A$1:$E$216,5,0)),0,VLOOKUP($B11,DD_Info!$A$1:$E$216,5,0))</f>
        <v>2</v>
      </c>
      <c r="D11" t="str">
        <f>IF(ISNA(VLOOKUP($B11,DD_Info!$A$1:$E$216,2,0)),0,VLOOKUP($B11,DD_Info!$A$1:$E$216,2,0))</f>
        <v>Gregory J Dutchover</v>
      </c>
      <c r="E11" t="str">
        <f>IF(ISNA(VLOOKUP($B11,DD_Info!$A$1:$E$216,3,0)),0,VLOOKUP($B11,DD_Info!$A$1:$E$216,3,0))</f>
        <v>San Angelo</v>
      </c>
      <c r="F11">
        <f>ROUND(SUMIF(Councils!$C$6:$C$809,$B11,Councils!$E$6:$E$809),0)</f>
        <v>339</v>
      </c>
      <c r="G11">
        <f>ROUND(SUMIF(Councils!$C$6:$C$809,$B11,Councils!$F$6:$F$809)*0.7,0)</f>
        <v>13</v>
      </c>
      <c r="H11">
        <f>ROUND(SUMIF(Councils!$C$6:$C$809,$B11,Councils!$G$6:$G$809),0)</f>
        <v>1</v>
      </c>
      <c r="I11">
        <f>ROUND(SUMIF(Councils!$C$6:$C$809,$B11,Councils!$H$6:$H$809),0)</f>
        <v>0</v>
      </c>
      <c r="J11">
        <f>ROUND(SUMIF(Councils!$C$6:$C$809,$B11,Councils!$I$6:$I$809),0)</f>
        <v>1</v>
      </c>
      <c r="K11">
        <f>ROUND(SUMIF(Councils!$C$6:$C$809,$B11,Councils!$J$6:$J$809),0)</f>
        <v>11</v>
      </c>
      <c r="L11">
        <f>ROUND(SUMIF(Councils!$C$6:$C$809,$B11,Councils!$K$6:$K$809),0)</f>
        <v>0</v>
      </c>
      <c r="M11">
        <f>ROUND(SUMIF(Councils!$C$6:$C$809,$B11,Councils!$L$6:$L$809),0)</f>
        <v>11</v>
      </c>
      <c r="N11" s="63">
        <f t="shared" si="1"/>
        <v>0.84615384615384615</v>
      </c>
    </row>
    <row r="12" spans="1:14">
      <c r="A12">
        <f t="shared" si="0"/>
        <v>86</v>
      </c>
      <c r="B12" s="67">
        <v>244</v>
      </c>
      <c r="C12" s="81">
        <f>IF(ISNA(VLOOKUP($B12,DD_Info!$A$1:$E$216,5,0)),0,VLOOKUP($B12,DD_Info!$A$1:$E$216,5,0))</f>
        <v>0</v>
      </c>
      <c r="D12">
        <f>IF(ISNA(VLOOKUP($B12,DD_Info!$A$1:$E$216,2,0)),0,VLOOKUP($B12,DD_Info!$A$1:$E$216,2,0))</f>
        <v>0</v>
      </c>
      <c r="E12">
        <f>IF(ISNA(VLOOKUP($B12,DD_Info!$A$1:$E$216,3,0)),0,VLOOKUP($B12,DD_Info!$A$1:$E$216,3,0))</f>
        <v>0</v>
      </c>
      <c r="F12">
        <f>ROUND(SUMIF(Councils!$C$6:$C$809,$B12,Councils!$E$6:$E$809),0)</f>
        <v>308</v>
      </c>
      <c r="G12">
        <f>ROUND(SUMIF(Councils!$C$6:$C$809,$B12,Councils!$F$6:$F$809)*0.7,0)</f>
        <v>13</v>
      </c>
      <c r="H12">
        <f>ROUND(SUMIF(Councils!$C$6:$C$809,$B12,Councils!$G$6:$G$809),0)</f>
        <v>1</v>
      </c>
      <c r="I12">
        <f>ROUND(SUMIF(Councils!$C$6:$C$809,$B12,Councils!$H$6:$H$809),0)</f>
        <v>0</v>
      </c>
      <c r="J12">
        <f>ROUND(SUMIF(Councils!$C$6:$C$809,$B12,Councils!$I$6:$I$809),0)</f>
        <v>1</v>
      </c>
      <c r="K12">
        <f>ROUND(SUMIF(Councils!$C$6:$C$809,$B12,Councils!$J$6:$J$809),0)</f>
        <v>2</v>
      </c>
      <c r="L12">
        <f>ROUND(SUMIF(Councils!$C$6:$C$809,$B12,Councils!$K$6:$K$809),0)</f>
        <v>0</v>
      </c>
      <c r="M12">
        <f>ROUND(SUMIF(Councils!$C$6:$C$809,$B12,Councils!$L$6:$L$809),0)</f>
        <v>2</v>
      </c>
      <c r="N12" s="63">
        <f t="shared" si="1"/>
        <v>0.15384615384615385</v>
      </c>
    </row>
    <row r="13" spans="1:14">
      <c r="A13">
        <f t="shared" si="0"/>
        <v>206</v>
      </c>
      <c r="B13" s="67">
        <v>134</v>
      </c>
      <c r="C13" s="81">
        <f>IF(ISNA(VLOOKUP($B13,DD_Info!$A$1:$E$216,5,0)),0,VLOOKUP($B13,DD_Info!$A$1:$E$216,5,0))</f>
        <v>2</v>
      </c>
      <c r="D13" t="str">
        <f>IF(ISNA(VLOOKUP($B13,DD_Info!$A$1:$E$216,2,0)),0,VLOOKUP($B13,DD_Info!$A$1:$E$216,2,0))</f>
        <v>Damian Christopher  Oldmixon</v>
      </c>
      <c r="E13" t="str">
        <f>IF(ISNA(VLOOKUP($B13,DD_Info!$A$1:$E$216,3,0)),0,VLOOKUP($B13,DD_Info!$A$1:$E$216,3,0))</f>
        <v>Tyler</v>
      </c>
      <c r="F13">
        <f>ROUND(SUMIF(Councils!$C$6:$C$809,$B13,Councils!$E$6:$E$809),0)</f>
        <v>433</v>
      </c>
      <c r="G13">
        <f>ROUND(SUMIF(Councils!$C$6:$C$809,$B13,Councils!$F$6:$F$809)*0.7,0)</f>
        <v>16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9</v>
      </c>
      <c r="L13">
        <f>ROUND(SUMIF(Councils!$C$6:$C$809,$B13,Councils!$K$6:$K$809),0)</f>
        <v>42</v>
      </c>
      <c r="M13">
        <f>ROUND(SUMIF(Councils!$C$6:$C$809,$B13,Councils!$L$6:$L$809),0)</f>
        <v>-33</v>
      </c>
      <c r="N13" s="63">
        <f t="shared" si="1"/>
        <v>-2.0625</v>
      </c>
    </row>
    <row r="14" spans="1:14">
      <c r="A14">
        <f t="shared" si="0"/>
        <v>99</v>
      </c>
      <c r="B14" s="67">
        <v>103</v>
      </c>
      <c r="C14" s="81">
        <f>IF(ISNA(VLOOKUP($B14,DD_Info!$A$1:$E$216,5,0)),0,VLOOKUP($B14,DD_Info!$A$1:$E$216,5,0))</f>
        <v>1</v>
      </c>
      <c r="D14" t="str">
        <f>IF(ISNA(VLOOKUP($B14,DD_Info!$A$1:$E$216,2,0)),0,VLOOKUP($B14,DD_Info!$A$1:$E$216,2,0))</f>
        <v>Kevin  Quinn</v>
      </c>
      <c r="E14" t="str">
        <f>IF(ISNA(VLOOKUP($B14,DD_Info!$A$1:$E$216,3,0)),0,VLOOKUP($B14,DD_Info!$A$1:$E$216,3,0))</f>
        <v>Dallas</v>
      </c>
      <c r="F14">
        <f>ROUND(SUMIF(Councils!$C$6:$C$809,$B14,Councils!$E$6:$E$809),0)</f>
        <v>888</v>
      </c>
      <c r="G14">
        <f>ROUND(SUMIF(Councils!$C$6:$C$809,$B14,Councils!$F$6:$F$809)*0.7,0)</f>
        <v>31</v>
      </c>
      <c r="H14">
        <f>ROUND(SUMIF(Councils!$C$6:$C$809,$B14,Councils!$G$6:$G$809),0)</f>
        <v>1</v>
      </c>
      <c r="I14">
        <f>ROUND(SUMIF(Councils!$C$6:$C$809,$B14,Councils!$H$6:$H$809),0)</f>
        <v>0</v>
      </c>
      <c r="J14">
        <f>ROUND(SUMIF(Councils!$C$6:$C$809,$B14,Councils!$I$6:$I$809),0)</f>
        <v>1</v>
      </c>
      <c r="K14">
        <f>ROUND(SUMIF(Councils!$C$6:$C$809,$B14,Councils!$J$6:$J$809),0)</f>
        <v>10</v>
      </c>
      <c r="L14">
        <f>ROUND(SUMIF(Councils!$C$6:$C$809,$B14,Councils!$K$6:$K$809),0)</f>
        <v>7</v>
      </c>
      <c r="M14">
        <f>ROUND(SUMIF(Councils!$C$6:$C$809,$B14,Councils!$L$6:$L$809),0)</f>
        <v>3</v>
      </c>
      <c r="N14" s="63">
        <f t="shared" si="1"/>
        <v>9.6774193548387094E-2</v>
      </c>
    </row>
    <row r="15" spans="1:14">
      <c r="A15">
        <f t="shared" si="0"/>
        <v>89</v>
      </c>
      <c r="B15" s="67">
        <v>243</v>
      </c>
      <c r="C15" s="81">
        <f>IF(ISNA(VLOOKUP($B15,DD_Info!$A$1:$E$216,5,0)),0,VLOOKUP($B15,DD_Info!$A$1:$E$216,5,0))</f>
        <v>0</v>
      </c>
      <c r="D15">
        <f>IF(ISNA(VLOOKUP($B15,DD_Info!$A$1:$E$216,2,0)),0,VLOOKUP($B15,DD_Info!$A$1:$E$216,2,0))</f>
        <v>0</v>
      </c>
      <c r="E15">
        <f>IF(ISNA(VLOOKUP($B15,DD_Info!$A$1:$E$216,3,0)),0,VLOOKUP($B15,DD_Info!$A$1:$E$216,3,0))</f>
        <v>0</v>
      </c>
      <c r="F15">
        <f>ROUND(SUMIF(Councils!$C$6:$C$809,$B15,Councils!$E$6:$E$809),0)</f>
        <v>455</v>
      </c>
      <c r="G15">
        <f>ROUND(SUMIF(Councils!$C$6:$C$809,$B15,Councils!$F$6:$F$809)*0.7,0)</f>
        <v>15</v>
      </c>
      <c r="H15">
        <f>ROUND(SUMIF(Councils!$C$6:$C$809,$B15,Councils!$G$6:$G$809),0)</f>
        <v>0</v>
      </c>
      <c r="I15">
        <f>ROUND(SUMIF(Councils!$C$6:$C$809,$B15,Councils!$H$6:$H$809),0)</f>
        <v>0</v>
      </c>
      <c r="J15">
        <f>ROUND(SUMIF(Councils!$C$6:$C$809,$B15,Councils!$I$6:$I$809),0)</f>
        <v>0</v>
      </c>
      <c r="K15">
        <f>ROUND(SUMIF(Councils!$C$6:$C$809,$B15,Councils!$J$6:$J$809),0)</f>
        <v>3</v>
      </c>
      <c r="L15">
        <f>ROUND(SUMIF(Councils!$C$6:$C$809,$B15,Councils!$K$6:$K$809),0)</f>
        <v>1</v>
      </c>
      <c r="M15">
        <f>ROUND(SUMIF(Councils!$C$6:$C$809,$B15,Councils!$L$6:$L$809),0)</f>
        <v>2</v>
      </c>
      <c r="N15" s="63">
        <f t="shared" si="1"/>
        <v>0.13333333333333333</v>
      </c>
    </row>
    <row r="16" spans="1:14">
      <c r="A16">
        <f t="shared" si="0"/>
        <v>75</v>
      </c>
      <c r="B16" s="67">
        <v>17</v>
      </c>
      <c r="C16" s="81">
        <f>IF(ISNA(VLOOKUP($B16,DD_Info!$A$1:$E$216,5,0)),0,VLOOKUP($B16,DD_Info!$A$1:$E$216,5,0))</f>
        <v>1</v>
      </c>
      <c r="D16" t="str">
        <f>IF(ISNA(VLOOKUP($B16,DD_Info!$A$1:$E$216,2,0)),0,VLOOKUP($B16,DD_Info!$A$1:$E$216,2,0))</f>
        <v>Gregory  Brown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622</v>
      </c>
      <c r="G16">
        <f>ROUND(SUMIF(Councils!$C$6:$C$809,$B16,Councils!$F$6:$F$809)*0.7,0)</f>
        <v>21</v>
      </c>
      <c r="H16">
        <f>ROUND(SUMIF(Councils!$C$6:$C$809,$B16,Councils!$G$6:$G$809),0)</f>
        <v>0</v>
      </c>
      <c r="I16">
        <f>ROUND(SUMIF(Councils!$C$6:$C$809,$B16,Councils!$H$6:$H$809),0)</f>
        <v>0</v>
      </c>
      <c r="J16">
        <f>ROUND(SUMIF(Councils!$C$6:$C$809,$B16,Councils!$I$6:$I$809),0)</f>
        <v>0</v>
      </c>
      <c r="K16">
        <f>ROUND(SUMIF(Councils!$C$6:$C$809,$B16,Councils!$J$6:$J$809),0)</f>
        <v>4</v>
      </c>
      <c r="L16">
        <f>ROUND(SUMIF(Councils!$C$6:$C$809,$B16,Councils!$K$6:$K$809),0)</f>
        <v>0</v>
      </c>
      <c r="M16">
        <f>ROUND(SUMIF(Councils!$C$6:$C$809,$B16,Councils!$L$6:$L$809),0)</f>
        <v>4</v>
      </c>
      <c r="N16" s="63">
        <f t="shared" si="1"/>
        <v>0.19047619047619047</v>
      </c>
    </row>
    <row r="17" spans="1:14">
      <c r="A17">
        <f t="shared" si="0"/>
        <v>15</v>
      </c>
      <c r="B17" s="67">
        <v>87</v>
      </c>
      <c r="C17" s="81">
        <f>IF(ISNA(VLOOKUP($B17,DD_Info!$A$1:$E$216,5,0)),0,VLOOKUP($B17,DD_Info!$A$1:$E$216,5,0))</f>
        <v>1</v>
      </c>
      <c r="D17" t="str">
        <f>IF(ISNA(VLOOKUP($B17,DD_Info!$A$1:$E$216,2,0)),0,VLOOKUP($B17,DD_Info!$A$1:$E$216,2,0))</f>
        <v>Juan A Perez</v>
      </c>
      <c r="E17" t="str">
        <f>IF(ISNA(VLOOKUP($B17,DD_Info!$A$1:$E$216,3,0)),0,VLOOKUP($B17,DD_Info!$A$1:$E$216,3,0))</f>
        <v>Galv/Hous</v>
      </c>
      <c r="F17">
        <f>ROUND(SUMIF(Councils!$C$6:$C$809,$B17,Councils!$E$6:$E$809),0)</f>
        <v>583</v>
      </c>
      <c r="G17">
        <f>ROUND(SUMIF(Councils!$C$6:$C$809,$B17,Councils!$F$6:$F$809)*0.7,0)</f>
        <v>20</v>
      </c>
      <c r="H17">
        <f>ROUND(SUMIF(Councils!$C$6:$C$809,$B17,Councils!$G$6:$G$809),0)</f>
        <v>3</v>
      </c>
      <c r="I17">
        <f>ROUND(SUMIF(Councils!$C$6:$C$809,$B17,Councils!$H$6:$H$809),0)</f>
        <v>0</v>
      </c>
      <c r="J17">
        <f>ROUND(SUMIF(Councils!$C$6:$C$809,$B17,Councils!$I$6:$I$809),0)</f>
        <v>3</v>
      </c>
      <c r="K17">
        <f>ROUND(SUMIF(Councils!$C$6:$C$809,$B17,Councils!$J$6:$J$809),0)</f>
        <v>13</v>
      </c>
      <c r="L17">
        <f>ROUND(SUMIF(Councils!$C$6:$C$809,$B17,Councils!$K$6:$K$809),0)</f>
        <v>0</v>
      </c>
      <c r="M17">
        <f>ROUND(SUMIF(Councils!$C$6:$C$809,$B17,Councils!$L$6:$L$809),0)</f>
        <v>13</v>
      </c>
      <c r="N17" s="63">
        <f t="shared" si="1"/>
        <v>0.65</v>
      </c>
    </row>
    <row r="18" spans="1:14">
      <c r="A18">
        <f t="shared" si="0"/>
        <v>45</v>
      </c>
      <c r="B18" s="67">
        <v>109</v>
      </c>
      <c r="C18" s="81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ROUND(SUMIF(Councils!$C$6:$C$809,$B18,Councils!$F$6:$F$809)*0.7,0)</f>
        <v>14</v>
      </c>
      <c r="H18">
        <f>ROUND(SUMIF(Councils!$C$6:$C$809,$B18,Councils!$G$6:$G$809),0)</f>
        <v>0</v>
      </c>
      <c r="I18">
        <f>ROUND(SUMIF(Councils!$C$6:$C$809,$B18,Councils!$H$6:$H$809),0)</f>
        <v>0</v>
      </c>
      <c r="J18">
        <f>ROUND(SUMIF(Councils!$C$6:$C$809,$B18,Councils!$I$6:$I$809),0)</f>
        <v>0</v>
      </c>
      <c r="K18">
        <f>ROUND(SUMIF(Councils!$C$6:$C$809,$B18,Councils!$J$6:$J$809),0)</f>
        <v>5</v>
      </c>
      <c r="L18">
        <f>ROUND(SUMIF(Councils!$C$6:$C$809,$B18,Councils!$K$6:$K$809),0)</f>
        <v>0</v>
      </c>
      <c r="M18">
        <f>ROUND(SUMIF(Councils!$C$6:$C$809,$B18,Councils!$L$6:$L$809),0)</f>
        <v>5</v>
      </c>
      <c r="N18" s="63">
        <f t="shared" si="1"/>
        <v>0.35714285714285715</v>
      </c>
    </row>
    <row r="19" spans="1:14">
      <c r="A19">
        <f t="shared" si="0"/>
        <v>170</v>
      </c>
      <c r="B19" s="67">
        <v>192</v>
      </c>
      <c r="C19" s="81">
        <f>IF(ISNA(VLOOKUP($B19,DD_Info!$A$1:$E$216,5,0)),0,VLOOKUP($B19,DD_Info!$A$1:$E$216,5,0))</f>
        <v>2</v>
      </c>
      <c r="D19" t="str">
        <f>IF(ISNA(VLOOKUP($B19,DD_Info!$A$1:$E$216,2,0)),0,VLOOKUP($B19,DD_Info!$A$1:$E$216,2,0))</f>
        <v>Lukas F Janak Jr</v>
      </c>
      <c r="E19" t="str">
        <f>IF(ISNA(VLOOKUP($B19,DD_Info!$A$1:$E$216,3,0)),0,VLOOKUP($B19,DD_Info!$A$1:$E$216,3,0))</f>
        <v>Victoria</v>
      </c>
      <c r="F19">
        <f>ROUND(SUMIF(Councils!$C$6:$C$809,$B19,Councils!$E$6:$E$809),0)</f>
        <v>524</v>
      </c>
      <c r="G19">
        <f>ROUND(SUMIF(Councils!$C$6:$C$809,$B19,Councils!$F$6:$F$809)*0.7,0)</f>
        <v>19</v>
      </c>
      <c r="H19">
        <f>ROUND(SUMIF(Councils!$C$6:$C$809,$B19,Councils!$G$6:$G$809),0)</f>
        <v>0</v>
      </c>
      <c r="I19">
        <f>ROUND(SUMIF(Councils!$C$6:$C$809,$B19,Councils!$H$6:$H$809),0)</f>
        <v>0</v>
      </c>
      <c r="J19">
        <f>ROUND(SUMIF(Councils!$C$6:$C$809,$B19,Councils!$I$6:$I$809),0)</f>
        <v>0</v>
      </c>
      <c r="K19">
        <f>ROUND(SUMIF(Councils!$C$6:$C$809,$B19,Councils!$J$6:$J$809),0)</f>
        <v>0</v>
      </c>
      <c r="L19">
        <f>ROUND(SUMIF(Councils!$C$6:$C$809,$B19,Councils!$K$6:$K$809),0)</f>
        <v>1</v>
      </c>
      <c r="M19">
        <f>ROUND(SUMIF(Councils!$C$6:$C$809,$B19,Councils!$L$6:$L$809),0)</f>
        <v>-1</v>
      </c>
      <c r="N19" s="63">
        <f t="shared" si="1"/>
        <v>-5.2631578947368418E-2</v>
      </c>
    </row>
    <row r="20" spans="1:14">
      <c r="A20">
        <f t="shared" si="0"/>
        <v>24</v>
      </c>
      <c r="B20" s="67">
        <v>71</v>
      </c>
      <c r="C20" s="81">
        <f>IF(ISNA(VLOOKUP($B20,DD_Info!$A$1:$E$216,5,0)),0,VLOOKUP($B20,DD_Info!$A$1:$E$216,5,0))</f>
        <v>1</v>
      </c>
      <c r="D20" t="str">
        <f>IF(ISNA(VLOOKUP($B20,DD_Info!$A$1:$E$216,2,0)),0,VLOOKUP($B20,DD_Info!$A$1:$E$216,2,0))</f>
        <v>E.J. "Jerry"  Moch Jr</v>
      </c>
      <c r="E20" t="str">
        <f>IF(ISNA(VLOOKUP($B20,DD_Info!$A$1:$E$216,3,0)),0,VLOOKUP($B20,DD_Info!$A$1:$E$216,3,0))</f>
        <v>Galv/Hous</v>
      </c>
      <c r="F20">
        <f>ROUND(SUMIF(Councils!$C$6:$C$809,$B20,Councils!$E$6:$E$809),0)</f>
        <v>707</v>
      </c>
      <c r="G20">
        <f>ROUND(SUMIF(Councils!$C$6:$C$809,$B20,Councils!$F$6:$F$809)*0.7,0)</f>
        <v>25</v>
      </c>
      <c r="H20">
        <f>ROUND(SUMIF(Councils!$C$6:$C$809,$B20,Councils!$G$6:$G$809),0)</f>
        <v>1</v>
      </c>
      <c r="I20">
        <f>ROUND(SUMIF(Councils!$C$6:$C$809,$B20,Councils!$H$6:$H$809),0)</f>
        <v>0</v>
      </c>
      <c r="J20">
        <f>ROUND(SUMIF(Councils!$C$6:$C$809,$B20,Councils!$I$6:$I$809),0)</f>
        <v>1</v>
      </c>
      <c r="K20">
        <f>ROUND(SUMIF(Councils!$C$6:$C$809,$B20,Councils!$J$6:$J$809),0)</f>
        <v>14</v>
      </c>
      <c r="L20">
        <f>ROUND(SUMIF(Councils!$C$6:$C$809,$B20,Councils!$K$6:$K$809),0)</f>
        <v>1</v>
      </c>
      <c r="M20">
        <f>ROUND(SUMIF(Councils!$C$6:$C$809,$B20,Councils!$L$6:$L$809),0)</f>
        <v>13</v>
      </c>
      <c r="N20" s="63">
        <f t="shared" si="1"/>
        <v>0.52</v>
      </c>
    </row>
    <row r="21" spans="1:14">
      <c r="A21">
        <f t="shared" si="0"/>
        <v>168</v>
      </c>
      <c r="B21" s="67">
        <v>158</v>
      </c>
      <c r="C21" s="81">
        <f>IF(ISNA(VLOOKUP($B21,DD_Info!$A$1:$E$216,5,0)),0,VLOOKUP($B21,DD_Info!$A$1:$E$216,5,0))</f>
        <v>1</v>
      </c>
      <c r="D21" t="str">
        <f>IF(ISNA(VLOOKUP($B21,DD_Info!$A$1:$E$216,2,0)),0,VLOOKUP($B21,DD_Info!$A$1:$E$216,2,0))</f>
        <v>Kevin  Russell</v>
      </c>
      <c r="E21" t="str">
        <f>IF(ISNA(VLOOKUP($B21,DD_Info!$A$1:$E$216,3,0)),0,VLOOKUP($B21,DD_Info!$A$1:$E$216,3,0))</f>
        <v>Austin</v>
      </c>
      <c r="F21">
        <f>ROUND(SUMIF(Councils!$C$6:$C$809,$B21,Councils!$E$6:$E$809),0)</f>
        <v>767</v>
      </c>
      <c r="G21">
        <f>ROUND(SUMIF(Councils!$C$6:$C$809,$B21,Councils!$F$6:$F$809)*0.7,0)</f>
        <v>26</v>
      </c>
      <c r="H21">
        <f>ROUND(SUMIF(Councils!$C$6:$C$809,$B21,Councils!$G$6:$G$809),0)</f>
        <v>0</v>
      </c>
      <c r="I21">
        <f>ROUND(SUMIF(Councils!$C$6:$C$809,$B21,Councils!$H$6:$H$809),0)</f>
        <v>1</v>
      </c>
      <c r="J21">
        <f>ROUND(SUMIF(Councils!$C$6:$C$809,$B21,Councils!$I$6:$I$809),0)</f>
        <v>-1</v>
      </c>
      <c r="K21">
        <f>ROUND(SUMIF(Councils!$C$6:$C$809,$B21,Councils!$J$6:$J$809),0)</f>
        <v>0</v>
      </c>
      <c r="L21">
        <f>ROUND(SUMIF(Councils!$C$6:$C$809,$B21,Councils!$K$6:$K$809),0)</f>
        <v>1</v>
      </c>
      <c r="M21">
        <f>ROUND(SUMIF(Councils!$C$6:$C$809,$B21,Councils!$L$6:$L$809),0)</f>
        <v>-1</v>
      </c>
      <c r="N21" s="63">
        <f t="shared" si="1"/>
        <v>-3.8461538461538464E-2</v>
      </c>
    </row>
    <row r="22" spans="1:14">
      <c r="A22">
        <f t="shared" si="0"/>
        <v>16</v>
      </c>
      <c r="B22" s="67">
        <v>246</v>
      </c>
      <c r="C22" s="81">
        <f>IF(ISNA(VLOOKUP($B22,DD_Info!$A$1:$E$216,5,0)),0,VLOOKUP($B22,DD_Info!$A$1:$E$216,5,0))</f>
        <v>0</v>
      </c>
      <c r="D22">
        <f>IF(ISNA(VLOOKUP($B22,DD_Info!$A$1:$E$216,2,0)),0,VLOOKUP($B22,DD_Info!$A$1:$E$216,2,0))</f>
        <v>0</v>
      </c>
      <c r="E22">
        <f>IF(ISNA(VLOOKUP($B22,DD_Info!$A$1:$E$216,3,0)),0,VLOOKUP($B22,DD_Info!$A$1:$E$216,3,0))</f>
        <v>0</v>
      </c>
      <c r="F22">
        <f>ROUND(SUMIF(Councils!$C$6:$C$809,$B22,Councils!$E$6:$E$809),0)</f>
        <v>750</v>
      </c>
      <c r="G22">
        <f>ROUND(SUMIF(Councils!$C$6:$C$809,$B22,Councils!$F$6:$F$809)*0.7,0)</f>
        <v>25</v>
      </c>
      <c r="H22">
        <f>ROUND(SUMIF(Councils!$C$6:$C$809,$B22,Councils!$G$6:$G$809),0)</f>
        <v>6</v>
      </c>
      <c r="I22">
        <f>ROUND(SUMIF(Councils!$C$6:$C$809,$B22,Councils!$H$6:$H$809),0)</f>
        <v>0</v>
      </c>
      <c r="J22">
        <f>ROUND(SUMIF(Councils!$C$6:$C$809,$B22,Councils!$I$6:$I$809),0)</f>
        <v>6</v>
      </c>
      <c r="K22">
        <f>ROUND(SUMIF(Councils!$C$6:$C$809,$B22,Councils!$J$6:$J$809),0)</f>
        <v>22</v>
      </c>
      <c r="L22">
        <f>ROUND(SUMIF(Councils!$C$6:$C$809,$B22,Councils!$K$6:$K$809),0)</f>
        <v>6</v>
      </c>
      <c r="M22">
        <f>ROUND(SUMIF(Councils!$C$6:$C$809,$B22,Councils!$L$6:$L$809),0)</f>
        <v>16</v>
      </c>
      <c r="N22" s="63">
        <f t="shared" si="1"/>
        <v>0.64</v>
      </c>
    </row>
    <row r="23" spans="1:14">
      <c r="A23">
        <f t="shared" si="0"/>
        <v>91</v>
      </c>
      <c r="B23" s="67">
        <v>189</v>
      </c>
      <c r="C23" s="81">
        <f>IF(ISNA(VLOOKUP($B23,DD_Info!$A$1:$E$216,5,0)),0,VLOOKUP($B23,DD_Info!$A$1:$E$216,5,0))</f>
        <v>1</v>
      </c>
      <c r="D23" t="str">
        <f>IF(ISNA(VLOOKUP($B23,DD_Info!$A$1:$E$216,2,0)),0,VLOOKUP($B23,DD_Info!$A$1:$E$216,2,0))</f>
        <v>Jeff  Popp</v>
      </c>
      <c r="E23" t="str">
        <f>IF(ISNA(VLOOKUP($B23,DD_Info!$A$1:$E$216,3,0)),0,VLOOKUP($B23,DD_Info!$A$1:$E$216,3,0))</f>
        <v>Victoria</v>
      </c>
      <c r="F23">
        <f>ROUND(SUMIF(Councils!$C$6:$C$809,$B23,Councils!$E$6:$E$809),0)</f>
        <v>796</v>
      </c>
      <c r="G23">
        <f>ROUND(SUMIF(Councils!$C$6:$C$809,$B23,Councils!$F$6:$F$809)*0.7,0)</f>
        <v>27</v>
      </c>
      <c r="H23">
        <f>ROUND(SUMIF(Councils!$C$6:$C$809,$B23,Councils!$G$6:$G$809),0)</f>
        <v>1</v>
      </c>
      <c r="I23">
        <f>ROUND(SUMIF(Councils!$C$6:$C$809,$B23,Councils!$H$6:$H$809),0)</f>
        <v>0</v>
      </c>
      <c r="J23">
        <f>ROUND(SUMIF(Councils!$C$6:$C$809,$B23,Councils!$I$6:$I$809),0)</f>
        <v>1</v>
      </c>
      <c r="K23">
        <f>ROUND(SUMIF(Councils!$C$6:$C$809,$B23,Councils!$J$6:$J$809),0)</f>
        <v>4</v>
      </c>
      <c r="L23">
        <f>ROUND(SUMIF(Councils!$C$6:$C$809,$B23,Councils!$K$6:$K$809),0)</f>
        <v>1</v>
      </c>
      <c r="M23">
        <f>ROUND(SUMIF(Councils!$C$6:$C$809,$B23,Councils!$L$6:$L$809),0)</f>
        <v>3</v>
      </c>
      <c r="N23" s="63">
        <f t="shared" si="1"/>
        <v>0.1111111111111111</v>
      </c>
    </row>
    <row r="24" spans="1:14">
      <c r="A24">
        <f t="shared" si="0"/>
        <v>96</v>
      </c>
      <c r="B24" s="67">
        <v>21</v>
      </c>
      <c r="C24" s="81">
        <f>IF(ISNA(VLOOKUP($B24,DD_Info!$A$1:$E$216,5,0)),0,VLOOKUP($B24,DD_Info!$A$1:$E$216,5,0))</f>
        <v>1</v>
      </c>
      <c r="D24" t="str">
        <f>IF(ISNA(VLOOKUP($B24,DD_Info!$A$1:$E$216,2,0)),0,VLOOKUP($B24,DD_Info!$A$1:$E$216,2,0))</f>
        <v>Mike G Becan Sr</v>
      </c>
      <c r="E24" t="str">
        <f>IF(ISNA(VLOOKUP($B24,DD_Info!$A$1:$E$216,3,0)),0,VLOOKUP($B24,DD_Info!$A$1:$E$216,3,0))</f>
        <v>Fort Worth</v>
      </c>
      <c r="F24">
        <f>ROUND(SUMIF(Councils!$C$6:$C$809,$B24,Councils!$E$6:$E$809),0)</f>
        <v>839</v>
      </c>
      <c r="G24">
        <f>ROUND(SUMIF(Councils!$C$6:$C$809,$B24,Councils!$F$6:$F$809)*0.7,0)</f>
        <v>28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3</v>
      </c>
      <c r="L24">
        <f>ROUND(SUMIF(Councils!$C$6:$C$809,$B24,Councils!$K$6:$K$809),0)</f>
        <v>0</v>
      </c>
      <c r="M24">
        <f>ROUND(SUMIF(Councils!$C$6:$C$809,$B24,Councils!$L$6:$L$809),0)</f>
        <v>3</v>
      </c>
      <c r="N24" s="63">
        <f t="shared" si="1"/>
        <v>0.10714285714285714</v>
      </c>
    </row>
    <row r="25" spans="1:14">
      <c r="A25">
        <f t="shared" si="0"/>
        <v>172</v>
      </c>
      <c r="B25" s="67">
        <v>106</v>
      </c>
      <c r="C25" s="81">
        <f>IF(ISNA(VLOOKUP($B25,DD_Info!$A$1:$E$216,5,0)),0,VLOOKUP($B25,DD_Info!$A$1:$E$216,5,0))</f>
        <v>1</v>
      </c>
      <c r="D25" t="str">
        <f>IF(ISNA(VLOOKUP($B25,DD_Info!$A$1:$E$216,2,0)),0,VLOOKUP($B25,DD_Info!$A$1:$E$216,2,0))</f>
        <v>Dan  Stoffel</v>
      </c>
      <c r="E25" t="str">
        <f>IF(ISNA(VLOOKUP($B25,DD_Info!$A$1:$E$216,3,0)),0,VLOOKUP($B25,DD_Info!$A$1:$E$216,3,0))</f>
        <v>Dallas</v>
      </c>
      <c r="F25">
        <f>ROUND(SUMIF(Councils!$C$6:$C$809,$B25,Councils!$E$6:$E$809),0)</f>
        <v>940</v>
      </c>
      <c r="G25">
        <f>ROUND(SUMIF(Councils!$C$6:$C$809,$B25,Councils!$F$6:$F$809)*0.7,0)</f>
        <v>31</v>
      </c>
      <c r="H25">
        <f>ROUND(SUMIF(Councils!$C$6:$C$809,$B25,Councils!$G$6:$G$809),0)</f>
        <v>0</v>
      </c>
      <c r="I25">
        <f>ROUND(SUMIF(Councils!$C$6:$C$809,$B25,Councils!$H$6:$H$809),0)</f>
        <v>0</v>
      </c>
      <c r="J25">
        <f>ROUND(SUMIF(Councils!$C$6:$C$809,$B25,Councils!$I$6:$I$809),0)</f>
        <v>0</v>
      </c>
      <c r="K25">
        <f>ROUND(SUMIF(Councils!$C$6:$C$809,$B25,Councils!$J$6:$J$809),0)</f>
        <v>11</v>
      </c>
      <c r="L25">
        <f>ROUND(SUMIF(Councils!$C$6:$C$809,$B25,Councils!$K$6:$K$809),0)</f>
        <v>13</v>
      </c>
      <c r="M25">
        <f>ROUND(SUMIF(Councils!$C$6:$C$809,$B25,Councils!$L$6:$L$809),0)</f>
        <v>-2</v>
      </c>
      <c r="N25" s="63">
        <f t="shared" si="1"/>
        <v>-6.4516129032258063E-2</v>
      </c>
    </row>
    <row r="26" spans="1:14">
      <c r="A26">
        <f t="shared" si="0"/>
        <v>176</v>
      </c>
      <c r="B26" s="67">
        <v>104</v>
      </c>
      <c r="C26" s="81">
        <f>IF(ISNA(VLOOKUP($B26,DD_Info!$A$1:$E$216,5,0)),0,VLOOKUP($B26,DD_Info!$A$1:$E$216,5,0))</f>
        <v>1</v>
      </c>
      <c r="D26" t="str">
        <f>IF(ISNA(VLOOKUP($B26,DD_Info!$A$1:$E$216,2,0)),0,VLOOKUP($B26,DD_Info!$A$1:$E$216,2,0))</f>
        <v>Scott  Brkovich</v>
      </c>
      <c r="E26" t="str">
        <f>IF(ISNA(VLOOKUP($B26,DD_Info!$A$1:$E$216,3,0)),0,VLOOKUP($B26,DD_Info!$A$1:$E$216,3,0))</f>
        <v>Dallas</v>
      </c>
      <c r="F26">
        <f>ROUND(SUMIF(Councils!$C$6:$C$809,$B26,Councils!$E$6:$E$809),0)</f>
        <v>2177</v>
      </c>
      <c r="G26">
        <f>ROUND(SUMIF(Councils!$C$6:$C$809,$B26,Councils!$F$6:$F$809)*0.7,0)</f>
        <v>31</v>
      </c>
      <c r="H26">
        <f>ROUND(SUMIF(Councils!$C$6:$C$809,$B26,Councils!$G$6:$G$809),0)</f>
        <v>1</v>
      </c>
      <c r="I26">
        <f>ROUND(SUMIF(Councils!$C$6:$C$809,$B26,Councils!$H$6:$H$809),0)</f>
        <v>3</v>
      </c>
      <c r="J26">
        <f>ROUND(SUMIF(Councils!$C$6:$C$809,$B26,Councils!$I$6:$I$809),0)</f>
        <v>-2</v>
      </c>
      <c r="K26">
        <f>ROUND(SUMIF(Councils!$C$6:$C$809,$B26,Councils!$J$6:$J$809),0)</f>
        <v>6</v>
      </c>
      <c r="L26">
        <f>ROUND(SUMIF(Councils!$C$6:$C$809,$B26,Councils!$K$6:$K$809),0)</f>
        <v>9</v>
      </c>
      <c r="M26">
        <f>ROUND(SUMIF(Councils!$C$6:$C$809,$B26,Councils!$L$6:$L$809),0)</f>
        <v>-3</v>
      </c>
      <c r="N26" s="63">
        <f t="shared" si="1"/>
        <v>-9.6774193548387094E-2</v>
      </c>
    </row>
    <row r="27" spans="1:14">
      <c r="A27">
        <f t="shared" si="0"/>
        <v>183</v>
      </c>
      <c r="B27" s="67">
        <v>79</v>
      </c>
      <c r="C27" s="81">
        <f>IF(ISNA(VLOOKUP($B27,DD_Info!$A$1:$E$216,5,0)),0,VLOOKUP($B27,DD_Info!$A$1:$E$216,5,0))</f>
        <v>1</v>
      </c>
      <c r="D27" t="str">
        <f>IF(ISNA(VLOOKUP($B27,DD_Info!$A$1:$E$216,2,0)),0,VLOOKUP($B27,DD_Info!$A$1:$E$216,2,0))</f>
        <v>Samuel  Gonzalez</v>
      </c>
      <c r="E27" t="str">
        <f>IF(ISNA(VLOOKUP($B27,DD_Info!$A$1:$E$216,3,0)),0,VLOOKUP($B27,DD_Info!$A$1:$E$216,3,0))</f>
        <v>Galv/Hous</v>
      </c>
      <c r="F27">
        <f>ROUND(SUMIF(Councils!$C$6:$C$809,$B27,Councils!$E$6:$E$809),0)</f>
        <v>1599</v>
      </c>
      <c r="G27">
        <f>ROUND(SUMIF(Councils!$C$6:$C$809,$B27,Councils!$F$6:$F$809)*0.7,0)</f>
        <v>53</v>
      </c>
      <c r="H27">
        <f>ROUND(SUMIF(Councils!$C$6:$C$809,$B27,Councils!$G$6:$G$809),0)</f>
        <v>0</v>
      </c>
      <c r="I27">
        <f>ROUND(SUMIF(Councils!$C$6:$C$809,$B27,Councils!$H$6:$H$809),0)</f>
        <v>7</v>
      </c>
      <c r="J27">
        <f>ROUND(SUMIF(Councils!$C$6:$C$809,$B27,Councils!$I$6:$I$809),0)</f>
        <v>-7</v>
      </c>
      <c r="K27">
        <f>ROUND(SUMIF(Councils!$C$6:$C$809,$B27,Councils!$J$6:$J$809),0)</f>
        <v>12</v>
      </c>
      <c r="L27">
        <f>ROUND(SUMIF(Councils!$C$6:$C$809,$B27,Councils!$K$6:$K$809),0)</f>
        <v>24</v>
      </c>
      <c r="M27">
        <f>ROUND(SUMIF(Councils!$C$6:$C$809,$B27,Councils!$L$6:$L$809),0)</f>
        <v>-12</v>
      </c>
      <c r="N27" s="63">
        <f t="shared" si="1"/>
        <v>-0.22641509433962265</v>
      </c>
    </row>
    <row r="28" spans="1:14">
      <c r="A28">
        <f t="shared" si="0"/>
        <v>195</v>
      </c>
      <c r="B28" s="67">
        <v>85</v>
      </c>
      <c r="C28" s="81">
        <f>IF(ISNA(VLOOKUP($B28,DD_Info!$A$1:$E$216,5,0)),0,VLOOKUP($B28,DD_Info!$A$1:$E$216,5,0))</f>
        <v>1</v>
      </c>
      <c r="D28" t="str">
        <f>IF(ISNA(VLOOKUP($B28,DD_Info!$A$1:$E$216,2,0)),0,VLOOKUP($B28,DD_Info!$A$1:$E$216,2,0))</f>
        <v>Patrick L Russek</v>
      </c>
      <c r="E28" t="str">
        <f>IF(ISNA(VLOOKUP($B28,DD_Info!$A$1:$E$216,3,0)),0,VLOOKUP($B28,DD_Info!$A$1:$E$216,3,0))</f>
        <v>Galv/Hous</v>
      </c>
      <c r="F28">
        <f>ROUND(SUMIF(Councils!$C$6:$C$809,$B28,Councils!$E$6:$E$809),0)</f>
        <v>1301</v>
      </c>
      <c r="G28">
        <f>ROUND(SUMIF(Councils!$C$6:$C$809,$B28,Councils!$F$6:$F$809)*0.7,0)</f>
        <v>44</v>
      </c>
      <c r="H28">
        <f>ROUND(SUMIF(Councils!$C$6:$C$809,$B28,Councils!$G$6:$G$809),0)</f>
        <v>0</v>
      </c>
      <c r="I28">
        <f>ROUND(SUMIF(Councils!$C$6:$C$809,$B28,Councils!$H$6:$H$809),0)</f>
        <v>5</v>
      </c>
      <c r="J28">
        <f>ROUND(SUMIF(Councils!$C$6:$C$809,$B28,Councils!$I$6:$I$809),0)</f>
        <v>-5</v>
      </c>
      <c r="K28">
        <f>ROUND(SUMIF(Councils!$C$6:$C$809,$B28,Councils!$J$6:$J$809),0)</f>
        <v>2</v>
      </c>
      <c r="L28">
        <f>ROUND(SUMIF(Councils!$C$6:$C$809,$B28,Councils!$K$6:$K$809),0)</f>
        <v>40</v>
      </c>
      <c r="M28">
        <f>ROUND(SUMIF(Councils!$C$6:$C$809,$B28,Councils!$L$6:$L$809),0)</f>
        <v>-38</v>
      </c>
      <c r="N28" s="63">
        <f t="shared" si="1"/>
        <v>-0.86363636363636365</v>
      </c>
    </row>
    <row r="29" spans="1:14">
      <c r="A29">
        <f t="shared" si="0"/>
        <v>77</v>
      </c>
      <c r="B29" s="67">
        <v>1</v>
      </c>
      <c r="C29" s="81">
        <f>IF(ISNA(VLOOKUP($B29,DD_Info!$A$1:$E$216,5,0)),0,VLOOKUP($B29,DD_Info!$A$1:$E$216,5,0))</f>
        <v>3</v>
      </c>
      <c r="D29" t="str">
        <f>IF(ISNA(VLOOKUP($B29,DD_Info!$A$1:$E$216,2,0)),0,VLOOKUP($B29,DD_Info!$A$1:$E$216,2,0))</f>
        <v>Richard  Gilliland</v>
      </c>
      <c r="E29" t="str">
        <f>IF(ISNA(VLOOKUP($B29,DD_Info!$A$1:$E$216,3,0)),0,VLOOKUP($B29,DD_Info!$A$1:$E$216,3,0))</f>
        <v>El Paso</v>
      </c>
      <c r="F29">
        <f>ROUND(SUMIF(Councils!$C$6:$C$809,$B29,Councils!$E$6:$E$809),0)</f>
        <v>293</v>
      </c>
      <c r="G29">
        <f>ROUND(SUMIF(Councils!$C$6:$C$809,$B29,Councils!$F$6:$F$809)*0.7,0)</f>
        <v>11</v>
      </c>
      <c r="H29">
        <f>ROUND(SUMIF(Councils!$C$6:$C$809,$B29,Councils!$G$6:$G$809),0)</f>
        <v>0</v>
      </c>
      <c r="I29">
        <f>ROUND(SUMIF(Councils!$C$6:$C$809,$B29,Councils!$H$6:$H$809),0)</f>
        <v>1</v>
      </c>
      <c r="J29">
        <f>ROUND(SUMIF(Councils!$C$6:$C$809,$B29,Councils!$I$6:$I$809),0)</f>
        <v>-1</v>
      </c>
      <c r="K29">
        <f>ROUND(SUMIF(Councils!$C$6:$C$809,$B29,Councils!$J$6:$J$809),0)</f>
        <v>4</v>
      </c>
      <c r="L29">
        <f>ROUND(SUMIF(Councils!$C$6:$C$809,$B29,Councils!$K$6:$K$809),0)</f>
        <v>2</v>
      </c>
      <c r="M29">
        <f>ROUND(SUMIF(Councils!$C$6:$C$809,$B29,Councils!$L$6:$L$809),0)</f>
        <v>2</v>
      </c>
      <c r="N29" s="63">
        <f t="shared" si="1"/>
        <v>0.18181818181818182</v>
      </c>
    </row>
    <row r="30" spans="1:14">
      <c r="A30">
        <f t="shared" si="0"/>
        <v>39</v>
      </c>
      <c r="B30" s="67">
        <v>2</v>
      </c>
      <c r="C30" s="81">
        <f>IF(ISNA(VLOOKUP($B30,DD_Info!$A$1:$E$216,5,0)),0,VLOOKUP($B30,DD_Info!$A$1:$E$216,5,0))</f>
        <v>2</v>
      </c>
      <c r="D30" t="str">
        <f>IF(ISNA(VLOOKUP($B30,DD_Info!$A$1:$E$216,2,0)),0,VLOOKUP($B30,DD_Info!$A$1:$E$216,2,0))</f>
        <v>Fernando T Silva</v>
      </c>
      <c r="E30" t="str">
        <f>IF(ISNA(VLOOKUP($B30,DD_Info!$A$1:$E$216,3,0)),0,VLOOKUP($B30,DD_Info!$A$1:$E$216,3,0))</f>
        <v>El Paso</v>
      </c>
      <c r="F30">
        <f>ROUND(SUMIF(Councils!$C$6:$C$809,$B30,Councils!$E$6:$E$809),0)</f>
        <v>574</v>
      </c>
      <c r="G30">
        <f>ROUND(SUMIF(Councils!$C$6:$C$809,$B30,Councils!$F$6:$F$809)*0.7,0)</f>
        <v>20</v>
      </c>
      <c r="H30">
        <f>ROUND(SUMIF(Councils!$C$6:$C$809,$B30,Councils!$G$6:$G$809),0)</f>
        <v>4</v>
      </c>
      <c r="I30">
        <f>ROUND(SUMIF(Councils!$C$6:$C$809,$B30,Councils!$H$6:$H$809),0)</f>
        <v>0</v>
      </c>
      <c r="J30">
        <f>ROUND(SUMIF(Councils!$C$6:$C$809,$B30,Councils!$I$6:$I$809),0)</f>
        <v>4</v>
      </c>
      <c r="K30">
        <f>ROUND(SUMIF(Councils!$C$6:$C$809,$B30,Councils!$J$6:$J$809),0)</f>
        <v>8</v>
      </c>
      <c r="L30">
        <f>ROUND(SUMIF(Councils!$C$6:$C$809,$B30,Councils!$K$6:$K$809),0)</f>
        <v>0</v>
      </c>
      <c r="M30">
        <f>ROUND(SUMIF(Councils!$C$6:$C$809,$B30,Councils!$L$6:$L$809),0)</f>
        <v>8</v>
      </c>
      <c r="N30" s="63">
        <f t="shared" si="1"/>
        <v>0.4</v>
      </c>
    </row>
    <row r="31" spans="1:14">
      <c r="A31">
        <f t="shared" si="0"/>
        <v>19</v>
      </c>
      <c r="B31" s="67">
        <v>3</v>
      </c>
      <c r="C31" s="81">
        <f>IF(ISNA(VLOOKUP($B31,DD_Info!$A$1:$E$216,5,0)),0,VLOOKUP($B31,DD_Info!$A$1:$E$216,5,0))</f>
        <v>2</v>
      </c>
      <c r="D31" t="str">
        <f>IF(ISNA(VLOOKUP($B31,DD_Info!$A$1:$E$216,2,0)),0,VLOOKUP($B31,DD_Info!$A$1:$E$216,2,0))</f>
        <v>Armando  Acosta</v>
      </c>
      <c r="E31" t="str">
        <f>IF(ISNA(VLOOKUP($B31,DD_Info!$A$1:$E$216,3,0)),0,VLOOKUP($B31,DD_Info!$A$1:$E$216,3,0))</f>
        <v>El Paso</v>
      </c>
      <c r="F31">
        <f>ROUND(SUMIF(Councils!$C$6:$C$809,$B31,Councils!$E$6:$E$809),0)</f>
        <v>395</v>
      </c>
      <c r="G31">
        <f>ROUND(SUMIF(Councils!$C$6:$C$809,$B31,Councils!$F$6:$F$809)*0.7,0)</f>
        <v>13</v>
      </c>
      <c r="H31">
        <f>ROUND(SUMIF(Councils!$C$6:$C$809,$B31,Councils!$G$6:$G$809),0)</f>
        <v>1</v>
      </c>
      <c r="I31">
        <f>ROUND(SUMIF(Councils!$C$6:$C$809,$B31,Councils!$H$6:$H$809),0)</f>
        <v>0</v>
      </c>
      <c r="J31">
        <f>ROUND(SUMIF(Councils!$C$6:$C$809,$B31,Councils!$I$6:$I$809),0)</f>
        <v>1</v>
      </c>
      <c r="K31">
        <f>ROUND(SUMIF(Councils!$C$6:$C$809,$B31,Councils!$J$6:$J$809),0)</f>
        <v>8</v>
      </c>
      <c r="L31">
        <f>ROUND(SUMIF(Councils!$C$6:$C$809,$B31,Councils!$K$6:$K$809),0)</f>
        <v>0</v>
      </c>
      <c r="M31">
        <f>ROUND(SUMIF(Councils!$C$6:$C$809,$B31,Councils!$L$6:$L$809),0)</f>
        <v>8</v>
      </c>
      <c r="N31" s="63">
        <f t="shared" si="1"/>
        <v>0.61538461538461542</v>
      </c>
    </row>
    <row r="32" spans="1:14">
      <c r="A32">
        <f t="shared" si="0"/>
        <v>1</v>
      </c>
      <c r="B32" s="67">
        <v>4</v>
      </c>
      <c r="C32" s="81">
        <f>IF(ISNA(VLOOKUP($B32,DD_Info!$A$1:$E$216,5,0)),0,VLOOKUP($B32,DD_Info!$A$1:$E$216,5,0))</f>
        <v>3</v>
      </c>
      <c r="D32" t="str">
        <f>IF(ISNA(VLOOKUP($B32,DD_Info!$A$1:$E$216,2,0)),0,VLOOKUP($B32,DD_Info!$A$1:$E$216,2,0))</f>
        <v>James B Weber</v>
      </c>
      <c r="E32" t="str">
        <f>IF(ISNA(VLOOKUP($B32,DD_Info!$A$1:$E$216,3,0)),0,VLOOKUP($B32,DD_Info!$A$1:$E$216,3,0))</f>
        <v>El Paso</v>
      </c>
      <c r="F32">
        <f>ROUND(SUMIF(Councils!$C$6:$C$809,$B32,Councils!$E$6:$E$809),0)</f>
        <v>30</v>
      </c>
      <c r="G32">
        <f>ROUND(SUMIF(Councils!$C$6:$C$809,$B32,Councils!$F$6:$F$809)*0.7,0)</f>
        <v>2</v>
      </c>
      <c r="H32">
        <f>ROUND(SUMIF(Councils!$C$6:$C$809,$B32,Councils!$G$6:$G$809),0)</f>
        <v>0</v>
      </c>
      <c r="I32">
        <f>ROUND(SUMIF(Councils!$C$6:$C$809,$B32,Councils!$H$6:$H$809),0)</f>
        <v>0</v>
      </c>
      <c r="J32">
        <f>ROUND(SUMIF(Councils!$C$6:$C$809,$B32,Councils!$I$6:$I$809),0)</f>
        <v>0</v>
      </c>
      <c r="K32">
        <f>ROUND(SUMIF(Councils!$C$6:$C$809,$B32,Councils!$J$6:$J$809),0)</f>
        <v>13</v>
      </c>
      <c r="L32">
        <f>ROUND(SUMIF(Councils!$C$6:$C$809,$B32,Councils!$K$6:$K$809),0)</f>
        <v>0</v>
      </c>
      <c r="M32">
        <f>ROUND(SUMIF(Councils!$C$6:$C$809,$B32,Councils!$L$6:$L$809),0)</f>
        <v>13</v>
      </c>
      <c r="N32" s="63">
        <f t="shared" si="1"/>
        <v>6.5</v>
      </c>
    </row>
    <row r="33" spans="1:14">
      <c r="A33">
        <f t="shared" si="0"/>
        <v>53</v>
      </c>
      <c r="B33" s="67">
        <v>5</v>
      </c>
      <c r="C33" s="81">
        <f>IF(ISNA(VLOOKUP($B33,DD_Info!$A$1:$E$216,5,0)),0,VLOOKUP($B33,DD_Info!$A$1:$E$216,5,0))</f>
        <v>3</v>
      </c>
      <c r="D33" t="str">
        <f>IF(ISNA(VLOOKUP($B33,DD_Info!$A$1:$E$216,2,0)),0,VLOOKUP($B33,DD_Info!$A$1:$E$216,2,0))</f>
        <v>Giovani  Hyppolite</v>
      </c>
      <c r="E33" t="str">
        <f>IF(ISNA(VLOOKUP($B33,DD_Info!$A$1:$E$216,3,0)),0,VLOOKUP($B33,DD_Info!$A$1:$E$216,3,0))</f>
        <v>El Paso</v>
      </c>
      <c r="F33">
        <f>ROUND(SUMIF(Councils!$C$6:$C$809,$B33,Councils!$E$6:$E$809),0)</f>
        <v>267</v>
      </c>
      <c r="G33">
        <f>ROUND(SUMIF(Councils!$C$6:$C$809,$B33,Councils!$F$6:$F$809)*0.7,0)</f>
        <v>10</v>
      </c>
      <c r="H33">
        <f>ROUND(SUMIF(Councils!$C$6:$C$809,$B33,Councils!$G$6:$G$809),0)</f>
        <v>0</v>
      </c>
      <c r="I33">
        <f>ROUND(SUMIF(Councils!$C$6:$C$809,$B33,Councils!$H$6:$H$809),0)</f>
        <v>0</v>
      </c>
      <c r="J33">
        <f>ROUND(SUMIF(Councils!$C$6:$C$809,$B33,Councils!$I$6:$I$809),0)</f>
        <v>0</v>
      </c>
      <c r="K33">
        <f>ROUND(SUMIF(Councils!$C$6:$C$809,$B33,Councils!$J$6:$J$809),0)</f>
        <v>4</v>
      </c>
      <c r="L33">
        <f>ROUND(SUMIF(Councils!$C$6:$C$809,$B33,Councils!$K$6:$K$809),0)</f>
        <v>1</v>
      </c>
      <c r="M33">
        <f>ROUND(SUMIF(Councils!$C$6:$C$809,$B33,Councils!$L$6:$L$809),0)</f>
        <v>3</v>
      </c>
      <c r="N33" s="63">
        <f t="shared" si="1"/>
        <v>0.3</v>
      </c>
    </row>
    <row r="34" spans="1:14">
      <c r="A34">
        <f t="shared" si="0"/>
        <v>192</v>
      </c>
      <c r="B34" s="67">
        <v>6</v>
      </c>
      <c r="C34" s="81">
        <f>IF(ISNA(VLOOKUP($B34,DD_Info!$A$1:$E$216,5,0)),0,VLOOKUP($B34,DD_Info!$A$1:$E$216,5,0))</f>
        <v>3</v>
      </c>
      <c r="D34" t="str">
        <f>IF(ISNA(VLOOKUP($B34,DD_Info!$A$1:$E$216,2,0)),0,VLOOKUP($B34,DD_Info!$A$1:$E$216,2,0))</f>
        <v>Luis J Ortiz Jr</v>
      </c>
      <c r="E34" t="str">
        <f>IF(ISNA(VLOOKUP($B34,DD_Info!$A$1:$E$216,3,0)),0,VLOOKUP($B34,DD_Info!$A$1:$E$216,3,0))</f>
        <v>El Paso</v>
      </c>
      <c r="F34">
        <f>ROUND(SUMIF(Councils!$C$6:$C$809,$B34,Councils!$E$6:$E$809),0)</f>
        <v>233</v>
      </c>
      <c r="G34">
        <f>ROUND(SUMIF(Councils!$C$6:$C$809,$B34,Councils!$F$6:$F$809)*0.7,0)</f>
        <v>9</v>
      </c>
      <c r="H34">
        <f>ROUND(SUMIF(Councils!$C$6:$C$809,$B34,Councils!$G$6:$G$809),0)</f>
        <v>0</v>
      </c>
      <c r="I34">
        <f>ROUND(SUMIF(Councils!$C$6:$C$809,$B34,Councils!$H$6:$H$809),0)</f>
        <v>0</v>
      </c>
      <c r="J34">
        <f>ROUND(SUMIF(Councils!$C$6:$C$809,$B34,Councils!$I$6:$I$809),0)</f>
        <v>0</v>
      </c>
      <c r="K34">
        <f>ROUND(SUMIF(Councils!$C$6:$C$809,$B34,Councils!$J$6:$J$809),0)</f>
        <v>4</v>
      </c>
      <c r="L34">
        <f>ROUND(SUMIF(Councils!$C$6:$C$809,$B34,Councils!$K$6:$K$809),0)</f>
        <v>8</v>
      </c>
      <c r="M34">
        <f>ROUND(SUMIF(Councils!$C$6:$C$809,$B34,Councils!$L$6:$L$809),0)</f>
        <v>-4</v>
      </c>
      <c r="N34" s="63">
        <f t="shared" si="1"/>
        <v>-0.44444444444444442</v>
      </c>
    </row>
    <row r="35" spans="1:14">
      <c r="A35">
        <f t="shared" si="0"/>
        <v>179</v>
      </c>
      <c r="B35" s="67">
        <v>7</v>
      </c>
      <c r="C35" s="81">
        <f>IF(ISNA(VLOOKUP($B35,DD_Info!$A$1:$E$216,5,0)),0,VLOOKUP($B35,DD_Info!$A$1:$E$216,5,0))</f>
        <v>3</v>
      </c>
      <c r="D35" t="str">
        <f>IF(ISNA(VLOOKUP($B35,DD_Info!$A$1:$E$216,2,0)),0,VLOOKUP($B35,DD_Info!$A$1:$E$216,2,0))</f>
        <v>Jesus  Granado Jr</v>
      </c>
      <c r="E35" t="str">
        <f>IF(ISNA(VLOOKUP($B35,DD_Info!$A$1:$E$216,3,0)),0,VLOOKUP($B35,DD_Info!$A$1:$E$216,3,0))</f>
        <v>El Paso</v>
      </c>
      <c r="F35">
        <f>ROUND(SUMIF(Councils!$C$6:$C$809,$B35,Councils!$E$6:$E$809),0)</f>
        <v>176</v>
      </c>
      <c r="G35">
        <f>ROUND(SUMIF(Councils!$C$6:$C$809,$B35,Councils!$F$6:$F$809)*0.7,0)</f>
        <v>6</v>
      </c>
      <c r="H35">
        <f>ROUND(SUMIF(Councils!$C$6:$C$809,$B35,Councils!$G$6:$G$809),0)</f>
        <v>0</v>
      </c>
      <c r="I35">
        <f>ROUND(SUMIF(Councils!$C$6:$C$809,$B35,Councils!$H$6:$H$809),0)</f>
        <v>0</v>
      </c>
      <c r="J35">
        <f>ROUND(SUMIF(Councils!$C$6:$C$809,$B35,Councils!$I$6:$I$809),0)</f>
        <v>0</v>
      </c>
      <c r="K35">
        <f>ROUND(SUMIF(Councils!$C$6:$C$809,$B35,Councils!$J$6:$J$809),0)</f>
        <v>1</v>
      </c>
      <c r="L35">
        <f>ROUND(SUMIF(Councils!$C$6:$C$809,$B35,Councils!$K$6:$K$809),0)</f>
        <v>2</v>
      </c>
      <c r="M35">
        <f>ROUND(SUMIF(Councils!$C$6:$C$809,$B35,Councils!$L$6:$L$809),0)</f>
        <v>-1</v>
      </c>
      <c r="N35" s="63">
        <f t="shared" si="1"/>
        <v>-0.16666666666666666</v>
      </c>
    </row>
    <row r="36" spans="1:14">
      <c r="A36">
        <f t="shared" si="0"/>
        <v>36</v>
      </c>
      <c r="B36" s="67">
        <v>8</v>
      </c>
      <c r="C36" s="81">
        <f>IF(ISNA(VLOOKUP($B36,DD_Info!$A$1:$E$216,5,0)),0,VLOOKUP($B36,DD_Info!$A$1:$E$216,5,0))</f>
        <v>3</v>
      </c>
      <c r="D36" t="str">
        <f>IF(ISNA(VLOOKUP($B36,DD_Info!$A$1:$E$216,2,0)),0,VLOOKUP($B36,DD_Info!$A$1:$E$216,2,0))</f>
        <v>Roman  Bustillos</v>
      </c>
      <c r="E36" t="str">
        <f>IF(ISNA(VLOOKUP($B36,DD_Info!$A$1:$E$216,3,0)),0,VLOOKUP($B36,DD_Info!$A$1:$E$216,3,0))</f>
        <v>El Paso</v>
      </c>
      <c r="F36">
        <f>ROUND(SUMIF(Councils!$C$6:$C$809,$B36,Councils!$E$6:$E$809),0)</f>
        <v>215</v>
      </c>
      <c r="G36">
        <f>ROUND(SUMIF(Councils!$C$6:$C$809,$B36,Councils!$F$6:$F$809)*0.7,0)</f>
        <v>7</v>
      </c>
      <c r="H36">
        <f>ROUND(SUMIF(Councils!$C$6:$C$809,$B36,Councils!$G$6:$G$809),0)</f>
        <v>1</v>
      </c>
      <c r="I36">
        <f>ROUND(SUMIF(Councils!$C$6:$C$809,$B36,Councils!$H$6:$H$809),0)</f>
        <v>0</v>
      </c>
      <c r="J36">
        <f>ROUND(SUMIF(Councils!$C$6:$C$809,$B36,Councils!$I$6:$I$809),0)</f>
        <v>1</v>
      </c>
      <c r="K36">
        <f>ROUND(SUMIF(Councils!$C$6:$C$809,$B36,Councils!$J$6:$J$809),0)</f>
        <v>3</v>
      </c>
      <c r="L36">
        <f>ROUND(SUMIF(Councils!$C$6:$C$809,$B36,Councils!$K$6:$K$809),0)</f>
        <v>0</v>
      </c>
      <c r="M36">
        <f>ROUND(SUMIF(Councils!$C$6:$C$809,$B36,Councils!$L$6:$L$809),0)</f>
        <v>3</v>
      </c>
      <c r="N36" s="63">
        <f t="shared" si="1"/>
        <v>0.42857142857142855</v>
      </c>
    </row>
    <row r="37" spans="1:14">
      <c r="A37">
        <f t="shared" si="0"/>
        <v>59</v>
      </c>
      <c r="B37" s="67">
        <v>9</v>
      </c>
      <c r="C37" s="81">
        <f>IF(ISNA(VLOOKUP($B37,DD_Info!$A$1:$E$216,5,0)),0,VLOOKUP($B37,DD_Info!$A$1:$E$216,5,0))</f>
        <v>3</v>
      </c>
      <c r="D37" t="str">
        <f>IF(ISNA(VLOOKUP($B37,DD_Info!$A$1:$E$216,2,0)),0,VLOOKUP($B37,DD_Info!$A$1:$E$216,2,0))</f>
        <v>Jesus  Quinones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69</v>
      </c>
      <c r="G37">
        <f>ROUND(SUMIF(Councils!$C$6:$C$809,$B37,Councils!$F$6:$F$809)*0.7,0)</f>
        <v>4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1</v>
      </c>
      <c r="L37">
        <f>ROUND(SUMIF(Councils!$C$6:$C$809,$B37,Councils!$K$6:$K$809),0)</f>
        <v>0</v>
      </c>
      <c r="M37">
        <f>ROUND(SUMIF(Councils!$C$6:$C$809,$B37,Councils!$L$6:$L$809),0)</f>
        <v>1</v>
      </c>
      <c r="N37" s="63">
        <f t="shared" si="1"/>
        <v>0.25</v>
      </c>
    </row>
    <row r="38" spans="1:14">
      <c r="A38">
        <f t="shared" si="0"/>
        <v>179</v>
      </c>
      <c r="B38" s="67">
        <v>10</v>
      </c>
      <c r="C38" s="81">
        <f>IF(ISNA(VLOOKUP($B38,DD_Info!$A$1:$E$216,5,0)),0,VLOOKUP($B38,DD_Info!$A$1:$E$216,5,0))</f>
        <v>3</v>
      </c>
      <c r="D38" t="str">
        <f>IF(ISNA(VLOOKUP($B38,DD_Info!$A$1:$E$216,2,0)),0,VLOOKUP($B38,DD_Info!$A$1:$E$216,2,0))</f>
        <v>Robert  Diaz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181</v>
      </c>
      <c r="G38">
        <f>ROUND(SUMIF(Councils!$C$6:$C$809,$B38,Councils!$F$6:$F$809)*0.7,0)</f>
        <v>6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1</v>
      </c>
      <c r="L38">
        <f>ROUND(SUMIF(Councils!$C$6:$C$809,$B38,Councils!$K$6:$K$809),0)</f>
        <v>2</v>
      </c>
      <c r="M38">
        <f>ROUND(SUMIF(Councils!$C$6:$C$809,$B38,Councils!$L$6:$L$809),0)</f>
        <v>-1</v>
      </c>
      <c r="N38" s="63">
        <f t="shared" si="1"/>
        <v>-0.16666666666666666</v>
      </c>
    </row>
    <row r="39" spans="1:14">
      <c r="A39">
        <f t="shared" si="0"/>
        <v>10</v>
      </c>
      <c r="B39" s="67">
        <v>11</v>
      </c>
      <c r="C39" s="81">
        <f>IF(ISNA(VLOOKUP($B39,DD_Info!$A$1:$E$216,5,0)),0,VLOOKUP($B39,DD_Info!$A$1:$E$216,5,0))</f>
        <v>3</v>
      </c>
      <c r="D39" t="str">
        <f>IF(ISNA(VLOOKUP($B39,DD_Info!$A$1:$E$216,2,0)),0,VLOOKUP($B39,DD_Info!$A$1:$E$216,2,0))</f>
        <v>Ramon J Salgado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172</v>
      </c>
      <c r="G39">
        <f>ROUND(SUMIF(Councils!$C$6:$C$809,$B39,Councils!$F$6:$F$809)*0.7,0)</f>
        <v>6</v>
      </c>
      <c r="H39">
        <f>ROUND(SUMIF(Councils!$C$6:$C$809,$B39,Councils!$G$6:$G$809),0)</f>
        <v>1</v>
      </c>
      <c r="I39">
        <f>ROUND(SUMIF(Councils!$C$6:$C$809,$B39,Councils!$H$6:$H$809),0)</f>
        <v>0</v>
      </c>
      <c r="J39">
        <f>ROUND(SUMIF(Councils!$C$6:$C$809,$B39,Councils!$I$6:$I$809),0)</f>
        <v>1</v>
      </c>
      <c r="K39">
        <f>ROUND(SUMIF(Councils!$C$6:$C$809,$B39,Councils!$J$6:$J$809),0)</f>
        <v>5</v>
      </c>
      <c r="L39">
        <f>ROUND(SUMIF(Councils!$C$6:$C$809,$B39,Councils!$K$6:$K$809),0)</f>
        <v>0</v>
      </c>
      <c r="M39">
        <f>ROUND(SUMIF(Councils!$C$6:$C$809,$B39,Councils!$L$6:$L$809),0)</f>
        <v>5</v>
      </c>
      <c r="N39" s="63">
        <f t="shared" si="1"/>
        <v>0.83333333333333337</v>
      </c>
    </row>
    <row r="40" spans="1:14">
      <c r="A40">
        <f t="shared" si="0"/>
        <v>123</v>
      </c>
      <c r="B40" s="67">
        <v>16</v>
      </c>
      <c r="C40" s="81">
        <f>IF(ISNA(VLOOKUP($B40,DD_Info!$A$1:$E$216,5,0)),0,VLOOKUP($B40,DD_Info!$A$1:$E$216,5,0))</f>
        <v>3</v>
      </c>
      <c r="D40" t="str">
        <f>IF(ISNA(VLOOKUP($B40,DD_Info!$A$1:$E$216,2,0)),0,VLOOKUP($B40,DD_Info!$A$1:$E$216,2,0))</f>
        <v>TO BE APPOINTED</v>
      </c>
      <c r="E40" t="str">
        <f>IF(ISNA(VLOOKUP($B40,DD_Info!$A$1:$E$216,3,0)),0,VLOOKUP($B40,DD_Info!$A$1:$E$216,3,0))</f>
        <v>Fort Worth</v>
      </c>
      <c r="F40">
        <f>ROUND(SUMIF(Councils!$C$6:$C$809,$B40,Councils!$E$6:$E$809),0)</f>
        <v>268</v>
      </c>
      <c r="G40">
        <f>ROUND(SUMIF(Councils!$C$6:$C$809,$B40,Councils!$F$6:$F$809)*0.7,0)</f>
        <v>11</v>
      </c>
      <c r="H40">
        <f>ROUND(SUMIF(Councils!$C$6:$C$809,$B40,Councils!$G$6:$G$809),0)</f>
        <v>0</v>
      </c>
      <c r="I40">
        <f>ROUND(SUMIF(Councils!$C$6:$C$809,$B40,Councils!$H$6:$H$809),0)</f>
        <v>0</v>
      </c>
      <c r="J40">
        <f>ROUND(SUMIF(Councils!$C$6:$C$809,$B40,Councils!$I$6:$I$809),0)</f>
        <v>0</v>
      </c>
      <c r="K40">
        <f>ROUND(SUMIF(Councils!$C$6:$C$809,$B40,Councils!$J$6:$J$809),0)</f>
        <v>0</v>
      </c>
      <c r="L40">
        <f>ROUND(SUMIF(Councils!$C$6:$C$809,$B40,Councils!$K$6:$K$809),0)</f>
        <v>0</v>
      </c>
      <c r="M40">
        <f>ROUND(SUMIF(Councils!$C$6:$C$809,$B40,Councils!$L$6:$L$809),0)</f>
        <v>0</v>
      </c>
      <c r="N40" s="63">
        <f t="shared" si="1"/>
        <v>0</v>
      </c>
    </row>
    <row r="41" spans="1:14">
      <c r="A41">
        <f t="shared" si="0"/>
        <v>199</v>
      </c>
      <c r="B41" s="67">
        <v>19</v>
      </c>
      <c r="C41" s="81">
        <f>IF(ISNA(VLOOKUP($B41,DD_Info!$A$1:$E$216,5,0)),0,VLOOKUP($B41,DD_Info!$A$1:$E$216,5,0))</f>
        <v>1</v>
      </c>
      <c r="D41" t="str">
        <f>IF(ISNA(VLOOKUP($B41,DD_Info!$A$1:$E$216,2,0)),0,VLOOKUP($B41,DD_Info!$A$1:$E$216,2,0))</f>
        <v>Richard  Rumenapp</v>
      </c>
      <c r="E41" t="str">
        <f>IF(ISNA(VLOOKUP($B41,DD_Info!$A$1:$E$216,3,0)),0,VLOOKUP($B41,DD_Info!$A$1:$E$216,3,0))</f>
        <v>Fort Worth</v>
      </c>
      <c r="F41">
        <f>ROUND(SUMIF(Councils!$C$6:$C$809,$B41,Councils!$E$6:$E$809),0)</f>
        <v>586</v>
      </c>
      <c r="G41">
        <f>ROUND(SUMIF(Councils!$C$6:$C$809,$B41,Councils!$F$6:$F$809)*0.7,0)</f>
        <v>20</v>
      </c>
      <c r="H41">
        <f>ROUND(SUMIF(Councils!$C$6:$C$809,$B41,Councils!$G$6:$G$809),0)</f>
        <v>1</v>
      </c>
      <c r="I41">
        <f>ROUND(SUMIF(Councils!$C$6:$C$809,$B41,Councils!$H$6:$H$809),0)</f>
        <v>1</v>
      </c>
      <c r="J41">
        <f>ROUND(SUMIF(Councils!$C$6:$C$809,$B41,Councils!$I$6:$I$809),0)</f>
        <v>0</v>
      </c>
      <c r="K41">
        <f>ROUND(SUMIF(Councils!$C$6:$C$809,$B41,Councils!$J$6:$J$809),0)</f>
        <v>12</v>
      </c>
      <c r="L41">
        <f>ROUND(SUMIF(Councils!$C$6:$C$809,$B41,Councils!$K$6:$K$809),0)</f>
        <v>33</v>
      </c>
      <c r="M41">
        <f>ROUND(SUMIF(Councils!$C$6:$C$809,$B41,Councils!$L$6:$L$809),0)</f>
        <v>-21</v>
      </c>
      <c r="N41" s="63">
        <f t="shared" si="1"/>
        <v>-1.05</v>
      </c>
    </row>
    <row r="42" spans="1:14">
      <c r="A42">
        <f t="shared" si="0"/>
        <v>37</v>
      </c>
      <c r="B42" s="67">
        <v>20</v>
      </c>
      <c r="C42" s="81">
        <f>IF(ISNA(VLOOKUP($B42,DD_Info!$A$1:$E$216,5,0)),0,VLOOKUP($B42,DD_Info!$A$1:$E$216,5,0))</f>
        <v>2</v>
      </c>
      <c r="D42" t="str">
        <f>IF(ISNA(VLOOKUP($B42,DD_Info!$A$1:$E$216,2,0)),0,VLOOKUP($B42,DD_Info!$A$1:$E$216,2,0))</f>
        <v>Walter A Hoesing</v>
      </c>
      <c r="E42" t="str">
        <f>IF(ISNA(VLOOKUP($B42,DD_Info!$A$1:$E$216,3,0)),0,VLOOKUP($B42,DD_Info!$A$1:$E$216,3,0))</f>
        <v>Fort Worth</v>
      </c>
      <c r="F42">
        <f>ROUND(SUMIF(Councils!$C$6:$C$809,$B42,Councils!$E$6:$E$809),0)</f>
        <v>487</v>
      </c>
      <c r="G42">
        <f>ROUND(SUMIF(Councils!$C$6:$C$809,$B42,Councils!$F$6:$F$809)*0.7,0)</f>
        <v>17</v>
      </c>
      <c r="H42">
        <f>ROUND(SUMIF(Councils!$C$6:$C$809,$B42,Councils!$G$6:$G$809),0)</f>
        <v>1</v>
      </c>
      <c r="I42">
        <f>ROUND(SUMIF(Councils!$C$6:$C$809,$B42,Councils!$H$6:$H$809),0)</f>
        <v>0</v>
      </c>
      <c r="J42">
        <f>ROUND(SUMIF(Councils!$C$6:$C$809,$B42,Councils!$I$6:$I$809),0)</f>
        <v>1</v>
      </c>
      <c r="K42">
        <f>ROUND(SUMIF(Councils!$C$6:$C$809,$B42,Councils!$J$6:$J$809),0)</f>
        <v>7</v>
      </c>
      <c r="L42">
        <f>ROUND(SUMIF(Councils!$C$6:$C$809,$B42,Councils!$K$6:$K$809),0)</f>
        <v>0</v>
      </c>
      <c r="M42">
        <f>ROUND(SUMIF(Councils!$C$6:$C$809,$B42,Councils!$L$6:$L$809),0)</f>
        <v>7</v>
      </c>
      <c r="N42" s="63">
        <f t="shared" si="1"/>
        <v>0.41176470588235292</v>
      </c>
    </row>
    <row r="43" spans="1:14">
      <c r="A43">
        <f t="shared" si="0"/>
        <v>98</v>
      </c>
      <c r="B43" s="67">
        <v>22</v>
      </c>
      <c r="C43" s="81">
        <f>IF(ISNA(VLOOKUP($B43,DD_Info!$A$1:$E$216,5,0)),0,VLOOKUP($B43,DD_Info!$A$1:$E$216,5,0))</f>
        <v>2</v>
      </c>
      <c r="D43" t="str">
        <f>IF(ISNA(VLOOKUP($B43,DD_Info!$A$1:$E$216,2,0)),0,VLOOKUP($B43,DD_Info!$A$1:$E$216,2,0))</f>
        <v>John  Walker</v>
      </c>
      <c r="E43" t="str">
        <f>IF(ISNA(VLOOKUP($B43,DD_Info!$A$1:$E$216,3,0)),0,VLOOKUP($B43,DD_Info!$A$1:$E$216,3,0))</f>
        <v>Fort Worth</v>
      </c>
      <c r="F43">
        <f>ROUND(SUMIF(Councils!$C$6:$C$809,$B43,Councils!$E$6:$E$809),0)</f>
        <v>569</v>
      </c>
      <c r="G43">
        <f>ROUND(SUMIF(Councils!$C$6:$C$809,$B43,Councils!$F$6:$F$809)*0.7,0)</f>
        <v>20</v>
      </c>
      <c r="H43">
        <f>ROUND(SUMIF(Councils!$C$6:$C$809,$B43,Councils!$G$6:$G$809),0)</f>
        <v>0</v>
      </c>
      <c r="I43">
        <f>ROUND(SUMIF(Councils!$C$6:$C$809,$B43,Councils!$H$6:$H$809),0)</f>
        <v>0</v>
      </c>
      <c r="J43">
        <f>ROUND(SUMIF(Councils!$C$6:$C$809,$B43,Councils!$I$6:$I$809),0)</f>
        <v>0</v>
      </c>
      <c r="K43">
        <f>ROUND(SUMIF(Councils!$C$6:$C$809,$B43,Councils!$J$6:$J$809),0)</f>
        <v>2</v>
      </c>
      <c r="L43">
        <f>ROUND(SUMIF(Councils!$C$6:$C$809,$B43,Councils!$K$6:$K$809),0)</f>
        <v>0</v>
      </c>
      <c r="M43">
        <f>ROUND(SUMIF(Councils!$C$6:$C$809,$B43,Councils!$L$6:$L$809),0)</f>
        <v>2</v>
      </c>
      <c r="N43" s="63">
        <f t="shared" si="1"/>
        <v>0.1</v>
      </c>
    </row>
    <row r="44" spans="1:14">
      <c r="A44">
        <f t="shared" si="0"/>
        <v>115</v>
      </c>
      <c r="B44" s="67">
        <v>23</v>
      </c>
      <c r="C44" s="81">
        <f>IF(ISNA(VLOOKUP($B44,DD_Info!$A$1:$E$216,5,0)),0,VLOOKUP($B44,DD_Info!$A$1:$E$216,5,0))</f>
        <v>2</v>
      </c>
      <c r="D44" t="str">
        <f>IF(ISNA(VLOOKUP($B44,DD_Info!$A$1:$E$216,2,0)),0,VLOOKUP($B44,DD_Info!$A$1:$E$216,2,0))</f>
        <v>Michael  Rueschenberg</v>
      </c>
      <c r="E44" t="str">
        <f>IF(ISNA(VLOOKUP($B44,DD_Info!$A$1:$E$216,3,0)),0,VLOOKUP($B44,DD_Info!$A$1:$E$216,3,0))</f>
        <v>Fort Worth</v>
      </c>
      <c r="F44">
        <f>ROUND(SUMIF(Councils!$C$6:$C$809,$B44,Councils!$E$6:$E$809),0)</f>
        <v>554</v>
      </c>
      <c r="G44">
        <f>ROUND(SUMIF(Councils!$C$6:$C$809,$B44,Councils!$F$6:$F$809)*0.7,0)</f>
        <v>18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1</v>
      </c>
      <c r="L44">
        <f>ROUND(SUMIF(Councils!$C$6:$C$809,$B44,Councils!$K$6:$K$809),0)</f>
        <v>0</v>
      </c>
      <c r="M44">
        <f>ROUND(SUMIF(Councils!$C$6:$C$809,$B44,Councils!$L$6:$L$809),0)</f>
        <v>1</v>
      </c>
      <c r="N44" s="63">
        <f t="shared" si="1"/>
        <v>5.5555555555555552E-2</v>
      </c>
    </row>
    <row r="45" spans="1:14">
      <c r="A45">
        <f t="shared" si="0"/>
        <v>48</v>
      </c>
      <c r="B45" s="67">
        <v>24</v>
      </c>
      <c r="C45" s="81">
        <f>IF(ISNA(VLOOKUP($B45,DD_Info!$A$1:$E$216,5,0)),0,VLOOKUP($B45,DD_Info!$A$1:$E$216,5,0))</f>
        <v>1</v>
      </c>
      <c r="D45" t="str">
        <f>IF(ISNA(VLOOKUP($B45,DD_Info!$A$1:$E$216,2,0)),0,VLOOKUP($B45,DD_Info!$A$1:$E$216,2,0))</f>
        <v>Ruben  Cisneros</v>
      </c>
      <c r="E45" t="str">
        <f>IF(ISNA(VLOOKUP($B45,DD_Info!$A$1:$E$216,3,0)),0,VLOOKUP($B45,DD_Info!$A$1:$E$216,3,0))</f>
        <v>Fort Worth</v>
      </c>
      <c r="F45">
        <f>ROUND(SUMIF(Councils!$C$6:$C$809,$B45,Councils!$E$6:$E$809),0)</f>
        <v>831</v>
      </c>
      <c r="G45">
        <f>ROUND(SUMIF(Councils!$C$6:$C$809,$B45,Councils!$F$6:$F$809)*0.7,0)</f>
        <v>27</v>
      </c>
      <c r="H45">
        <f>ROUND(SUMIF(Councils!$C$6:$C$809,$B45,Councils!$G$6:$G$809),0)</f>
        <v>4</v>
      </c>
      <c r="I45">
        <f>ROUND(SUMIF(Councils!$C$6:$C$809,$B45,Councils!$H$6:$H$809),0)</f>
        <v>1</v>
      </c>
      <c r="J45">
        <f>ROUND(SUMIF(Councils!$C$6:$C$809,$B45,Councils!$I$6:$I$809),0)</f>
        <v>3</v>
      </c>
      <c r="K45">
        <f>ROUND(SUMIF(Councils!$C$6:$C$809,$B45,Councils!$J$6:$J$809),0)</f>
        <v>13</v>
      </c>
      <c r="L45">
        <f>ROUND(SUMIF(Councils!$C$6:$C$809,$B45,Councils!$K$6:$K$809),0)</f>
        <v>4</v>
      </c>
      <c r="M45">
        <f>ROUND(SUMIF(Councils!$C$6:$C$809,$B45,Councils!$L$6:$L$809),0)</f>
        <v>9</v>
      </c>
      <c r="N45" s="63">
        <f t="shared" si="1"/>
        <v>0.33333333333333331</v>
      </c>
    </row>
    <row r="46" spans="1:14">
      <c r="A46">
        <f t="shared" si="0"/>
        <v>198</v>
      </c>
      <c r="B46" s="67">
        <v>26</v>
      </c>
      <c r="C46" s="81">
        <f>IF(ISNA(VLOOKUP($B46,DD_Info!$A$1:$E$216,5,0)),0,VLOOKUP($B46,DD_Info!$A$1:$E$216,5,0))</f>
        <v>1</v>
      </c>
      <c r="D46" t="str">
        <f>IF(ISNA(VLOOKUP($B46,DD_Info!$A$1:$E$216,2,0)),0,VLOOKUP($B46,DD_Info!$A$1:$E$216,2,0))</f>
        <v>Gerald  Hightower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634</v>
      </c>
      <c r="G46">
        <f>ROUND(SUMIF(Councils!$C$6:$C$809,$B46,Councils!$F$6:$F$809)*0.7,0)</f>
        <v>22</v>
      </c>
      <c r="H46">
        <f>ROUND(SUMIF(Councils!$C$6:$C$809,$B46,Councils!$G$6:$G$809),0)</f>
        <v>0</v>
      </c>
      <c r="I46">
        <f>ROUND(SUMIF(Councils!$C$6:$C$809,$B46,Councils!$H$6:$H$809),0)</f>
        <v>0</v>
      </c>
      <c r="J46">
        <f>ROUND(SUMIF(Councils!$C$6:$C$809,$B46,Councils!$I$6:$I$809),0)</f>
        <v>0</v>
      </c>
      <c r="K46">
        <f>ROUND(SUMIF(Councils!$C$6:$C$809,$B46,Councils!$J$6:$J$809),0)</f>
        <v>2</v>
      </c>
      <c r="L46">
        <f>ROUND(SUMIF(Councils!$C$6:$C$809,$B46,Councils!$K$6:$K$809),0)</f>
        <v>25</v>
      </c>
      <c r="M46">
        <f>ROUND(SUMIF(Councils!$C$6:$C$809,$B46,Councils!$L$6:$L$809),0)</f>
        <v>-23</v>
      </c>
      <c r="N46" s="63">
        <f t="shared" si="1"/>
        <v>-1.0454545454545454</v>
      </c>
    </row>
    <row r="47" spans="1:14">
      <c r="A47">
        <f t="shared" si="0"/>
        <v>71</v>
      </c>
      <c r="B47" s="67">
        <v>29</v>
      </c>
      <c r="C47" s="81">
        <f>IF(ISNA(VLOOKUP($B47,DD_Info!$A$1:$E$216,5,0)),0,VLOOKUP($B47,DD_Info!$A$1:$E$216,5,0))</f>
        <v>3</v>
      </c>
      <c r="D47" t="str">
        <f>IF(ISNA(VLOOKUP($B47,DD_Info!$A$1:$E$216,2,0)),0,VLOOKUP($B47,DD_Info!$A$1:$E$216,2,0))</f>
        <v>James Halfmann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156</v>
      </c>
      <c r="G47">
        <f>ROUND(SUMIF(Councils!$C$6:$C$809,$B47,Councils!$F$6:$F$809)*0.7,0)</f>
        <v>5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1</v>
      </c>
      <c r="L47">
        <f>ROUND(SUMIF(Councils!$C$6:$C$809,$B47,Councils!$K$6:$K$809),0)</f>
        <v>0</v>
      </c>
      <c r="M47">
        <f>ROUND(SUMIF(Councils!$C$6:$C$809,$B47,Councils!$L$6:$L$809),0)</f>
        <v>1</v>
      </c>
      <c r="N47" s="63">
        <f t="shared" si="1"/>
        <v>0.2</v>
      </c>
    </row>
    <row r="48" spans="1:14">
      <c r="A48">
        <f t="shared" si="0"/>
        <v>45</v>
      </c>
      <c r="B48" s="67">
        <v>30</v>
      </c>
      <c r="C48" s="81">
        <f>IF(ISNA(VLOOKUP($B48,DD_Info!$A$1:$E$216,5,0)),0,VLOOKUP($B48,DD_Info!$A$1:$E$216,5,0))</f>
        <v>2</v>
      </c>
      <c r="D48" t="str">
        <f>IF(ISNA(VLOOKUP($B48,DD_Info!$A$1:$E$216,2,0)),0,VLOOKUP($B48,DD_Info!$A$1:$E$216,2,0))</f>
        <v>Robert  Daleo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436</v>
      </c>
      <c r="G48">
        <f>ROUND(SUMIF(Councils!$C$6:$C$809,$B48,Councils!$F$6:$F$809)*0.7,0)</f>
        <v>14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6</v>
      </c>
      <c r="L48">
        <f>ROUND(SUMIF(Councils!$C$6:$C$809,$B48,Councils!$K$6:$K$809),0)</f>
        <v>1</v>
      </c>
      <c r="M48">
        <f>ROUND(SUMIF(Councils!$C$6:$C$809,$B48,Councils!$L$6:$L$809),0)</f>
        <v>5</v>
      </c>
      <c r="N48" s="63">
        <f t="shared" si="1"/>
        <v>0.35714285714285715</v>
      </c>
    </row>
    <row r="49" spans="1:14">
      <c r="A49">
        <f t="shared" si="0"/>
        <v>123</v>
      </c>
      <c r="B49" s="67">
        <v>31</v>
      </c>
      <c r="C49" s="81">
        <f>IF(ISNA(VLOOKUP($B49,DD_Info!$A$1:$E$216,5,0)),0,VLOOKUP($B49,DD_Info!$A$1:$E$216,5,0))</f>
        <v>3</v>
      </c>
      <c r="D49" t="str">
        <f>IF(ISNA(VLOOKUP($B49,DD_Info!$A$1:$E$216,2,0)),0,VLOOKUP($B49,DD_Info!$A$1:$E$216,2,0))</f>
        <v>William  Tillotson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42</v>
      </c>
      <c r="G49">
        <f>ROUND(SUMIF(Councils!$C$6:$C$809,$B49,Councils!$F$6:$F$809)*0.7,0)</f>
        <v>4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123</v>
      </c>
      <c r="B50" s="67">
        <v>36</v>
      </c>
      <c r="C50" s="81">
        <f>IF(ISNA(VLOOKUP($B50,DD_Info!$A$1:$E$216,5,0)),0,VLOOKUP($B50,DD_Info!$A$1:$E$216,5,0))</f>
        <v>2</v>
      </c>
      <c r="D50" t="str">
        <f>IF(ISNA(VLOOKUP($B50,DD_Info!$A$1:$E$216,2,0)),0,VLOOKUP($B50,DD_Info!$A$1:$E$216,2,0))</f>
        <v>Armando R Vasquez</v>
      </c>
      <c r="E50" t="str">
        <f>IF(ISNA(VLOOKUP($B50,DD_Info!$A$1:$E$216,3,0)),0,VLOOKUP($B50,DD_Info!$A$1:$E$216,3,0))</f>
        <v>San Antonio</v>
      </c>
      <c r="F50">
        <f>ROUND(SUMIF(Councils!$C$6:$C$809,$B50,Councils!$E$6:$E$809),0)</f>
        <v>419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0</v>
      </c>
      <c r="L50">
        <f>ROUND(SUMIF(Councils!$C$6:$C$809,$B50,Councils!$K$6:$K$809),0)</f>
        <v>0</v>
      </c>
      <c r="M50">
        <f>ROUND(SUMIF(Councils!$C$6:$C$809,$B50,Councils!$L$6:$L$809),0)</f>
        <v>0</v>
      </c>
      <c r="N50" s="63">
        <f t="shared" si="1"/>
        <v>0</v>
      </c>
    </row>
    <row r="51" spans="1:14">
      <c r="A51">
        <f t="shared" si="0"/>
        <v>114</v>
      </c>
      <c r="B51" s="67">
        <v>37</v>
      </c>
      <c r="C51" s="81">
        <f>IF(ISNA(VLOOKUP($B51,DD_Info!$A$1:$E$216,5,0)),0,VLOOKUP($B51,DD_Info!$A$1:$E$216,5,0))</f>
        <v>2</v>
      </c>
      <c r="D51" t="str">
        <f>IF(ISNA(VLOOKUP($B51,DD_Info!$A$1:$E$216,2,0)),0,VLOOKUP($B51,DD_Info!$A$1:$E$216,2,0))</f>
        <v>Ruben R Elizondo</v>
      </c>
      <c r="E51" t="str">
        <f>IF(ISNA(VLOOKUP($B51,DD_Info!$A$1:$E$216,3,0)),0,VLOOKUP($B51,DD_Info!$A$1:$E$216,3,0))</f>
        <v>San Antonio</v>
      </c>
      <c r="F51">
        <f>ROUND(SUMIF(Councils!$C$6:$C$809,$B51,Councils!$E$6:$E$809),0)</f>
        <v>463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1</v>
      </c>
      <c r="L51">
        <f>ROUND(SUMIF(Councils!$C$6:$C$809,$B51,Councils!$K$6:$K$809),0)</f>
        <v>0</v>
      </c>
      <c r="M51">
        <f>ROUND(SUMIF(Councils!$C$6:$C$809,$B51,Councils!$L$6:$L$809),0)</f>
        <v>1</v>
      </c>
      <c r="N51" s="63">
        <f t="shared" si="1"/>
        <v>5.8823529411764705E-2</v>
      </c>
    </row>
    <row r="52" spans="1:14">
      <c r="A52">
        <f t="shared" si="0"/>
        <v>77</v>
      </c>
      <c r="B52" s="67">
        <v>38</v>
      </c>
      <c r="C52" s="81">
        <f>IF(ISNA(VLOOKUP($B52,DD_Info!$A$1:$E$216,5,0)),0,VLOOKUP($B52,DD_Info!$A$1:$E$216,5,0))</f>
        <v>2</v>
      </c>
      <c r="D52" t="str">
        <f>IF(ISNA(VLOOKUP($B52,DD_Info!$A$1:$E$216,2,0)),0,VLOOKUP($B52,DD_Info!$A$1:$E$216,2,0))</f>
        <v>Fernando  Herrera</v>
      </c>
      <c r="E52" t="str">
        <f>IF(ISNA(VLOOKUP($B52,DD_Info!$A$1:$E$216,3,0)),0,VLOOKUP($B52,DD_Info!$A$1:$E$216,3,0))</f>
        <v>San Antonio</v>
      </c>
      <c r="F52">
        <f>ROUND(SUMIF(Councils!$C$6:$C$809,$B52,Councils!$E$6:$E$809),0)</f>
        <v>309</v>
      </c>
      <c r="G52">
        <f>ROUND(SUMIF(Councils!$C$6:$C$809,$B52,Councils!$F$6:$F$809)*0.7,0)</f>
        <v>11</v>
      </c>
      <c r="H52">
        <f>ROUND(SUMIF(Councils!$C$6:$C$809,$B52,Councils!$G$6:$G$809),0)</f>
        <v>0</v>
      </c>
      <c r="I52">
        <f>ROUND(SUMIF(Councils!$C$6:$C$809,$B52,Councils!$H$6:$H$809),0)</f>
        <v>0</v>
      </c>
      <c r="J52">
        <f>ROUND(SUMIF(Councils!$C$6:$C$809,$B52,Councils!$I$6:$I$809),0)</f>
        <v>0</v>
      </c>
      <c r="K52">
        <f>ROUND(SUMIF(Councils!$C$6:$C$809,$B52,Councils!$J$6:$J$809),0)</f>
        <v>2</v>
      </c>
      <c r="L52">
        <f>ROUND(SUMIF(Councils!$C$6:$C$809,$B52,Councils!$K$6:$K$809),0)</f>
        <v>0</v>
      </c>
      <c r="M52">
        <f>ROUND(SUMIF(Councils!$C$6:$C$809,$B52,Councils!$L$6:$L$809),0)</f>
        <v>2</v>
      </c>
      <c r="N52" s="63">
        <f t="shared" si="1"/>
        <v>0.18181818181818182</v>
      </c>
    </row>
    <row r="53" spans="1:14">
      <c r="A53">
        <f t="shared" si="0"/>
        <v>109</v>
      </c>
      <c r="B53" s="67">
        <v>39</v>
      </c>
      <c r="C53" s="81">
        <f>IF(ISNA(VLOOKUP($B53,DD_Info!$A$1:$E$216,5,0)),0,VLOOKUP($B53,DD_Info!$A$1:$E$216,5,0))</f>
        <v>2</v>
      </c>
      <c r="D53" t="str">
        <f>IF(ISNA(VLOOKUP($B53,DD_Info!$A$1:$E$216,2,0)),0,VLOOKUP($B53,DD_Info!$A$1:$E$216,2,0))</f>
        <v>Carlos  Delgado</v>
      </c>
      <c r="E53" t="str">
        <f>IF(ISNA(VLOOKUP($B53,DD_Info!$A$1:$E$216,3,0)),0,VLOOKUP($B53,DD_Info!$A$1:$E$216,3,0))</f>
        <v>San Antonio</v>
      </c>
      <c r="F53">
        <f>ROUND(SUMIF(Councils!$C$6:$C$809,$B53,Councils!$E$6:$E$809),0)</f>
        <v>405</v>
      </c>
      <c r="G53">
        <f>ROUND(SUMIF(Councils!$C$6:$C$809,$B53,Councils!$F$6:$F$809)*0.7,0)</f>
        <v>15</v>
      </c>
      <c r="H53">
        <f>ROUND(SUMIF(Councils!$C$6:$C$809,$B53,Councils!$G$6:$G$809),0)</f>
        <v>0</v>
      </c>
      <c r="I53">
        <f>ROUND(SUMIF(Councils!$C$6:$C$809,$B53,Councils!$H$6:$H$809),0)</f>
        <v>0</v>
      </c>
      <c r="J53">
        <f>ROUND(SUMIF(Councils!$C$6:$C$809,$B53,Councils!$I$6:$I$809),0)</f>
        <v>0</v>
      </c>
      <c r="K53">
        <f>ROUND(SUMIF(Councils!$C$6:$C$809,$B53,Councils!$J$6:$J$809),0)</f>
        <v>1</v>
      </c>
      <c r="L53">
        <f>ROUND(SUMIF(Councils!$C$6:$C$809,$B53,Councils!$K$6:$K$809),0)</f>
        <v>0</v>
      </c>
      <c r="M53">
        <f>ROUND(SUMIF(Councils!$C$6:$C$809,$B53,Councils!$L$6:$L$809),0)</f>
        <v>1</v>
      </c>
      <c r="N53" s="63">
        <f t="shared" si="1"/>
        <v>6.6666666666666666E-2</v>
      </c>
    </row>
    <row r="54" spans="1:14">
      <c r="A54">
        <f t="shared" si="0"/>
        <v>188</v>
      </c>
      <c r="B54" s="67">
        <v>40</v>
      </c>
      <c r="C54" s="81">
        <f>IF(ISNA(VLOOKUP($B54,DD_Info!$A$1:$E$216,5,0)),0,VLOOKUP($B54,DD_Info!$A$1:$E$216,5,0))</f>
        <v>1</v>
      </c>
      <c r="D54" t="str">
        <f>IF(ISNA(VLOOKUP($B54,DD_Info!$A$1:$E$216,2,0)),0,VLOOKUP($B54,DD_Info!$A$1:$E$216,2,0))</f>
        <v>Dan  Rangel</v>
      </c>
      <c r="E54" t="str">
        <f>IF(ISNA(VLOOKUP($B54,DD_Info!$A$1:$E$216,3,0)),0,VLOOKUP($B54,DD_Info!$A$1:$E$216,3,0))</f>
        <v>San Antonio</v>
      </c>
      <c r="F54">
        <f>ROUND(SUMIF(Councils!$C$6:$C$809,$B54,Councils!$E$6:$E$809),0)</f>
        <v>1035</v>
      </c>
      <c r="G54">
        <f>ROUND(SUMIF(Councils!$C$6:$C$809,$B54,Councils!$F$6:$F$809)*0.7,0)</f>
        <v>35</v>
      </c>
      <c r="H54">
        <f>ROUND(SUMIF(Councils!$C$6:$C$809,$B54,Councils!$G$6:$G$809),0)</f>
        <v>1</v>
      </c>
      <c r="I54">
        <f>ROUND(SUMIF(Councils!$C$6:$C$809,$B54,Councils!$H$6:$H$809),0)</f>
        <v>2</v>
      </c>
      <c r="J54">
        <f>ROUND(SUMIF(Councils!$C$6:$C$809,$B54,Councils!$I$6:$I$809),0)</f>
        <v>-1</v>
      </c>
      <c r="K54">
        <f>ROUND(SUMIF(Councils!$C$6:$C$809,$B54,Councils!$J$6:$J$809),0)</f>
        <v>14</v>
      </c>
      <c r="L54">
        <f>ROUND(SUMIF(Councils!$C$6:$C$809,$B54,Councils!$K$6:$K$809),0)</f>
        <v>26</v>
      </c>
      <c r="M54">
        <f>ROUND(SUMIF(Councils!$C$6:$C$809,$B54,Councils!$L$6:$L$809),0)</f>
        <v>-12</v>
      </c>
      <c r="N54" s="63">
        <f t="shared" si="1"/>
        <v>-0.34285714285714286</v>
      </c>
    </row>
    <row r="55" spans="1:14">
      <c r="A55">
        <f t="shared" si="0"/>
        <v>200</v>
      </c>
      <c r="B55" s="67">
        <v>41</v>
      </c>
      <c r="C55" s="81">
        <f>IF(ISNA(VLOOKUP($B55,DD_Info!$A$1:$E$216,5,0)),0,VLOOKUP($B55,DD_Info!$A$1:$E$216,5,0))</f>
        <v>1</v>
      </c>
      <c r="D55" t="str">
        <f>IF(ISNA(VLOOKUP($B55,DD_Info!$A$1:$E$216,2,0)),0,VLOOKUP($B55,DD_Info!$A$1:$E$216,2,0))</f>
        <v>Jaime  Piedra</v>
      </c>
      <c r="E55" t="str">
        <f>IF(ISNA(VLOOKUP($B55,DD_Info!$A$1:$E$216,3,0)),0,VLOOKUP($B55,DD_Info!$A$1:$E$216,3,0))</f>
        <v>San Antonio</v>
      </c>
      <c r="F55">
        <f>ROUND(SUMIF(Councils!$C$6:$C$809,$B55,Councils!$E$6:$E$809),0)</f>
        <v>698</v>
      </c>
      <c r="G55">
        <f>ROUND(SUMIF(Councils!$C$6:$C$809,$B55,Councils!$F$6:$F$809)*0.7,0)</f>
        <v>25</v>
      </c>
      <c r="H55">
        <f>ROUND(SUMIF(Councils!$C$6:$C$809,$B55,Councils!$G$6:$G$809),0)</f>
        <v>0</v>
      </c>
      <c r="I55">
        <f>ROUND(SUMIF(Councils!$C$6:$C$809,$B55,Councils!$H$6:$H$809),0)</f>
        <v>0</v>
      </c>
      <c r="J55">
        <f>ROUND(SUMIF(Councils!$C$6:$C$809,$B55,Councils!$I$6:$I$809),0)</f>
        <v>0</v>
      </c>
      <c r="K55">
        <f>ROUND(SUMIF(Councils!$C$6:$C$809,$B55,Councils!$J$6:$J$809),0)</f>
        <v>3</v>
      </c>
      <c r="L55">
        <f>ROUND(SUMIF(Councils!$C$6:$C$809,$B55,Councils!$K$6:$K$809),0)</f>
        <v>34</v>
      </c>
      <c r="M55">
        <f>ROUND(SUMIF(Councils!$C$6:$C$809,$B55,Councils!$L$6:$L$809),0)</f>
        <v>-31</v>
      </c>
      <c r="N55" s="63">
        <f t="shared" si="1"/>
        <v>-1.24</v>
      </c>
    </row>
    <row r="56" spans="1:14">
      <c r="A56">
        <f t="shared" si="0"/>
        <v>193</v>
      </c>
      <c r="B56" s="67">
        <v>42</v>
      </c>
      <c r="C56" s="81">
        <f>IF(ISNA(VLOOKUP($B56,DD_Info!$A$1:$E$216,5,0)),0,VLOOKUP($B56,DD_Info!$A$1:$E$216,5,0))</f>
        <v>1</v>
      </c>
      <c r="D56" t="str">
        <f>IF(ISNA(VLOOKUP($B56,DD_Info!$A$1:$E$216,2,0)),0,VLOOKUP($B56,DD_Info!$A$1:$E$216,2,0))</f>
        <v>Michael W Trevino</v>
      </c>
      <c r="E56" t="str">
        <f>IF(ISNA(VLOOKUP($B56,DD_Info!$A$1:$E$216,3,0)),0,VLOOKUP($B56,DD_Info!$A$1:$E$216,3,0))</f>
        <v>San Antonio</v>
      </c>
      <c r="F56">
        <f>ROUND(SUMIF(Councils!$C$6:$C$809,$B56,Councils!$E$6:$E$809),0)</f>
        <v>926</v>
      </c>
      <c r="G56">
        <f>ROUND(SUMIF(Councils!$C$6:$C$809,$B56,Councils!$F$6:$F$809)*0.7,0)</f>
        <v>31</v>
      </c>
      <c r="H56">
        <f>ROUND(SUMIF(Councils!$C$6:$C$809,$B56,Councils!$G$6:$G$809),0)</f>
        <v>2</v>
      </c>
      <c r="I56">
        <f>ROUND(SUMIF(Councils!$C$6:$C$809,$B56,Councils!$H$6:$H$809),0)</f>
        <v>3</v>
      </c>
      <c r="J56">
        <f>ROUND(SUMIF(Councils!$C$6:$C$809,$B56,Councils!$I$6:$I$809),0)</f>
        <v>-1</v>
      </c>
      <c r="K56">
        <f>ROUND(SUMIF(Councils!$C$6:$C$809,$B56,Councils!$J$6:$J$809),0)</f>
        <v>6</v>
      </c>
      <c r="L56">
        <f>ROUND(SUMIF(Councils!$C$6:$C$809,$B56,Councils!$K$6:$K$809),0)</f>
        <v>23</v>
      </c>
      <c r="M56">
        <f>ROUND(SUMIF(Councils!$C$6:$C$809,$B56,Councils!$L$6:$L$809),0)</f>
        <v>-17</v>
      </c>
      <c r="N56" s="63">
        <f t="shared" si="1"/>
        <v>-0.54838709677419351</v>
      </c>
    </row>
    <row r="57" spans="1:14">
      <c r="A57">
        <f t="shared" si="0"/>
        <v>122</v>
      </c>
      <c r="B57" s="67">
        <v>43</v>
      </c>
      <c r="C57" s="81">
        <f>IF(ISNA(VLOOKUP($B57,DD_Info!$A$1:$E$216,5,0)),0,VLOOKUP($B57,DD_Info!$A$1:$E$216,5,0))</f>
        <v>1</v>
      </c>
      <c r="D57" t="str">
        <f>IF(ISNA(VLOOKUP($B57,DD_Info!$A$1:$E$216,2,0)),0,VLOOKUP($B57,DD_Info!$A$1:$E$216,2,0))</f>
        <v>William A Torres</v>
      </c>
      <c r="E57" t="str">
        <f>IF(ISNA(VLOOKUP($B57,DD_Info!$A$1:$E$216,3,0)),0,VLOOKUP($B57,DD_Info!$A$1:$E$216,3,0))</f>
        <v>San Antonio</v>
      </c>
      <c r="F57">
        <f>ROUND(SUMIF(Councils!$C$6:$C$809,$B57,Councils!$E$6:$E$809),0)</f>
        <v>1403</v>
      </c>
      <c r="G57">
        <f>ROUND(SUMIF(Councils!$C$6:$C$809,$B57,Councils!$F$6:$F$809)*0.7,0)</f>
        <v>45</v>
      </c>
      <c r="H57">
        <f>ROUND(SUMIF(Councils!$C$6:$C$809,$B57,Councils!$G$6:$G$809),0)</f>
        <v>0</v>
      </c>
      <c r="I57">
        <f>ROUND(SUMIF(Councils!$C$6:$C$809,$B57,Councils!$H$6:$H$809),0)</f>
        <v>7</v>
      </c>
      <c r="J57">
        <f>ROUND(SUMIF(Councils!$C$6:$C$809,$B57,Councils!$I$6:$I$809),0)</f>
        <v>-7</v>
      </c>
      <c r="K57">
        <f>ROUND(SUMIF(Councils!$C$6:$C$809,$B57,Councils!$J$6:$J$809),0)</f>
        <v>18</v>
      </c>
      <c r="L57">
        <f>ROUND(SUMIF(Councils!$C$6:$C$809,$B57,Councils!$K$6:$K$809),0)</f>
        <v>17</v>
      </c>
      <c r="M57">
        <f>ROUND(SUMIF(Councils!$C$6:$C$809,$B57,Councils!$L$6:$L$809),0)</f>
        <v>1</v>
      </c>
      <c r="N57" s="63">
        <f t="shared" si="1"/>
        <v>2.2222222222222223E-2</v>
      </c>
    </row>
    <row r="58" spans="1:14">
      <c r="A58">
        <f t="shared" si="0"/>
        <v>204</v>
      </c>
      <c r="B58" s="67">
        <v>44</v>
      </c>
      <c r="C58" s="81">
        <f>IF(ISNA(VLOOKUP($B58,DD_Info!$A$1:$E$216,5,0)),0,VLOOKUP($B58,DD_Info!$A$1:$E$216,5,0))</f>
        <v>3</v>
      </c>
      <c r="D58" t="str">
        <f>IF(ISNA(VLOOKUP($B58,DD_Info!$A$1:$E$216,2,0)),0,VLOOKUP($B58,DD_Info!$A$1:$E$216,2,0))</f>
        <v>James A Matz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264</v>
      </c>
      <c r="G58">
        <f>ROUND(SUMIF(Councils!$C$6:$C$809,$B58,Councils!$F$6:$F$809)*0.7,0)</f>
        <v>9</v>
      </c>
      <c r="H58">
        <f>ROUND(SUMIF(Councils!$C$6:$C$809,$B58,Councils!$G$6:$G$809),0)</f>
        <v>0</v>
      </c>
      <c r="I58">
        <f>ROUND(SUMIF(Councils!$C$6:$C$809,$B58,Councils!$H$6:$H$809),0)</f>
        <v>18</v>
      </c>
      <c r="J58">
        <f>ROUND(SUMIF(Councils!$C$6:$C$809,$B58,Councils!$I$6:$I$809),0)</f>
        <v>-18</v>
      </c>
      <c r="K58">
        <f>ROUND(SUMIF(Councils!$C$6:$C$809,$B58,Councils!$J$6:$J$809),0)</f>
        <v>2</v>
      </c>
      <c r="L58">
        <f>ROUND(SUMIF(Councils!$C$6:$C$809,$B58,Councils!$K$6:$K$809),0)</f>
        <v>18</v>
      </c>
      <c r="M58">
        <f>ROUND(SUMIF(Councils!$C$6:$C$809,$B58,Councils!$L$6:$L$809),0)</f>
        <v>-16</v>
      </c>
      <c r="N58" s="63">
        <f t="shared" si="1"/>
        <v>-1.7777777777777777</v>
      </c>
    </row>
    <row r="59" spans="1:14">
      <c r="A59">
        <f t="shared" si="0"/>
        <v>68</v>
      </c>
      <c r="B59" s="67">
        <v>45</v>
      </c>
      <c r="C59" s="81">
        <f>IF(ISNA(VLOOKUP($B59,DD_Info!$A$1:$E$216,5,0)),0,VLOOKUP($B59,DD_Info!$A$1:$E$216,5,0))</f>
        <v>1</v>
      </c>
      <c r="D59" t="str">
        <f>IF(ISNA(VLOOKUP($B59,DD_Info!$A$1:$E$216,2,0)),0,VLOOKUP($B59,DD_Info!$A$1:$E$216,2,0))</f>
        <v>Joseph L Zimmer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831</v>
      </c>
      <c r="G59">
        <f>ROUND(SUMIF(Councils!$C$6:$C$809,$B59,Councils!$F$6:$F$809)*0.7,0)</f>
        <v>26</v>
      </c>
      <c r="H59">
        <f>ROUND(SUMIF(Councils!$C$6:$C$809,$B59,Councils!$G$6:$G$809),0)</f>
        <v>1</v>
      </c>
      <c r="I59">
        <f>ROUND(SUMIF(Councils!$C$6:$C$809,$B59,Councils!$H$6:$H$809),0)</f>
        <v>0</v>
      </c>
      <c r="J59">
        <f>ROUND(SUMIF(Councils!$C$6:$C$809,$B59,Councils!$I$6:$I$809),0)</f>
        <v>1</v>
      </c>
      <c r="K59">
        <f>ROUND(SUMIF(Councils!$C$6:$C$809,$B59,Councils!$J$6:$J$809),0)</f>
        <v>13</v>
      </c>
      <c r="L59">
        <f>ROUND(SUMIF(Councils!$C$6:$C$809,$B59,Councils!$K$6:$K$809),0)</f>
        <v>7</v>
      </c>
      <c r="M59">
        <f>ROUND(SUMIF(Councils!$C$6:$C$809,$B59,Councils!$L$6:$L$809),0)</f>
        <v>6</v>
      </c>
      <c r="N59" s="63">
        <f t="shared" si="1"/>
        <v>0.23076923076923078</v>
      </c>
    </row>
    <row r="60" spans="1:14">
      <c r="A60">
        <f t="shared" si="0"/>
        <v>70</v>
      </c>
      <c r="B60" s="67">
        <v>46</v>
      </c>
      <c r="C60" s="81">
        <f>IF(ISNA(VLOOKUP($B60,DD_Info!$A$1:$E$216,5,0)),0,VLOOKUP($B60,DD_Info!$A$1:$E$216,5,0))</f>
        <v>1</v>
      </c>
      <c r="D60" t="str">
        <f>IF(ISNA(VLOOKUP($B60,DD_Info!$A$1:$E$216,2,0)),0,VLOOKUP($B60,DD_Info!$A$1:$E$216,2,0))</f>
        <v>Hermilo  Silva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705</v>
      </c>
      <c r="G60">
        <f>ROUND(SUMIF(Councils!$C$6:$C$809,$B60,Councils!$F$6:$F$809)*0.7,0)</f>
        <v>24</v>
      </c>
      <c r="H60">
        <f>ROUND(SUMIF(Councils!$C$6:$C$809,$B60,Councils!$G$6:$G$809),0)</f>
        <v>0</v>
      </c>
      <c r="I60">
        <f>ROUND(SUMIF(Councils!$C$6:$C$809,$B60,Councils!$H$6:$H$809),0)</f>
        <v>0</v>
      </c>
      <c r="J60">
        <f>ROUND(SUMIF(Councils!$C$6:$C$809,$B60,Councils!$I$6:$I$809),0)</f>
        <v>0</v>
      </c>
      <c r="K60">
        <f>ROUND(SUMIF(Councils!$C$6:$C$809,$B60,Councils!$J$6:$J$809),0)</f>
        <v>5</v>
      </c>
      <c r="L60">
        <f>ROUND(SUMIF(Councils!$C$6:$C$809,$B60,Councils!$K$6:$K$809),0)</f>
        <v>0</v>
      </c>
      <c r="M60">
        <f>ROUND(SUMIF(Councils!$C$6:$C$809,$B60,Councils!$L$6:$L$809),0)</f>
        <v>5</v>
      </c>
      <c r="N60" s="63">
        <f t="shared" si="1"/>
        <v>0.20833333333333334</v>
      </c>
    </row>
    <row r="61" spans="1:14">
      <c r="A61">
        <f t="shared" si="0"/>
        <v>37</v>
      </c>
      <c r="B61" s="67">
        <v>47</v>
      </c>
      <c r="C61" s="81">
        <f>IF(ISNA(VLOOKUP($B61,DD_Info!$A$1:$E$216,5,0)),0,VLOOKUP($B61,DD_Info!$A$1:$E$216,5,0))</f>
        <v>2</v>
      </c>
      <c r="D61" t="str">
        <f>IF(ISNA(VLOOKUP($B61,DD_Info!$A$1:$E$216,2,0)),0,VLOOKUP($B61,DD_Info!$A$1:$E$216,2,0))</f>
        <v>George H Cheney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489</v>
      </c>
      <c r="G61">
        <f>ROUND(SUMIF(Councils!$C$6:$C$809,$B61,Councils!$F$6:$F$809)*0.7,0)</f>
        <v>17</v>
      </c>
      <c r="H61">
        <f>ROUND(SUMIF(Councils!$C$6:$C$809,$B61,Councils!$G$6:$G$809),0)</f>
        <v>0</v>
      </c>
      <c r="I61">
        <f>ROUND(SUMIF(Councils!$C$6:$C$809,$B61,Councils!$H$6:$H$809),0)</f>
        <v>0</v>
      </c>
      <c r="J61">
        <f>ROUND(SUMIF(Councils!$C$6:$C$809,$B61,Councils!$I$6:$I$809),0)</f>
        <v>0</v>
      </c>
      <c r="K61">
        <f>ROUND(SUMIF(Councils!$C$6:$C$809,$B61,Councils!$J$6:$J$809),0)</f>
        <v>7</v>
      </c>
      <c r="L61">
        <f>ROUND(SUMIF(Councils!$C$6:$C$809,$B61,Councils!$K$6:$K$809),0)</f>
        <v>0</v>
      </c>
      <c r="M61">
        <f>ROUND(SUMIF(Councils!$C$6:$C$809,$B61,Councils!$L$6:$L$809),0)</f>
        <v>7</v>
      </c>
      <c r="N61" s="63">
        <f t="shared" si="1"/>
        <v>0.41176470588235292</v>
      </c>
    </row>
    <row r="62" spans="1:14">
      <c r="A62">
        <f t="shared" si="0"/>
        <v>91</v>
      </c>
      <c r="B62" s="67">
        <v>49</v>
      </c>
      <c r="C62" s="81">
        <f>IF(ISNA(VLOOKUP($B62,DD_Info!$A$1:$E$216,5,0)),0,VLOOKUP($B62,DD_Info!$A$1:$E$216,5,0))</f>
        <v>2</v>
      </c>
      <c r="D62" t="str">
        <f>IF(ISNA(VLOOKUP($B62,DD_Info!$A$1:$E$216,2,0)),0,VLOOKUP($B62,DD_Info!$A$1:$E$216,2,0))</f>
        <v>Oscar M Caballero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494</v>
      </c>
      <c r="G62">
        <f>ROUND(SUMIF(Councils!$C$6:$C$809,$B62,Councils!$F$6:$F$809)*0.7,0)</f>
        <v>18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2</v>
      </c>
      <c r="L62">
        <f>ROUND(SUMIF(Councils!$C$6:$C$809,$B62,Councils!$K$6:$K$809),0)</f>
        <v>0</v>
      </c>
      <c r="M62">
        <f>ROUND(SUMIF(Councils!$C$6:$C$809,$B62,Councils!$L$6:$L$809),0)</f>
        <v>2</v>
      </c>
      <c r="N62" s="63">
        <f t="shared" si="1"/>
        <v>0.1111111111111111</v>
      </c>
    </row>
    <row r="63" spans="1:14">
      <c r="A63">
        <f t="shared" si="0"/>
        <v>123</v>
      </c>
      <c r="B63" s="67">
        <v>50</v>
      </c>
      <c r="C63" s="81">
        <f>IF(ISNA(VLOOKUP($B63,DD_Info!$A$1:$E$216,5,0)),0,VLOOKUP($B63,DD_Info!$A$1:$E$216,5,0))</f>
        <v>2</v>
      </c>
      <c r="D63" t="str">
        <f>IF(ISNA(VLOOKUP($B63,DD_Info!$A$1:$E$216,2,0)),0,VLOOKUP($B63,DD_Info!$A$1:$E$216,2,0))</f>
        <v>Phillip  Reyes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403</v>
      </c>
      <c r="G63">
        <f>ROUND(SUMIF(Councils!$C$6:$C$809,$B63,Councils!$F$6:$F$809)*0.7,0)</f>
        <v>15</v>
      </c>
      <c r="H63">
        <f>ROUND(SUMIF(Councils!$C$6:$C$809,$B63,Councils!$G$6:$G$809),0)</f>
        <v>0</v>
      </c>
      <c r="I63">
        <f>ROUND(SUMIF(Councils!$C$6:$C$809,$B63,Councils!$H$6:$H$809),0)</f>
        <v>0</v>
      </c>
      <c r="J63">
        <f>ROUND(SUMIF(Councils!$C$6:$C$809,$B63,Councils!$I$6:$I$809),0)</f>
        <v>0</v>
      </c>
      <c r="K63">
        <f>ROUND(SUMIF(Councils!$C$6:$C$809,$B63,Councils!$J$6:$J$809),0)</f>
        <v>0</v>
      </c>
      <c r="L63">
        <f>ROUND(SUMIF(Councils!$C$6:$C$809,$B63,Councils!$K$6:$K$809),0)</f>
        <v>0</v>
      </c>
      <c r="M63">
        <f>ROUND(SUMIF(Councils!$C$6:$C$809,$B63,Councils!$L$6:$L$809),0)</f>
        <v>0</v>
      </c>
      <c r="N63" s="63">
        <f t="shared" si="1"/>
        <v>0</v>
      </c>
    </row>
    <row r="64" spans="1:14">
      <c r="A64">
        <f t="shared" si="0"/>
        <v>25</v>
      </c>
      <c r="B64" s="67">
        <v>51</v>
      </c>
      <c r="C64" s="81">
        <f>IF(ISNA(VLOOKUP($B64,DD_Info!$A$1:$E$216,5,0)),0,VLOOKUP($B64,DD_Info!$A$1:$E$216,5,0))</f>
        <v>1</v>
      </c>
      <c r="D64" t="str">
        <f>IF(ISNA(VLOOKUP($B64,DD_Info!$A$1:$E$216,2,0)),0,VLOOKUP($B64,DD_Info!$A$1:$E$216,2,0))</f>
        <v>Edvardo  Garcia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970</v>
      </c>
      <c r="G64">
        <f>ROUND(SUMIF(Councils!$C$6:$C$809,$B64,Councils!$F$6:$F$809)*0.7,0)</f>
        <v>33</v>
      </c>
      <c r="H64">
        <f>ROUND(SUMIF(Councils!$C$6:$C$809,$B64,Councils!$G$6:$G$809),0)</f>
        <v>4</v>
      </c>
      <c r="I64">
        <f>ROUND(SUMIF(Councils!$C$6:$C$809,$B64,Councils!$H$6:$H$809),0)</f>
        <v>0</v>
      </c>
      <c r="J64">
        <f>ROUND(SUMIF(Councils!$C$6:$C$809,$B64,Councils!$I$6:$I$809),0)</f>
        <v>4</v>
      </c>
      <c r="K64">
        <f>ROUND(SUMIF(Councils!$C$6:$C$809,$B64,Councils!$J$6:$J$809),0)</f>
        <v>18</v>
      </c>
      <c r="L64">
        <f>ROUND(SUMIF(Councils!$C$6:$C$809,$B64,Councils!$K$6:$K$809),0)</f>
        <v>1</v>
      </c>
      <c r="M64">
        <f>ROUND(SUMIF(Councils!$C$6:$C$809,$B64,Councils!$L$6:$L$809),0)</f>
        <v>17</v>
      </c>
      <c r="N64" s="63">
        <f t="shared" si="1"/>
        <v>0.51515151515151514</v>
      </c>
    </row>
    <row r="65" spans="1:14">
      <c r="A65">
        <f t="shared" si="0"/>
        <v>83</v>
      </c>
      <c r="B65" s="67">
        <v>52</v>
      </c>
      <c r="C65" s="81">
        <f>IF(ISNA(VLOOKUP($B65,DD_Info!$A$1:$E$216,5,0)),0,VLOOKUP($B65,DD_Info!$A$1:$E$216,5,0))</f>
        <v>2</v>
      </c>
      <c r="D65" t="str">
        <f>IF(ISNA(VLOOKUP($B65,DD_Info!$A$1:$E$216,2,0)),0,VLOOKUP($B65,DD_Info!$A$1:$E$216,2,0))</f>
        <v>Ruben  Gallegos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302</v>
      </c>
      <c r="G65">
        <f>ROUND(SUMIF(Councils!$C$6:$C$809,$B65,Councils!$F$6:$F$809)*0.7,0)</f>
        <v>12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2</v>
      </c>
      <c r="L65">
        <f>ROUND(SUMIF(Councils!$C$6:$C$809,$B65,Councils!$K$6:$K$809),0)</f>
        <v>0</v>
      </c>
      <c r="M65">
        <f>ROUND(SUMIF(Councils!$C$6:$C$809,$B65,Councils!$L$6:$L$809),0)</f>
        <v>2</v>
      </c>
      <c r="N65" s="63">
        <f t="shared" si="1"/>
        <v>0.16666666666666666</v>
      </c>
    </row>
    <row r="66" spans="1:14">
      <c r="A66">
        <f t="shared" ref="A66:A129" si="2">RANK(N66,$N$2:$N$208,0)</f>
        <v>44</v>
      </c>
      <c r="B66" s="67">
        <v>53</v>
      </c>
      <c r="C66" s="81">
        <f>IF(ISNA(VLOOKUP($B66,DD_Info!$A$1:$E$216,5,0)),0,VLOOKUP($B66,DD_Info!$A$1:$E$216,5,0))</f>
        <v>3</v>
      </c>
      <c r="D66" t="str">
        <f>IF(ISNA(VLOOKUP($B66,DD_Info!$A$1:$E$216,2,0)),0,VLOOKUP($B66,DD_Info!$A$1:$E$216,2,0))</f>
        <v>Jim  Irwin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276</v>
      </c>
      <c r="G66">
        <f>ROUND(SUMIF(Councils!$C$6:$C$809,$B66,Councils!$F$6:$F$809)*0.7,0)</f>
        <v>11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4</v>
      </c>
      <c r="L66">
        <f>ROUND(SUMIF(Councils!$C$6:$C$809,$B66,Councils!$K$6:$K$809),0)</f>
        <v>0</v>
      </c>
      <c r="M66">
        <f>ROUND(SUMIF(Councils!$C$6:$C$809,$B66,Councils!$L$6:$L$809),0)</f>
        <v>4</v>
      </c>
      <c r="N66" s="63">
        <f t="shared" ref="N66:N129" si="3">IFERROR(M66/G66,0)</f>
        <v>0.36363636363636365</v>
      </c>
    </row>
    <row r="67" spans="1:14">
      <c r="A67">
        <f t="shared" si="2"/>
        <v>123</v>
      </c>
      <c r="B67" s="67">
        <v>54</v>
      </c>
      <c r="C67" s="81">
        <f>IF(ISNA(VLOOKUP($B67,DD_Info!$A$1:$E$216,5,0)),0,VLOOKUP($B67,DD_Info!$A$1:$E$216,5,0))</f>
        <v>2</v>
      </c>
      <c r="D67" t="str">
        <f>IF(ISNA(VLOOKUP($B67,DD_Info!$A$1:$E$216,2,0)),0,VLOOKUP($B67,DD_Info!$A$1:$E$216,2,0))</f>
        <v>Jesse J Aguilar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365</v>
      </c>
      <c r="G67">
        <f>ROUND(SUMIF(Councils!$C$6:$C$809,$B67,Councils!$F$6:$F$809)*0.7,0)</f>
        <v>13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0</v>
      </c>
      <c r="L67">
        <f>ROUND(SUMIF(Councils!$C$6:$C$809,$B67,Councils!$K$6:$K$809),0)</f>
        <v>0</v>
      </c>
      <c r="M67">
        <f>ROUND(SUMIF(Councils!$C$6:$C$809,$B67,Councils!$L$6:$L$809),0)</f>
        <v>0</v>
      </c>
      <c r="N67" s="63">
        <f t="shared" si="3"/>
        <v>0</v>
      </c>
    </row>
    <row r="68" spans="1:14">
      <c r="A68">
        <f t="shared" si="2"/>
        <v>71</v>
      </c>
      <c r="B68" s="67">
        <v>55</v>
      </c>
      <c r="C68" s="81">
        <f>IF(ISNA(VLOOKUP($B68,DD_Info!$A$1:$E$216,5,0)),0,VLOOKUP($B68,DD_Info!$A$1:$E$216,5,0))</f>
        <v>2</v>
      </c>
      <c r="D68" t="str">
        <f>IF(ISNA(VLOOKUP($B68,DD_Info!$A$1:$E$216,2,0)),0,VLOOKUP($B68,DD_Info!$A$1:$E$216,2,0))</f>
        <v>Javier  Martinez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423</v>
      </c>
      <c r="G68">
        <f>ROUND(SUMIF(Councils!$C$6:$C$809,$B68,Councils!$F$6:$F$809)*0.7,0)</f>
        <v>15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3</v>
      </c>
      <c r="L68">
        <f>ROUND(SUMIF(Councils!$C$6:$C$809,$B68,Councils!$K$6:$K$809),0)</f>
        <v>0</v>
      </c>
      <c r="M68">
        <f>ROUND(SUMIF(Councils!$C$6:$C$809,$B68,Councils!$L$6:$L$809),0)</f>
        <v>3</v>
      </c>
      <c r="N68" s="63">
        <f t="shared" si="3"/>
        <v>0.2</v>
      </c>
    </row>
    <row r="69" spans="1:14">
      <c r="A69">
        <f t="shared" si="2"/>
        <v>185</v>
      </c>
      <c r="B69" s="67">
        <v>57</v>
      </c>
      <c r="C69" s="81">
        <f>IF(ISNA(VLOOKUP($B69,DD_Info!$A$1:$E$216,5,0)),0,VLOOKUP($B69,DD_Info!$A$1:$E$216,5,0))</f>
        <v>2</v>
      </c>
      <c r="D69" t="str">
        <f>IF(ISNA(VLOOKUP($B69,DD_Info!$A$1:$E$216,2,0)),0,VLOOKUP($B69,DD_Info!$A$1:$E$216,2,0))</f>
        <v>Willie  Leal Jr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328</v>
      </c>
      <c r="G69">
        <f>ROUND(SUMIF(Councils!$C$6:$C$809,$B69,Councils!$F$6:$F$809)*0.7,0)</f>
        <v>13</v>
      </c>
      <c r="H69">
        <f>ROUND(SUMIF(Councils!$C$6:$C$809,$B69,Councils!$G$6:$G$809),0)</f>
        <v>0</v>
      </c>
      <c r="I69">
        <f>ROUND(SUMIF(Councils!$C$6:$C$809,$B69,Councils!$H$6:$H$809),0)</f>
        <v>5</v>
      </c>
      <c r="J69">
        <f>ROUND(SUMIF(Councils!$C$6:$C$809,$B69,Councils!$I$6:$I$809),0)</f>
        <v>-5</v>
      </c>
      <c r="K69">
        <f>ROUND(SUMIF(Councils!$C$6:$C$809,$B69,Councils!$J$6:$J$809),0)</f>
        <v>1</v>
      </c>
      <c r="L69">
        <f>ROUND(SUMIF(Councils!$C$6:$C$809,$B69,Councils!$K$6:$K$809),0)</f>
        <v>5</v>
      </c>
      <c r="M69">
        <f>ROUND(SUMIF(Councils!$C$6:$C$809,$B69,Councils!$L$6:$L$809),0)</f>
        <v>-4</v>
      </c>
      <c r="N69" s="63">
        <f t="shared" si="3"/>
        <v>-0.30769230769230771</v>
      </c>
    </row>
    <row r="70" spans="1:14">
      <c r="A70">
        <f t="shared" si="2"/>
        <v>101</v>
      </c>
      <c r="B70" s="67">
        <v>58</v>
      </c>
      <c r="C70" s="81">
        <f>IF(ISNA(VLOOKUP($B70,DD_Info!$A$1:$E$216,5,0)),0,VLOOKUP($B70,DD_Info!$A$1:$E$216,5,0))</f>
        <v>2</v>
      </c>
      <c r="D70" t="str">
        <f>IF(ISNA(VLOOKUP($B70,DD_Info!$A$1:$E$216,2,0)),0,VLOOKUP($B70,DD_Info!$A$1:$E$216,2,0))</f>
        <v>Louis C Soriano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334</v>
      </c>
      <c r="G70">
        <f>ROUND(SUMIF(Councils!$C$6:$C$809,$B70,Councils!$F$6:$F$809)*0.7,0)</f>
        <v>11</v>
      </c>
      <c r="H70">
        <f>ROUND(SUMIF(Councils!$C$6:$C$809,$B70,Councils!$G$6:$G$809),0)</f>
        <v>0</v>
      </c>
      <c r="I70">
        <f>ROUND(SUMIF(Councils!$C$6:$C$809,$B70,Councils!$H$6:$H$809),0)</f>
        <v>0</v>
      </c>
      <c r="J70">
        <f>ROUND(SUMIF(Councils!$C$6:$C$809,$B70,Councils!$I$6:$I$809),0)</f>
        <v>0</v>
      </c>
      <c r="K70">
        <f>ROUND(SUMIF(Councils!$C$6:$C$809,$B70,Councils!$J$6:$J$809),0)</f>
        <v>1</v>
      </c>
      <c r="L70">
        <f>ROUND(SUMIF(Councils!$C$6:$C$809,$B70,Councils!$K$6:$K$809),0)</f>
        <v>0</v>
      </c>
      <c r="M70">
        <f>ROUND(SUMIF(Councils!$C$6:$C$809,$B70,Councils!$L$6:$L$809),0)</f>
        <v>1</v>
      </c>
      <c r="N70" s="63">
        <f t="shared" si="3"/>
        <v>9.0909090909090912E-2</v>
      </c>
    </row>
    <row r="71" spans="1:14">
      <c r="A71">
        <f t="shared" si="2"/>
        <v>116</v>
      </c>
      <c r="B71" s="67">
        <v>59</v>
      </c>
      <c r="C71" s="81">
        <f>IF(ISNA(VLOOKUP($B71,DD_Info!$A$1:$E$216,5,0)),0,VLOOKUP($B71,DD_Info!$A$1:$E$216,5,0))</f>
        <v>1</v>
      </c>
      <c r="D71" t="str">
        <f>IF(ISNA(VLOOKUP($B71,DD_Info!$A$1:$E$216,2,0)),0,VLOOKUP($B71,DD_Info!$A$1:$E$216,2,0))</f>
        <v>Butch J Rodriguez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575</v>
      </c>
      <c r="G71">
        <f>ROUND(SUMIF(Councils!$C$6:$C$809,$B71,Councils!$F$6:$F$809)*0.7,0)</f>
        <v>19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2</v>
      </c>
      <c r="L71">
        <f>ROUND(SUMIF(Councils!$C$6:$C$809,$B71,Councils!$K$6:$K$809),0)</f>
        <v>1</v>
      </c>
      <c r="M71">
        <f>ROUND(SUMIF(Councils!$C$6:$C$809,$B71,Councils!$L$6:$L$809),0)</f>
        <v>1</v>
      </c>
      <c r="N71" s="63">
        <f t="shared" si="3"/>
        <v>5.2631578947368418E-2</v>
      </c>
    </row>
    <row r="72" spans="1:14">
      <c r="A72">
        <f t="shared" si="2"/>
        <v>71</v>
      </c>
      <c r="B72" s="67">
        <v>60</v>
      </c>
      <c r="C72" s="81">
        <f>IF(ISNA(VLOOKUP($B72,DD_Info!$A$1:$E$216,5,0)),0,VLOOKUP($B72,DD_Info!$A$1:$E$216,5,0))</f>
        <v>3</v>
      </c>
      <c r="D72" t="str">
        <f>IF(ISNA(VLOOKUP($B72,DD_Info!$A$1:$E$216,2,0)),0,VLOOKUP($B72,DD_Info!$A$1:$E$216,2,0))</f>
        <v>Ruben C Gomez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285</v>
      </c>
      <c r="G72">
        <f>ROUND(SUMIF(Councils!$C$6:$C$809,$B72,Councils!$F$6:$F$809)*0.7,0)</f>
        <v>10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2</v>
      </c>
      <c r="L72">
        <f>ROUND(SUMIF(Councils!$C$6:$C$809,$B72,Councils!$K$6:$K$809),0)</f>
        <v>0</v>
      </c>
      <c r="M72">
        <f>ROUND(SUMIF(Councils!$C$6:$C$809,$B72,Councils!$L$6:$L$809),0)</f>
        <v>2</v>
      </c>
      <c r="N72" s="63">
        <f t="shared" si="3"/>
        <v>0.2</v>
      </c>
    </row>
    <row r="73" spans="1:14">
      <c r="A73">
        <f t="shared" si="2"/>
        <v>83</v>
      </c>
      <c r="B73" s="67">
        <v>61</v>
      </c>
      <c r="C73" s="81">
        <f>IF(ISNA(VLOOKUP($B73,DD_Info!$A$1:$E$216,5,0)),0,VLOOKUP($B73,DD_Info!$A$1:$E$216,5,0))</f>
        <v>3</v>
      </c>
      <c r="D73" t="str">
        <f>IF(ISNA(VLOOKUP($B73,DD_Info!$A$1:$E$216,2,0)),0,VLOOKUP($B73,DD_Info!$A$1:$E$216,2,0))</f>
        <v>Joe  Torres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112</v>
      </c>
      <c r="G73">
        <f>ROUND(SUMIF(Councils!$C$6:$C$809,$B73,Councils!$F$6:$F$809)*0.7,0)</f>
        <v>6</v>
      </c>
      <c r="H73">
        <f>ROUND(SUMIF(Councils!$C$6:$C$809,$B73,Councils!$G$6:$G$809),0)</f>
        <v>1</v>
      </c>
      <c r="I73">
        <f>ROUND(SUMIF(Councils!$C$6:$C$809,$B73,Councils!$H$6:$H$809),0)</f>
        <v>0</v>
      </c>
      <c r="J73">
        <f>ROUND(SUMIF(Councils!$C$6:$C$809,$B73,Councils!$I$6:$I$809),0)</f>
        <v>1</v>
      </c>
      <c r="K73">
        <f>ROUND(SUMIF(Councils!$C$6:$C$809,$B73,Councils!$J$6:$J$809),0)</f>
        <v>1</v>
      </c>
      <c r="L73">
        <f>ROUND(SUMIF(Councils!$C$6:$C$809,$B73,Councils!$K$6:$K$809),0)</f>
        <v>0</v>
      </c>
      <c r="M73">
        <f>ROUND(SUMIF(Councils!$C$6:$C$809,$B73,Councils!$L$6:$L$809),0)</f>
        <v>1</v>
      </c>
      <c r="N73" s="63">
        <f t="shared" si="3"/>
        <v>0.16666666666666666</v>
      </c>
    </row>
    <row r="74" spans="1:14">
      <c r="A74">
        <f t="shared" si="2"/>
        <v>123</v>
      </c>
      <c r="B74" s="67">
        <v>62</v>
      </c>
      <c r="C74" s="81">
        <f>IF(ISNA(VLOOKUP($B74,DD_Info!$A$1:$E$216,5,0)),0,VLOOKUP($B74,DD_Info!$A$1:$E$216,5,0))</f>
        <v>3</v>
      </c>
      <c r="D74" t="str">
        <f>IF(ISNA(VLOOKUP($B74,DD_Info!$A$1:$E$216,2,0)),0,VLOOKUP($B74,DD_Info!$A$1:$E$216,2,0))</f>
        <v>David D Colton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69</v>
      </c>
      <c r="G74">
        <f>ROUND(SUMIF(Councils!$C$6:$C$809,$B74,Councils!$F$6:$F$809)*0.7,0)</f>
        <v>4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123</v>
      </c>
      <c r="B75" s="67">
        <v>63</v>
      </c>
      <c r="C75" s="81">
        <f>IF(ISNA(VLOOKUP($B75,DD_Info!$A$1:$E$216,5,0)),0,VLOOKUP($B75,DD_Info!$A$1:$E$216,5,0))</f>
        <v>3</v>
      </c>
      <c r="D75" t="str">
        <f>IF(ISNA(VLOOKUP($B75,DD_Info!$A$1:$E$216,2,0)),0,VLOOKUP($B75,DD_Info!$A$1:$E$216,2,0))</f>
        <v>Joe  Hernandez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108</v>
      </c>
      <c r="G75">
        <f>ROUND(SUMIF(Councils!$C$6:$C$809,$B75,Councils!$F$6:$F$809)*0.7,0)</f>
        <v>4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119</v>
      </c>
      <c r="B76" s="67">
        <v>66</v>
      </c>
      <c r="C76" s="81">
        <f>IF(ISNA(VLOOKUP($B76,DD_Info!$A$1:$E$216,5,0)),0,VLOOKUP($B76,DD_Info!$A$1:$E$216,5,0))</f>
        <v>1</v>
      </c>
      <c r="D76" t="str">
        <f>IF(ISNA(VLOOKUP($B76,DD_Info!$A$1:$E$216,2,0)),0,VLOOKUP($B76,DD_Info!$A$1:$E$216,2,0))</f>
        <v>Mark L Jasek</v>
      </c>
      <c r="E76" t="str">
        <f>IF(ISNA(VLOOKUP($B76,DD_Info!$A$1:$E$216,3,0)),0,VLOOKUP($B76,DD_Info!$A$1:$E$216,3,0))</f>
        <v>Galv/Hous</v>
      </c>
      <c r="F76">
        <f>ROUND(SUMIF(Councils!$C$6:$C$809,$B76,Councils!$E$6:$E$809),0)</f>
        <v>671</v>
      </c>
      <c r="G76">
        <f>ROUND(SUMIF(Councils!$C$6:$C$809,$B76,Councils!$F$6:$F$809)*0.7,0)</f>
        <v>22</v>
      </c>
      <c r="H76">
        <f>ROUND(SUMIF(Councils!$C$6:$C$809,$B76,Councils!$G$6:$G$809),0)</f>
        <v>0</v>
      </c>
      <c r="I76">
        <f>ROUND(SUMIF(Councils!$C$6:$C$809,$B76,Councils!$H$6:$H$809),0)</f>
        <v>0</v>
      </c>
      <c r="J76">
        <f>ROUND(SUMIF(Councils!$C$6:$C$809,$B76,Councils!$I$6:$I$809),0)</f>
        <v>0</v>
      </c>
      <c r="K76">
        <f>ROUND(SUMIF(Councils!$C$6:$C$809,$B76,Councils!$J$6:$J$809),0)</f>
        <v>1</v>
      </c>
      <c r="L76">
        <f>ROUND(SUMIF(Councils!$C$6:$C$809,$B76,Councils!$K$6:$K$809),0)</f>
        <v>0</v>
      </c>
      <c r="M76">
        <f>ROUND(SUMIF(Councils!$C$6:$C$809,$B76,Councils!$L$6:$L$809),0)</f>
        <v>1</v>
      </c>
      <c r="N76" s="63">
        <f t="shared" si="3"/>
        <v>4.5454545454545456E-2</v>
      </c>
    </row>
    <row r="77" spans="1:14">
      <c r="A77">
        <f t="shared" si="2"/>
        <v>82</v>
      </c>
      <c r="B77" s="67">
        <v>67</v>
      </c>
      <c r="C77" s="81">
        <f>IF(ISNA(VLOOKUP($B77,DD_Info!$A$1:$E$216,5,0)),0,VLOOKUP($B77,DD_Info!$A$1:$E$216,5,0))</f>
        <v>2</v>
      </c>
      <c r="D77" t="str">
        <f>IF(ISNA(VLOOKUP($B77,DD_Info!$A$1:$E$216,2,0)),0,VLOOKUP($B77,DD_Info!$A$1:$E$216,2,0))</f>
        <v>Raul R Maldonado</v>
      </c>
      <c r="E77" t="str">
        <f>IF(ISNA(VLOOKUP($B77,DD_Info!$A$1:$E$216,3,0)),0,VLOOKUP($B77,DD_Info!$A$1:$E$216,3,0))</f>
        <v>Galv/Hous</v>
      </c>
      <c r="F77">
        <f>ROUND(SUMIF(Councils!$C$6:$C$809,$B77,Councils!$E$6:$E$809),0)</f>
        <v>489</v>
      </c>
      <c r="G77">
        <f>ROUND(SUMIF(Councils!$C$6:$C$809,$B77,Councils!$F$6:$F$809)*0.7,0)</f>
        <v>17</v>
      </c>
      <c r="H77">
        <f>ROUND(SUMIF(Councils!$C$6:$C$809,$B77,Councils!$G$6:$G$809),0)</f>
        <v>0</v>
      </c>
      <c r="I77">
        <f>ROUND(SUMIF(Councils!$C$6:$C$809,$B77,Councils!$H$6:$H$809),0)</f>
        <v>0</v>
      </c>
      <c r="J77">
        <f>ROUND(SUMIF(Councils!$C$6:$C$809,$B77,Councils!$I$6:$I$809),0)</f>
        <v>0</v>
      </c>
      <c r="K77">
        <f>ROUND(SUMIF(Councils!$C$6:$C$809,$B77,Councils!$J$6:$J$809),0)</f>
        <v>3</v>
      </c>
      <c r="L77">
        <f>ROUND(SUMIF(Councils!$C$6:$C$809,$B77,Councils!$K$6:$K$809),0)</f>
        <v>0</v>
      </c>
      <c r="M77">
        <f>ROUND(SUMIF(Councils!$C$6:$C$809,$B77,Councils!$L$6:$L$809),0)</f>
        <v>3</v>
      </c>
      <c r="N77" s="63">
        <f t="shared" si="3"/>
        <v>0.17647058823529413</v>
      </c>
    </row>
    <row r="78" spans="1:14">
      <c r="A78">
        <f t="shared" si="2"/>
        <v>90</v>
      </c>
      <c r="B78" s="67">
        <v>68</v>
      </c>
      <c r="C78" s="81">
        <f>IF(ISNA(VLOOKUP($B78,DD_Info!$A$1:$E$216,5,0)),0,VLOOKUP($B78,DD_Info!$A$1:$E$216,5,0))</f>
        <v>1</v>
      </c>
      <c r="D78" t="str">
        <f>IF(ISNA(VLOOKUP($B78,DD_Info!$A$1:$E$216,2,0)),0,VLOOKUP($B78,DD_Info!$A$1:$E$216,2,0))</f>
        <v>Dennis J Doherty</v>
      </c>
      <c r="E78" t="str">
        <f>IF(ISNA(VLOOKUP($B78,DD_Info!$A$1:$E$216,3,0)),0,VLOOKUP($B78,DD_Info!$A$1:$E$216,3,0))</f>
        <v>Galv/Hous</v>
      </c>
      <c r="F78">
        <f>ROUND(SUMIF(Councils!$C$6:$C$809,$B78,Councils!$E$6:$E$809),0)</f>
        <v>949</v>
      </c>
      <c r="G78">
        <f>ROUND(SUMIF(Councils!$C$6:$C$809,$B78,Councils!$F$6:$F$809)*0.7,0)</f>
        <v>32</v>
      </c>
      <c r="H78">
        <f>ROUND(SUMIF(Councils!$C$6:$C$809,$B78,Councils!$G$6:$G$809),0)</f>
        <v>2</v>
      </c>
      <c r="I78">
        <f>ROUND(SUMIF(Councils!$C$6:$C$809,$B78,Councils!$H$6:$H$809),0)</f>
        <v>2</v>
      </c>
      <c r="J78">
        <f>ROUND(SUMIF(Councils!$C$6:$C$809,$B78,Councils!$I$6:$I$809),0)</f>
        <v>0</v>
      </c>
      <c r="K78">
        <f>ROUND(SUMIF(Councils!$C$6:$C$809,$B78,Councils!$J$6:$J$809),0)</f>
        <v>6</v>
      </c>
      <c r="L78">
        <f>ROUND(SUMIF(Councils!$C$6:$C$809,$B78,Councils!$K$6:$K$809),0)</f>
        <v>2</v>
      </c>
      <c r="M78">
        <f>ROUND(SUMIF(Councils!$C$6:$C$809,$B78,Councils!$L$6:$L$809),0)</f>
        <v>4</v>
      </c>
      <c r="N78" s="63">
        <f t="shared" si="3"/>
        <v>0.125</v>
      </c>
    </row>
    <row r="79" spans="1:14">
      <c r="A79">
        <f t="shared" si="2"/>
        <v>197</v>
      </c>
      <c r="B79" s="67">
        <v>69</v>
      </c>
      <c r="C79" s="81">
        <f>IF(ISNA(VLOOKUP($B79,DD_Info!$A$1:$E$216,5,0)),0,VLOOKUP($B79,DD_Info!$A$1:$E$216,5,0))</f>
        <v>1</v>
      </c>
      <c r="D79" t="str">
        <f>IF(ISNA(VLOOKUP($B79,DD_Info!$A$1:$E$216,2,0)),0,VLOOKUP($B79,DD_Info!$A$1:$E$216,2,0))</f>
        <v>Robert  Guerrero Jr</v>
      </c>
      <c r="E79" t="str">
        <f>IF(ISNA(VLOOKUP($B79,DD_Info!$A$1:$E$216,3,0)),0,VLOOKUP($B79,DD_Info!$A$1:$E$216,3,0))</f>
        <v>Galv/Hous</v>
      </c>
      <c r="F79">
        <f>ROUND(SUMIF(Councils!$C$6:$C$809,$B79,Councils!$E$6:$E$809),0)</f>
        <v>607</v>
      </c>
      <c r="G79">
        <f>ROUND(SUMIF(Councils!$C$6:$C$809,$B79,Councils!$F$6:$F$809)*0.7,0)</f>
        <v>20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4</v>
      </c>
      <c r="L79">
        <f>ROUND(SUMIF(Councils!$C$6:$C$809,$B79,Councils!$K$6:$K$809),0)</f>
        <v>23</v>
      </c>
      <c r="M79">
        <f>ROUND(SUMIF(Councils!$C$6:$C$809,$B79,Councils!$L$6:$L$809),0)</f>
        <v>-19</v>
      </c>
      <c r="N79" s="63">
        <f t="shared" si="3"/>
        <v>-0.95</v>
      </c>
    </row>
    <row r="80" spans="1:14">
      <c r="A80">
        <f t="shared" si="2"/>
        <v>26</v>
      </c>
      <c r="B80" s="67">
        <v>70</v>
      </c>
      <c r="C80" s="81">
        <f>IF(ISNA(VLOOKUP($B80,DD_Info!$A$1:$E$216,5,0)),0,VLOOKUP($B80,DD_Info!$A$1:$E$216,5,0))</f>
        <v>1</v>
      </c>
      <c r="D80" t="str">
        <f>IF(ISNA(VLOOKUP($B80,DD_Info!$A$1:$E$216,2,0)),0,VLOOKUP($B80,DD_Info!$A$1:$E$216,2,0))</f>
        <v>Joseph E Maloy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643</v>
      </c>
      <c r="G80">
        <f>ROUND(SUMIF(Councils!$C$6:$C$809,$B80,Councils!$F$6:$F$809)*0.7,0)</f>
        <v>22</v>
      </c>
      <c r="H80">
        <f>ROUND(SUMIF(Councils!$C$6:$C$809,$B80,Councils!$G$6:$G$809),0)</f>
        <v>0</v>
      </c>
      <c r="I80">
        <f>ROUND(SUMIF(Councils!$C$6:$C$809,$B80,Councils!$H$6:$H$809),0)</f>
        <v>0</v>
      </c>
      <c r="J80">
        <f>ROUND(SUMIF(Councils!$C$6:$C$809,$B80,Councils!$I$6:$I$809),0)</f>
        <v>0</v>
      </c>
      <c r="K80">
        <f>ROUND(SUMIF(Councils!$C$6:$C$809,$B80,Councils!$J$6:$J$809),0)</f>
        <v>11</v>
      </c>
      <c r="L80">
        <f>ROUND(SUMIF(Councils!$C$6:$C$809,$B80,Councils!$K$6:$K$809),0)</f>
        <v>0</v>
      </c>
      <c r="M80">
        <f>ROUND(SUMIF(Councils!$C$6:$C$809,$B80,Councils!$L$6:$L$809),0)</f>
        <v>11</v>
      </c>
      <c r="N80" s="63">
        <f t="shared" si="3"/>
        <v>0.5</v>
      </c>
    </row>
    <row r="81" spans="1:14">
      <c r="A81">
        <f t="shared" si="2"/>
        <v>123</v>
      </c>
      <c r="B81" s="67">
        <v>72</v>
      </c>
      <c r="C81" s="81">
        <f>IF(ISNA(VLOOKUP($B81,DD_Info!$A$1:$E$216,5,0)),0,VLOOKUP($B81,DD_Info!$A$1:$E$216,5,0))</f>
        <v>2</v>
      </c>
      <c r="D81" t="str">
        <f>IF(ISNA(VLOOKUP($B81,DD_Info!$A$1:$E$216,2,0)),0,VLOOKUP($B81,DD_Info!$A$1:$E$216,2,0))</f>
        <v>Anthony P Scarpa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508</v>
      </c>
      <c r="G81">
        <f>ROUND(SUMIF(Councils!$C$6:$C$809,$B81,Councils!$F$6:$F$809)*0.7,0)</f>
        <v>17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203</v>
      </c>
      <c r="B82" s="67">
        <v>73</v>
      </c>
      <c r="C82" s="81">
        <f>IF(ISNA(VLOOKUP($B82,DD_Info!$A$1:$E$216,5,0)),0,VLOOKUP($B82,DD_Info!$A$1:$E$216,5,0))</f>
        <v>2</v>
      </c>
      <c r="D82" t="str">
        <f>IF(ISNA(VLOOKUP($B82,DD_Info!$A$1:$E$216,2,0)),0,VLOOKUP($B82,DD_Info!$A$1:$E$216,2,0))</f>
        <v>Rudy  Ordaz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461</v>
      </c>
      <c r="G82">
        <f>ROUND(SUMIF(Councils!$C$6:$C$809,$B82,Councils!$F$6:$F$809)*0.7,0)</f>
        <v>16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1</v>
      </c>
      <c r="L82">
        <f>ROUND(SUMIF(Councils!$C$6:$C$809,$B82,Councils!$K$6:$K$809),0)</f>
        <v>23</v>
      </c>
      <c r="M82">
        <f>ROUND(SUMIF(Councils!$C$6:$C$809,$B82,Councils!$L$6:$L$809),0)</f>
        <v>-22</v>
      </c>
      <c r="N82" s="63">
        <f t="shared" si="3"/>
        <v>-1.375</v>
      </c>
    </row>
    <row r="83" spans="1:14">
      <c r="A83">
        <f t="shared" si="2"/>
        <v>202</v>
      </c>
      <c r="B83" s="67">
        <v>74</v>
      </c>
      <c r="C83" s="81">
        <f>IF(ISNA(VLOOKUP($B83,DD_Info!$A$1:$E$216,5,0)),0,VLOOKUP($B83,DD_Info!$A$1:$E$216,5,0))</f>
        <v>1</v>
      </c>
      <c r="D83" t="str">
        <f>IF(ISNA(VLOOKUP($B83,DD_Info!$A$1:$E$216,2,0)),0,VLOOKUP($B83,DD_Info!$A$1:$E$216,2,0))</f>
        <v>Brian  Kozel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1114</v>
      </c>
      <c r="G83">
        <f>ROUND(SUMIF(Councils!$C$6:$C$809,$B83,Councils!$F$6:$F$809)*0.7,0)</f>
        <v>35</v>
      </c>
      <c r="H83">
        <f>ROUND(SUMIF(Councils!$C$6:$C$809,$B83,Councils!$G$6:$G$809),0)</f>
        <v>0</v>
      </c>
      <c r="I83">
        <f>ROUND(SUMIF(Councils!$C$6:$C$809,$B83,Councils!$H$6:$H$809),0)</f>
        <v>1</v>
      </c>
      <c r="J83">
        <f>ROUND(SUMIF(Councils!$C$6:$C$809,$B83,Councils!$I$6:$I$809),0)</f>
        <v>-1</v>
      </c>
      <c r="K83">
        <f>ROUND(SUMIF(Councils!$C$6:$C$809,$B83,Councils!$J$6:$J$809),0)</f>
        <v>7</v>
      </c>
      <c r="L83">
        <f>ROUND(SUMIF(Councils!$C$6:$C$809,$B83,Councils!$K$6:$K$809),0)</f>
        <v>52</v>
      </c>
      <c r="M83">
        <f>ROUND(SUMIF(Councils!$C$6:$C$809,$B83,Councils!$L$6:$L$809),0)</f>
        <v>-45</v>
      </c>
      <c r="N83" s="63">
        <f t="shared" si="3"/>
        <v>-1.2857142857142858</v>
      </c>
    </row>
    <row r="84" spans="1:14">
      <c r="A84">
        <f t="shared" si="2"/>
        <v>123</v>
      </c>
      <c r="B84" s="67">
        <v>75</v>
      </c>
      <c r="C84" s="81">
        <f>IF(ISNA(VLOOKUP($B84,DD_Info!$A$1:$E$216,5,0)),0,VLOOKUP($B84,DD_Info!$A$1:$E$216,5,0))</f>
        <v>1</v>
      </c>
      <c r="D84" t="str">
        <f>IF(ISNA(VLOOKUP($B84,DD_Info!$A$1:$E$216,2,0)),0,VLOOKUP($B84,DD_Info!$A$1:$E$216,2,0))</f>
        <v>Michael  Appling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1120</v>
      </c>
      <c r="G84">
        <f>ROUND(SUMIF(Councils!$C$6:$C$809,$B84,Councils!$F$6:$F$809)*0.7,0)</f>
        <v>39</v>
      </c>
      <c r="H84">
        <f>ROUND(SUMIF(Councils!$C$6:$C$809,$B84,Councils!$G$6:$G$809),0)</f>
        <v>1</v>
      </c>
      <c r="I84">
        <f>ROUND(SUMIF(Councils!$C$6:$C$809,$B84,Councils!$H$6:$H$809),0)</f>
        <v>3</v>
      </c>
      <c r="J84">
        <f>ROUND(SUMIF(Councils!$C$6:$C$809,$B84,Councils!$I$6:$I$809),0)</f>
        <v>-2</v>
      </c>
      <c r="K84">
        <f>ROUND(SUMIF(Councils!$C$6:$C$809,$B84,Councils!$J$6:$J$809),0)</f>
        <v>6</v>
      </c>
      <c r="L84">
        <f>ROUND(SUMIF(Councils!$C$6:$C$809,$B84,Councils!$K$6:$K$809),0)</f>
        <v>6</v>
      </c>
      <c r="M84">
        <f>ROUND(SUMIF(Councils!$C$6:$C$809,$B84,Councils!$L$6:$L$809),0)</f>
        <v>0</v>
      </c>
      <c r="N84" s="63">
        <f t="shared" si="3"/>
        <v>0</v>
      </c>
    </row>
    <row r="85" spans="1:14">
      <c r="A85">
        <f t="shared" si="2"/>
        <v>2</v>
      </c>
      <c r="B85" s="67">
        <v>77</v>
      </c>
      <c r="C85" s="81">
        <f>IF(ISNA(VLOOKUP($B85,DD_Info!$A$1:$E$216,5,0)),0,VLOOKUP($B85,DD_Info!$A$1:$E$216,5,0))</f>
        <v>2</v>
      </c>
      <c r="D85" t="str">
        <f>IF(ISNA(VLOOKUP($B85,DD_Info!$A$1:$E$216,2,0)),0,VLOOKUP($B85,DD_Info!$A$1:$E$216,2,0))</f>
        <v>Manuel  Cervantes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368</v>
      </c>
      <c r="G85">
        <f>ROUND(SUMIF(Councils!$C$6:$C$809,$B85,Councils!$F$6:$F$809)*0.7,0)</f>
        <v>13</v>
      </c>
      <c r="H85">
        <f>ROUND(SUMIF(Councils!$C$6:$C$809,$B85,Councils!$G$6:$G$809),0)</f>
        <v>4</v>
      </c>
      <c r="I85">
        <f>ROUND(SUMIF(Councils!$C$6:$C$809,$B85,Councils!$H$6:$H$809),0)</f>
        <v>0</v>
      </c>
      <c r="J85">
        <f>ROUND(SUMIF(Councils!$C$6:$C$809,$B85,Councils!$I$6:$I$809),0)</f>
        <v>4</v>
      </c>
      <c r="K85">
        <f>ROUND(SUMIF(Councils!$C$6:$C$809,$B85,Councils!$J$6:$J$809),0)</f>
        <v>21</v>
      </c>
      <c r="L85">
        <f>ROUND(SUMIF(Councils!$C$6:$C$809,$B85,Councils!$K$6:$K$809),0)</f>
        <v>0</v>
      </c>
      <c r="M85">
        <f>ROUND(SUMIF(Councils!$C$6:$C$809,$B85,Councils!$L$6:$L$809),0)</f>
        <v>21</v>
      </c>
      <c r="N85" s="63">
        <f t="shared" si="3"/>
        <v>1.6153846153846154</v>
      </c>
    </row>
    <row r="86" spans="1:14">
      <c r="A86">
        <f t="shared" si="2"/>
        <v>111</v>
      </c>
      <c r="B86" s="67">
        <v>80</v>
      </c>
      <c r="C86" s="81">
        <f>IF(ISNA(VLOOKUP($B86,DD_Info!$A$1:$E$216,5,0)),0,VLOOKUP($B86,DD_Info!$A$1:$E$216,5,0))</f>
        <v>1</v>
      </c>
      <c r="D86" t="str">
        <f>IF(ISNA(VLOOKUP($B86,DD_Info!$A$1:$E$216,2,0)),0,VLOOKUP($B86,DD_Info!$A$1:$E$216,2,0))</f>
        <v>Vincent C Stasio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914</v>
      </c>
      <c r="G86">
        <f>ROUND(SUMIF(Councils!$C$6:$C$809,$B86,Councils!$F$6:$F$809)*0.7,0)</f>
        <v>31</v>
      </c>
      <c r="H86">
        <f>ROUND(SUMIF(Councils!$C$6:$C$809,$B86,Councils!$G$6:$G$809),0)</f>
        <v>1</v>
      </c>
      <c r="I86">
        <f>ROUND(SUMIF(Councils!$C$6:$C$809,$B86,Councils!$H$6:$H$809),0)</f>
        <v>1</v>
      </c>
      <c r="J86">
        <f>ROUND(SUMIF(Councils!$C$6:$C$809,$B86,Councils!$I$6:$I$809),0)</f>
        <v>0</v>
      </c>
      <c r="K86">
        <f>ROUND(SUMIF(Councils!$C$6:$C$809,$B86,Councils!$J$6:$J$809),0)</f>
        <v>5</v>
      </c>
      <c r="L86">
        <f>ROUND(SUMIF(Councils!$C$6:$C$809,$B86,Councils!$K$6:$K$809),0)</f>
        <v>3</v>
      </c>
      <c r="M86">
        <f>ROUND(SUMIF(Councils!$C$6:$C$809,$B86,Councils!$L$6:$L$809),0)</f>
        <v>2</v>
      </c>
      <c r="N86" s="63">
        <f t="shared" si="3"/>
        <v>6.4516129032258063E-2</v>
      </c>
    </row>
    <row r="87" spans="1:14">
      <c r="A87">
        <f t="shared" si="2"/>
        <v>71</v>
      </c>
      <c r="B87" s="67">
        <v>81</v>
      </c>
      <c r="C87" s="81">
        <f>IF(ISNA(VLOOKUP($B87,DD_Info!$A$1:$E$216,5,0)),0,VLOOKUP($B87,DD_Info!$A$1:$E$216,5,0))</f>
        <v>2</v>
      </c>
      <c r="D87" t="str">
        <f>IF(ISNA(VLOOKUP($B87,DD_Info!$A$1:$E$216,2,0)),0,VLOOKUP($B87,DD_Info!$A$1:$E$216,2,0))</f>
        <v>Mario Rodriguez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435</v>
      </c>
      <c r="G87">
        <f>ROUND(SUMIF(Councils!$C$6:$C$809,$B87,Councils!$F$6:$F$809)*0.7,0)</f>
        <v>15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3</v>
      </c>
      <c r="L87">
        <f>ROUND(SUMIF(Councils!$C$6:$C$809,$B87,Councils!$K$6:$K$809),0)</f>
        <v>0</v>
      </c>
      <c r="M87">
        <f>ROUND(SUMIF(Councils!$C$6:$C$809,$B87,Councils!$L$6:$L$809),0)</f>
        <v>3</v>
      </c>
      <c r="N87" s="63">
        <f t="shared" si="3"/>
        <v>0.2</v>
      </c>
    </row>
    <row r="88" spans="1:14">
      <c r="A88">
        <f t="shared" si="2"/>
        <v>181</v>
      </c>
      <c r="B88" s="67">
        <v>83</v>
      </c>
      <c r="C88" s="81">
        <f>IF(ISNA(VLOOKUP($B88,DD_Info!$A$1:$E$216,5,0)),0,VLOOKUP($B88,DD_Info!$A$1:$E$216,5,0))</f>
        <v>1</v>
      </c>
      <c r="D88" t="str">
        <f>IF(ISNA(VLOOKUP($B88,DD_Info!$A$1:$E$216,2,0)),0,VLOOKUP($B88,DD_Info!$A$1:$E$216,2,0))</f>
        <v>Don  Huml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597</v>
      </c>
      <c r="G88">
        <f>ROUND(SUMIF(Councils!$C$6:$C$809,$B88,Councils!$F$6:$F$809)*0.7,0)</f>
        <v>20</v>
      </c>
      <c r="H88">
        <f>ROUND(SUMIF(Councils!$C$6:$C$809,$B88,Councils!$G$6:$G$809),0)</f>
        <v>0</v>
      </c>
      <c r="I88">
        <f>ROUND(SUMIF(Councils!$C$6:$C$809,$B88,Councils!$H$6:$H$809),0)</f>
        <v>3</v>
      </c>
      <c r="J88">
        <f>ROUND(SUMIF(Councils!$C$6:$C$809,$B88,Councils!$I$6:$I$809),0)</f>
        <v>-3</v>
      </c>
      <c r="K88">
        <f>ROUND(SUMIF(Councils!$C$6:$C$809,$B88,Councils!$J$6:$J$809),0)</f>
        <v>0</v>
      </c>
      <c r="L88">
        <f>ROUND(SUMIF(Councils!$C$6:$C$809,$B88,Councils!$K$6:$K$809),0)</f>
        <v>4</v>
      </c>
      <c r="M88">
        <f>ROUND(SUMIF(Councils!$C$6:$C$809,$B88,Councils!$L$6:$L$809),0)</f>
        <v>-4</v>
      </c>
      <c r="N88" s="63">
        <f t="shared" si="3"/>
        <v>-0.2</v>
      </c>
    </row>
    <row r="89" spans="1:14">
      <c r="A89">
        <f t="shared" si="2"/>
        <v>123</v>
      </c>
      <c r="B89" s="67">
        <v>86</v>
      </c>
      <c r="C89" s="81">
        <f>IF(ISNA(VLOOKUP($B89,DD_Info!$A$1:$E$216,5,0)),0,VLOOKUP($B89,DD_Info!$A$1:$E$216,5,0))</f>
        <v>1</v>
      </c>
      <c r="D89" t="str">
        <f>IF(ISNA(VLOOKUP($B89,DD_Info!$A$1:$E$216,2,0)),0,VLOOKUP($B89,DD_Info!$A$1:$E$216,2,0))</f>
        <v>Clarence "CJ"  Hattier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614</v>
      </c>
      <c r="G89">
        <f>ROUND(SUMIF(Councils!$C$6:$C$809,$B89,Councils!$F$6:$F$809)*0.7,0)</f>
        <v>21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0</v>
      </c>
      <c r="L89">
        <f>ROUND(SUMIF(Councils!$C$6:$C$809,$B89,Councils!$K$6:$K$809),0)</f>
        <v>0</v>
      </c>
      <c r="M89">
        <f>ROUND(SUMIF(Councils!$C$6:$C$809,$B89,Councils!$L$6:$L$809),0)</f>
        <v>0</v>
      </c>
      <c r="N89" s="63">
        <f t="shared" si="3"/>
        <v>0</v>
      </c>
    </row>
    <row r="90" spans="1:14">
      <c r="A90">
        <f t="shared" si="2"/>
        <v>59</v>
      </c>
      <c r="B90" s="67">
        <v>89</v>
      </c>
      <c r="C90" s="81">
        <f>IF(ISNA(VLOOKUP($B90,DD_Info!$A$1:$E$216,5,0)),0,VLOOKUP($B90,DD_Info!$A$1:$E$216,5,0))</f>
        <v>3</v>
      </c>
      <c r="D90" t="str">
        <f>IF(ISNA(VLOOKUP($B90,DD_Info!$A$1:$E$216,2,0)),0,VLOOKUP($B90,DD_Info!$A$1:$E$216,2,0))</f>
        <v>Abner  Brown Jr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204</v>
      </c>
      <c r="G90">
        <f>ROUND(SUMIF(Councils!$C$6:$C$809,$B90,Councils!$F$6:$F$809)*0.7,0)</f>
        <v>8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2</v>
      </c>
      <c r="L90">
        <f>ROUND(SUMIF(Councils!$C$6:$C$809,$B90,Councils!$K$6:$K$809),0)</f>
        <v>0</v>
      </c>
      <c r="M90">
        <f>ROUND(SUMIF(Councils!$C$6:$C$809,$B90,Councils!$L$6:$L$809),0)</f>
        <v>2</v>
      </c>
      <c r="N90" s="63">
        <f t="shared" si="3"/>
        <v>0.25</v>
      </c>
    </row>
    <row r="91" spans="1:14">
      <c r="A91">
        <f t="shared" si="2"/>
        <v>111</v>
      </c>
      <c r="B91" s="67">
        <v>90</v>
      </c>
      <c r="C91" s="81">
        <f>IF(ISNA(VLOOKUP($B91,DD_Info!$A$1:$E$216,5,0)),0,VLOOKUP($B91,DD_Info!$A$1:$E$216,5,0))</f>
        <v>1</v>
      </c>
      <c r="D91" t="str">
        <f>IF(ISNA(VLOOKUP($B91,DD_Info!$A$1:$E$216,2,0)),0,VLOOKUP($B91,DD_Info!$A$1:$E$216,2,0))</f>
        <v>Reggie  Vasquez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1236</v>
      </c>
      <c r="G91">
        <f>ROUND(SUMIF(Councils!$C$6:$C$809,$B91,Councils!$F$6:$F$809)*0.7,0)</f>
        <v>31</v>
      </c>
      <c r="H91">
        <f>ROUND(SUMIF(Councils!$C$6:$C$809,$B91,Councils!$G$6:$G$809),0)</f>
        <v>1</v>
      </c>
      <c r="I91">
        <f>ROUND(SUMIF(Councils!$C$6:$C$809,$B91,Councils!$H$6:$H$809),0)</f>
        <v>1</v>
      </c>
      <c r="J91">
        <f>ROUND(SUMIF(Councils!$C$6:$C$809,$B91,Councils!$I$6:$I$809),0)</f>
        <v>0</v>
      </c>
      <c r="K91">
        <f>ROUND(SUMIF(Councils!$C$6:$C$809,$B91,Councils!$J$6:$J$809),0)</f>
        <v>4</v>
      </c>
      <c r="L91">
        <f>ROUND(SUMIF(Councils!$C$6:$C$809,$B91,Councils!$K$6:$K$809),0)</f>
        <v>2</v>
      </c>
      <c r="M91">
        <f>ROUND(SUMIF(Councils!$C$6:$C$809,$B91,Councils!$L$6:$L$809),0)</f>
        <v>2</v>
      </c>
      <c r="N91" s="63">
        <f t="shared" si="3"/>
        <v>6.4516129032258063E-2</v>
      </c>
    </row>
    <row r="92" spans="1:14">
      <c r="A92">
        <f t="shared" si="2"/>
        <v>169</v>
      </c>
      <c r="B92" s="67">
        <v>91</v>
      </c>
      <c r="C92" s="81">
        <f>IF(ISNA(VLOOKUP($B92,DD_Info!$A$1:$E$216,5,0)),0,VLOOKUP($B92,DD_Info!$A$1:$E$216,5,0))</f>
        <v>1</v>
      </c>
      <c r="D92" t="str">
        <f>IF(ISNA(VLOOKUP($B92,DD_Info!$A$1:$E$216,2,0)),0,VLOOKUP($B92,DD_Info!$A$1:$E$216,2,0))</f>
        <v>John Anthony  Martinez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694</v>
      </c>
      <c r="G92">
        <f>ROUND(SUMIF(Councils!$C$6:$C$809,$B92,Councils!$F$6:$F$809)*0.7,0)</f>
        <v>20</v>
      </c>
      <c r="H92">
        <f>ROUND(SUMIF(Councils!$C$6:$C$809,$B92,Councils!$G$6:$G$809),0)</f>
        <v>0</v>
      </c>
      <c r="I92">
        <f>ROUND(SUMIF(Councils!$C$6:$C$809,$B92,Councils!$H$6:$H$809),0)</f>
        <v>1</v>
      </c>
      <c r="J92">
        <f>ROUND(SUMIF(Councils!$C$6:$C$809,$B92,Councils!$I$6:$I$809),0)</f>
        <v>-1</v>
      </c>
      <c r="K92">
        <f>ROUND(SUMIF(Councils!$C$6:$C$809,$B92,Councils!$J$6:$J$809),0)</f>
        <v>6</v>
      </c>
      <c r="L92">
        <f>ROUND(SUMIF(Councils!$C$6:$C$809,$B92,Councils!$K$6:$K$809),0)</f>
        <v>7</v>
      </c>
      <c r="M92">
        <f>ROUND(SUMIF(Councils!$C$6:$C$809,$B92,Councils!$L$6:$L$809),0)</f>
        <v>-1</v>
      </c>
      <c r="N92" s="63">
        <f t="shared" si="3"/>
        <v>-0.05</v>
      </c>
    </row>
    <row r="93" spans="1:14">
      <c r="A93">
        <f t="shared" si="2"/>
        <v>54</v>
      </c>
      <c r="B93" s="67">
        <v>93</v>
      </c>
      <c r="C93" s="81">
        <f>IF(ISNA(VLOOKUP($B93,DD_Info!$A$1:$E$216,5,0)),0,VLOOKUP($B93,DD_Info!$A$1:$E$216,5,0))</f>
        <v>1</v>
      </c>
      <c r="D93" t="str">
        <f>IF(ISNA(VLOOKUP($B93,DD_Info!$A$1:$E$216,2,0)),0,VLOOKUP($B93,DD_Info!$A$1:$E$216,2,0))</f>
        <v>TBD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1121</v>
      </c>
      <c r="G93">
        <f>ROUND(SUMIF(Councils!$C$6:$C$809,$B93,Councils!$F$6:$F$809)*0.7,0)</f>
        <v>37</v>
      </c>
      <c r="H93">
        <f>ROUND(SUMIF(Councils!$C$6:$C$809,$B93,Councils!$G$6:$G$809),0)</f>
        <v>2</v>
      </c>
      <c r="I93">
        <f>ROUND(SUMIF(Councils!$C$6:$C$809,$B93,Councils!$H$6:$H$809),0)</f>
        <v>2</v>
      </c>
      <c r="J93">
        <f>ROUND(SUMIF(Councils!$C$6:$C$809,$B93,Councils!$I$6:$I$809),0)</f>
        <v>0</v>
      </c>
      <c r="K93">
        <f>ROUND(SUMIF(Councils!$C$6:$C$809,$B93,Councils!$J$6:$J$809),0)</f>
        <v>13</v>
      </c>
      <c r="L93">
        <f>ROUND(SUMIF(Councils!$C$6:$C$809,$B93,Councils!$K$6:$K$809),0)</f>
        <v>2</v>
      </c>
      <c r="M93">
        <f>ROUND(SUMIF(Councils!$C$6:$C$809,$B93,Councils!$L$6:$L$809),0)</f>
        <v>11</v>
      </c>
      <c r="N93" s="63">
        <f t="shared" si="3"/>
        <v>0.29729729729729731</v>
      </c>
    </row>
    <row r="94" spans="1:14">
      <c r="A94">
        <f t="shared" si="2"/>
        <v>87</v>
      </c>
      <c r="B94" s="67">
        <v>94</v>
      </c>
      <c r="C94" s="81">
        <f>IF(ISNA(VLOOKUP($B94,DD_Info!$A$1:$E$216,5,0)),0,VLOOKUP($B94,DD_Info!$A$1:$E$216,5,0))</f>
        <v>1</v>
      </c>
      <c r="D94" t="str">
        <f>IF(ISNA(VLOOKUP($B94,DD_Info!$A$1:$E$216,2,0)),0,VLOOKUP($B94,DD_Info!$A$1:$E$216,2,0))</f>
        <v>Larry  Pellerito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848</v>
      </c>
      <c r="G94">
        <f>ROUND(SUMIF(Councils!$C$6:$C$809,$B94,Councils!$F$6:$F$809)*0.7,0)</f>
        <v>27</v>
      </c>
      <c r="H94">
        <f>ROUND(SUMIF(Councils!$C$6:$C$809,$B94,Councils!$G$6:$G$809),0)</f>
        <v>1</v>
      </c>
      <c r="I94">
        <f>ROUND(SUMIF(Councils!$C$6:$C$809,$B94,Councils!$H$6:$H$809),0)</f>
        <v>0</v>
      </c>
      <c r="J94">
        <f>ROUND(SUMIF(Councils!$C$6:$C$809,$B94,Councils!$I$6:$I$809),0)</f>
        <v>1</v>
      </c>
      <c r="K94">
        <f>ROUND(SUMIF(Councils!$C$6:$C$809,$B94,Councils!$J$6:$J$809),0)</f>
        <v>5</v>
      </c>
      <c r="L94">
        <f>ROUND(SUMIF(Councils!$C$6:$C$809,$B94,Councils!$K$6:$K$809),0)</f>
        <v>1</v>
      </c>
      <c r="M94">
        <f>ROUND(SUMIF(Councils!$C$6:$C$809,$B94,Councils!$L$6:$L$809),0)</f>
        <v>4</v>
      </c>
      <c r="N94" s="63">
        <f t="shared" si="3"/>
        <v>0.14814814814814814</v>
      </c>
    </row>
    <row r="95" spans="1:14">
      <c r="A95">
        <f t="shared" si="2"/>
        <v>109</v>
      </c>
      <c r="B95" s="67">
        <v>95</v>
      </c>
      <c r="C95" s="81">
        <f>IF(ISNA(VLOOKUP($B95,DD_Info!$A$1:$E$216,5,0)),0,VLOOKUP($B95,DD_Info!$A$1:$E$216,5,0))</f>
        <v>2</v>
      </c>
      <c r="D95" t="str">
        <f>IF(ISNA(VLOOKUP($B95,DD_Info!$A$1:$E$216,2,0)),0,VLOOKUP($B95,DD_Info!$A$1:$E$216,2,0))</f>
        <v>Joseph A Geiman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411</v>
      </c>
      <c r="G95">
        <f>ROUND(SUMIF(Councils!$C$6:$C$809,$B95,Councils!$F$6:$F$809)*0.7,0)</f>
        <v>15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1</v>
      </c>
      <c r="L95">
        <f>ROUND(SUMIF(Councils!$C$6:$C$809,$B95,Councils!$K$6:$K$809),0)</f>
        <v>0</v>
      </c>
      <c r="M95">
        <f>ROUND(SUMIF(Councils!$C$6:$C$809,$B95,Councils!$L$6:$L$809),0)</f>
        <v>1</v>
      </c>
      <c r="N95" s="63">
        <f t="shared" si="3"/>
        <v>6.6666666666666666E-2</v>
      </c>
    </row>
    <row r="96" spans="1:14">
      <c r="A96">
        <f t="shared" si="2"/>
        <v>123</v>
      </c>
      <c r="B96" s="67">
        <v>96</v>
      </c>
      <c r="C96" s="81">
        <f>IF(ISNA(VLOOKUP($B96,DD_Info!$A$1:$E$216,5,0)),0,VLOOKUP($B96,DD_Info!$A$1:$E$216,5,0))</f>
        <v>3</v>
      </c>
      <c r="D96" t="str">
        <f>IF(ISNA(VLOOKUP($B96,DD_Info!$A$1:$E$216,2,0)),0,VLOOKUP($B96,DD_Info!$A$1:$E$216,2,0))</f>
        <v>John G Hinojosa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172</v>
      </c>
      <c r="G96">
        <f>ROUND(SUMIF(Councils!$C$6:$C$809,$B96,Councils!$F$6:$F$809)*0.7,0)</f>
        <v>6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123</v>
      </c>
      <c r="B97" s="67">
        <v>97</v>
      </c>
      <c r="C97" s="81">
        <f>IF(ISNA(VLOOKUP($B97,DD_Info!$A$1:$E$216,5,0)),0,VLOOKUP($B97,DD_Info!$A$1:$E$216,5,0))</f>
        <v>3</v>
      </c>
      <c r="D97" t="str">
        <f>IF(ISNA(VLOOKUP($B97,DD_Info!$A$1:$E$216,2,0)),0,VLOOKUP($B97,DD_Info!$A$1:$E$216,2,0))</f>
        <v>James A Hatcher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58</v>
      </c>
      <c r="G97">
        <f>ROUND(SUMIF(Councils!$C$6:$C$809,$B97,Councils!$F$6:$F$809)*0.7,0)</f>
        <v>5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123</v>
      </c>
      <c r="B98" s="67">
        <v>98</v>
      </c>
      <c r="C98" s="81">
        <f>IF(ISNA(VLOOKUP($B98,DD_Info!$A$1:$E$216,5,0)),0,VLOOKUP($B98,DD_Info!$A$1:$E$216,5,0))</f>
        <v>3</v>
      </c>
      <c r="D98" t="str">
        <f>IF(ISNA(VLOOKUP($B98,DD_Info!$A$1:$E$216,2,0)),0,VLOOKUP($B98,DD_Info!$A$1:$E$216,2,0))</f>
        <v>Ron  Frerich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273</v>
      </c>
      <c r="G98">
        <f>ROUND(SUMIF(Councils!$C$6:$C$809,$B98,Councils!$F$6:$F$809)*0.7,0)</f>
        <v>13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178</v>
      </c>
      <c r="B99" s="67">
        <v>101</v>
      </c>
      <c r="C99" s="81">
        <f>IF(ISNA(VLOOKUP($B99,DD_Info!$A$1:$E$216,5,0)),0,VLOOKUP($B99,DD_Info!$A$1:$E$216,5,0))</f>
        <v>2</v>
      </c>
      <c r="D99" t="str">
        <f>IF(ISNA(VLOOKUP($B99,DD_Info!$A$1:$E$216,2,0)),0,VLOOKUP($B99,DD_Info!$A$1:$E$216,2,0))</f>
        <v>Gary L Walton</v>
      </c>
      <c r="E99" t="str">
        <f>IF(ISNA(VLOOKUP($B99,DD_Info!$A$1:$E$216,3,0)),0,VLOOKUP($B99,DD_Info!$A$1:$E$216,3,0))</f>
        <v>Dallas</v>
      </c>
      <c r="F99">
        <f>ROUND(SUMIF(Councils!$C$6:$C$809,$B99,Councils!$E$6:$E$809),0)</f>
        <v>458</v>
      </c>
      <c r="G99">
        <f>ROUND(SUMIF(Councils!$C$6:$C$809,$B99,Councils!$F$6:$F$809)*0.7,0)</f>
        <v>15</v>
      </c>
      <c r="H99">
        <f>ROUND(SUMIF(Councils!$C$6:$C$809,$B99,Councils!$G$6:$G$809),0)</f>
        <v>1</v>
      </c>
      <c r="I99">
        <f>ROUND(SUMIF(Councils!$C$6:$C$809,$B99,Councils!$H$6:$H$809),0)</f>
        <v>9</v>
      </c>
      <c r="J99">
        <f>ROUND(SUMIF(Councils!$C$6:$C$809,$B99,Councils!$I$6:$I$809),0)</f>
        <v>-8</v>
      </c>
      <c r="K99">
        <f>ROUND(SUMIF(Councils!$C$6:$C$809,$B99,Councils!$J$6:$J$809),0)</f>
        <v>7</v>
      </c>
      <c r="L99">
        <f>ROUND(SUMIF(Councils!$C$6:$C$809,$B99,Councils!$K$6:$K$809),0)</f>
        <v>9</v>
      </c>
      <c r="M99">
        <f>ROUND(SUMIF(Councils!$C$6:$C$809,$B99,Councils!$L$6:$L$809),0)</f>
        <v>-2</v>
      </c>
      <c r="N99" s="63">
        <f t="shared" si="3"/>
        <v>-0.13333333333333333</v>
      </c>
    </row>
    <row r="100" spans="1:14">
      <c r="A100">
        <f t="shared" si="2"/>
        <v>57</v>
      </c>
      <c r="B100" s="67">
        <v>102</v>
      </c>
      <c r="C100" s="81">
        <f>IF(ISNA(VLOOKUP($B100,DD_Info!$A$1:$E$216,5,0)),0,VLOOKUP($B100,DD_Info!$A$1:$E$216,5,0))</f>
        <v>1</v>
      </c>
      <c r="D100" t="str">
        <f>IF(ISNA(VLOOKUP($B100,DD_Info!$A$1:$E$216,2,0)),0,VLOOKUP($B100,DD_Info!$A$1:$E$216,2,0))</f>
        <v>Jose "John" J Casarez</v>
      </c>
      <c r="E100" t="str">
        <f>IF(ISNA(VLOOKUP($B100,DD_Info!$A$1:$E$216,3,0)),0,VLOOKUP($B100,DD_Info!$A$1:$E$216,3,0))</f>
        <v>Dallas</v>
      </c>
      <c r="F100">
        <f>ROUND(SUMIF(Councils!$C$6:$C$809,$B100,Councils!$E$6:$E$809),0)</f>
        <v>767</v>
      </c>
      <c r="G100">
        <f>ROUND(SUMIF(Councils!$C$6:$C$809,$B100,Councils!$F$6:$F$809)*0.7,0)</f>
        <v>26</v>
      </c>
      <c r="H100">
        <f>ROUND(SUMIF(Councils!$C$6:$C$809,$B100,Councils!$G$6:$G$809),0)</f>
        <v>1</v>
      </c>
      <c r="I100">
        <f>ROUND(SUMIF(Councils!$C$6:$C$809,$B100,Councils!$H$6:$H$809),0)</f>
        <v>0</v>
      </c>
      <c r="J100">
        <f>ROUND(SUMIF(Councils!$C$6:$C$809,$B100,Councils!$I$6:$I$809),0)</f>
        <v>1</v>
      </c>
      <c r="K100">
        <f>ROUND(SUMIF(Councils!$C$6:$C$809,$B100,Councils!$J$6:$J$809),0)</f>
        <v>11</v>
      </c>
      <c r="L100">
        <f>ROUND(SUMIF(Councils!$C$6:$C$809,$B100,Councils!$K$6:$K$809),0)</f>
        <v>4</v>
      </c>
      <c r="M100">
        <f>ROUND(SUMIF(Councils!$C$6:$C$809,$B100,Councils!$L$6:$L$809),0)</f>
        <v>7</v>
      </c>
      <c r="N100" s="63">
        <f t="shared" si="3"/>
        <v>0.26923076923076922</v>
      </c>
    </row>
    <row r="101" spans="1:14">
      <c r="A101">
        <f t="shared" si="2"/>
        <v>194</v>
      </c>
      <c r="B101" s="67">
        <v>105</v>
      </c>
      <c r="C101" s="81">
        <f>IF(ISNA(VLOOKUP($B101,DD_Info!$A$1:$E$216,5,0)),0,VLOOKUP($B101,DD_Info!$A$1:$E$216,5,0))</f>
        <v>1</v>
      </c>
      <c r="D101" t="str">
        <f>IF(ISNA(VLOOKUP($B101,DD_Info!$A$1:$E$216,2,0)),0,VLOOKUP($B101,DD_Info!$A$1:$E$216,2,0))</f>
        <v>Royce G Cheek</v>
      </c>
      <c r="E101" t="str">
        <f>IF(ISNA(VLOOKUP($B101,DD_Info!$A$1:$E$216,3,0)),0,VLOOKUP($B101,DD_Info!$A$1:$E$216,3,0))</f>
        <v>Dallas</v>
      </c>
      <c r="F101">
        <f>ROUND(SUMIF(Councils!$C$6:$C$809,$B101,Councils!$E$6:$E$809),0)</f>
        <v>661</v>
      </c>
      <c r="G101">
        <f>ROUND(SUMIF(Councils!$C$6:$C$809,$B101,Councils!$F$6:$F$809)*0.7,0)</f>
        <v>22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</v>
      </c>
      <c r="L101">
        <f>ROUND(SUMIF(Councils!$C$6:$C$809,$B101,Councils!$K$6:$K$809),0)</f>
        <v>15</v>
      </c>
      <c r="M101">
        <f>ROUND(SUMIF(Councils!$C$6:$C$809,$B101,Councils!$L$6:$L$809),0)</f>
        <v>-14</v>
      </c>
      <c r="N101" s="63">
        <f t="shared" si="3"/>
        <v>-0.63636363636363635</v>
      </c>
    </row>
    <row r="102" spans="1:14">
      <c r="A102">
        <f t="shared" si="2"/>
        <v>76</v>
      </c>
      <c r="B102" s="67">
        <v>107</v>
      </c>
      <c r="C102" s="81">
        <f>IF(ISNA(VLOOKUP($B102,DD_Info!$A$1:$E$216,5,0)),0,VLOOKUP($B102,DD_Info!$A$1:$E$216,5,0))</f>
        <v>2</v>
      </c>
      <c r="D102" t="str">
        <f>IF(ISNA(VLOOKUP($B102,DD_Info!$A$1:$E$216,2,0)),0,VLOOKUP($B102,DD_Info!$A$1:$E$216,2,0))</f>
        <v>Robert M Repka Jr</v>
      </c>
      <c r="E102" t="str">
        <f>IF(ISNA(VLOOKUP($B102,DD_Info!$A$1:$E$216,3,0)),0,VLOOKUP($B102,DD_Info!$A$1:$E$216,3,0))</f>
        <v>Dallas</v>
      </c>
      <c r="F102">
        <f>ROUND(SUMIF(Councils!$C$6:$C$809,$B102,Councils!$E$6:$E$809),0)</f>
        <v>459</v>
      </c>
      <c r="G102">
        <f>ROUND(SUMIF(Councils!$C$6:$C$809,$B102,Councils!$F$6:$F$809)*0.7,0)</f>
        <v>16</v>
      </c>
      <c r="H102">
        <f>ROUND(SUMIF(Councils!$C$6:$C$809,$B102,Councils!$G$6:$G$809),0)</f>
        <v>0</v>
      </c>
      <c r="I102">
        <f>ROUND(SUMIF(Councils!$C$6:$C$809,$B102,Councils!$H$6:$H$809),0)</f>
        <v>0</v>
      </c>
      <c r="J102">
        <f>ROUND(SUMIF(Councils!$C$6:$C$809,$B102,Councils!$I$6:$I$809),0)</f>
        <v>0</v>
      </c>
      <c r="K102">
        <f>ROUND(SUMIF(Councils!$C$6:$C$809,$B102,Councils!$J$6:$J$809),0)</f>
        <v>3</v>
      </c>
      <c r="L102">
        <f>ROUND(SUMIF(Councils!$C$6:$C$809,$B102,Councils!$K$6:$K$809),0)</f>
        <v>0</v>
      </c>
      <c r="M102">
        <f>ROUND(SUMIF(Councils!$C$6:$C$809,$B102,Councils!$L$6:$L$809),0)</f>
        <v>3</v>
      </c>
      <c r="N102" s="63">
        <f t="shared" si="3"/>
        <v>0.1875</v>
      </c>
    </row>
    <row r="103" spans="1:14">
      <c r="A103">
        <f t="shared" si="2"/>
        <v>96</v>
      </c>
      <c r="B103" s="67">
        <v>108</v>
      </c>
      <c r="C103" s="81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John "Jack" G Ayers</v>
      </c>
      <c r="E103" t="str">
        <f>IF(ISNA(VLOOKUP($B103,DD_Info!$A$1:$E$216,3,0)),0,VLOOKUP($B103,DD_Info!$A$1:$E$216,3,0))</f>
        <v>Dallas</v>
      </c>
      <c r="F103">
        <f>ROUND(SUMIF(Councils!$C$6:$C$809,$B103,Councils!$E$6:$E$809),0)</f>
        <v>822</v>
      </c>
      <c r="G103">
        <f>ROUND(SUMIF(Councils!$C$6:$C$809,$B103,Councils!$F$6:$F$809)*0.7,0)</f>
        <v>28</v>
      </c>
      <c r="H103">
        <f>ROUND(SUMIF(Councils!$C$6:$C$809,$B103,Councils!$G$6:$G$809),0)</f>
        <v>1</v>
      </c>
      <c r="I103">
        <f>ROUND(SUMIF(Councils!$C$6:$C$809,$B103,Councils!$H$6:$H$809),0)</f>
        <v>0</v>
      </c>
      <c r="J103">
        <f>ROUND(SUMIF(Councils!$C$6:$C$809,$B103,Councils!$I$6:$I$809),0)</f>
        <v>1</v>
      </c>
      <c r="K103">
        <f>ROUND(SUMIF(Councils!$C$6:$C$809,$B103,Councils!$J$6:$J$809),0)</f>
        <v>4</v>
      </c>
      <c r="L103">
        <f>ROUND(SUMIF(Councils!$C$6:$C$809,$B103,Councils!$K$6:$K$809),0)</f>
        <v>1</v>
      </c>
      <c r="M103">
        <f>ROUND(SUMIF(Councils!$C$6:$C$809,$B103,Councils!$L$6:$L$809),0)</f>
        <v>3</v>
      </c>
      <c r="N103" s="63">
        <f t="shared" si="3"/>
        <v>0.10714285714285714</v>
      </c>
    </row>
    <row r="104" spans="1:14">
      <c r="A104">
        <f t="shared" si="2"/>
        <v>59</v>
      </c>
      <c r="B104" s="67">
        <v>110</v>
      </c>
      <c r="C104" s="81">
        <f>IF(ISNA(VLOOKUP($B104,DD_Info!$A$1:$E$216,5,0)),0,VLOOKUP($B104,DD_Info!$A$1:$E$216,5,0))</f>
        <v>2</v>
      </c>
      <c r="D104" t="str">
        <f>IF(ISNA(VLOOKUP($B104,DD_Info!$A$1:$E$216,2,0)),0,VLOOKUP($B104,DD_Info!$A$1:$E$216,2,0))</f>
        <v>Richard C Frasco</v>
      </c>
      <c r="E104" t="str">
        <f>IF(ISNA(VLOOKUP($B104,DD_Info!$A$1:$E$216,3,0)),0,VLOOKUP($B104,DD_Info!$A$1:$E$216,3,0))</f>
        <v>Dallas</v>
      </c>
      <c r="F104">
        <f>ROUND(SUMIF(Councils!$C$6:$C$809,$B104,Councils!$E$6:$E$809),0)</f>
        <v>557</v>
      </c>
      <c r="G104">
        <f>ROUND(SUMIF(Councils!$C$6:$C$809,$B104,Councils!$F$6:$F$809)*0.7,0)</f>
        <v>20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7</v>
      </c>
      <c r="L104">
        <f>ROUND(SUMIF(Councils!$C$6:$C$809,$B104,Councils!$K$6:$K$809),0)</f>
        <v>2</v>
      </c>
      <c r="M104">
        <f>ROUND(SUMIF(Councils!$C$6:$C$809,$B104,Councils!$L$6:$L$809),0)</f>
        <v>5</v>
      </c>
      <c r="N104" s="63">
        <f t="shared" si="3"/>
        <v>0.25</v>
      </c>
    </row>
    <row r="105" spans="1:14">
      <c r="A105">
        <f t="shared" si="2"/>
        <v>7</v>
      </c>
      <c r="B105" s="67">
        <v>112</v>
      </c>
      <c r="C105" s="81">
        <f>IF(ISNA(VLOOKUP($B105,DD_Info!$A$1:$E$216,5,0)),0,VLOOKUP($B105,DD_Info!$A$1:$E$216,5,0))</f>
        <v>3</v>
      </c>
      <c r="D105" t="str">
        <f>IF(ISNA(VLOOKUP($B105,DD_Info!$A$1:$E$216,2,0)),0,VLOOKUP($B105,DD_Info!$A$1:$E$216,2,0))</f>
        <v>Alberto  Castro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224</v>
      </c>
      <c r="G105">
        <f>ROUND(SUMIF(Councils!$C$6:$C$809,$B105,Councils!$F$6:$F$809)*0.7,0)</f>
        <v>8</v>
      </c>
      <c r="H105">
        <f>ROUND(SUMIF(Councils!$C$6:$C$809,$B105,Councils!$G$6:$G$809),0)</f>
        <v>1</v>
      </c>
      <c r="I105">
        <f>ROUND(SUMIF(Councils!$C$6:$C$809,$B105,Councils!$H$6:$H$809),0)</f>
        <v>0</v>
      </c>
      <c r="J105">
        <f>ROUND(SUMIF(Councils!$C$6:$C$809,$B105,Councils!$I$6:$I$809),0)</f>
        <v>1</v>
      </c>
      <c r="K105">
        <f>ROUND(SUMIF(Councils!$C$6:$C$809,$B105,Councils!$J$6:$J$809),0)</f>
        <v>7</v>
      </c>
      <c r="L105">
        <f>ROUND(SUMIF(Councils!$C$6:$C$809,$B105,Councils!$K$6:$K$809),0)</f>
        <v>0</v>
      </c>
      <c r="M105">
        <f>ROUND(SUMIF(Councils!$C$6:$C$809,$B105,Councils!$L$6:$L$809),0)</f>
        <v>7</v>
      </c>
      <c r="N105" s="63">
        <f t="shared" si="3"/>
        <v>0.875</v>
      </c>
    </row>
    <row r="106" spans="1:14">
      <c r="A106">
        <f t="shared" si="2"/>
        <v>123</v>
      </c>
      <c r="B106" s="67">
        <v>113</v>
      </c>
      <c r="C106" s="81">
        <f>IF(ISNA(VLOOKUP($B106,DD_Info!$A$1:$E$216,5,0)),0,VLOOKUP($B106,DD_Info!$A$1:$E$216,5,0))</f>
        <v>2</v>
      </c>
      <c r="D106" t="str">
        <f>IF(ISNA(VLOOKUP($B106,DD_Info!$A$1:$E$216,2,0)),0,VLOOKUP($B106,DD_Info!$A$1:$E$216,2,0))</f>
        <v>Nick  Flores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369</v>
      </c>
      <c r="G106">
        <f>ROUND(SUMIF(Councils!$C$6:$C$809,$B106,Councils!$F$6:$F$809)*0.7,0)</f>
        <v>13</v>
      </c>
      <c r="H106">
        <f>ROUND(SUMIF(Councils!$C$6:$C$809,$B106,Councils!$G$6:$G$809),0)</f>
        <v>0</v>
      </c>
      <c r="I106">
        <f>ROUND(SUMIF(Councils!$C$6:$C$809,$B106,Councils!$H$6:$H$809),0)</f>
        <v>0</v>
      </c>
      <c r="J106">
        <f>ROUND(SUMIF(Councils!$C$6:$C$809,$B106,Councils!$I$6:$I$809),0)</f>
        <v>0</v>
      </c>
      <c r="K106">
        <f>ROUND(SUMIF(Councils!$C$6:$C$809,$B106,Councils!$J$6:$J$809),0)</f>
        <v>0</v>
      </c>
      <c r="L106">
        <f>ROUND(SUMIF(Councils!$C$6:$C$809,$B106,Councils!$K$6:$K$809),0)</f>
        <v>0</v>
      </c>
      <c r="M106">
        <f>ROUND(SUMIF(Councils!$C$6:$C$809,$B106,Councils!$L$6:$L$809),0)</f>
        <v>0</v>
      </c>
      <c r="N106" s="63">
        <f t="shared" si="3"/>
        <v>0</v>
      </c>
    </row>
    <row r="107" spans="1:14">
      <c r="A107">
        <f t="shared" si="2"/>
        <v>207</v>
      </c>
      <c r="B107" s="67">
        <v>115</v>
      </c>
      <c r="C107" s="81">
        <f>IF(ISNA(VLOOKUP($B107,DD_Info!$A$1:$E$216,5,0)),0,VLOOKUP($B107,DD_Info!$A$1:$E$216,5,0))</f>
        <v>2</v>
      </c>
      <c r="D107" t="str">
        <f>IF(ISNA(VLOOKUP($B107,DD_Info!$A$1:$E$216,2,0)),0,VLOOKUP($B107,DD_Info!$A$1:$E$216,2,0))</f>
        <v>Ed  Romack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403</v>
      </c>
      <c r="G107">
        <f>ROUND(SUMIF(Councils!$C$6:$C$809,$B107,Councils!$F$6:$F$809)*0.7,0)</f>
        <v>13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9</v>
      </c>
      <c r="L107">
        <f>ROUND(SUMIF(Councils!$C$6:$C$809,$B107,Councils!$K$6:$K$809),0)</f>
        <v>38</v>
      </c>
      <c r="M107">
        <f>ROUND(SUMIF(Councils!$C$6:$C$809,$B107,Councils!$L$6:$L$809),0)</f>
        <v>-29</v>
      </c>
      <c r="N107" s="63">
        <f t="shared" si="3"/>
        <v>-2.2307692307692308</v>
      </c>
    </row>
    <row r="108" spans="1:14">
      <c r="A108">
        <f t="shared" si="2"/>
        <v>123</v>
      </c>
      <c r="B108" s="67">
        <v>121</v>
      </c>
      <c r="C108" s="81">
        <f>IF(ISNA(VLOOKUP($B108,DD_Info!$A$1:$E$216,5,0)),0,VLOOKUP($B108,DD_Info!$A$1:$E$216,5,0))</f>
        <v>2</v>
      </c>
      <c r="D108" t="str">
        <f>IF(ISNA(VLOOKUP($B108,DD_Info!$A$1:$E$216,2,0)),0,VLOOKUP($B108,DD_Info!$A$1:$E$216,2,0))</f>
        <v>Philip  Chauvin</v>
      </c>
      <c r="E108" t="str">
        <f>IF(ISNA(VLOOKUP($B108,DD_Info!$A$1:$E$216,3,0)),0,VLOOKUP($B108,DD_Info!$A$1:$E$216,3,0))</f>
        <v>Beaumont</v>
      </c>
      <c r="F108">
        <f>ROUND(SUMIF(Councils!$C$6:$C$809,$B108,Councils!$E$6:$E$809),0)</f>
        <v>418</v>
      </c>
      <c r="G108">
        <f>ROUND(SUMIF(Councils!$C$6:$C$809,$B108,Councils!$F$6:$F$809)*0.7,0)</f>
        <v>15</v>
      </c>
      <c r="H108">
        <f>ROUND(SUMIF(Councils!$C$6:$C$809,$B108,Councils!$G$6:$G$809),0)</f>
        <v>0</v>
      </c>
      <c r="I108">
        <f>ROUND(SUMIF(Councils!$C$6:$C$809,$B108,Councils!$H$6:$H$809),0)</f>
        <v>1</v>
      </c>
      <c r="J108">
        <f>ROUND(SUMIF(Councils!$C$6:$C$809,$B108,Councils!$I$6:$I$809),0)</f>
        <v>-1</v>
      </c>
      <c r="K108">
        <f>ROUND(SUMIF(Councils!$C$6:$C$809,$B108,Councils!$J$6:$J$809),0)</f>
        <v>6</v>
      </c>
      <c r="L108">
        <f>ROUND(SUMIF(Councils!$C$6:$C$809,$B108,Councils!$K$6:$K$809),0)</f>
        <v>6</v>
      </c>
      <c r="M108">
        <f>ROUND(SUMIF(Councils!$C$6:$C$809,$B108,Councils!$L$6:$L$809),0)</f>
        <v>0</v>
      </c>
      <c r="N108" s="63">
        <f t="shared" si="3"/>
        <v>0</v>
      </c>
    </row>
    <row r="109" spans="1:14">
      <c r="A109">
        <f t="shared" si="2"/>
        <v>41</v>
      </c>
      <c r="B109" s="67">
        <v>122</v>
      </c>
      <c r="C109" s="81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Jason L Kelley</v>
      </c>
      <c r="E109" t="str">
        <f>IF(ISNA(VLOOKUP($B109,DD_Info!$A$1:$E$216,3,0)),0,VLOOKUP($B109,DD_Info!$A$1:$E$216,3,0))</f>
        <v>Beaumont</v>
      </c>
      <c r="F109">
        <f>ROUND(SUMIF(Councils!$C$6:$C$809,$B109,Councils!$E$6:$E$809),0)</f>
        <v>988</v>
      </c>
      <c r="G109">
        <f>ROUND(SUMIF(Councils!$C$6:$C$809,$B109,Councils!$F$6:$F$809)*0.7,0)</f>
        <v>33</v>
      </c>
      <c r="H109">
        <f>ROUND(SUMIF(Councils!$C$6:$C$809,$B109,Councils!$G$6:$G$809),0)</f>
        <v>1</v>
      </c>
      <c r="I109">
        <f>ROUND(SUMIF(Councils!$C$6:$C$809,$B109,Councils!$H$6:$H$809),0)</f>
        <v>0</v>
      </c>
      <c r="J109">
        <f>ROUND(SUMIF(Councils!$C$6:$C$809,$B109,Councils!$I$6:$I$809),0)</f>
        <v>1</v>
      </c>
      <c r="K109">
        <f>ROUND(SUMIF(Councils!$C$6:$C$809,$B109,Councils!$J$6:$J$809),0)</f>
        <v>15</v>
      </c>
      <c r="L109">
        <f>ROUND(SUMIF(Councils!$C$6:$C$809,$B109,Councils!$K$6:$K$809),0)</f>
        <v>2</v>
      </c>
      <c r="M109">
        <f>ROUND(SUMIF(Councils!$C$6:$C$809,$B109,Councils!$L$6:$L$809),0)</f>
        <v>13</v>
      </c>
      <c r="N109" s="63">
        <f t="shared" si="3"/>
        <v>0.39393939393939392</v>
      </c>
    </row>
    <row r="110" spans="1:14">
      <c r="A110">
        <f t="shared" si="2"/>
        <v>175</v>
      </c>
      <c r="B110" s="67">
        <v>124</v>
      </c>
      <c r="C110" s="81">
        <f>IF(ISNA(VLOOKUP($B110,DD_Info!$A$1:$E$216,5,0)),0,VLOOKUP($B110,DD_Info!$A$1:$E$216,5,0))</f>
        <v>2</v>
      </c>
      <c r="D110" t="str">
        <f>IF(ISNA(VLOOKUP($B110,DD_Info!$A$1:$E$216,2,0)),0,VLOOKUP($B110,DD_Info!$A$1:$E$216,2,0))</f>
        <v>John  Badeaux Sr</v>
      </c>
      <c r="E110" t="str">
        <f>IF(ISNA(VLOOKUP($B110,DD_Info!$A$1:$E$216,3,0)),0,VLOOKUP($B110,DD_Info!$A$1:$E$216,3,0))</f>
        <v>Beaumont</v>
      </c>
      <c r="F110">
        <f>ROUND(SUMIF(Councils!$C$6:$C$809,$B110,Councils!$E$6:$E$809),0)</f>
        <v>456</v>
      </c>
      <c r="G110">
        <f>ROUND(SUMIF(Councils!$C$6:$C$809,$B110,Councils!$F$6:$F$809)*0.7,0)</f>
        <v>21</v>
      </c>
      <c r="H110">
        <f>ROUND(SUMIF(Councils!$C$6:$C$809,$B110,Councils!$G$6:$G$809),0)</f>
        <v>0</v>
      </c>
      <c r="I110">
        <f>ROUND(SUMIF(Councils!$C$6:$C$809,$B110,Councils!$H$6:$H$809),0)</f>
        <v>1</v>
      </c>
      <c r="J110">
        <f>ROUND(SUMIF(Councils!$C$6:$C$809,$B110,Councils!$I$6:$I$809),0)</f>
        <v>-1</v>
      </c>
      <c r="K110">
        <f>ROUND(SUMIF(Councils!$C$6:$C$809,$B110,Councils!$J$6:$J$809),0)</f>
        <v>0</v>
      </c>
      <c r="L110">
        <f>ROUND(SUMIF(Councils!$C$6:$C$809,$B110,Councils!$K$6:$K$809),0)</f>
        <v>2</v>
      </c>
      <c r="M110">
        <f>ROUND(SUMIF(Councils!$C$6:$C$809,$B110,Councils!$L$6:$L$809),0)</f>
        <v>-2</v>
      </c>
      <c r="N110" s="63">
        <f t="shared" si="3"/>
        <v>-9.5238095238095233E-2</v>
      </c>
    </row>
    <row r="111" spans="1:14">
      <c r="A111">
        <f t="shared" si="2"/>
        <v>116</v>
      </c>
      <c r="B111" s="67">
        <v>125</v>
      </c>
      <c r="C111" s="81">
        <f>IF(ISNA(VLOOKUP($B111,DD_Info!$A$1:$E$216,5,0)),0,VLOOKUP($B111,DD_Info!$A$1:$E$216,5,0))</f>
        <v>1</v>
      </c>
      <c r="D111" t="str">
        <f>IF(ISNA(VLOOKUP($B111,DD_Info!$A$1:$E$216,2,0)),0,VLOOKUP($B111,DD_Info!$A$1:$E$216,2,0))</f>
        <v>Marcus A James</v>
      </c>
      <c r="E111" t="str">
        <f>IF(ISNA(VLOOKUP($B111,DD_Info!$A$1:$E$216,3,0)),0,VLOOKUP($B111,DD_Info!$A$1:$E$216,3,0))</f>
        <v>Beaumont</v>
      </c>
      <c r="F111">
        <f>ROUND(SUMIF(Councils!$C$6:$C$809,$B111,Councils!$E$6:$E$809),0)</f>
        <v>595</v>
      </c>
      <c r="G111">
        <f>ROUND(SUMIF(Councils!$C$6:$C$809,$B111,Councils!$F$6:$F$809)*0.7,0)</f>
        <v>19</v>
      </c>
      <c r="H111">
        <f>ROUND(SUMIF(Councils!$C$6:$C$809,$B111,Councils!$G$6:$G$809),0)</f>
        <v>0</v>
      </c>
      <c r="I111">
        <f>ROUND(SUMIF(Councils!$C$6:$C$809,$B111,Councils!$H$6:$H$809),0)</f>
        <v>0</v>
      </c>
      <c r="J111">
        <f>ROUND(SUMIF(Councils!$C$6:$C$809,$B111,Councils!$I$6:$I$809),0)</f>
        <v>0</v>
      </c>
      <c r="K111">
        <f>ROUND(SUMIF(Councils!$C$6:$C$809,$B111,Councils!$J$6:$J$809),0)</f>
        <v>1</v>
      </c>
      <c r="L111">
        <f>ROUND(SUMIF(Councils!$C$6:$C$809,$B111,Councils!$K$6:$K$809),0)</f>
        <v>0</v>
      </c>
      <c r="M111">
        <f>ROUND(SUMIF(Councils!$C$6:$C$809,$B111,Councils!$L$6:$L$809),0)</f>
        <v>1</v>
      </c>
      <c r="N111" s="63">
        <f t="shared" si="3"/>
        <v>5.2631578947368418E-2</v>
      </c>
    </row>
    <row r="112" spans="1:14">
      <c r="A112">
        <f t="shared" si="2"/>
        <v>48</v>
      </c>
      <c r="B112" s="67">
        <v>126</v>
      </c>
      <c r="C112" s="81">
        <f>IF(ISNA(VLOOKUP($B112,DD_Info!$A$1:$E$216,5,0)),0,VLOOKUP($B112,DD_Info!$A$1:$E$216,5,0))</f>
        <v>2</v>
      </c>
      <c r="D112" t="str">
        <f>IF(ISNA(VLOOKUP($B112,DD_Info!$A$1:$E$216,2,0)),0,VLOOKUP($B112,DD_Info!$A$1:$E$216,2,0))</f>
        <v>James M Langford</v>
      </c>
      <c r="E112" t="str">
        <f>IF(ISNA(VLOOKUP($B112,DD_Info!$A$1:$E$216,3,0)),0,VLOOKUP($B112,DD_Info!$A$1:$E$216,3,0))</f>
        <v>Beaumont</v>
      </c>
      <c r="F112">
        <f>ROUND(SUMIF(Councils!$C$6:$C$809,$B112,Councils!$E$6:$E$809),0)</f>
        <v>410</v>
      </c>
      <c r="G112">
        <f>ROUND(SUMIF(Councils!$C$6:$C$809,$B112,Councils!$F$6:$F$809)*0.7,0)</f>
        <v>15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5</v>
      </c>
      <c r="L112">
        <f>ROUND(SUMIF(Councils!$C$6:$C$809,$B112,Councils!$K$6:$K$809),0)</f>
        <v>0</v>
      </c>
      <c r="M112">
        <f>ROUND(SUMIF(Councils!$C$6:$C$809,$B112,Councils!$L$6:$L$809),0)</f>
        <v>5</v>
      </c>
      <c r="N112" s="63">
        <f t="shared" si="3"/>
        <v>0.33333333333333331</v>
      </c>
    </row>
    <row r="113" spans="1:14">
      <c r="A113">
        <f t="shared" si="2"/>
        <v>123</v>
      </c>
      <c r="B113" s="67">
        <v>127</v>
      </c>
      <c r="C113" s="81">
        <f>IF(ISNA(VLOOKUP($B113,DD_Info!$A$1:$E$216,5,0)),0,VLOOKUP($B113,DD_Info!$A$1:$E$216,5,0))</f>
        <v>3</v>
      </c>
      <c r="D113" t="str">
        <f>IF(ISNA(VLOOKUP($B113,DD_Info!$A$1:$E$216,2,0)),0,VLOOKUP($B113,DD_Info!$A$1:$E$216,2,0))</f>
        <v>Charles D Trahan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37</v>
      </c>
      <c r="G113">
        <f>ROUND(SUMIF(Councils!$C$6:$C$809,$B113,Councils!$F$6:$F$809)*0.7,0)</f>
        <v>10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0</v>
      </c>
      <c r="L113">
        <f>ROUND(SUMIF(Councils!$C$6:$C$809,$B113,Councils!$K$6:$K$809),0)</f>
        <v>0</v>
      </c>
      <c r="M113">
        <f>ROUND(SUMIF(Councils!$C$6:$C$809,$B113,Councils!$L$6:$L$809),0)</f>
        <v>0</v>
      </c>
      <c r="N113" s="63">
        <f t="shared" si="3"/>
        <v>0</v>
      </c>
    </row>
    <row r="114" spans="1:14">
      <c r="A114">
        <f t="shared" si="2"/>
        <v>26</v>
      </c>
      <c r="B114" s="67">
        <v>131</v>
      </c>
      <c r="C114" s="81">
        <f>IF(ISNA(VLOOKUP($B114,DD_Info!$A$1:$E$216,5,0)),0,VLOOKUP($B114,DD_Info!$A$1:$E$216,5,0))</f>
        <v>3</v>
      </c>
      <c r="D114" t="str">
        <f>IF(ISNA(VLOOKUP($B114,DD_Info!$A$1:$E$216,2,0)),0,VLOOKUP($B114,DD_Info!$A$1:$E$216,2,0))</f>
        <v>Lawrence E Pfeifer</v>
      </c>
      <c r="E114" t="str">
        <f>IF(ISNA(VLOOKUP($B114,DD_Info!$A$1:$E$216,3,0)),0,VLOOKUP($B114,DD_Info!$A$1:$E$216,3,0))</f>
        <v>Tyler</v>
      </c>
      <c r="F114">
        <f>ROUND(SUMIF(Councils!$C$6:$C$809,$B114,Councils!$E$6:$E$809),0)</f>
        <v>265</v>
      </c>
      <c r="G114">
        <f>ROUND(SUMIF(Councils!$C$6:$C$809,$B114,Councils!$F$6:$F$809)*0.7,0)</f>
        <v>10</v>
      </c>
      <c r="H114">
        <f>ROUND(SUMIF(Councils!$C$6:$C$809,$B114,Councils!$G$6:$G$809),0)</f>
        <v>0</v>
      </c>
      <c r="I114">
        <f>ROUND(SUMIF(Councils!$C$6:$C$809,$B114,Councils!$H$6:$H$809),0)</f>
        <v>0</v>
      </c>
      <c r="J114">
        <f>ROUND(SUMIF(Councils!$C$6:$C$809,$B114,Councils!$I$6:$I$809),0)</f>
        <v>0</v>
      </c>
      <c r="K114">
        <f>ROUND(SUMIF(Councils!$C$6:$C$809,$B114,Councils!$J$6:$J$809),0)</f>
        <v>7</v>
      </c>
      <c r="L114">
        <f>ROUND(SUMIF(Councils!$C$6:$C$809,$B114,Councils!$K$6:$K$809),0)</f>
        <v>2</v>
      </c>
      <c r="M114">
        <f>ROUND(SUMIF(Councils!$C$6:$C$809,$B114,Councils!$L$6:$L$809),0)</f>
        <v>5</v>
      </c>
      <c r="N114" s="63">
        <f t="shared" si="3"/>
        <v>0.5</v>
      </c>
    </row>
    <row r="115" spans="1:14">
      <c r="A115">
        <f t="shared" si="2"/>
        <v>35</v>
      </c>
      <c r="B115" s="67">
        <v>132</v>
      </c>
      <c r="C115" s="81">
        <f>IF(ISNA(VLOOKUP($B115,DD_Info!$A$1:$E$216,5,0)),0,VLOOKUP($B115,DD_Info!$A$1:$E$216,5,0))</f>
        <v>3</v>
      </c>
      <c r="D115" t="str">
        <f>IF(ISNA(VLOOKUP($B115,DD_Info!$A$1:$E$216,2,0)),0,VLOOKUP($B115,DD_Info!$A$1:$E$216,2,0))</f>
        <v>Mark J Freund</v>
      </c>
      <c r="E115" t="str">
        <f>IF(ISNA(VLOOKUP($B115,DD_Info!$A$1:$E$216,3,0)),0,VLOOKUP($B115,DD_Info!$A$1:$E$216,3,0))</f>
        <v>Tyler</v>
      </c>
      <c r="F115">
        <f>ROUND(SUMIF(Councils!$C$6:$C$809,$B115,Councils!$E$6:$E$809),0)</f>
        <v>254</v>
      </c>
      <c r="G115">
        <f>ROUND(SUMIF(Councils!$C$6:$C$809,$B115,Councils!$F$6:$F$809)*0.7,0)</f>
        <v>9</v>
      </c>
      <c r="H115">
        <f>ROUND(SUMIF(Councils!$C$6:$C$809,$B115,Councils!$G$6:$G$809),0)</f>
        <v>2</v>
      </c>
      <c r="I115">
        <f>ROUND(SUMIF(Councils!$C$6:$C$809,$B115,Councils!$H$6:$H$809),0)</f>
        <v>0</v>
      </c>
      <c r="J115">
        <f>ROUND(SUMIF(Councils!$C$6:$C$809,$B115,Councils!$I$6:$I$809),0)</f>
        <v>2</v>
      </c>
      <c r="K115">
        <f>ROUND(SUMIF(Councils!$C$6:$C$809,$B115,Councils!$J$6:$J$809),0)</f>
        <v>7</v>
      </c>
      <c r="L115">
        <f>ROUND(SUMIF(Councils!$C$6:$C$809,$B115,Councils!$K$6:$K$809),0)</f>
        <v>3</v>
      </c>
      <c r="M115">
        <f>ROUND(SUMIF(Councils!$C$6:$C$809,$B115,Councils!$L$6:$L$809),0)</f>
        <v>4</v>
      </c>
      <c r="N115" s="63">
        <f t="shared" si="3"/>
        <v>0.44444444444444442</v>
      </c>
    </row>
    <row r="116" spans="1:14">
      <c r="A116">
        <f t="shared" si="2"/>
        <v>30</v>
      </c>
      <c r="B116" s="67">
        <v>133</v>
      </c>
      <c r="C116" s="81">
        <f>IF(ISNA(VLOOKUP($B116,DD_Info!$A$1:$E$216,5,0)),0,VLOOKUP($B116,DD_Info!$A$1:$E$216,5,0))</f>
        <v>1</v>
      </c>
      <c r="D116" t="str">
        <f>IF(ISNA(VLOOKUP($B116,DD_Info!$A$1:$E$216,2,0)),0,VLOOKUP($B116,DD_Info!$A$1:$E$216,2,0))</f>
        <v>John S Evans</v>
      </c>
      <c r="E116" t="str">
        <f>IF(ISNA(VLOOKUP($B116,DD_Info!$A$1:$E$216,3,0)),0,VLOOKUP($B116,DD_Info!$A$1:$E$216,3,0))</f>
        <v>Tyler</v>
      </c>
      <c r="F116">
        <f>ROUND(SUMIF(Councils!$C$6:$C$809,$B116,Councils!$E$6:$E$809),0)</f>
        <v>655</v>
      </c>
      <c r="G116">
        <f>ROUND(SUMIF(Councils!$C$6:$C$809,$B116,Councils!$F$6:$F$809)*0.7,0)</f>
        <v>23</v>
      </c>
      <c r="H116">
        <f>ROUND(SUMIF(Councils!$C$6:$C$809,$B116,Councils!$G$6:$G$809),0)</f>
        <v>0</v>
      </c>
      <c r="I116">
        <f>ROUND(SUMIF(Councils!$C$6:$C$809,$B116,Councils!$H$6:$H$809),0)</f>
        <v>1</v>
      </c>
      <c r="J116">
        <f>ROUND(SUMIF(Councils!$C$6:$C$809,$B116,Councils!$I$6:$I$809),0)</f>
        <v>-1</v>
      </c>
      <c r="K116">
        <f>ROUND(SUMIF(Councils!$C$6:$C$809,$B116,Councils!$J$6:$J$809),0)</f>
        <v>12</v>
      </c>
      <c r="L116">
        <f>ROUND(SUMIF(Councils!$C$6:$C$809,$B116,Councils!$K$6:$K$809),0)</f>
        <v>1</v>
      </c>
      <c r="M116">
        <f>ROUND(SUMIF(Councils!$C$6:$C$809,$B116,Councils!$L$6:$L$809),0)</f>
        <v>11</v>
      </c>
      <c r="N116" s="63">
        <f t="shared" si="3"/>
        <v>0.47826086956521741</v>
      </c>
    </row>
    <row r="117" spans="1:14">
      <c r="A117">
        <f t="shared" si="2"/>
        <v>205</v>
      </c>
      <c r="B117" s="67">
        <v>135</v>
      </c>
      <c r="C117" s="81">
        <f>IF(ISNA(VLOOKUP($B117,DD_Info!$A$1:$E$216,5,0)),0,VLOOKUP($B117,DD_Info!$A$1:$E$216,5,0))</f>
        <v>3</v>
      </c>
      <c r="D117" t="str">
        <f>IF(ISNA(VLOOKUP($B117,DD_Info!$A$1:$E$216,2,0)),0,VLOOKUP($B117,DD_Info!$A$1:$E$216,2,0))</f>
        <v>James  Kennerly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292</v>
      </c>
      <c r="G117">
        <f>ROUND(SUMIF(Councils!$C$6:$C$809,$B117,Councils!$F$6:$F$809)*0.7,0)</f>
        <v>11</v>
      </c>
      <c r="H117">
        <f>ROUND(SUMIF(Councils!$C$6:$C$809,$B117,Councils!$G$6:$G$809),0)</f>
        <v>0</v>
      </c>
      <c r="I117">
        <f>ROUND(SUMIF(Councils!$C$6:$C$809,$B117,Councils!$H$6:$H$809),0)</f>
        <v>3</v>
      </c>
      <c r="J117">
        <f>ROUND(SUMIF(Councils!$C$6:$C$809,$B117,Councils!$I$6:$I$809),0)</f>
        <v>-3</v>
      </c>
      <c r="K117">
        <f>ROUND(SUMIF(Councils!$C$6:$C$809,$B117,Councils!$J$6:$J$809),0)</f>
        <v>2</v>
      </c>
      <c r="L117">
        <f>ROUND(SUMIF(Councils!$C$6:$C$809,$B117,Councils!$K$6:$K$809),0)</f>
        <v>24</v>
      </c>
      <c r="M117">
        <f>ROUND(SUMIF(Councils!$C$6:$C$809,$B117,Councils!$L$6:$L$809),0)</f>
        <v>-22</v>
      </c>
      <c r="N117" s="63">
        <f t="shared" si="3"/>
        <v>-2</v>
      </c>
    </row>
    <row r="118" spans="1:14">
      <c r="A118">
        <f t="shared" si="2"/>
        <v>123</v>
      </c>
      <c r="B118" s="67">
        <v>136</v>
      </c>
      <c r="C118" s="81">
        <f>IF(ISNA(VLOOKUP($B118,DD_Info!$A$1:$E$216,5,0)),0,VLOOKUP($B118,DD_Info!$A$1:$E$216,5,0))</f>
        <v>3</v>
      </c>
      <c r="D118" t="str">
        <f>IF(ISNA(VLOOKUP($B118,DD_Info!$A$1:$E$216,2,0)),0,VLOOKUP($B118,DD_Info!$A$1:$E$216,2,0))</f>
        <v>Travis  Desjarlais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288</v>
      </c>
      <c r="G118">
        <f>ROUND(SUMIF(Councils!$C$6:$C$809,$B118,Councils!$F$6:$F$809)*0.7,0)</f>
        <v>11</v>
      </c>
      <c r="H118">
        <f>ROUND(SUMIF(Councils!$C$6:$C$809,$B118,Councils!$G$6:$G$809),0)</f>
        <v>0</v>
      </c>
      <c r="I118">
        <f>ROUND(SUMIF(Councils!$C$6:$C$809,$B118,Councils!$H$6:$H$809),0)</f>
        <v>1</v>
      </c>
      <c r="J118">
        <f>ROUND(SUMIF(Councils!$C$6:$C$809,$B118,Councils!$I$6:$I$809),0)</f>
        <v>-1</v>
      </c>
      <c r="K118">
        <f>ROUND(SUMIF(Councils!$C$6:$C$809,$B118,Councils!$J$6:$J$809),0)</f>
        <v>1</v>
      </c>
      <c r="L118">
        <f>ROUND(SUMIF(Councils!$C$6:$C$809,$B118,Councils!$K$6:$K$809),0)</f>
        <v>1</v>
      </c>
      <c r="M118">
        <f>ROUND(SUMIF(Councils!$C$6:$C$809,$B118,Councils!$L$6:$L$809),0)</f>
        <v>0</v>
      </c>
      <c r="N118" s="63">
        <f t="shared" si="3"/>
        <v>0</v>
      </c>
    </row>
    <row r="119" spans="1:14">
      <c r="A119">
        <f t="shared" si="2"/>
        <v>174</v>
      </c>
      <c r="B119" s="67">
        <v>137</v>
      </c>
      <c r="C119" s="81">
        <f>IF(ISNA(VLOOKUP($B119,DD_Info!$A$1:$E$216,5,0)),0,VLOOKUP($B119,DD_Info!$A$1:$E$216,5,0))</f>
        <v>2</v>
      </c>
      <c r="D119" t="str">
        <f>IF(ISNA(VLOOKUP($B119,DD_Info!$A$1:$E$216,2,0)),0,VLOOKUP($B119,DD_Info!$A$1:$E$216,2,0))</f>
        <v>Jeffrey  Allen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314</v>
      </c>
      <c r="G119">
        <f>ROUND(SUMIF(Councils!$C$6:$C$809,$B119,Councils!$F$6:$F$809)*0.7,0)</f>
        <v>11</v>
      </c>
      <c r="H119">
        <f>ROUND(SUMIF(Councils!$C$6:$C$809,$B119,Councils!$G$6:$G$809),0)</f>
        <v>0</v>
      </c>
      <c r="I119">
        <f>ROUND(SUMIF(Councils!$C$6:$C$809,$B119,Councils!$H$6:$H$809),0)</f>
        <v>7</v>
      </c>
      <c r="J119">
        <f>ROUND(SUMIF(Councils!$C$6:$C$809,$B119,Councils!$I$6:$I$809),0)</f>
        <v>-7</v>
      </c>
      <c r="K119">
        <f>ROUND(SUMIF(Councils!$C$6:$C$809,$B119,Councils!$J$6:$J$809),0)</f>
        <v>6</v>
      </c>
      <c r="L119">
        <f>ROUND(SUMIF(Councils!$C$6:$C$809,$B119,Councils!$K$6:$K$809),0)</f>
        <v>7</v>
      </c>
      <c r="M119">
        <f>ROUND(SUMIF(Councils!$C$6:$C$809,$B119,Councils!$L$6:$L$809),0)</f>
        <v>-1</v>
      </c>
      <c r="N119" s="63">
        <f t="shared" si="3"/>
        <v>-9.0909090909090912E-2</v>
      </c>
    </row>
    <row r="120" spans="1:14">
      <c r="A120">
        <f t="shared" si="2"/>
        <v>187</v>
      </c>
      <c r="B120" s="67">
        <v>138</v>
      </c>
      <c r="C120" s="81">
        <f>IF(ISNA(VLOOKUP($B120,DD_Info!$A$1:$E$216,5,0)),0,VLOOKUP($B120,DD_Info!$A$1:$E$216,5,0))</f>
        <v>3</v>
      </c>
      <c r="D120" t="str">
        <f>IF(ISNA(VLOOKUP($B120,DD_Info!$A$1:$E$216,2,0)),0,VLOOKUP($B120,DD_Info!$A$1:$E$216,2,0))</f>
        <v>Alan  Mebes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135</v>
      </c>
      <c r="G120">
        <f>ROUND(SUMIF(Councils!$C$6:$C$809,$B120,Councils!$F$6:$F$809)*0.7,0)</f>
        <v>6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1</v>
      </c>
      <c r="L120">
        <f>ROUND(SUMIF(Councils!$C$6:$C$809,$B120,Councils!$K$6:$K$809),0)</f>
        <v>3</v>
      </c>
      <c r="M120">
        <f>ROUND(SUMIF(Councils!$C$6:$C$809,$B120,Councils!$L$6:$L$809),0)</f>
        <v>-2</v>
      </c>
      <c r="N120" s="63">
        <f t="shared" si="3"/>
        <v>-0.33333333333333331</v>
      </c>
    </row>
    <row r="121" spans="1:14">
      <c r="A121">
        <f t="shared" si="2"/>
        <v>99</v>
      </c>
      <c r="B121" s="67">
        <v>141</v>
      </c>
      <c r="C121" s="81">
        <f>IF(ISNA(VLOOKUP($B121,DD_Info!$A$1:$E$216,5,0)),0,VLOOKUP($B121,DD_Info!$A$1:$E$216,5,0))</f>
        <v>1</v>
      </c>
      <c r="D121" t="str">
        <f>IF(ISNA(VLOOKUP($B121,DD_Info!$A$1:$E$216,2,0)),0,VLOOKUP($B121,DD_Info!$A$1:$E$216,2,0))</f>
        <v>Kenneth  Ratajczak</v>
      </c>
      <c r="E121" t="str">
        <f>IF(ISNA(VLOOKUP($B121,DD_Info!$A$1:$E$216,3,0)),0,VLOOKUP($B121,DD_Info!$A$1:$E$216,3,0))</f>
        <v>Austin</v>
      </c>
      <c r="F121">
        <f>ROUND(SUMIF(Councils!$C$6:$C$809,$B121,Councils!$E$6:$E$809),0)</f>
        <v>1017</v>
      </c>
      <c r="G121">
        <f>ROUND(SUMIF(Councils!$C$6:$C$809,$B121,Councils!$F$6:$F$809)*0.7,0)</f>
        <v>31</v>
      </c>
      <c r="H121">
        <f>ROUND(SUMIF(Councils!$C$6:$C$809,$B121,Councils!$G$6:$G$809),0)</f>
        <v>0</v>
      </c>
      <c r="I121">
        <f>ROUND(SUMIF(Councils!$C$6:$C$809,$B121,Councils!$H$6:$H$809),0)</f>
        <v>0</v>
      </c>
      <c r="J121">
        <f>ROUND(SUMIF(Councils!$C$6:$C$809,$B121,Councils!$I$6:$I$809),0)</f>
        <v>0</v>
      </c>
      <c r="K121">
        <f>ROUND(SUMIF(Councils!$C$6:$C$809,$B121,Councils!$J$6:$J$809),0)</f>
        <v>4</v>
      </c>
      <c r="L121">
        <f>ROUND(SUMIF(Councils!$C$6:$C$809,$B121,Councils!$K$6:$K$809),0)</f>
        <v>1</v>
      </c>
      <c r="M121">
        <f>ROUND(SUMIF(Councils!$C$6:$C$809,$B121,Councils!$L$6:$L$809),0)</f>
        <v>3</v>
      </c>
      <c r="N121" s="63">
        <f t="shared" si="3"/>
        <v>9.6774193548387094E-2</v>
      </c>
    </row>
    <row r="122" spans="1:14">
      <c r="A122">
        <f t="shared" si="2"/>
        <v>59</v>
      </c>
      <c r="B122" s="67">
        <v>142</v>
      </c>
      <c r="C122" s="81">
        <f>IF(ISNA(VLOOKUP($B122,DD_Info!$A$1:$E$216,5,0)),0,VLOOKUP($B122,DD_Info!$A$1:$E$216,5,0))</f>
        <v>2</v>
      </c>
      <c r="D122" t="str">
        <f>IF(ISNA(VLOOKUP($B122,DD_Info!$A$1:$E$216,2,0)),0,VLOOKUP($B122,DD_Info!$A$1:$E$216,2,0))</f>
        <v>Bernard F Ott Jr</v>
      </c>
      <c r="E122" t="str">
        <f>IF(ISNA(VLOOKUP($B122,DD_Info!$A$1:$E$216,3,0)),0,VLOOKUP($B122,DD_Info!$A$1:$E$216,3,0))</f>
        <v>Austin</v>
      </c>
      <c r="F122">
        <f>ROUND(SUMIF(Councils!$C$6:$C$809,$B122,Councils!$E$6:$E$809),0)</f>
        <v>329</v>
      </c>
      <c r="G122">
        <f>ROUND(SUMIF(Councils!$C$6:$C$809,$B122,Councils!$F$6:$F$809)*0.7,0)</f>
        <v>12</v>
      </c>
      <c r="H122">
        <f>ROUND(SUMIF(Councils!$C$6:$C$809,$B122,Councils!$G$6:$G$809),0)</f>
        <v>0</v>
      </c>
      <c r="I122">
        <f>ROUND(SUMIF(Councils!$C$6:$C$809,$B122,Councils!$H$6:$H$809),0)</f>
        <v>0</v>
      </c>
      <c r="J122">
        <f>ROUND(SUMIF(Councils!$C$6:$C$809,$B122,Councils!$I$6:$I$809),0)</f>
        <v>0</v>
      </c>
      <c r="K122">
        <f>ROUND(SUMIF(Councils!$C$6:$C$809,$B122,Councils!$J$6:$J$809),0)</f>
        <v>7</v>
      </c>
      <c r="L122">
        <f>ROUND(SUMIF(Councils!$C$6:$C$809,$B122,Councils!$K$6:$K$809),0)</f>
        <v>4</v>
      </c>
      <c r="M122">
        <f>ROUND(SUMIF(Councils!$C$6:$C$809,$B122,Councils!$L$6:$L$809),0)</f>
        <v>3</v>
      </c>
      <c r="N122" s="63">
        <f t="shared" si="3"/>
        <v>0.25</v>
      </c>
    </row>
    <row r="123" spans="1:14">
      <c r="A123">
        <f t="shared" si="2"/>
        <v>39</v>
      </c>
      <c r="B123" s="67">
        <v>143</v>
      </c>
      <c r="C123" s="81">
        <f>IF(ISNA(VLOOKUP($B123,DD_Info!$A$1:$E$216,5,0)),0,VLOOKUP($B123,DD_Info!$A$1:$E$216,5,0))</f>
        <v>1</v>
      </c>
      <c r="D123" t="str">
        <f>IF(ISNA(VLOOKUP($B123,DD_Info!$A$1:$E$216,2,0)),0,VLOOKUP($B123,DD_Info!$A$1:$E$216,2,0))</f>
        <v>Eugene  Presta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743</v>
      </c>
      <c r="G123">
        <f>ROUND(SUMIF(Councils!$C$6:$C$809,$B123,Councils!$F$6:$F$809)*0.7,0)</f>
        <v>25</v>
      </c>
      <c r="H123">
        <f>ROUND(SUMIF(Councils!$C$6:$C$809,$B123,Councils!$G$6:$G$809),0)</f>
        <v>1</v>
      </c>
      <c r="I123">
        <f>ROUND(SUMIF(Councils!$C$6:$C$809,$B123,Councils!$H$6:$H$809),0)</f>
        <v>0</v>
      </c>
      <c r="J123">
        <f>ROUND(SUMIF(Councils!$C$6:$C$809,$B123,Councils!$I$6:$I$809),0)</f>
        <v>1</v>
      </c>
      <c r="K123">
        <f>ROUND(SUMIF(Councils!$C$6:$C$809,$B123,Councils!$J$6:$J$809),0)</f>
        <v>10</v>
      </c>
      <c r="L123">
        <f>ROUND(SUMIF(Councils!$C$6:$C$809,$B123,Councils!$K$6:$K$809),0)</f>
        <v>0</v>
      </c>
      <c r="M123">
        <f>ROUND(SUMIF(Councils!$C$6:$C$809,$B123,Councils!$L$6:$L$809),0)</f>
        <v>10</v>
      </c>
      <c r="N123" s="63">
        <f t="shared" si="3"/>
        <v>0.4</v>
      </c>
    </row>
    <row r="124" spans="1:14">
      <c r="A124">
        <f t="shared" si="2"/>
        <v>59</v>
      </c>
      <c r="B124" s="67">
        <v>144</v>
      </c>
      <c r="C124" s="81">
        <f>IF(ISNA(VLOOKUP($B124,DD_Info!$A$1:$E$216,5,0)),0,VLOOKUP($B124,DD_Info!$A$1:$E$216,5,0))</f>
        <v>3</v>
      </c>
      <c r="D124" t="str">
        <f>IF(ISNA(VLOOKUP($B124,DD_Info!$A$1:$E$216,2,0)),0,VLOOKUP($B124,DD_Info!$A$1:$E$216,2,0))</f>
        <v>TO BE APPOINTED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266</v>
      </c>
      <c r="G124">
        <f>ROUND(SUMIF(Councils!$C$6:$C$809,$B124,Councils!$F$6:$F$809)*0.7,0)</f>
        <v>8</v>
      </c>
      <c r="H124">
        <f>ROUND(SUMIF(Councils!$C$6:$C$809,$B124,Councils!$G$6:$G$809),0)</f>
        <v>2</v>
      </c>
      <c r="I124">
        <f>ROUND(SUMIF(Councils!$C$6:$C$809,$B124,Councils!$H$6:$H$809),0)</f>
        <v>0</v>
      </c>
      <c r="J124">
        <f>ROUND(SUMIF(Councils!$C$6:$C$809,$B124,Councils!$I$6:$I$809),0)</f>
        <v>2</v>
      </c>
      <c r="K124">
        <f>ROUND(SUMIF(Councils!$C$6:$C$809,$B124,Councils!$J$6:$J$809),0)</f>
        <v>2</v>
      </c>
      <c r="L124">
        <f>ROUND(SUMIF(Councils!$C$6:$C$809,$B124,Councils!$K$6:$K$809),0)</f>
        <v>0</v>
      </c>
      <c r="M124">
        <f>ROUND(SUMIF(Councils!$C$6:$C$809,$B124,Councils!$L$6:$L$809),0)</f>
        <v>2</v>
      </c>
      <c r="N124" s="63">
        <f t="shared" si="3"/>
        <v>0.25</v>
      </c>
    </row>
    <row r="125" spans="1:14">
      <c r="A125">
        <f t="shared" si="2"/>
        <v>123</v>
      </c>
      <c r="B125" s="67">
        <v>145</v>
      </c>
      <c r="C125" s="81">
        <f>IF(ISNA(VLOOKUP($B125,DD_Info!$A$1:$E$216,5,0)),0,VLOOKUP($B125,DD_Info!$A$1:$E$216,5,0))</f>
        <v>3</v>
      </c>
      <c r="D125" t="str">
        <f>IF(ISNA(VLOOKUP($B125,DD_Info!$A$1:$E$216,2,0)),0,VLOOKUP($B125,DD_Info!$A$1:$E$216,2,0))</f>
        <v>Wayne  McCart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80</v>
      </c>
      <c r="G125">
        <f>ROUND(SUMIF(Councils!$C$6:$C$809,$B125,Councils!$F$6:$F$809)*0.7,0)</f>
        <v>4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0</v>
      </c>
      <c r="L125">
        <f>ROUND(SUMIF(Councils!$C$6:$C$809,$B125,Councils!$K$6:$K$809),0)</f>
        <v>0</v>
      </c>
      <c r="M125">
        <f>ROUND(SUMIF(Councils!$C$6:$C$809,$B125,Councils!$L$6:$L$809),0)</f>
        <v>0</v>
      </c>
      <c r="N125" s="63">
        <f t="shared" si="3"/>
        <v>0</v>
      </c>
    </row>
    <row r="126" spans="1:14">
      <c r="A126">
        <f t="shared" si="2"/>
        <v>6</v>
      </c>
      <c r="B126" s="67">
        <v>146</v>
      </c>
      <c r="C126" s="81">
        <f>IF(ISNA(VLOOKUP($B126,DD_Info!$A$1:$E$216,5,0)),0,VLOOKUP($B126,DD_Info!$A$1:$E$216,5,0))</f>
        <v>1</v>
      </c>
      <c r="D126" t="str">
        <f>IF(ISNA(VLOOKUP($B126,DD_Info!$A$1:$E$216,2,0)),0,VLOOKUP($B126,DD_Info!$A$1:$E$216,2,0))</f>
        <v>David  Lamme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1148</v>
      </c>
      <c r="G126">
        <f>ROUND(SUMIF(Councils!$C$6:$C$809,$B126,Councils!$F$6:$F$809)*0.7,0)</f>
        <v>37</v>
      </c>
      <c r="H126">
        <f>ROUND(SUMIF(Councils!$C$6:$C$809,$B126,Councils!$G$6:$G$809),0)</f>
        <v>0</v>
      </c>
      <c r="I126">
        <f>ROUND(SUMIF(Councils!$C$6:$C$809,$B126,Councils!$H$6:$H$809),0)</f>
        <v>1</v>
      </c>
      <c r="J126">
        <f>ROUND(SUMIF(Councils!$C$6:$C$809,$B126,Councils!$I$6:$I$809),0)</f>
        <v>-1</v>
      </c>
      <c r="K126">
        <f>ROUND(SUMIF(Councils!$C$6:$C$809,$B126,Councils!$J$6:$J$809),0)</f>
        <v>37</v>
      </c>
      <c r="L126">
        <f>ROUND(SUMIF(Councils!$C$6:$C$809,$B126,Councils!$K$6:$K$809),0)</f>
        <v>4</v>
      </c>
      <c r="M126">
        <f>ROUND(SUMIF(Councils!$C$6:$C$809,$B126,Councils!$L$6:$L$809),0)</f>
        <v>33</v>
      </c>
      <c r="N126" s="63">
        <f t="shared" si="3"/>
        <v>0.89189189189189189</v>
      </c>
    </row>
    <row r="127" spans="1:14">
      <c r="A127">
        <f t="shared" si="2"/>
        <v>123</v>
      </c>
      <c r="B127" s="67">
        <v>148</v>
      </c>
      <c r="C127" s="81">
        <f>IF(ISNA(VLOOKUP($B127,DD_Info!$A$1:$E$216,5,0)),0,VLOOKUP($B127,DD_Info!$A$1:$E$216,5,0))</f>
        <v>1</v>
      </c>
      <c r="D127" t="str">
        <f>IF(ISNA(VLOOKUP($B127,DD_Info!$A$1:$E$216,2,0)),0,VLOOKUP($B127,DD_Info!$A$1:$E$216,2,0))</f>
        <v>Maurice  Jurena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575</v>
      </c>
      <c r="G127">
        <f>ROUND(SUMIF(Councils!$C$6:$C$809,$B127,Councils!$F$6:$F$809)*0.7,0)</f>
        <v>20</v>
      </c>
      <c r="H127">
        <f>ROUND(SUMIF(Councils!$C$6:$C$809,$B127,Councils!$G$6:$G$809),0)</f>
        <v>0</v>
      </c>
      <c r="I127">
        <f>ROUND(SUMIF(Councils!$C$6:$C$809,$B127,Councils!$H$6:$H$809),0)</f>
        <v>0</v>
      </c>
      <c r="J127">
        <f>ROUND(SUMIF(Councils!$C$6:$C$809,$B127,Councils!$I$6:$I$809),0)</f>
        <v>0</v>
      </c>
      <c r="K127">
        <f>ROUND(SUMIF(Councils!$C$6:$C$809,$B127,Councils!$J$6:$J$809),0)</f>
        <v>0</v>
      </c>
      <c r="L127">
        <f>ROUND(SUMIF(Councils!$C$6:$C$809,$B127,Councils!$K$6:$K$809),0)</f>
        <v>0</v>
      </c>
      <c r="M127">
        <f>ROUND(SUMIF(Councils!$C$6:$C$809,$B127,Councils!$L$6:$L$809),0)</f>
        <v>0</v>
      </c>
      <c r="N127" s="63">
        <f t="shared" si="3"/>
        <v>0</v>
      </c>
    </row>
    <row r="128" spans="1:14">
      <c r="A128">
        <f t="shared" si="2"/>
        <v>77</v>
      </c>
      <c r="B128" s="67">
        <v>149</v>
      </c>
      <c r="C128" s="81">
        <f>IF(ISNA(VLOOKUP($B128,DD_Info!$A$1:$E$216,5,0)),0,VLOOKUP($B128,DD_Info!$A$1:$E$216,5,0))</f>
        <v>1</v>
      </c>
      <c r="D128" t="str">
        <f>IF(ISNA(VLOOKUP($B128,DD_Info!$A$1:$E$216,2,0)),0,VLOOKUP($B128,DD_Info!$A$1:$E$216,2,0))</f>
        <v>Vince  Verdicchio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659</v>
      </c>
      <c r="G128">
        <f>ROUND(SUMIF(Councils!$C$6:$C$809,$B128,Councils!$F$6:$F$809)*0.7,0)</f>
        <v>22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4</v>
      </c>
      <c r="L128">
        <f>ROUND(SUMIF(Councils!$C$6:$C$809,$B128,Councils!$K$6:$K$809),0)</f>
        <v>0</v>
      </c>
      <c r="M128">
        <f>ROUND(SUMIF(Councils!$C$6:$C$809,$B128,Councils!$L$6:$L$809),0)</f>
        <v>4</v>
      </c>
      <c r="N128" s="63">
        <f t="shared" si="3"/>
        <v>0.18181818181818182</v>
      </c>
    </row>
    <row r="129" spans="1:14">
      <c r="A129">
        <f t="shared" si="2"/>
        <v>47</v>
      </c>
      <c r="B129" s="67">
        <v>150</v>
      </c>
      <c r="C129" s="81">
        <f>IF(ISNA(VLOOKUP($B129,DD_Info!$A$1:$E$216,5,0)),0,VLOOKUP($B129,DD_Info!$A$1:$E$216,5,0))</f>
        <v>1</v>
      </c>
      <c r="D129" t="str">
        <f>IF(ISNA(VLOOKUP($B129,DD_Info!$A$1:$E$216,2,0)),0,VLOOKUP($B129,DD_Info!$A$1:$E$216,2,0))</f>
        <v>Michael  Barnett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837</v>
      </c>
      <c r="G129">
        <f>ROUND(SUMIF(Councils!$C$6:$C$809,$B129,Councils!$F$6:$F$809)*0.7,0)</f>
        <v>29</v>
      </c>
      <c r="H129">
        <f>ROUND(SUMIF(Councils!$C$6:$C$809,$B129,Councils!$G$6:$G$809),0)</f>
        <v>2</v>
      </c>
      <c r="I129">
        <f>ROUND(SUMIF(Councils!$C$6:$C$809,$B129,Councils!$H$6:$H$809),0)</f>
        <v>0</v>
      </c>
      <c r="J129">
        <f>ROUND(SUMIF(Councils!$C$6:$C$809,$B129,Councils!$I$6:$I$809),0)</f>
        <v>2</v>
      </c>
      <c r="K129">
        <f>ROUND(SUMIF(Councils!$C$6:$C$809,$B129,Councils!$J$6:$J$809),0)</f>
        <v>10</v>
      </c>
      <c r="L129">
        <f>ROUND(SUMIF(Councils!$C$6:$C$809,$B129,Councils!$K$6:$K$809),0)</f>
        <v>0</v>
      </c>
      <c r="M129">
        <f>ROUND(SUMIF(Councils!$C$6:$C$809,$B129,Councils!$L$6:$L$809),0)</f>
        <v>10</v>
      </c>
      <c r="N129" s="63">
        <f t="shared" si="3"/>
        <v>0.34482758620689657</v>
      </c>
    </row>
    <row r="130" spans="1:14">
      <c r="A130">
        <f t="shared" ref="A130:A193" si="4">RANK(N130,$N$2:$N$208,0)</f>
        <v>14</v>
      </c>
      <c r="B130" s="67">
        <v>151</v>
      </c>
      <c r="C130" s="81">
        <f>IF(ISNA(VLOOKUP($B130,DD_Info!$A$1:$E$216,5,0)),0,VLOOKUP($B130,DD_Info!$A$1:$E$216,5,0))</f>
        <v>1</v>
      </c>
      <c r="D130" t="str">
        <f>IF(ISNA(VLOOKUP($B130,DD_Info!$A$1:$E$216,2,0)),0,VLOOKUP($B130,DD_Info!$A$1:$E$216,2,0))</f>
        <v>John W Hicks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673</v>
      </c>
      <c r="G130">
        <f>ROUND(SUMIF(Councils!$C$6:$C$809,$B130,Councils!$F$6:$F$809)*0.7,0)</f>
        <v>23</v>
      </c>
      <c r="H130">
        <f>ROUND(SUMIF(Councils!$C$6:$C$809,$B130,Councils!$G$6:$G$809),0)</f>
        <v>1</v>
      </c>
      <c r="I130">
        <f>ROUND(SUMIF(Councils!$C$6:$C$809,$B130,Councils!$H$6:$H$809),0)</f>
        <v>0</v>
      </c>
      <c r="J130">
        <f>ROUND(SUMIF(Councils!$C$6:$C$809,$B130,Councils!$I$6:$I$809),0)</f>
        <v>1</v>
      </c>
      <c r="K130">
        <f>ROUND(SUMIF(Councils!$C$6:$C$809,$B130,Councils!$J$6:$J$809),0)</f>
        <v>18</v>
      </c>
      <c r="L130">
        <f>ROUND(SUMIF(Councils!$C$6:$C$809,$B130,Councils!$K$6:$K$809),0)</f>
        <v>3</v>
      </c>
      <c r="M130">
        <f>ROUND(SUMIF(Councils!$C$6:$C$809,$B130,Councils!$L$6:$L$809),0)</f>
        <v>15</v>
      </c>
      <c r="N130" s="63">
        <f t="shared" ref="N130:N193" si="5">IFERROR(M130/G130,0)</f>
        <v>0.65217391304347827</v>
      </c>
    </row>
    <row r="131" spans="1:14">
      <c r="A131">
        <f t="shared" si="4"/>
        <v>52</v>
      </c>
      <c r="B131" s="67">
        <v>152</v>
      </c>
      <c r="C131" s="81">
        <f>IF(ISNA(VLOOKUP($B131,DD_Info!$A$1:$E$216,5,0)),0,VLOOKUP($B131,DD_Info!$A$1:$E$216,5,0))</f>
        <v>2</v>
      </c>
      <c r="D131" t="str">
        <f>IF(ISNA(VLOOKUP($B131,DD_Info!$A$1:$E$216,2,0)),0,VLOOKUP($B131,DD_Info!$A$1:$E$216,2,0))</f>
        <v>Michael  D'Antonio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486</v>
      </c>
      <c r="G131">
        <f>ROUND(SUMIF(Councils!$C$6:$C$809,$B131,Councils!$F$6:$F$809)*0.7,0)</f>
        <v>16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5</v>
      </c>
      <c r="L131">
        <f>ROUND(SUMIF(Councils!$C$6:$C$809,$B131,Councils!$K$6:$K$809),0)</f>
        <v>0</v>
      </c>
      <c r="M131">
        <f>ROUND(SUMIF(Councils!$C$6:$C$809,$B131,Councils!$L$6:$L$809),0)</f>
        <v>5</v>
      </c>
      <c r="N131" s="63">
        <f t="shared" si="5"/>
        <v>0.3125</v>
      </c>
    </row>
    <row r="132" spans="1:14">
      <c r="A132">
        <f t="shared" si="4"/>
        <v>32</v>
      </c>
      <c r="B132" s="67">
        <v>153</v>
      </c>
      <c r="C132" s="81">
        <f>IF(ISNA(VLOOKUP($B132,DD_Info!$A$1:$E$216,5,0)),0,VLOOKUP($B132,DD_Info!$A$1:$E$216,5,0))</f>
        <v>2</v>
      </c>
      <c r="D132" t="str">
        <f>IF(ISNA(VLOOKUP($B132,DD_Info!$A$1:$E$216,2,0)),0,VLOOKUP($B132,DD_Info!$A$1:$E$216,2,0))</f>
        <v>Alex  Martinez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325</v>
      </c>
      <c r="G132">
        <f>ROUND(SUMIF(Councils!$C$6:$C$809,$B132,Councils!$F$6:$F$809)*0.7,0)</f>
        <v>11</v>
      </c>
      <c r="H132">
        <f>ROUND(SUMIF(Councils!$C$6:$C$809,$B132,Councils!$G$6:$G$809),0)</f>
        <v>0</v>
      </c>
      <c r="I132">
        <f>ROUND(SUMIF(Councils!$C$6:$C$809,$B132,Councils!$H$6:$H$809),0)</f>
        <v>0</v>
      </c>
      <c r="J132">
        <f>ROUND(SUMIF(Councils!$C$6:$C$809,$B132,Councils!$I$6:$I$809),0)</f>
        <v>0</v>
      </c>
      <c r="K132">
        <f>ROUND(SUMIF(Councils!$C$6:$C$809,$B132,Councils!$J$6:$J$809),0)</f>
        <v>5</v>
      </c>
      <c r="L132">
        <f>ROUND(SUMIF(Councils!$C$6:$C$809,$B132,Councils!$K$6:$K$809),0)</f>
        <v>0</v>
      </c>
      <c r="M132">
        <f>ROUND(SUMIF(Councils!$C$6:$C$809,$B132,Councils!$L$6:$L$809),0)</f>
        <v>5</v>
      </c>
      <c r="N132" s="63">
        <f t="shared" si="5"/>
        <v>0.45454545454545453</v>
      </c>
    </row>
    <row r="133" spans="1:14">
      <c r="A133">
        <f t="shared" si="4"/>
        <v>22</v>
      </c>
      <c r="B133" s="67">
        <v>154</v>
      </c>
      <c r="C133" s="81">
        <f>IF(ISNA(VLOOKUP($B133,DD_Info!$A$1:$E$216,5,0)),0,VLOOKUP($B133,DD_Info!$A$1:$E$216,5,0))</f>
        <v>1</v>
      </c>
      <c r="D133" t="str">
        <f>IF(ISNA(VLOOKUP($B133,DD_Info!$A$1:$E$216,2,0)),0,VLOOKUP($B133,DD_Info!$A$1:$E$216,2,0))</f>
        <v>Darris  Chapple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855</v>
      </c>
      <c r="G133">
        <f>ROUND(SUMIF(Councils!$C$6:$C$809,$B133,Councils!$F$6:$F$809)*0.7,0)</f>
        <v>22</v>
      </c>
      <c r="H133">
        <f>ROUND(SUMIF(Councils!$C$6:$C$809,$B133,Councils!$G$6:$G$809),0)</f>
        <v>1</v>
      </c>
      <c r="I133">
        <f>ROUND(SUMIF(Councils!$C$6:$C$809,$B133,Councils!$H$6:$H$809),0)</f>
        <v>0</v>
      </c>
      <c r="J133">
        <f>ROUND(SUMIF(Councils!$C$6:$C$809,$B133,Councils!$I$6:$I$809),0)</f>
        <v>1</v>
      </c>
      <c r="K133">
        <f>ROUND(SUMIF(Councils!$C$6:$C$809,$B133,Councils!$J$6:$J$809),0)</f>
        <v>13</v>
      </c>
      <c r="L133">
        <f>ROUND(SUMIF(Councils!$C$6:$C$809,$B133,Councils!$K$6:$K$809),0)</f>
        <v>0</v>
      </c>
      <c r="M133">
        <f>ROUND(SUMIF(Councils!$C$6:$C$809,$B133,Councils!$L$6:$L$809),0)</f>
        <v>13</v>
      </c>
      <c r="N133" s="63">
        <f t="shared" si="5"/>
        <v>0.59090909090909094</v>
      </c>
    </row>
    <row r="134" spans="1:14">
      <c r="A134">
        <f t="shared" si="4"/>
        <v>107</v>
      </c>
      <c r="B134" s="67">
        <v>155</v>
      </c>
      <c r="C134" s="81">
        <f>IF(ISNA(VLOOKUP($B134,DD_Info!$A$1:$E$216,5,0)),0,VLOOKUP($B134,DD_Info!$A$1:$E$216,5,0))</f>
        <v>1</v>
      </c>
      <c r="D134" t="str">
        <f>IF(ISNA(VLOOKUP($B134,DD_Info!$A$1:$E$216,2,0)),0,VLOOKUP($B134,DD_Info!$A$1:$E$216,2,0))</f>
        <v>Joseph "Pat" P Ortiz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677</v>
      </c>
      <c r="G134">
        <f>ROUND(SUMIF(Councils!$C$6:$C$809,$B134,Councils!$F$6:$F$809)*0.7,0)</f>
        <v>25</v>
      </c>
      <c r="H134">
        <f>ROUND(SUMIF(Councils!$C$6:$C$809,$B134,Councils!$G$6:$G$809),0)</f>
        <v>1</v>
      </c>
      <c r="I134">
        <f>ROUND(SUMIF(Councils!$C$6:$C$809,$B134,Councils!$H$6:$H$809),0)</f>
        <v>0</v>
      </c>
      <c r="J134">
        <f>ROUND(SUMIF(Councils!$C$6:$C$809,$B134,Councils!$I$6:$I$809),0)</f>
        <v>1</v>
      </c>
      <c r="K134">
        <f>ROUND(SUMIF(Councils!$C$6:$C$809,$B134,Councils!$J$6:$J$809),0)</f>
        <v>3</v>
      </c>
      <c r="L134">
        <f>ROUND(SUMIF(Councils!$C$6:$C$809,$B134,Councils!$K$6:$K$809),0)</f>
        <v>1</v>
      </c>
      <c r="M134">
        <f>ROUND(SUMIF(Councils!$C$6:$C$809,$B134,Councils!$L$6:$L$809),0)</f>
        <v>2</v>
      </c>
      <c r="N134" s="63">
        <f t="shared" si="5"/>
        <v>0.08</v>
      </c>
    </row>
    <row r="135" spans="1:14">
      <c r="A135">
        <f t="shared" si="4"/>
        <v>5</v>
      </c>
      <c r="B135" s="67">
        <v>156</v>
      </c>
      <c r="C135" s="81">
        <f>IF(ISNA(VLOOKUP($B135,DD_Info!$A$1:$E$216,5,0)),0,VLOOKUP($B135,DD_Info!$A$1:$E$216,5,0))</f>
        <v>1</v>
      </c>
      <c r="D135" t="str">
        <f>IF(ISNA(VLOOKUP($B135,DD_Info!$A$1:$E$216,2,0)),0,VLOOKUP($B135,DD_Info!$A$1:$E$216,2,0))</f>
        <v>George G Scott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662</v>
      </c>
      <c r="G135">
        <f>ROUND(SUMIF(Councils!$C$6:$C$809,$B135,Councils!$F$6:$F$809)*0.7,0)</f>
        <v>22</v>
      </c>
      <c r="H135">
        <f>ROUND(SUMIF(Councils!$C$6:$C$809,$B135,Councils!$G$6:$G$809),0)</f>
        <v>7</v>
      </c>
      <c r="I135">
        <f>ROUND(SUMIF(Councils!$C$6:$C$809,$B135,Councils!$H$6:$H$809),0)</f>
        <v>1</v>
      </c>
      <c r="J135">
        <f>ROUND(SUMIF(Councils!$C$6:$C$809,$B135,Councils!$I$6:$I$809),0)</f>
        <v>6</v>
      </c>
      <c r="K135">
        <f>ROUND(SUMIF(Councils!$C$6:$C$809,$B135,Councils!$J$6:$J$809),0)</f>
        <v>25</v>
      </c>
      <c r="L135">
        <f>ROUND(SUMIF(Councils!$C$6:$C$809,$B135,Councils!$K$6:$K$809),0)</f>
        <v>4</v>
      </c>
      <c r="M135">
        <f>ROUND(SUMIF(Councils!$C$6:$C$809,$B135,Councils!$L$6:$L$809),0)</f>
        <v>21</v>
      </c>
      <c r="N135" s="63">
        <f t="shared" si="5"/>
        <v>0.95454545454545459</v>
      </c>
    </row>
    <row r="136" spans="1:14">
      <c r="A136">
        <f t="shared" si="4"/>
        <v>59</v>
      </c>
      <c r="B136" s="67">
        <v>159</v>
      </c>
      <c r="C136" s="81">
        <f>IF(ISNA(VLOOKUP($B136,DD_Info!$A$1:$E$216,5,0)),0,VLOOKUP($B136,DD_Info!$A$1:$E$216,5,0))</f>
        <v>2</v>
      </c>
      <c r="D136" t="str">
        <f>IF(ISNA(VLOOKUP($B136,DD_Info!$A$1:$E$216,2,0)),0,VLOOKUP($B136,DD_Info!$A$1:$E$216,2,0))</f>
        <v>Tony  Grandinetti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573</v>
      </c>
      <c r="G136">
        <f>ROUND(SUMIF(Councils!$C$6:$C$809,$B136,Councils!$F$6:$F$809)*0.7,0)</f>
        <v>20</v>
      </c>
      <c r="H136">
        <f>ROUND(SUMIF(Councils!$C$6:$C$809,$B136,Councils!$G$6:$G$809),0)</f>
        <v>0</v>
      </c>
      <c r="I136">
        <f>ROUND(SUMIF(Councils!$C$6:$C$809,$B136,Councils!$H$6:$H$809),0)</f>
        <v>0</v>
      </c>
      <c r="J136">
        <f>ROUND(SUMIF(Councils!$C$6:$C$809,$B136,Councils!$I$6:$I$809),0)</f>
        <v>0</v>
      </c>
      <c r="K136">
        <f>ROUND(SUMIF(Councils!$C$6:$C$809,$B136,Councils!$J$6:$J$809),0)</f>
        <v>8</v>
      </c>
      <c r="L136">
        <f>ROUND(SUMIF(Councils!$C$6:$C$809,$B136,Councils!$K$6:$K$809),0)</f>
        <v>3</v>
      </c>
      <c r="M136">
        <f>ROUND(SUMIF(Councils!$C$6:$C$809,$B136,Councils!$L$6:$L$809),0)</f>
        <v>5</v>
      </c>
      <c r="N136" s="63">
        <f t="shared" si="5"/>
        <v>0.25</v>
      </c>
    </row>
    <row r="137" spans="1:14">
      <c r="A137">
        <f t="shared" si="4"/>
        <v>123</v>
      </c>
      <c r="B137" s="67">
        <v>160</v>
      </c>
      <c r="C137" s="81">
        <f>IF(ISNA(VLOOKUP($B137,DD_Info!$A$1:$E$216,5,0)),0,VLOOKUP($B137,DD_Info!$A$1:$E$216,5,0))</f>
        <v>2</v>
      </c>
      <c r="D137" t="str">
        <f>IF(ISNA(VLOOKUP($B137,DD_Info!$A$1:$E$216,2,0)),0,VLOOKUP($B137,DD_Info!$A$1:$E$216,2,0))</f>
        <v>Patrick J Quinlan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274</v>
      </c>
      <c r="G137">
        <f>ROUND(SUMIF(Councils!$C$6:$C$809,$B137,Councils!$F$6:$F$809)*0.7,0)</f>
        <v>9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1</v>
      </c>
      <c r="L137">
        <f>ROUND(SUMIF(Councils!$C$6:$C$809,$B137,Councils!$K$6:$K$809),0)</f>
        <v>1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101</v>
      </c>
      <c r="B138" s="67">
        <v>161</v>
      </c>
      <c r="C138" s="81">
        <f>IF(ISNA(VLOOKUP($B138,DD_Info!$A$1:$E$216,5,0)),0,VLOOKUP($B138,DD_Info!$A$1:$E$216,5,0))</f>
        <v>3</v>
      </c>
      <c r="D138" t="str">
        <f>IF(ISNA(VLOOKUP($B138,DD_Info!$A$1:$E$216,2,0)),0,VLOOKUP($B138,DD_Info!$A$1:$E$216,2,0))</f>
        <v>Armando  Montes Jr</v>
      </c>
      <c r="E138" t="str">
        <f>IF(ISNA(VLOOKUP($B138,DD_Info!$A$1:$E$216,3,0)),0,VLOOKUP($B138,DD_Info!$A$1:$E$216,3,0))</f>
        <v>Austin</v>
      </c>
      <c r="F138">
        <f>ROUND(SUMIF(Councils!$C$6:$C$809,$B138,Councils!$E$6:$E$809),0)</f>
        <v>242</v>
      </c>
      <c r="G138">
        <f>ROUND(SUMIF(Councils!$C$6:$C$809,$B138,Councils!$F$6:$F$809)*0.7,0)</f>
        <v>11</v>
      </c>
      <c r="H138">
        <f>ROUND(SUMIF(Councils!$C$6:$C$809,$B138,Councils!$G$6:$G$809),0)</f>
        <v>0</v>
      </c>
      <c r="I138">
        <f>ROUND(SUMIF(Councils!$C$6:$C$809,$B138,Councils!$H$6:$H$809),0)</f>
        <v>1</v>
      </c>
      <c r="J138">
        <f>ROUND(SUMIF(Councils!$C$6:$C$809,$B138,Councils!$I$6:$I$809),0)</f>
        <v>-1</v>
      </c>
      <c r="K138">
        <f>ROUND(SUMIF(Councils!$C$6:$C$809,$B138,Councils!$J$6:$J$809),0)</f>
        <v>2</v>
      </c>
      <c r="L138">
        <f>ROUND(SUMIF(Councils!$C$6:$C$809,$B138,Councils!$K$6:$K$809),0)</f>
        <v>1</v>
      </c>
      <c r="M138">
        <f>ROUND(SUMIF(Councils!$C$6:$C$809,$B138,Councils!$L$6:$L$809),0)</f>
        <v>1</v>
      </c>
      <c r="N138" s="63">
        <f t="shared" si="5"/>
        <v>9.0909090909090912E-2</v>
      </c>
    </row>
    <row r="139" spans="1:14">
      <c r="A139">
        <f t="shared" si="4"/>
        <v>123</v>
      </c>
      <c r="B139" s="67">
        <v>162</v>
      </c>
      <c r="C139" s="81">
        <f>IF(ISNA(VLOOKUP($B139,DD_Info!$A$1:$E$216,5,0)),0,VLOOKUP($B139,DD_Info!$A$1:$E$216,5,0))</f>
        <v>3</v>
      </c>
      <c r="D139" t="str">
        <f>IF(ISNA(VLOOKUP($B139,DD_Info!$A$1:$E$216,2,0)),0,VLOOKUP($B139,DD_Info!$A$1:$E$216,2,0))</f>
        <v>Edward  Tydings</v>
      </c>
      <c r="E139" t="str">
        <f>IF(ISNA(VLOOKUP($B139,DD_Info!$A$1:$E$216,3,0)),0,VLOOKUP($B139,DD_Info!$A$1:$E$216,3,0))</f>
        <v>Austin</v>
      </c>
      <c r="F139">
        <f>ROUND(SUMIF(Councils!$C$6:$C$809,$B139,Councils!$E$6:$E$809),0)</f>
        <v>131</v>
      </c>
      <c r="G139">
        <f>ROUND(SUMIF(Councils!$C$6:$C$809,$B139,Councils!$F$6:$F$809)*0.7,0)</f>
        <v>7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123</v>
      </c>
      <c r="B140" s="67">
        <v>166</v>
      </c>
      <c r="C140" s="81">
        <f>IF(ISNA(VLOOKUP($B140,DD_Info!$A$1:$E$216,5,0)),0,VLOOKUP($B140,DD_Info!$A$1:$E$216,5,0))</f>
        <v>3</v>
      </c>
      <c r="D140" t="str">
        <f>IF(ISNA(VLOOKUP($B140,DD_Info!$A$1:$E$216,2,0)),0,VLOOKUP($B140,DD_Info!$A$1:$E$216,2,0))</f>
        <v>TO BE APPOINETED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223</v>
      </c>
      <c r="G140">
        <f>ROUND(SUMIF(Councils!$C$6:$C$809,$B140,Councils!$F$6:$F$809)*0.7,0)</f>
        <v>10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0</v>
      </c>
      <c r="L140">
        <f>ROUND(SUMIF(Councils!$C$6:$C$809,$B140,Councils!$K$6:$K$809),0)</f>
        <v>0</v>
      </c>
      <c r="M140">
        <f>ROUND(SUMIF(Councils!$C$6:$C$809,$B140,Councils!$L$6:$L$809),0)</f>
        <v>0</v>
      </c>
      <c r="N140" s="63">
        <f t="shared" si="5"/>
        <v>0</v>
      </c>
    </row>
    <row r="141" spans="1:14">
      <c r="A141">
        <f t="shared" si="4"/>
        <v>59</v>
      </c>
      <c r="B141" s="67">
        <v>168</v>
      </c>
      <c r="C141" s="81">
        <f>IF(ISNA(VLOOKUP($B141,DD_Info!$A$1:$E$216,5,0)),0,VLOOKUP($B141,DD_Info!$A$1:$E$216,5,0))</f>
        <v>2</v>
      </c>
      <c r="D141" t="str">
        <f>IF(ISNA(VLOOKUP($B141,DD_Info!$A$1:$E$216,2,0)),0,VLOOKUP($B141,DD_Info!$A$1:$E$216,2,0))</f>
        <v>Paul  Hickey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314</v>
      </c>
      <c r="G141">
        <f>ROUND(SUMIF(Councils!$C$6:$C$809,$B141,Councils!$F$6:$F$809)*0.7,0)</f>
        <v>12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3</v>
      </c>
      <c r="L141">
        <f>ROUND(SUMIF(Councils!$C$6:$C$809,$B141,Councils!$K$6:$K$809),0)</f>
        <v>0</v>
      </c>
      <c r="M141">
        <f>ROUND(SUMIF(Councils!$C$6:$C$809,$B141,Councils!$L$6:$L$809),0)</f>
        <v>3</v>
      </c>
      <c r="N141" s="63">
        <f t="shared" si="5"/>
        <v>0.25</v>
      </c>
    </row>
    <row r="142" spans="1:14">
      <c r="A142">
        <f t="shared" si="4"/>
        <v>43</v>
      </c>
      <c r="B142" s="67">
        <v>169</v>
      </c>
      <c r="C142" s="81">
        <f>IF(ISNA(VLOOKUP($B142,DD_Info!$A$1:$E$216,5,0)),0,VLOOKUP($B142,DD_Info!$A$1:$E$216,5,0))</f>
        <v>3</v>
      </c>
      <c r="D142" t="str">
        <f>IF(ISNA(VLOOKUP($B142,DD_Info!$A$1:$E$216,2,0)),0,VLOOKUP($B142,DD_Info!$A$1:$E$216,2,0))</f>
        <v>Luis M Cadena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235</v>
      </c>
      <c r="G142">
        <f>ROUND(SUMIF(Councils!$C$6:$C$809,$B142,Councils!$F$6:$F$809)*0.7,0)</f>
        <v>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3</v>
      </c>
      <c r="L142">
        <f>ROUND(SUMIF(Councils!$C$6:$C$809,$B142,Councils!$K$6:$K$809),0)</f>
        <v>0</v>
      </c>
      <c r="M142">
        <f>ROUND(SUMIF(Councils!$C$6:$C$809,$B142,Councils!$L$6:$L$809),0)</f>
        <v>3</v>
      </c>
      <c r="N142" s="63">
        <f t="shared" si="5"/>
        <v>0.375</v>
      </c>
    </row>
    <row r="143" spans="1:14">
      <c r="A143">
        <f t="shared" si="4"/>
        <v>26</v>
      </c>
      <c r="B143" s="67">
        <v>170</v>
      </c>
      <c r="C143" s="81">
        <f>IF(ISNA(VLOOKUP($B143,DD_Info!$A$1:$E$216,5,0)),0,VLOOKUP($B143,DD_Info!$A$1:$E$216,5,0))</f>
        <v>3</v>
      </c>
      <c r="D143" t="str">
        <f>IF(ISNA(VLOOKUP($B143,DD_Info!$A$1:$E$216,2,0)),0,VLOOKUP($B143,DD_Info!$A$1:$E$216,2,0))</f>
        <v>Alfredo  Torres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275</v>
      </c>
      <c r="G143">
        <f>ROUND(SUMIF(Councils!$C$6:$C$809,$B143,Councils!$F$6:$F$809)*0.7,0)</f>
        <v>10</v>
      </c>
      <c r="H143">
        <f>ROUND(SUMIF(Councils!$C$6:$C$809,$B143,Councils!$G$6:$G$809),0)</f>
        <v>0</v>
      </c>
      <c r="I143">
        <f>ROUND(SUMIF(Councils!$C$6:$C$809,$B143,Councils!$H$6:$H$809),0)</f>
        <v>0</v>
      </c>
      <c r="J143">
        <f>ROUND(SUMIF(Councils!$C$6:$C$809,$B143,Councils!$I$6:$I$809),0)</f>
        <v>0</v>
      </c>
      <c r="K143">
        <f>ROUND(SUMIF(Councils!$C$6:$C$809,$B143,Councils!$J$6:$J$809),0)</f>
        <v>5</v>
      </c>
      <c r="L143">
        <f>ROUND(SUMIF(Councils!$C$6:$C$809,$B143,Councils!$K$6:$K$809),0)</f>
        <v>0</v>
      </c>
      <c r="M143">
        <f>ROUND(SUMIF(Councils!$C$6:$C$809,$B143,Councils!$L$6:$L$809),0)</f>
        <v>5</v>
      </c>
      <c r="N143" s="63">
        <f t="shared" si="5"/>
        <v>0.5</v>
      </c>
    </row>
    <row r="144" spans="1:14">
      <c r="A144">
        <f t="shared" si="4"/>
        <v>18</v>
      </c>
      <c r="B144" s="67">
        <v>171</v>
      </c>
      <c r="C144" s="81">
        <f>IF(ISNA(VLOOKUP($B144,DD_Info!$A$1:$E$216,5,0)),0,VLOOKUP($B144,DD_Info!$A$1:$E$216,5,0))</f>
        <v>2</v>
      </c>
      <c r="D144" t="str">
        <f>IF(ISNA(VLOOKUP($B144,DD_Info!$A$1:$E$216,2,0)),0,VLOOKUP($B144,DD_Info!$A$1:$E$216,2,0))</f>
        <v>William G Archambeault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444</v>
      </c>
      <c r="G144">
        <f>ROUND(SUMIF(Councils!$C$6:$C$809,$B144,Councils!$F$6:$F$809)*0.7,0)</f>
        <v>16</v>
      </c>
      <c r="H144">
        <f>ROUND(SUMIF(Councils!$C$6:$C$809,$B144,Councils!$G$6:$G$809),0)</f>
        <v>1</v>
      </c>
      <c r="I144">
        <f>ROUND(SUMIF(Councils!$C$6:$C$809,$B144,Councils!$H$6:$H$809),0)</f>
        <v>0</v>
      </c>
      <c r="J144">
        <f>ROUND(SUMIF(Councils!$C$6:$C$809,$B144,Councils!$I$6:$I$809),0)</f>
        <v>1</v>
      </c>
      <c r="K144">
        <f>ROUND(SUMIF(Councils!$C$6:$C$809,$B144,Councils!$J$6:$J$809),0)</f>
        <v>10</v>
      </c>
      <c r="L144">
        <f>ROUND(SUMIF(Councils!$C$6:$C$809,$B144,Councils!$K$6:$K$809),0)</f>
        <v>0</v>
      </c>
      <c r="M144">
        <f>ROUND(SUMIF(Councils!$C$6:$C$809,$B144,Councils!$L$6:$L$809),0)</f>
        <v>10</v>
      </c>
      <c r="N144" s="63">
        <f t="shared" si="5"/>
        <v>0.625</v>
      </c>
    </row>
    <row r="145" spans="1:14">
      <c r="A145">
        <f t="shared" si="4"/>
        <v>123</v>
      </c>
      <c r="B145" s="67">
        <v>172</v>
      </c>
      <c r="C145" s="81">
        <f>IF(ISNA(VLOOKUP($B145,DD_Info!$A$1:$E$216,5,0)),0,VLOOKUP($B145,DD_Info!$A$1:$E$216,5,0))</f>
        <v>2</v>
      </c>
      <c r="D145" t="str">
        <f>IF(ISNA(VLOOKUP($B145,DD_Info!$A$1:$E$216,2,0)),0,VLOOKUP($B145,DD_Info!$A$1:$E$216,2,0))</f>
        <v>TO BE APPOINTED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472</v>
      </c>
      <c r="G145">
        <f>ROUND(SUMIF(Councils!$C$6:$C$809,$B145,Councils!$F$6:$F$809)*0.7,0)</f>
        <v>15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0</v>
      </c>
      <c r="L145">
        <f>ROUND(SUMIF(Councils!$C$6:$C$809,$B145,Councils!$K$6:$K$809),0)</f>
        <v>0</v>
      </c>
      <c r="M145">
        <f>ROUND(SUMIF(Councils!$C$6:$C$809,$B145,Councils!$L$6:$L$809),0)</f>
        <v>0</v>
      </c>
      <c r="N145" s="63">
        <f t="shared" si="5"/>
        <v>0</v>
      </c>
    </row>
    <row r="146" spans="1:14">
      <c r="A146">
        <f t="shared" si="4"/>
        <v>58</v>
      </c>
      <c r="B146" s="67">
        <v>173</v>
      </c>
      <c r="C146" s="81">
        <f>IF(ISNA(VLOOKUP($B146,DD_Info!$A$1:$E$216,5,0)),0,VLOOKUP($B146,DD_Info!$A$1:$E$216,5,0))</f>
        <v>2</v>
      </c>
      <c r="D146" t="str">
        <f>IF(ISNA(VLOOKUP($B146,DD_Info!$A$1:$E$216,2,0)),0,VLOOKUP($B146,DD_Info!$A$1:$E$216,2,0))</f>
        <v>Pedro  Gonzalez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505</v>
      </c>
      <c r="G146">
        <f>ROUND(SUMIF(Councils!$C$6:$C$809,$B146,Councils!$F$6:$F$809)*0.7,0)</f>
        <v>19</v>
      </c>
      <c r="H146">
        <f>ROUND(SUMIF(Councils!$C$6:$C$809,$B146,Councils!$G$6:$G$809),0)</f>
        <v>0</v>
      </c>
      <c r="I146">
        <f>ROUND(SUMIF(Councils!$C$6:$C$809,$B146,Councils!$H$6:$H$809),0)</f>
        <v>0</v>
      </c>
      <c r="J146">
        <f>ROUND(SUMIF(Councils!$C$6:$C$809,$B146,Councils!$I$6:$I$809),0)</f>
        <v>0</v>
      </c>
      <c r="K146">
        <f>ROUND(SUMIF(Councils!$C$6:$C$809,$B146,Councils!$J$6:$J$809),0)</f>
        <v>5</v>
      </c>
      <c r="L146">
        <f>ROUND(SUMIF(Councils!$C$6:$C$809,$B146,Councils!$K$6:$K$809),0)</f>
        <v>0</v>
      </c>
      <c r="M146">
        <f>ROUND(SUMIF(Councils!$C$6:$C$809,$B146,Councils!$L$6:$L$809),0)</f>
        <v>5</v>
      </c>
      <c r="N146" s="63">
        <f t="shared" si="5"/>
        <v>0.26315789473684209</v>
      </c>
    </row>
    <row r="147" spans="1:14">
      <c r="A147">
        <f t="shared" si="4"/>
        <v>77</v>
      </c>
      <c r="B147" s="67">
        <v>174</v>
      </c>
      <c r="C147" s="81">
        <f>IF(ISNA(VLOOKUP($B147,DD_Info!$A$1:$E$216,5,0)),0,VLOOKUP($B147,DD_Info!$A$1:$E$216,5,0))</f>
        <v>3</v>
      </c>
      <c r="D147" t="str">
        <f>IF(ISNA(VLOOKUP($B147,DD_Info!$A$1:$E$216,2,0)),0,VLOOKUP($B147,DD_Info!$A$1:$E$216,2,0))</f>
        <v>Christopher  Hernandez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281</v>
      </c>
      <c r="G147">
        <f>ROUND(SUMIF(Councils!$C$6:$C$809,$B147,Councils!$F$6:$F$809)*0.7,0)</f>
        <v>11</v>
      </c>
      <c r="H147">
        <f>ROUND(SUMIF(Councils!$C$6:$C$809,$B147,Councils!$G$6:$G$809),0)</f>
        <v>0</v>
      </c>
      <c r="I147">
        <f>ROUND(SUMIF(Councils!$C$6:$C$809,$B147,Councils!$H$6:$H$809),0)</f>
        <v>2</v>
      </c>
      <c r="J147">
        <f>ROUND(SUMIF(Councils!$C$6:$C$809,$B147,Councils!$I$6:$I$809),0)</f>
        <v>-2</v>
      </c>
      <c r="K147">
        <f>ROUND(SUMIF(Councils!$C$6:$C$809,$B147,Councils!$J$6:$J$809),0)</f>
        <v>4</v>
      </c>
      <c r="L147">
        <f>ROUND(SUMIF(Councils!$C$6:$C$809,$B147,Councils!$K$6:$K$809),0)</f>
        <v>2</v>
      </c>
      <c r="M147">
        <f>ROUND(SUMIF(Councils!$C$6:$C$809,$B147,Councils!$L$6:$L$809),0)</f>
        <v>2</v>
      </c>
      <c r="N147" s="63">
        <f t="shared" si="5"/>
        <v>0.18181818181818182</v>
      </c>
    </row>
    <row r="148" spans="1:14">
      <c r="A148">
        <f t="shared" si="4"/>
        <v>177</v>
      </c>
      <c r="B148" s="67">
        <v>175</v>
      </c>
      <c r="C148" s="81">
        <f>IF(ISNA(VLOOKUP($B148,DD_Info!$A$1:$E$216,5,0)),0,VLOOKUP($B148,DD_Info!$A$1:$E$216,5,0))</f>
        <v>3</v>
      </c>
      <c r="D148" t="str">
        <f>IF(ISNA(VLOOKUP($B148,DD_Info!$A$1:$E$216,2,0)),0,VLOOKUP($B148,DD_Info!$A$1:$E$216,2,0))</f>
        <v>Abel  Gutierrez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225</v>
      </c>
      <c r="G148">
        <f>ROUND(SUMIF(Councils!$C$6:$C$809,$B148,Councils!$F$6:$F$809)*0.7,0)</f>
        <v>9</v>
      </c>
      <c r="H148">
        <f>ROUND(SUMIF(Councils!$C$6:$C$809,$B148,Councils!$G$6:$G$809),0)</f>
        <v>0</v>
      </c>
      <c r="I148">
        <f>ROUND(SUMIF(Councils!$C$6:$C$809,$B148,Councils!$H$6:$H$809),0)</f>
        <v>1</v>
      </c>
      <c r="J148">
        <f>ROUND(SUMIF(Councils!$C$6:$C$809,$B148,Councils!$I$6:$I$809),0)</f>
        <v>-1</v>
      </c>
      <c r="K148">
        <f>ROUND(SUMIF(Councils!$C$6:$C$809,$B148,Councils!$J$6:$J$809),0)</f>
        <v>0</v>
      </c>
      <c r="L148">
        <f>ROUND(SUMIF(Councils!$C$6:$C$809,$B148,Councils!$K$6:$K$809),0)</f>
        <v>1</v>
      </c>
      <c r="M148">
        <f>ROUND(SUMIF(Councils!$C$6:$C$809,$B148,Councils!$L$6:$L$809),0)</f>
        <v>-1</v>
      </c>
      <c r="N148" s="63">
        <f t="shared" si="5"/>
        <v>-0.1111111111111111</v>
      </c>
    </row>
    <row r="149" spans="1:14">
      <c r="A149">
        <f t="shared" si="4"/>
        <v>4</v>
      </c>
      <c r="B149" s="67">
        <v>176</v>
      </c>
      <c r="C149" s="81">
        <f>IF(ISNA(VLOOKUP($B149,DD_Info!$A$1:$E$216,5,0)),0,VLOOKUP($B149,DD_Info!$A$1:$E$216,5,0))</f>
        <v>3</v>
      </c>
      <c r="D149" t="str">
        <f>IF(ISNA(VLOOKUP($B149,DD_Info!$A$1:$E$216,2,0)),0,VLOOKUP($B149,DD_Info!$A$1:$E$216,2,0))</f>
        <v>Gilbert  Perez Sr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258</v>
      </c>
      <c r="G149">
        <f>ROUND(SUMIF(Councils!$C$6:$C$809,$B149,Councils!$F$6:$F$809)*0.7,0)</f>
        <v>10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10</v>
      </c>
      <c r="L149">
        <f>ROUND(SUMIF(Councils!$C$6:$C$809,$B149,Councils!$K$6:$K$809),0)</f>
        <v>0</v>
      </c>
      <c r="M149">
        <f>ROUND(SUMIF(Councils!$C$6:$C$809,$B149,Councils!$L$6:$L$809),0)</f>
        <v>10</v>
      </c>
      <c r="N149" s="63">
        <f t="shared" si="5"/>
        <v>1</v>
      </c>
    </row>
    <row r="150" spans="1:14">
      <c r="A150">
        <f t="shared" si="4"/>
        <v>123</v>
      </c>
      <c r="B150" s="67">
        <v>177</v>
      </c>
      <c r="C150" s="81">
        <f>IF(ISNA(VLOOKUP($B150,DD_Info!$A$1:$E$216,5,0)),0,VLOOKUP($B150,DD_Info!$A$1:$E$216,5,0))</f>
        <v>2</v>
      </c>
      <c r="D150" t="str">
        <f>IF(ISNA(VLOOKUP($B150,DD_Info!$A$1:$E$216,2,0)),0,VLOOKUP($B150,DD_Info!$A$1:$E$216,2,0))</f>
        <v>Juan M Hernandez</v>
      </c>
      <c r="E150" t="str">
        <f>IF(ISNA(VLOOKUP($B150,DD_Info!$A$1:$E$216,3,0)),0,VLOOKUP($B150,DD_Info!$A$1:$E$216,3,0))</f>
        <v>Corpus Christi</v>
      </c>
      <c r="F150">
        <f>ROUND(SUMIF(Councils!$C$6:$C$809,$B150,Councils!$E$6:$E$809),0)</f>
        <v>379</v>
      </c>
      <c r="G150">
        <f>ROUND(SUMIF(Councils!$C$6:$C$809,$B150,Councils!$F$6:$F$809)*0.7,0)</f>
        <v>13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0</v>
      </c>
      <c r="L150">
        <f>ROUND(SUMIF(Councils!$C$6:$C$809,$B150,Councils!$K$6:$K$809),0)</f>
        <v>0</v>
      </c>
      <c r="M150">
        <f>ROUND(SUMIF(Councils!$C$6:$C$809,$B150,Councils!$L$6:$L$809),0)</f>
        <v>0</v>
      </c>
      <c r="N150" s="63">
        <f t="shared" si="5"/>
        <v>0</v>
      </c>
    </row>
    <row r="151" spans="1:14">
      <c r="A151">
        <f t="shared" si="4"/>
        <v>123</v>
      </c>
      <c r="B151" s="67">
        <v>178</v>
      </c>
      <c r="C151" s="81">
        <f>IF(ISNA(VLOOKUP($B151,DD_Info!$A$1:$E$216,5,0)),0,VLOOKUP($B151,DD_Info!$A$1:$E$216,5,0))</f>
        <v>3</v>
      </c>
      <c r="D151" t="str">
        <f>IF(ISNA(VLOOKUP($B151,DD_Info!$A$1:$E$216,2,0)),0,VLOOKUP($B151,DD_Info!$A$1:$E$216,2,0))</f>
        <v>Ervey  Martinez</v>
      </c>
      <c r="E151" t="str">
        <f>IF(ISNA(VLOOKUP($B151,DD_Info!$A$1:$E$216,3,0)),0,VLOOKUP($B151,DD_Info!$A$1:$E$216,3,0))</f>
        <v>Corpus Christi</v>
      </c>
      <c r="F151">
        <f>ROUND(SUMIF(Councils!$C$6:$C$809,$B151,Councils!$E$6:$E$809),0)</f>
        <v>287</v>
      </c>
      <c r="G151">
        <f>ROUND(SUMIF(Councils!$C$6:$C$809,$B151,Councils!$F$6:$F$809)*0.7,0)</f>
        <v>11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0</v>
      </c>
      <c r="L151">
        <f>ROUND(SUMIF(Councils!$C$6:$C$809,$B151,Councils!$K$6:$K$809),0)</f>
        <v>0</v>
      </c>
      <c r="M151">
        <f>ROUND(SUMIF(Councils!$C$6:$C$809,$B151,Councils!$L$6:$L$809),0)</f>
        <v>0</v>
      </c>
      <c r="N151" s="63">
        <f t="shared" si="5"/>
        <v>0</v>
      </c>
    </row>
    <row r="152" spans="1:14">
      <c r="A152">
        <f t="shared" si="4"/>
        <v>3</v>
      </c>
      <c r="B152" s="67">
        <v>179</v>
      </c>
      <c r="C152" s="81">
        <f>IF(ISNA(VLOOKUP($B152,DD_Info!$A$1:$E$216,5,0)),0,VLOOKUP($B152,DD_Info!$A$1:$E$216,5,0))</f>
        <v>2</v>
      </c>
      <c r="D152" t="str">
        <f>IF(ISNA(VLOOKUP($B152,DD_Info!$A$1:$E$216,2,0)),0,VLOOKUP($B152,DD_Info!$A$1:$E$216,2,0))</f>
        <v>Jesse Q Garcia</v>
      </c>
      <c r="E152" t="str">
        <f>IF(ISNA(VLOOKUP($B152,DD_Info!$A$1:$E$216,3,0)),0,VLOOKUP($B152,DD_Info!$A$1:$E$216,3,0))</f>
        <v>Corpus Christi</v>
      </c>
      <c r="F152">
        <f>ROUND(SUMIF(Councils!$C$6:$C$809,$B152,Councils!$E$6:$E$809),0)</f>
        <v>318</v>
      </c>
      <c r="G152">
        <f>ROUND(SUMIF(Councils!$C$6:$C$809,$B152,Councils!$F$6:$F$809)*0.7,0)</f>
        <v>12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16</v>
      </c>
      <c r="L152">
        <f>ROUND(SUMIF(Councils!$C$6:$C$809,$B152,Councils!$K$6:$K$809),0)</f>
        <v>0</v>
      </c>
      <c r="M152">
        <f>ROUND(SUMIF(Councils!$C$6:$C$809,$B152,Councils!$L$6:$L$809),0)</f>
        <v>16</v>
      </c>
      <c r="N152" s="63">
        <f t="shared" si="5"/>
        <v>1.3333333333333333</v>
      </c>
    </row>
    <row r="153" spans="1:14">
      <c r="A153">
        <f t="shared" si="4"/>
        <v>123</v>
      </c>
      <c r="B153" s="67">
        <v>180</v>
      </c>
      <c r="C153" s="81">
        <f>IF(ISNA(VLOOKUP($B153,DD_Info!$A$1:$E$216,5,0)),0,VLOOKUP($B153,DD_Info!$A$1:$E$216,5,0))</f>
        <v>3</v>
      </c>
      <c r="D153" t="str">
        <f>IF(ISNA(VLOOKUP($B153,DD_Info!$A$1:$E$216,2,0)),0,VLOOKUP($B153,DD_Info!$A$1:$E$216,2,0))</f>
        <v>Rudy  Ortiz</v>
      </c>
      <c r="E153" t="str">
        <f>IF(ISNA(VLOOKUP($B153,DD_Info!$A$1:$E$216,3,0)),0,VLOOKUP($B153,DD_Info!$A$1:$E$216,3,0))</f>
        <v>Corpus Christi</v>
      </c>
      <c r="F153">
        <f>ROUND(SUMIF(Councils!$C$6:$C$809,$B153,Councils!$E$6:$E$809),0)</f>
        <v>170</v>
      </c>
      <c r="G153">
        <f>ROUND(SUMIF(Councils!$C$6:$C$809,$B153,Councils!$F$6:$F$809)*0.7,0)</f>
        <v>8</v>
      </c>
      <c r="H153">
        <f>ROUND(SUMIF(Councils!$C$6:$C$809,$B153,Councils!$G$6:$G$809),0)</f>
        <v>0</v>
      </c>
      <c r="I153">
        <f>ROUND(SUMIF(Councils!$C$6:$C$809,$B153,Councils!$H$6:$H$809),0)</f>
        <v>0</v>
      </c>
      <c r="J153">
        <f>ROUND(SUMIF(Councils!$C$6:$C$809,$B153,Councils!$I$6:$I$809),0)</f>
        <v>0</v>
      </c>
      <c r="K153">
        <f>ROUND(SUMIF(Councils!$C$6:$C$809,$B153,Councils!$J$6:$J$809),0)</f>
        <v>0</v>
      </c>
      <c r="L153">
        <f>ROUND(SUMIF(Councils!$C$6:$C$809,$B153,Councils!$K$6:$K$809),0)</f>
        <v>0</v>
      </c>
      <c r="M153">
        <f>ROUND(SUMIF(Councils!$C$6:$C$809,$B153,Councils!$L$6:$L$809),0)</f>
        <v>0</v>
      </c>
      <c r="N153" s="63">
        <f t="shared" si="5"/>
        <v>0</v>
      </c>
    </row>
    <row r="154" spans="1:14">
      <c r="A154">
        <f t="shared" si="4"/>
        <v>123</v>
      </c>
      <c r="B154" s="67">
        <v>181</v>
      </c>
      <c r="C154" s="81">
        <f>IF(ISNA(VLOOKUP($B154,DD_Info!$A$1:$E$216,5,0)),0,VLOOKUP($B154,DD_Info!$A$1:$E$216,5,0))</f>
        <v>0</v>
      </c>
      <c r="D154">
        <f>IF(ISNA(VLOOKUP($B154,DD_Info!$A$1:$E$216,2,0)),0,VLOOKUP($B154,DD_Info!$A$1:$E$216,2,0))</f>
        <v>0</v>
      </c>
      <c r="E154">
        <f>IF(ISNA(VLOOKUP($B154,DD_Info!$A$1:$E$216,3,0)),0,VLOOKUP($B154,DD_Info!$A$1:$E$216,3,0))</f>
        <v>0</v>
      </c>
      <c r="F154">
        <f>ROUND(SUMIF(Councils!$C$6:$C$809,$B154,Councils!$E$6:$E$809),0)</f>
        <v>0</v>
      </c>
      <c r="G154">
        <f>ROUND(SUMIF(Councils!$C$6:$C$809,$B154,Councils!$F$6:$F$809)*0.7,0)</f>
        <v>0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11</v>
      </c>
      <c r="B155" s="67">
        <v>186</v>
      </c>
      <c r="C155" s="81">
        <f>IF(ISNA(VLOOKUP($B155,DD_Info!$A$1:$E$216,5,0)),0,VLOOKUP($B155,DD_Info!$A$1:$E$216,5,0))</f>
        <v>2</v>
      </c>
      <c r="D155" t="str">
        <f>IF(ISNA(VLOOKUP($B155,DD_Info!$A$1:$E$216,2,0)),0,VLOOKUP($B155,DD_Info!$A$1:$E$216,2,0))</f>
        <v>Robert  Landry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510</v>
      </c>
      <c r="G155">
        <f>ROUND(SUMIF(Councils!$C$6:$C$809,$B155,Councils!$F$6:$F$809)*0.7,0)</f>
        <v>18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14</v>
      </c>
      <c r="L155">
        <f>ROUND(SUMIF(Councils!$C$6:$C$809,$B155,Councils!$K$6:$K$809),0)</f>
        <v>0</v>
      </c>
      <c r="M155">
        <f>ROUND(SUMIF(Councils!$C$6:$C$809,$B155,Councils!$L$6:$L$809),0)</f>
        <v>14</v>
      </c>
      <c r="N155" s="63">
        <f t="shared" si="5"/>
        <v>0.77777777777777779</v>
      </c>
    </row>
    <row r="156" spans="1:14">
      <c r="A156">
        <f t="shared" si="4"/>
        <v>31</v>
      </c>
      <c r="B156" s="67">
        <v>187</v>
      </c>
      <c r="C156" s="81">
        <f>IF(ISNA(VLOOKUP($B156,DD_Info!$A$1:$E$216,5,0)),0,VLOOKUP($B156,DD_Info!$A$1:$E$216,5,0))</f>
        <v>2</v>
      </c>
      <c r="D156" t="str">
        <f>IF(ISNA(VLOOKUP($B156,DD_Info!$A$1:$E$216,2,0)),0,VLOOKUP($B156,DD_Info!$A$1:$E$216,2,0))</f>
        <v>Harry A Isenberger</v>
      </c>
      <c r="E156" t="str">
        <f>IF(ISNA(VLOOKUP($B156,DD_Info!$A$1:$E$216,3,0)),0,VLOOKUP($B156,DD_Info!$A$1:$E$216,3,0))</f>
        <v>Victoria</v>
      </c>
      <c r="F156">
        <f>ROUND(SUMIF(Councils!$C$6:$C$809,$B156,Councils!$E$6:$E$809),0)</f>
        <v>369</v>
      </c>
      <c r="G156">
        <f>ROUND(SUMIF(Councils!$C$6:$C$809,$B156,Councils!$F$6:$F$809)*0.7,0)</f>
        <v>13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6</v>
      </c>
      <c r="L156">
        <f>ROUND(SUMIF(Councils!$C$6:$C$809,$B156,Councils!$K$6:$K$809),0)</f>
        <v>0</v>
      </c>
      <c r="M156">
        <f>ROUND(SUMIF(Councils!$C$6:$C$809,$B156,Councils!$L$6:$L$809),0)</f>
        <v>6</v>
      </c>
      <c r="N156" s="63">
        <f t="shared" si="5"/>
        <v>0.46153846153846156</v>
      </c>
    </row>
    <row r="157" spans="1:14">
      <c r="A157">
        <f t="shared" si="4"/>
        <v>171</v>
      </c>
      <c r="B157" s="67">
        <v>188</v>
      </c>
      <c r="C157" s="81">
        <f>IF(ISNA(VLOOKUP($B157,DD_Info!$A$1:$E$216,5,0)),0,VLOOKUP($B157,DD_Info!$A$1:$E$216,5,0))</f>
        <v>1</v>
      </c>
      <c r="D157" t="str">
        <f>IF(ISNA(VLOOKUP($B157,DD_Info!$A$1:$E$216,2,0)),0,VLOOKUP($B157,DD_Info!$A$1:$E$216,2,0))</f>
        <v>James A Kocurek</v>
      </c>
      <c r="E157" t="str">
        <f>IF(ISNA(VLOOKUP($B157,DD_Info!$A$1:$E$216,3,0)),0,VLOOKUP($B157,DD_Info!$A$1:$E$216,3,0))</f>
        <v>Victoria</v>
      </c>
      <c r="F157">
        <f>ROUND(SUMIF(Councils!$C$6:$C$809,$B157,Councils!$E$6:$E$809),0)</f>
        <v>1069</v>
      </c>
      <c r="G157">
        <f>ROUND(SUMIF(Councils!$C$6:$C$809,$B157,Councils!$F$6:$F$809)*0.7,0)</f>
        <v>34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2</v>
      </c>
      <c r="M157">
        <f>ROUND(SUMIF(Councils!$C$6:$C$809,$B157,Councils!$L$6:$L$809),0)</f>
        <v>-2</v>
      </c>
      <c r="N157" s="63">
        <f t="shared" si="5"/>
        <v>-5.8823529411764705E-2</v>
      </c>
    </row>
    <row r="158" spans="1:14">
      <c r="A158">
        <f t="shared" si="4"/>
        <v>182</v>
      </c>
      <c r="B158" s="67">
        <v>190</v>
      </c>
      <c r="C158" s="81">
        <f>IF(ISNA(VLOOKUP($B158,DD_Info!$A$1:$E$216,5,0)),0,VLOOKUP($B158,DD_Info!$A$1:$E$216,5,0))</f>
        <v>1</v>
      </c>
      <c r="D158" t="str">
        <f>IF(ISNA(VLOOKUP($B158,DD_Info!$A$1:$E$216,2,0)),0,VLOOKUP($B158,DD_Info!$A$1:$E$216,2,0))</f>
        <v>William  Schuette</v>
      </c>
      <c r="E158" t="str">
        <f>IF(ISNA(VLOOKUP($B158,DD_Info!$A$1:$E$216,3,0)),0,VLOOKUP($B158,DD_Info!$A$1:$E$216,3,0))</f>
        <v>Victoria</v>
      </c>
      <c r="F158">
        <f>ROUND(SUMIF(Councils!$C$6:$C$809,$B158,Councils!$E$6:$E$809),0)</f>
        <v>841</v>
      </c>
      <c r="G158">
        <f>ROUND(SUMIF(Councils!$C$6:$C$809,$B158,Councils!$F$6:$F$809)*0.7,0)</f>
        <v>29</v>
      </c>
      <c r="H158">
        <f>ROUND(SUMIF(Councils!$C$6:$C$809,$B158,Councils!$G$6:$G$809),0)</f>
        <v>1</v>
      </c>
      <c r="I158">
        <f>ROUND(SUMIF(Councils!$C$6:$C$809,$B158,Councils!$H$6:$H$809),0)</f>
        <v>0</v>
      </c>
      <c r="J158">
        <f>ROUND(SUMIF(Councils!$C$6:$C$809,$B158,Councils!$I$6:$I$809),0)</f>
        <v>1</v>
      </c>
      <c r="K158">
        <f>ROUND(SUMIF(Councils!$C$6:$C$809,$B158,Councils!$J$6:$J$809),0)</f>
        <v>4</v>
      </c>
      <c r="L158">
        <f>ROUND(SUMIF(Councils!$C$6:$C$809,$B158,Councils!$K$6:$K$809),0)</f>
        <v>10</v>
      </c>
      <c r="M158">
        <f>ROUND(SUMIF(Councils!$C$6:$C$809,$B158,Councils!$L$6:$L$809),0)</f>
        <v>-6</v>
      </c>
      <c r="N158" s="63">
        <f t="shared" si="5"/>
        <v>-0.20689655172413793</v>
      </c>
    </row>
    <row r="159" spans="1:14">
      <c r="A159">
        <f t="shared" si="4"/>
        <v>105</v>
      </c>
      <c r="B159" s="67">
        <v>191</v>
      </c>
      <c r="C159" s="81">
        <f>IF(ISNA(VLOOKUP($B159,DD_Info!$A$1:$E$216,5,0)),0,VLOOKUP($B159,DD_Info!$A$1:$E$216,5,0))</f>
        <v>1</v>
      </c>
      <c r="D159" t="str">
        <f>IF(ISNA(VLOOKUP($B159,DD_Info!$A$1:$E$216,2,0)),0,VLOOKUP($B159,DD_Info!$A$1:$E$216,2,0))</f>
        <v>Andrew  Pesek</v>
      </c>
      <c r="E159" t="str">
        <f>IF(ISNA(VLOOKUP($B159,DD_Info!$A$1:$E$216,3,0)),0,VLOOKUP($B159,DD_Info!$A$1:$E$216,3,0))</f>
        <v>Victoria</v>
      </c>
      <c r="F159">
        <f>ROUND(SUMIF(Councils!$C$6:$C$809,$B159,Councils!$E$6:$E$809),0)</f>
        <v>1302</v>
      </c>
      <c r="G159">
        <f>ROUND(SUMIF(Councils!$C$6:$C$809,$B159,Councils!$F$6:$F$809)*0.7,0)</f>
        <v>36</v>
      </c>
      <c r="H159">
        <f>ROUND(SUMIF(Councils!$C$6:$C$809,$B159,Councils!$G$6:$G$809),0)</f>
        <v>1</v>
      </c>
      <c r="I159">
        <f>ROUND(SUMIF(Councils!$C$6:$C$809,$B159,Councils!$H$6:$H$809),0)</f>
        <v>1</v>
      </c>
      <c r="J159">
        <f>ROUND(SUMIF(Councils!$C$6:$C$809,$B159,Councils!$I$6:$I$809),0)</f>
        <v>0</v>
      </c>
      <c r="K159">
        <f>ROUND(SUMIF(Councils!$C$6:$C$809,$B159,Councils!$J$6:$J$809),0)</f>
        <v>5</v>
      </c>
      <c r="L159">
        <f>ROUND(SUMIF(Councils!$C$6:$C$809,$B159,Councils!$K$6:$K$809),0)</f>
        <v>2</v>
      </c>
      <c r="M159">
        <f>ROUND(SUMIF(Councils!$C$6:$C$809,$B159,Councils!$L$6:$L$809),0)</f>
        <v>3</v>
      </c>
      <c r="N159" s="63">
        <f t="shared" si="5"/>
        <v>8.3333333333333329E-2</v>
      </c>
    </row>
    <row r="160" spans="1:14">
      <c r="A160">
        <f t="shared" si="4"/>
        <v>108</v>
      </c>
      <c r="B160" s="67">
        <v>193</v>
      </c>
      <c r="C160" s="81">
        <f>IF(ISNA(VLOOKUP($B160,DD_Info!$A$1:$E$216,5,0)),0,VLOOKUP($B160,DD_Info!$A$1:$E$216,5,0))</f>
        <v>1</v>
      </c>
      <c r="D160" t="str">
        <f>IF(ISNA(VLOOKUP($B160,DD_Info!$A$1:$E$216,2,0)),0,VLOOKUP($B160,DD_Info!$A$1:$E$216,2,0))</f>
        <v>Manuel  Gonzales III</v>
      </c>
      <c r="E160" t="str">
        <f>IF(ISNA(VLOOKUP($B160,DD_Info!$A$1:$E$216,3,0)),0,VLOOKUP($B160,DD_Info!$A$1:$E$216,3,0))</f>
        <v>Victoria</v>
      </c>
      <c r="F160">
        <f>ROUND(SUMIF(Councils!$C$6:$C$809,$B160,Councils!$E$6:$E$809),0)</f>
        <v>1215</v>
      </c>
      <c r="G160">
        <f>ROUND(SUMIF(Councils!$C$6:$C$809,$B160,Councils!$F$6:$F$809)*0.7,0)</f>
        <v>38</v>
      </c>
      <c r="H160">
        <f>ROUND(SUMIF(Councils!$C$6:$C$809,$B160,Councils!$G$6:$G$809),0)</f>
        <v>0</v>
      </c>
      <c r="I160">
        <f>ROUND(SUMIF(Councils!$C$6:$C$809,$B160,Councils!$H$6:$H$809),0)</f>
        <v>3</v>
      </c>
      <c r="J160">
        <f>ROUND(SUMIF(Councils!$C$6:$C$809,$B160,Councils!$I$6:$I$809),0)</f>
        <v>-3</v>
      </c>
      <c r="K160">
        <f>ROUND(SUMIF(Councils!$C$6:$C$809,$B160,Councils!$J$6:$J$809),0)</f>
        <v>6</v>
      </c>
      <c r="L160">
        <f>ROUND(SUMIF(Councils!$C$6:$C$809,$B160,Councils!$K$6:$K$809),0)</f>
        <v>3</v>
      </c>
      <c r="M160">
        <f>ROUND(SUMIF(Councils!$C$6:$C$809,$B160,Councils!$L$6:$L$809),0)</f>
        <v>3</v>
      </c>
      <c r="N160" s="63">
        <f t="shared" si="5"/>
        <v>7.8947368421052627E-2</v>
      </c>
    </row>
    <row r="161" spans="1:14">
      <c r="A161">
        <f t="shared" si="4"/>
        <v>116</v>
      </c>
      <c r="B161" s="67">
        <v>196</v>
      </c>
      <c r="C161" s="81">
        <f>IF(ISNA(VLOOKUP($B161,DD_Info!$A$1:$E$216,5,0)),0,VLOOKUP($B161,DD_Info!$A$1:$E$216,5,0))</f>
        <v>1</v>
      </c>
      <c r="D161" t="str">
        <f>IF(ISNA(VLOOKUP($B161,DD_Info!$A$1:$E$216,2,0)),0,VLOOKUP($B161,DD_Info!$A$1:$E$216,2,0))</f>
        <v>Ron  Railsback</v>
      </c>
      <c r="E161" t="str">
        <f>IF(ISNA(VLOOKUP($B161,DD_Info!$A$1:$E$216,3,0)),0,VLOOKUP($B161,DD_Info!$A$1:$E$216,3,0))</f>
        <v>Amarillo</v>
      </c>
      <c r="F161">
        <f>ROUND(SUMIF(Councils!$C$6:$C$809,$B161,Councils!$E$6:$E$809),0)</f>
        <v>585</v>
      </c>
      <c r="G161">
        <f>ROUND(SUMIF(Councils!$C$6:$C$809,$B161,Councils!$F$6:$F$809)*0.7,0)</f>
        <v>19</v>
      </c>
      <c r="H161">
        <f>ROUND(SUMIF(Councils!$C$6:$C$809,$B161,Councils!$G$6:$G$809),0)</f>
        <v>1</v>
      </c>
      <c r="I161">
        <f>ROUND(SUMIF(Councils!$C$6:$C$809,$B161,Councils!$H$6:$H$809),0)</f>
        <v>1</v>
      </c>
      <c r="J161">
        <f>ROUND(SUMIF(Councils!$C$6:$C$809,$B161,Councils!$I$6:$I$809),0)</f>
        <v>0</v>
      </c>
      <c r="K161">
        <f>ROUND(SUMIF(Councils!$C$6:$C$809,$B161,Councils!$J$6:$J$809),0)</f>
        <v>2</v>
      </c>
      <c r="L161">
        <f>ROUND(SUMIF(Councils!$C$6:$C$809,$B161,Councils!$K$6:$K$809),0)</f>
        <v>1</v>
      </c>
      <c r="M161">
        <f>ROUND(SUMIF(Councils!$C$6:$C$809,$B161,Councils!$L$6:$L$809),0)</f>
        <v>1</v>
      </c>
      <c r="N161" s="63">
        <f t="shared" si="5"/>
        <v>5.2631578947368418E-2</v>
      </c>
    </row>
    <row r="162" spans="1:14">
      <c r="A162">
        <f t="shared" si="4"/>
        <v>123</v>
      </c>
      <c r="B162" s="67">
        <v>197</v>
      </c>
      <c r="C162" s="81">
        <f>IF(ISNA(VLOOKUP($B162,DD_Info!$A$1:$E$216,5,0)),0,VLOOKUP($B162,DD_Info!$A$1:$E$216,5,0))</f>
        <v>3</v>
      </c>
      <c r="D162" t="str">
        <f>IF(ISNA(VLOOKUP($B162,DD_Info!$A$1:$E$216,2,0)),0,VLOOKUP($B162,DD_Info!$A$1:$E$216,2,0))</f>
        <v>James C Stark II</v>
      </c>
      <c r="E162" t="str">
        <f>IF(ISNA(VLOOKUP($B162,DD_Info!$A$1:$E$216,3,0)),0,VLOOKUP($B162,DD_Info!$A$1:$E$216,3,0))</f>
        <v>Amarillo</v>
      </c>
      <c r="F162">
        <f>ROUND(SUMIF(Councils!$C$6:$C$809,$B162,Councils!$E$6:$E$809),0)</f>
        <v>292</v>
      </c>
      <c r="G162">
        <f>ROUND(SUMIF(Councils!$C$6:$C$809,$B162,Councils!$F$6:$F$809)*0.7,0)</f>
        <v>11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0</v>
      </c>
      <c r="L162">
        <f>ROUND(SUMIF(Councils!$C$6:$C$809,$B162,Councils!$K$6:$K$809),0)</f>
        <v>0</v>
      </c>
      <c r="M162">
        <f>ROUND(SUMIF(Councils!$C$6:$C$809,$B162,Councils!$L$6:$L$809),0)</f>
        <v>0</v>
      </c>
      <c r="N162" s="63">
        <f t="shared" si="5"/>
        <v>0</v>
      </c>
    </row>
    <row r="163" spans="1:14">
      <c r="A163">
        <f t="shared" si="4"/>
        <v>123</v>
      </c>
      <c r="B163" s="67">
        <v>198</v>
      </c>
      <c r="C163" s="81">
        <f>IF(ISNA(VLOOKUP($B163,DD_Info!$A$1:$E$216,5,0)),0,VLOOKUP($B163,DD_Info!$A$1:$E$216,5,0))</f>
        <v>2</v>
      </c>
      <c r="D163" t="str">
        <f>IF(ISNA(VLOOKUP($B163,DD_Info!$A$1:$E$216,2,0)),0,VLOOKUP($B163,DD_Info!$A$1:$E$216,2,0))</f>
        <v>Ignacio "Richard"  Romero</v>
      </c>
      <c r="E163" t="str">
        <f>IF(ISNA(VLOOKUP($B163,DD_Info!$A$1:$E$216,3,0)),0,VLOOKUP($B163,DD_Info!$A$1:$E$216,3,0))</f>
        <v>Amarillo</v>
      </c>
      <c r="F163">
        <f>ROUND(SUMIF(Councils!$C$6:$C$809,$B163,Councils!$E$6:$E$809),0)</f>
        <v>330</v>
      </c>
      <c r="G163">
        <f>ROUND(SUMIF(Councils!$C$6:$C$809,$B163,Councils!$F$6:$F$809)*0.7,0)</f>
        <v>12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42</v>
      </c>
      <c r="B164" s="67">
        <v>199</v>
      </c>
      <c r="C164" s="81">
        <f>IF(ISNA(VLOOKUP($B164,DD_Info!$A$1:$E$216,5,0)),0,VLOOKUP($B164,DD_Info!$A$1:$E$216,5,0))</f>
        <v>2</v>
      </c>
      <c r="D164" t="str">
        <f>IF(ISNA(VLOOKUP($B164,DD_Info!$A$1:$E$216,2,0)),0,VLOOKUP($B164,DD_Info!$A$1:$E$216,2,0))</f>
        <v>Ray G Sistos</v>
      </c>
      <c r="E164" t="str">
        <f>IF(ISNA(VLOOKUP($B164,DD_Info!$A$1:$E$216,3,0)),0,VLOOKUP($B164,DD_Info!$A$1:$E$216,3,0))</f>
        <v>Amarillo</v>
      </c>
      <c r="F164">
        <f>ROUND(SUMIF(Councils!$C$6:$C$809,$B164,Councils!$E$6:$E$809),0)</f>
        <v>356</v>
      </c>
      <c r="G164">
        <f>ROUND(SUMIF(Councils!$C$6:$C$809,$B164,Councils!$F$6:$F$809)*0.7,0)</f>
        <v>13</v>
      </c>
      <c r="H164">
        <f>ROUND(SUMIF(Councils!$C$6:$C$809,$B164,Councils!$G$6:$G$809),0)</f>
        <v>0</v>
      </c>
      <c r="I164">
        <f>ROUND(SUMIF(Councils!$C$6:$C$809,$B164,Councils!$H$6:$H$809),0)</f>
        <v>0</v>
      </c>
      <c r="J164">
        <f>ROUND(SUMIF(Councils!$C$6:$C$809,$B164,Councils!$I$6:$I$809),0)</f>
        <v>0</v>
      </c>
      <c r="K164">
        <f>ROUND(SUMIF(Councils!$C$6:$C$809,$B164,Councils!$J$6:$J$809),0)</f>
        <v>9</v>
      </c>
      <c r="L164">
        <f>ROUND(SUMIF(Councils!$C$6:$C$809,$B164,Councils!$K$6:$K$809),0)</f>
        <v>4</v>
      </c>
      <c r="M164">
        <f>ROUND(SUMIF(Councils!$C$6:$C$809,$B164,Councils!$L$6:$L$809),0)</f>
        <v>5</v>
      </c>
      <c r="N164" s="63">
        <f t="shared" si="5"/>
        <v>0.38461538461538464</v>
      </c>
    </row>
    <row r="165" spans="1:14">
      <c r="A165">
        <f t="shared" si="4"/>
        <v>123</v>
      </c>
      <c r="B165" s="67">
        <v>200</v>
      </c>
      <c r="C165" s="81">
        <f>IF(ISNA(VLOOKUP($B165,DD_Info!$A$1:$E$216,5,0)),0,VLOOKUP($B165,DD_Info!$A$1:$E$216,5,0))</f>
        <v>2</v>
      </c>
      <c r="D165" t="str">
        <f>IF(ISNA(VLOOKUP($B165,DD_Info!$A$1:$E$216,2,0)),0,VLOOKUP($B165,DD_Info!$A$1:$E$216,2,0))</f>
        <v>Heath  Henderson</v>
      </c>
      <c r="E165" t="str">
        <f>IF(ISNA(VLOOKUP($B165,DD_Info!$A$1:$E$216,3,0)),0,VLOOKUP($B165,DD_Info!$A$1:$E$216,3,0))</f>
        <v>Amarillo</v>
      </c>
      <c r="F165">
        <f>ROUND(SUMIF(Councils!$C$6:$C$809,$B165,Councils!$E$6:$E$809),0)</f>
        <v>324</v>
      </c>
      <c r="G165">
        <f>ROUND(SUMIF(Councils!$C$6:$C$809,$B165,Councils!$F$6:$F$809)*0.7,0)</f>
        <v>12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101</v>
      </c>
      <c r="B166" s="67">
        <v>201</v>
      </c>
      <c r="C166" s="81">
        <f>IF(ISNA(VLOOKUP($B166,DD_Info!$A$1:$E$216,5,0)),0,VLOOKUP($B166,DD_Info!$A$1:$E$216,5,0))</f>
        <v>3</v>
      </c>
      <c r="D166" t="str">
        <f>IF(ISNA(VLOOKUP($B166,DD_Info!$A$1:$E$216,2,0)),0,VLOOKUP($B166,DD_Info!$A$1:$E$216,2,0))</f>
        <v>TO BE APPOINTED</v>
      </c>
      <c r="E166" t="str">
        <f>IF(ISNA(VLOOKUP($B166,DD_Info!$A$1:$E$216,3,0)),0,VLOOKUP($B166,DD_Info!$A$1:$E$216,3,0))</f>
        <v>Amarillo</v>
      </c>
      <c r="F166">
        <f>ROUND(SUMIF(Councils!$C$6:$C$809,$B166,Councils!$E$6:$E$809),0)</f>
        <v>289</v>
      </c>
      <c r="G166">
        <f>ROUND(SUMIF(Councils!$C$6:$C$809,$B166,Councils!$F$6:$F$809)*0.7,0)</f>
        <v>11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1</v>
      </c>
      <c r="L166">
        <f>ROUND(SUMIF(Councils!$C$6:$C$809,$B166,Councils!$K$6:$K$809),0)</f>
        <v>0</v>
      </c>
      <c r="M166">
        <f>ROUND(SUMIF(Councils!$C$6:$C$809,$B166,Councils!$L$6:$L$809),0)</f>
        <v>1</v>
      </c>
      <c r="N166" s="63">
        <f t="shared" si="5"/>
        <v>9.0909090909090912E-2</v>
      </c>
    </row>
    <row r="167" spans="1:14">
      <c r="A167">
        <f t="shared" si="4"/>
        <v>123</v>
      </c>
      <c r="B167" s="67">
        <v>206</v>
      </c>
      <c r="C167" s="81">
        <f>IF(ISNA(VLOOKUP($B167,DD_Info!$A$1:$E$216,5,0)),0,VLOOKUP($B167,DD_Info!$A$1:$E$216,5,0))</f>
        <v>3</v>
      </c>
      <c r="D167" t="str">
        <f>IF(ISNA(VLOOKUP($B167,DD_Info!$A$1:$E$216,2,0)),0,VLOOKUP($B167,DD_Info!$A$1:$E$216,2,0))</f>
        <v>Jose  Garza Jr</v>
      </c>
      <c r="E167" t="str">
        <f>IF(ISNA(VLOOKUP($B167,DD_Info!$A$1:$E$216,3,0)),0,VLOOKUP($B167,DD_Info!$A$1:$E$216,3,0))</f>
        <v>Brownsville</v>
      </c>
      <c r="F167">
        <f>ROUND(SUMIF(Councils!$C$6:$C$809,$B167,Councils!$E$6:$E$809),0)</f>
        <v>183</v>
      </c>
      <c r="G167">
        <f>ROUND(SUMIF(Councils!$C$6:$C$809,$B167,Councils!$F$6:$F$809)*0.7,0)</f>
        <v>8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56</v>
      </c>
      <c r="B168" s="67">
        <v>207</v>
      </c>
      <c r="C168" s="81">
        <f>IF(ISNA(VLOOKUP($B168,DD_Info!$A$1:$E$216,5,0)),0,VLOOKUP($B168,DD_Info!$A$1:$E$216,5,0))</f>
        <v>1</v>
      </c>
      <c r="D168" t="str">
        <f>IF(ISNA(VLOOKUP($B168,DD_Info!$A$1:$E$216,2,0)),0,VLOOKUP($B168,DD_Info!$A$1:$E$216,2,0))</f>
        <v>Juan A Lopez</v>
      </c>
      <c r="E168" t="str">
        <f>IF(ISNA(VLOOKUP($B168,DD_Info!$A$1:$E$216,3,0)),0,VLOOKUP($B168,DD_Info!$A$1:$E$216,3,0))</f>
        <v>Brownsville</v>
      </c>
      <c r="F168">
        <f>ROUND(SUMIF(Councils!$C$6:$C$809,$B168,Councils!$E$6:$E$809),0)</f>
        <v>718</v>
      </c>
      <c r="G168">
        <f>ROUND(SUMIF(Councils!$C$6:$C$809,$B168,Councils!$F$6:$F$809)*0.7,0)</f>
        <v>25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8</v>
      </c>
      <c r="L168">
        <f>ROUND(SUMIF(Councils!$C$6:$C$809,$B168,Councils!$K$6:$K$809),0)</f>
        <v>1</v>
      </c>
      <c r="M168">
        <f>ROUND(SUMIF(Councils!$C$6:$C$809,$B168,Councils!$L$6:$L$809),0)</f>
        <v>7</v>
      </c>
      <c r="N168" s="63">
        <f t="shared" si="5"/>
        <v>0.28000000000000003</v>
      </c>
    </row>
    <row r="169" spans="1:14">
      <c r="A169">
        <f t="shared" si="4"/>
        <v>91</v>
      </c>
      <c r="B169" s="67">
        <v>208</v>
      </c>
      <c r="C169" s="81">
        <f>IF(ISNA(VLOOKUP($B169,DD_Info!$A$1:$E$216,5,0)),0,VLOOKUP($B169,DD_Info!$A$1:$E$216,5,0))</f>
        <v>2</v>
      </c>
      <c r="D169" t="str">
        <f>IF(ISNA(VLOOKUP($B169,DD_Info!$A$1:$E$216,2,0)),0,VLOOKUP($B169,DD_Info!$A$1:$E$216,2,0))</f>
        <v>Albert  Esparza</v>
      </c>
      <c r="E169" t="str">
        <f>IF(ISNA(VLOOKUP($B169,DD_Info!$A$1:$E$216,3,0)),0,VLOOKUP($B169,DD_Info!$A$1:$E$216,3,0))</f>
        <v>Brownsville</v>
      </c>
      <c r="F169">
        <f>ROUND(SUMIF(Councils!$C$6:$C$809,$B169,Councils!$E$6:$E$809),0)</f>
        <v>512</v>
      </c>
      <c r="G169">
        <f>ROUND(SUMIF(Councils!$C$6:$C$809,$B169,Councils!$F$6:$F$809)*0.7,0)</f>
        <v>18</v>
      </c>
      <c r="H169">
        <f>ROUND(SUMIF(Councils!$C$6:$C$809,$B169,Councils!$G$6:$G$809),0)</f>
        <v>0</v>
      </c>
      <c r="I169">
        <f>ROUND(SUMIF(Councils!$C$6:$C$809,$B169,Councils!$H$6:$H$809),0)</f>
        <v>0</v>
      </c>
      <c r="J169">
        <f>ROUND(SUMIF(Councils!$C$6:$C$809,$B169,Councils!$I$6:$I$809),0)</f>
        <v>0</v>
      </c>
      <c r="K169">
        <f>ROUND(SUMIF(Councils!$C$6:$C$809,$B169,Councils!$J$6:$J$809),0)</f>
        <v>2</v>
      </c>
      <c r="L169">
        <f>ROUND(SUMIF(Councils!$C$6:$C$809,$B169,Councils!$K$6:$K$809),0)</f>
        <v>0</v>
      </c>
      <c r="M169">
        <f>ROUND(SUMIF(Councils!$C$6:$C$809,$B169,Councils!$L$6:$L$809),0)</f>
        <v>2</v>
      </c>
      <c r="N169" s="63">
        <f t="shared" si="5"/>
        <v>0.1111111111111111</v>
      </c>
    </row>
    <row r="170" spans="1:14">
      <c r="A170">
        <f t="shared" si="4"/>
        <v>123</v>
      </c>
      <c r="B170" s="67">
        <v>209</v>
      </c>
      <c r="C170" s="81">
        <f>IF(ISNA(VLOOKUP($B170,DD_Info!$A$1:$E$216,5,0)),0,VLOOKUP($B170,DD_Info!$A$1:$E$216,5,0))</f>
        <v>2</v>
      </c>
      <c r="D170" t="str">
        <f>IF(ISNA(VLOOKUP($B170,DD_Info!$A$1:$E$216,2,0)),0,VLOOKUP($B170,DD_Info!$A$1:$E$216,2,0))</f>
        <v>George L Ramirez</v>
      </c>
      <c r="E170" t="str">
        <f>IF(ISNA(VLOOKUP($B170,DD_Info!$A$1:$E$216,3,0)),0,VLOOKUP($B170,DD_Info!$A$1:$E$216,3,0))</f>
        <v>Brownsville</v>
      </c>
      <c r="F170">
        <f>ROUND(SUMIF(Councils!$C$6:$C$809,$B170,Councils!$E$6:$E$809),0)</f>
        <v>435</v>
      </c>
      <c r="G170">
        <f>ROUND(SUMIF(Councils!$C$6:$C$809,$B170,Councils!$F$6:$F$809)*0.7,0)</f>
        <v>15</v>
      </c>
      <c r="H170">
        <f>ROUND(SUMIF(Councils!$C$6:$C$809,$B170,Councils!$G$6:$G$809),0)</f>
        <v>1</v>
      </c>
      <c r="I170">
        <f>ROUND(SUMIF(Councils!$C$6:$C$809,$B170,Councils!$H$6:$H$809),0)</f>
        <v>0</v>
      </c>
      <c r="J170">
        <f>ROUND(SUMIF(Councils!$C$6:$C$809,$B170,Councils!$I$6:$I$809),0)</f>
        <v>1</v>
      </c>
      <c r="K170">
        <f>ROUND(SUMIF(Councils!$C$6:$C$809,$B170,Councils!$J$6:$J$809),0)</f>
        <v>6</v>
      </c>
      <c r="L170">
        <f>ROUND(SUMIF(Councils!$C$6:$C$809,$B170,Councils!$K$6:$K$809),0)</f>
        <v>6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8</v>
      </c>
      <c r="B171" s="67">
        <v>210</v>
      </c>
      <c r="C171" s="81">
        <f>IF(ISNA(VLOOKUP($B171,DD_Info!$A$1:$E$216,5,0)),0,VLOOKUP($B171,DD_Info!$A$1:$E$216,5,0))</f>
        <v>2</v>
      </c>
      <c r="D171" t="str">
        <f>IF(ISNA(VLOOKUP($B171,DD_Info!$A$1:$E$216,2,0)),0,VLOOKUP($B171,DD_Info!$A$1:$E$216,2,0))</f>
        <v>Antonio C Puente Sr</v>
      </c>
      <c r="E171" t="str">
        <f>IF(ISNA(VLOOKUP($B171,DD_Info!$A$1:$E$216,3,0)),0,VLOOKUP($B171,DD_Info!$A$1:$E$216,3,0))</f>
        <v>Brownsville</v>
      </c>
      <c r="F171">
        <f>ROUND(SUMIF(Councils!$C$6:$C$809,$B171,Councils!$E$6:$E$809),0)</f>
        <v>574</v>
      </c>
      <c r="G171">
        <f>ROUND(SUMIF(Councils!$C$6:$C$809,$B171,Councils!$F$6:$F$809)*0.7,0)</f>
        <v>20</v>
      </c>
      <c r="H171">
        <f>ROUND(SUMIF(Councils!$C$6:$C$809,$B171,Councils!$G$6:$G$809),0)</f>
        <v>2</v>
      </c>
      <c r="I171">
        <f>ROUND(SUMIF(Councils!$C$6:$C$809,$B171,Councils!$H$6:$H$809),0)</f>
        <v>0</v>
      </c>
      <c r="J171">
        <f>ROUND(SUMIF(Councils!$C$6:$C$809,$B171,Councils!$I$6:$I$809),0)</f>
        <v>2</v>
      </c>
      <c r="K171">
        <f>ROUND(SUMIF(Councils!$C$6:$C$809,$B171,Councils!$J$6:$J$809),0)</f>
        <v>17</v>
      </c>
      <c r="L171">
        <f>ROUND(SUMIF(Councils!$C$6:$C$809,$B171,Councils!$K$6:$K$809),0)</f>
        <v>0</v>
      </c>
      <c r="M171">
        <f>ROUND(SUMIF(Councils!$C$6:$C$809,$B171,Councils!$L$6:$L$809),0)</f>
        <v>17</v>
      </c>
      <c r="N171" s="63">
        <f t="shared" si="5"/>
        <v>0.85</v>
      </c>
    </row>
    <row r="172" spans="1:14">
      <c r="A172">
        <f t="shared" si="4"/>
        <v>48</v>
      </c>
      <c r="B172" s="67">
        <v>211</v>
      </c>
      <c r="C172" s="81">
        <f>IF(ISNA(VLOOKUP($B172,DD_Info!$A$1:$E$216,5,0)),0,VLOOKUP($B172,DD_Info!$A$1:$E$216,5,0))</f>
        <v>3</v>
      </c>
      <c r="D172" t="str">
        <f>IF(ISNA(VLOOKUP($B172,DD_Info!$A$1:$E$216,2,0)),0,VLOOKUP($B172,DD_Info!$A$1:$E$216,2,0))</f>
        <v>Martin  Rivas</v>
      </c>
      <c r="E172" t="str">
        <f>IF(ISNA(VLOOKUP($B172,DD_Info!$A$1:$E$216,3,0)),0,VLOOKUP($B172,DD_Info!$A$1:$E$216,3,0))</f>
        <v>Brownsville</v>
      </c>
      <c r="F172">
        <f>ROUND(SUMIF(Councils!$C$6:$C$809,$B172,Councils!$E$6:$E$809),0)</f>
        <v>129</v>
      </c>
      <c r="G172">
        <f>ROUND(SUMIF(Councils!$C$6:$C$809,$B172,Councils!$F$6:$F$809)*0.7,0)</f>
        <v>6</v>
      </c>
      <c r="H172">
        <f>ROUND(SUMIF(Councils!$C$6:$C$809,$B172,Councils!$G$6:$G$809),0)</f>
        <v>1</v>
      </c>
      <c r="I172">
        <f>ROUND(SUMIF(Councils!$C$6:$C$809,$B172,Councils!$H$6:$H$809),0)</f>
        <v>0</v>
      </c>
      <c r="J172">
        <f>ROUND(SUMIF(Councils!$C$6:$C$809,$B172,Councils!$I$6:$I$809),0)</f>
        <v>1</v>
      </c>
      <c r="K172">
        <f>ROUND(SUMIF(Councils!$C$6:$C$809,$B172,Councils!$J$6:$J$809),0)</f>
        <v>2</v>
      </c>
      <c r="L172">
        <f>ROUND(SUMIF(Councils!$C$6:$C$809,$B172,Councils!$K$6:$K$809),0)</f>
        <v>0</v>
      </c>
      <c r="M172">
        <f>ROUND(SUMIF(Councils!$C$6:$C$809,$B172,Councils!$L$6:$L$809),0)</f>
        <v>2</v>
      </c>
      <c r="N172" s="63">
        <f t="shared" si="5"/>
        <v>0.33333333333333331</v>
      </c>
    </row>
    <row r="173" spans="1:14">
      <c r="A173">
        <f t="shared" si="4"/>
        <v>190</v>
      </c>
      <c r="B173" s="67">
        <v>213</v>
      </c>
      <c r="C173" s="81">
        <f>IF(ISNA(VLOOKUP($B173,DD_Info!$A$1:$E$216,5,0)),0,VLOOKUP($B173,DD_Info!$A$1:$E$216,5,0))</f>
        <v>2</v>
      </c>
      <c r="D173" t="str">
        <f>IF(ISNA(VLOOKUP($B173,DD_Info!$A$1:$E$216,2,0)),0,VLOOKUP($B173,DD_Info!$A$1:$E$216,2,0))</f>
        <v>Vincent M Pena</v>
      </c>
      <c r="E173" t="str">
        <f>IF(ISNA(VLOOKUP($B173,DD_Info!$A$1:$E$216,3,0)),0,VLOOKUP($B173,DD_Info!$A$1:$E$216,3,0))</f>
        <v>Brownsville</v>
      </c>
      <c r="F173">
        <f>ROUND(SUMIF(Councils!$C$6:$C$809,$B173,Councils!$E$6:$E$809),0)</f>
        <v>350</v>
      </c>
      <c r="G173">
        <f>ROUND(SUMIF(Councils!$C$6:$C$809,$B173,Councils!$F$6:$F$809)*0.7,0)</f>
        <v>12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1</v>
      </c>
      <c r="L173">
        <f>ROUND(SUMIF(Councils!$C$6:$C$809,$B173,Councils!$K$6:$K$809),0)</f>
        <v>6</v>
      </c>
      <c r="M173">
        <f>ROUND(SUMIF(Councils!$C$6:$C$809,$B173,Councils!$L$6:$L$809),0)</f>
        <v>-5</v>
      </c>
      <c r="N173" s="63">
        <f t="shared" si="5"/>
        <v>-0.41666666666666669</v>
      </c>
    </row>
    <row r="174" spans="1:14">
      <c r="A174">
        <f t="shared" si="4"/>
        <v>77</v>
      </c>
      <c r="B174" s="67">
        <v>214</v>
      </c>
      <c r="C174" s="81">
        <f>IF(ISNA(VLOOKUP($B174,DD_Info!$A$1:$E$216,5,0)),0,VLOOKUP($B174,DD_Info!$A$1:$E$216,5,0))</f>
        <v>2</v>
      </c>
      <c r="D174" t="str">
        <f>IF(ISNA(VLOOKUP($B174,DD_Info!$A$1:$E$216,2,0)),0,VLOOKUP($B174,DD_Info!$A$1:$E$216,2,0))</f>
        <v>Apolonio  Zuniga Jr</v>
      </c>
      <c r="E174" t="str">
        <f>IF(ISNA(VLOOKUP($B174,DD_Info!$A$1:$E$216,3,0)),0,VLOOKUP($B174,DD_Info!$A$1:$E$216,3,0))</f>
        <v>Brownsville</v>
      </c>
      <c r="F174">
        <f>ROUND(SUMIF(Councils!$C$6:$C$809,$B174,Councils!$E$6:$E$809),0)</f>
        <v>338</v>
      </c>
      <c r="G174">
        <f>ROUND(SUMIF(Councils!$C$6:$C$809,$B174,Councils!$F$6:$F$809)*0.7,0)</f>
        <v>11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2</v>
      </c>
      <c r="L174">
        <f>ROUND(SUMIF(Councils!$C$6:$C$809,$B174,Councils!$K$6:$K$809),0)</f>
        <v>0</v>
      </c>
      <c r="M174">
        <f>ROUND(SUMIF(Councils!$C$6:$C$809,$B174,Councils!$L$6:$L$809),0)</f>
        <v>2</v>
      </c>
      <c r="N174" s="63">
        <f t="shared" si="5"/>
        <v>0.18181818181818182</v>
      </c>
    </row>
    <row r="175" spans="1:14">
      <c r="A175">
        <f t="shared" si="4"/>
        <v>189</v>
      </c>
      <c r="B175" s="67">
        <v>215</v>
      </c>
      <c r="C175" s="81">
        <f>IF(ISNA(VLOOKUP($B175,DD_Info!$A$1:$E$216,5,0)),0,VLOOKUP($B175,DD_Info!$A$1:$E$216,5,0))</f>
        <v>2</v>
      </c>
      <c r="D175" t="str">
        <f>IF(ISNA(VLOOKUP($B175,DD_Info!$A$1:$E$216,2,0)),0,VLOOKUP($B175,DD_Info!$A$1:$E$216,2,0))</f>
        <v>Arnulfo  Esqueda</v>
      </c>
      <c r="E175" t="str">
        <f>IF(ISNA(VLOOKUP($B175,DD_Info!$A$1:$E$216,3,0)),0,VLOOKUP($B175,DD_Info!$A$1:$E$216,3,0))</f>
        <v>Brownsville</v>
      </c>
      <c r="F175">
        <f>ROUND(SUMIF(Councils!$C$6:$C$809,$B175,Councils!$E$6:$E$809),0)</f>
        <v>367</v>
      </c>
      <c r="G175">
        <f>ROUND(SUMIF(Councils!$C$6:$C$809,$B175,Councils!$F$6:$F$809)*0.7,0)</f>
        <v>13</v>
      </c>
      <c r="H175">
        <f>ROUND(SUMIF(Councils!$C$6:$C$809,$B175,Councils!$G$6:$G$809),0)</f>
        <v>0</v>
      </c>
      <c r="I175">
        <f>ROUND(SUMIF(Councils!$C$6:$C$809,$B175,Councils!$H$6:$H$809),0)</f>
        <v>4</v>
      </c>
      <c r="J175">
        <f>ROUND(SUMIF(Councils!$C$6:$C$809,$B175,Councils!$I$6:$I$809),0)</f>
        <v>-4</v>
      </c>
      <c r="K175">
        <f>ROUND(SUMIF(Councils!$C$6:$C$809,$B175,Councils!$J$6:$J$809),0)</f>
        <v>0</v>
      </c>
      <c r="L175">
        <f>ROUND(SUMIF(Councils!$C$6:$C$809,$B175,Councils!$K$6:$K$809),0)</f>
        <v>5</v>
      </c>
      <c r="M175">
        <f>ROUND(SUMIF(Councils!$C$6:$C$809,$B175,Councils!$L$6:$L$809),0)</f>
        <v>-5</v>
      </c>
      <c r="N175" s="63">
        <f t="shared" si="5"/>
        <v>-0.38461538461538464</v>
      </c>
    </row>
    <row r="176" spans="1:14">
      <c r="A176">
        <f t="shared" si="4"/>
        <v>17</v>
      </c>
      <c r="B176" s="67">
        <v>216</v>
      </c>
      <c r="C176" s="81">
        <f>IF(ISNA(VLOOKUP($B176,DD_Info!$A$1:$E$216,5,0)),0,VLOOKUP($B176,DD_Info!$A$1:$E$216,5,0))</f>
        <v>3</v>
      </c>
      <c r="D176" t="str">
        <f>IF(ISNA(VLOOKUP($B176,DD_Info!$A$1:$E$216,2,0)),0,VLOOKUP($B176,DD_Info!$A$1:$E$216,2,0))</f>
        <v>Carlos  Perez</v>
      </c>
      <c r="E176" t="str">
        <f>IF(ISNA(VLOOKUP($B176,DD_Info!$A$1:$E$216,3,0)),0,VLOOKUP($B176,DD_Info!$A$1:$E$216,3,0))</f>
        <v>Brownsville</v>
      </c>
      <c r="F176">
        <f>ROUND(SUMIF(Councils!$C$6:$C$809,$B176,Councils!$E$6:$E$809),0)</f>
        <v>282</v>
      </c>
      <c r="G176">
        <f>ROUND(SUMIF(Councils!$C$6:$C$809,$B176,Councils!$F$6:$F$809)*0.7,0)</f>
        <v>11</v>
      </c>
      <c r="H176">
        <f>ROUND(SUMIF(Councils!$C$6:$C$809,$B176,Councils!$G$6:$G$809),0)</f>
        <v>1</v>
      </c>
      <c r="I176">
        <f>ROUND(SUMIF(Councils!$C$6:$C$809,$B176,Councils!$H$6:$H$809),0)</f>
        <v>0</v>
      </c>
      <c r="J176">
        <f>ROUND(SUMIF(Councils!$C$6:$C$809,$B176,Councils!$I$6:$I$809),0)</f>
        <v>1</v>
      </c>
      <c r="K176">
        <f>ROUND(SUMIF(Councils!$C$6:$C$809,$B176,Councils!$J$6:$J$809),0)</f>
        <v>7</v>
      </c>
      <c r="L176">
        <f>ROUND(SUMIF(Councils!$C$6:$C$809,$B176,Councils!$K$6:$K$809),0)</f>
        <v>0</v>
      </c>
      <c r="M176">
        <f>ROUND(SUMIF(Councils!$C$6:$C$809,$B176,Councils!$L$6:$L$809),0)</f>
        <v>7</v>
      </c>
      <c r="N176" s="63">
        <f t="shared" si="5"/>
        <v>0.63636363636363635</v>
      </c>
    </row>
    <row r="177" spans="1:14">
      <c r="A177">
        <f t="shared" si="4"/>
        <v>123</v>
      </c>
      <c r="B177" s="67">
        <v>217</v>
      </c>
      <c r="C177" s="81">
        <f>IF(ISNA(VLOOKUP($B177,DD_Info!$A$1:$E$216,5,0)),0,VLOOKUP($B177,DD_Info!$A$1:$E$216,5,0))</f>
        <v>3</v>
      </c>
      <c r="D177" t="str">
        <f>IF(ISNA(VLOOKUP($B177,DD_Info!$A$1:$E$216,2,0)),0,VLOOKUP($B177,DD_Info!$A$1:$E$216,2,0))</f>
        <v>Eduardo  Garcia</v>
      </c>
      <c r="E177" t="str">
        <f>IF(ISNA(VLOOKUP($B177,DD_Info!$A$1:$E$216,3,0)),0,VLOOKUP($B177,DD_Info!$A$1:$E$216,3,0))</f>
        <v>Brownsville</v>
      </c>
      <c r="F177">
        <f>ROUND(SUMIF(Councils!$C$6:$C$809,$B177,Councils!$E$6:$E$809),0)</f>
        <v>209</v>
      </c>
      <c r="G177">
        <f>ROUND(SUMIF(Councils!$C$6:$C$809,$B177,Councils!$F$6:$F$809)*0.7,0)</f>
        <v>7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0</v>
      </c>
      <c r="L177">
        <f>ROUND(SUMIF(Councils!$C$6:$C$809,$B177,Councils!$K$6:$K$809),0)</f>
        <v>0</v>
      </c>
      <c r="M177">
        <f>ROUND(SUMIF(Councils!$C$6:$C$809,$B177,Councils!$L$6:$L$809),0)</f>
        <v>0</v>
      </c>
      <c r="N177" s="63">
        <f t="shared" si="5"/>
        <v>0</v>
      </c>
    </row>
    <row r="178" spans="1:14">
      <c r="A178">
        <f t="shared" si="4"/>
        <v>32</v>
      </c>
      <c r="B178" s="67">
        <v>221</v>
      </c>
      <c r="C178" s="81">
        <f>IF(ISNA(VLOOKUP($B178,DD_Info!$A$1:$E$216,5,0)),0,VLOOKUP($B178,DD_Info!$A$1:$E$216,5,0))</f>
        <v>2</v>
      </c>
      <c r="D178" t="str">
        <f>IF(ISNA(VLOOKUP($B178,DD_Info!$A$1:$E$216,2,0)),0,VLOOKUP($B178,DD_Info!$A$1:$E$216,2,0))</f>
        <v>Roman M Estrada</v>
      </c>
      <c r="E178" t="str">
        <f>IF(ISNA(VLOOKUP($B178,DD_Info!$A$1:$E$216,3,0)),0,VLOOKUP($B178,DD_Info!$A$1:$E$216,3,0))</f>
        <v>San Angelo</v>
      </c>
      <c r="F178">
        <f>ROUND(SUMIF(Councils!$C$6:$C$809,$B178,Councils!$E$6:$E$809),0)</f>
        <v>314</v>
      </c>
      <c r="G178">
        <f>ROUND(SUMIF(Councils!$C$6:$C$809,$B178,Councils!$F$6:$F$809)*0.7,0)</f>
        <v>11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5</v>
      </c>
      <c r="L178">
        <f>ROUND(SUMIF(Councils!$C$6:$C$809,$B178,Councils!$K$6:$K$809),0)</f>
        <v>0</v>
      </c>
      <c r="M178">
        <f>ROUND(SUMIF(Councils!$C$6:$C$809,$B178,Councils!$L$6:$L$809),0)</f>
        <v>5</v>
      </c>
      <c r="N178" s="63">
        <f t="shared" si="5"/>
        <v>0.45454545454545453</v>
      </c>
    </row>
    <row r="179" spans="1:14">
      <c r="A179">
        <f t="shared" si="4"/>
        <v>121</v>
      </c>
      <c r="B179" s="67">
        <v>223</v>
      </c>
      <c r="C179" s="81">
        <f>IF(ISNA(VLOOKUP($B179,DD_Info!$A$1:$E$216,5,0)),0,VLOOKUP($B179,DD_Info!$A$1:$E$216,5,0))</f>
        <v>1</v>
      </c>
      <c r="D179" t="str">
        <f>IF(ISNA(VLOOKUP($B179,DD_Info!$A$1:$E$216,2,0)),0,VLOOKUP($B179,DD_Info!$A$1:$E$216,2,0))</f>
        <v>Aloysius "Al" E NovoGradac Jr</v>
      </c>
      <c r="E179" t="str">
        <f>IF(ISNA(VLOOKUP($B179,DD_Info!$A$1:$E$216,3,0)),0,VLOOKUP($B179,DD_Info!$A$1:$E$216,3,0))</f>
        <v>San Angelo</v>
      </c>
      <c r="F179">
        <f>ROUND(SUMIF(Councils!$C$6:$C$809,$B179,Councils!$E$6:$E$809),0)</f>
        <v>732</v>
      </c>
      <c r="G179">
        <f>ROUND(SUMIF(Councils!$C$6:$C$809,$B179,Councils!$F$6:$F$809)*0.7,0)</f>
        <v>25</v>
      </c>
      <c r="H179">
        <f>ROUND(SUMIF(Councils!$C$6:$C$809,$B179,Councils!$G$6:$G$809),0)</f>
        <v>1</v>
      </c>
      <c r="I179">
        <f>ROUND(SUMIF(Councils!$C$6:$C$809,$B179,Councils!$H$6:$H$809),0)</f>
        <v>0</v>
      </c>
      <c r="J179">
        <f>ROUND(SUMIF(Councils!$C$6:$C$809,$B179,Councils!$I$6:$I$809),0)</f>
        <v>1</v>
      </c>
      <c r="K179">
        <f>ROUND(SUMIF(Councils!$C$6:$C$809,$B179,Councils!$J$6:$J$809),0)</f>
        <v>1</v>
      </c>
      <c r="L179">
        <f>ROUND(SUMIF(Councils!$C$6:$C$809,$B179,Councils!$K$6:$K$809),0)</f>
        <v>0</v>
      </c>
      <c r="M179">
        <f>ROUND(SUMIF(Councils!$C$6:$C$809,$B179,Councils!$L$6:$L$809),0)</f>
        <v>1</v>
      </c>
      <c r="N179" s="63">
        <f t="shared" si="5"/>
        <v>0.04</v>
      </c>
    </row>
    <row r="180" spans="1:14">
      <c r="A180">
        <f t="shared" si="4"/>
        <v>123</v>
      </c>
      <c r="B180" s="67">
        <v>225</v>
      </c>
      <c r="C180" s="81">
        <f>IF(ISNA(VLOOKUP($B180,DD_Info!$A$1:$E$216,5,0)),0,VLOOKUP($B180,DD_Info!$A$1:$E$216,5,0))</f>
        <v>3</v>
      </c>
      <c r="D180" t="str">
        <f>IF(ISNA(VLOOKUP($B180,DD_Info!$A$1:$E$216,2,0)),0,VLOOKUP($B180,DD_Info!$A$1:$E$216,2,0))</f>
        <v>Frank  Casares</v>
      </c>
      <c r="E180" t="str">
        <f>IF(ISNA(VLOOKUP($B180,DD_Info!$A$1:$E$216,3,0)),0,VLOOKUP($B180,DD_Info!$A$1:$E$216,3,0))</f>
        <v>San Angelo</v>
      </c>
      <c r="F180">
        <f>ROUND(SUMIF(Councils!$C$6:$C$809,$B180,Councils!$E$6:$E$809),0)</f>
        <v>211</v>
      </c>
      <c r="G180">
        <f>ROUND(SUMIF(Councils!$C$6:$C$809,$B180,Councils!$F$6:$F$809)*0.7,0)</f>
        <v>8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123</v>
      </c>
      <c r="B181" s="67">
        <v>226</v>
      </c>
      <c r="C181" s="81">
        <f>IF(ISNA(VLOOKUP($B181,DD_Info!$A$1:$E$216,5,0)),0,VLOOKUP($B181,DD_Info!$A$1:$E$216,5,0))</f>
        <v>3</v>
      </c>
      <c r="D181" t="str">
        <f>IF(ISNA(VLOOKUP($B181,DD_Info!$A$1:$E$216,2,0)),0,VLOOKUP($B181,DD_Info!$A$1:$E$216,2,0))</f>
        <v>Deacon Frankie D Aguirre</v>
      </c>
      <c r="E181" t="str">
        <f>IF(ISNA(VLOOKUP($B181,DD_Info!$A$1:$E$216,3,0)),0,VLOOKUP($B181,DD_Info!$A$1:$E$216,3,0))</f>
        <v>San Angelo</v>
      </c>
      <c r="F181">
        <f>ROUND(SUMIF(Councils!$C$6:$C$809,$B181,Councils!$E$6:$E$809),0)</f>
        <v>281</v>
      </c>
      <c r="G181">
        <f>ROUND(SUMIF(Councils!$C$6:$C$809,$B181,Councils!$F$6:$F$809)*0.7,0)</f>
        <v>11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0</v>
      </c>
      <c r="L181">
        <f>ROUND(SUMIF(Councils!$C$6:$C$809,$B181,Councils!$K$6:$K$809),0)</f>
        <v>0</v>
      </c>
      <c r="M181">
        <f>ROUND(SUMIF(Councils!$C$6:$C$809,$B181,Councils!$L$6:$L$809),0)</f>
        <v>0</v>
      </c>
      <c r="N181" s="63">
        <f t="shared" si="5"/>
        <v>0</v>
      </c>
    </row>
    <row r="182" spans="1:14">
      <c r="A182">
        <f t="shared" si="4"/>
        <v>113</v>
      </c>
      <c r="B182" s="67">
        <v>228</v>
      </c>
      <c r="C182" s="81">
        <f>IF(ISNA(VLOOKUP($B182,DD_Info!$A$1:$E$216,5,0)),0,VLOOKUP($B182,DD_Info!$A$1:$E$216,5,0))</f>
        <v>2</v>
      </c>
      <c r="D182" t="str">
        <f>IF(ISNA(VLOOKUP($B182,DD_Info!$A$1:$E$216,2,0)),0,VLOOKUP($B182,DD_Info!$A$1:$E$216,2,0))</f>
        <v>Steven  Knight</v>
      </c>
      <c r="E182" t="str">
        <f>IF(ISNA(VLOOKUP($B182,DD_Info!$A$1:$E$216,3,0)),0,VLOOKUP($B182,DD_Info!$A$1:$E$216,3,0))</f>
        <v>San Angelo</v>
      </c>
      <c r="F182">
        <f>ROUND(SUMIF(Councils!$C$6:$C$809,$B182,Councils!$E$6:$E$809),0)</f>
        <v>473</v>
      </c>
      <c r="G182">
        <f>ROUND(SUMIF(Councils!$C$6:$C$809,$B182,Councils!$F$6:$F$809)*0.7,0)</f>
        <v>16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1</v>
      </c>
      <c r="L182">
        <f>ROUND(SUMIF(Councils!$C$6:$C$809,$B182,Councils!$K$6:$K$809),0)</f>
        <v>0</v>
      </c>
      <c r="M182">
        <f>ROUND(SUMIF(Councils!$C$6:$C$809,$B182,Councils!$L$6:$L$809),0)</f>
        <v>1</v>
      </c>
      <c r="N182" s="63">
        <f t="shared" si="5"/>
        <v>6.25E-2</v>
      </c>
    </row>
    <row r="183" spans="1:14">
      <c r="A183">
        <f t="shared" si="4"/>
        <v>173</v>
      </c>
      <c r="B183" s="67">
        <v>229</v>
      </c>
      <c r="C183" s="81">
        <f>IF(ISNA(VLOOKUP($B183,DD_Info!$A$1:$E$216,5,0)),0,VLOOKUP($B183,DD_Info!$A$1:$E$216,5,0))</f>
        <v>2</v>
      </c>
      <c r="D183" t="str">
        <f>IF(ISNA(VLOOKUP($B183,DD_Info!$A$1:$E$216,2,0)),0,VLOOKUP($B183,DD_Info!$A$1:$E$216,2,0))</f>
        <v>Gregory  Huffman</v>
      </c>
      <c r="E183" t="str">
        <f>IF(ISNA(VLOOKUP($B183,DD_Info!$A$1:$E$216,3,0)),0,VLOOKUP($B183,DD_Info!$A$1:$E$216,3,0))</f>
        <v>San Angelo</v>
      </c>
      <c r="F183">
        <f>ROUND(SUMIF(Councils!$C$6:$C$809,$B183,Councils!$E$6:$E$809),0)</f>
        <v>363</v>
      </c>
      <c r="G183">
        <f>ROUND(SUMIF(Councils!$C$6:$C$809,$B183,Councils!$F$6:$F$809)*0.7,0)</f>
        <v>12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0</v>
      </c>
      <c r="L183">
        <f>ROUND(SUMIF(Councils!$C$6:$C$809,$B183,Councils!$K$6:$K$809),0)</f>
        <v>1</v>
      </c>
      <c r="M183">
        <f>ROUND(SUMIF(Councils!$C$6:$C$809,$B183,Councils!$L$6:$L$809),0)</f>
        <v>-1</v>
      </c>
      <c r="N183" s="63">
        <f t="shared" si="5"/>
        <v>-8.3333333333333329E-2</v>
      </c>
    </row>
    <row r="184" spans="1:14">
      <c r="A184">
        <f t="shared" si="4"/>
        <v>123</v>
      </c>
      <c r="B184" s="67">
        <v>230</v>
      </c>
      <c r="C184" s="81">
        <f>IF(ISNA(VLOOKUP($B184,DD_Info!$A$1:$E$216,5,0)),0,VLOOKUP($B184,DD_Info!$A$1:$E$216,5,0))</f>
        <v>3</v>
      </c>
      <c r="D184" t="str">
        <f>IF(ISNA(VLOOKUP($B184,DD_Info!$A$1:$E$216,2,0)),0,VLOOKUP($B184,DD_Info!$A$1:$E$216,2,0))</f>
        <v>Joe  Jacobo</v>
      </c>
      <c r="E184" t="str">
        <f>IF(ISNA(VLOOKUP($B184,DD_Info!$A$1:$E$216,3,0)),0,VLOOKUP($B184,DD_Info!$A$1:$E$216,3,0))</f>
        <v>San Angelo</v>
      </c>
      <c r="F184">
        <f>ROUND(SUMIF(Councils!$C$6:$C$809,$B184,Councils!$E$6:$E$809),0)</f>
        <v>14</v>
      </c>
      <c r="G184">
        <f>ROUND(SUMIF(Councils!$C$6:$C$809,$B184,Councils!$F$6:$F$809)*0.7,0)</f>
        <v>8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196</v>
      </c>
      <c r="B185" s="67">
        <v>231</v>
      </c>
      <c r="C185" s="81">
        <f>IF(ISNA(VLOOKUP($B185,DD_Info!$A$1:$E$216,5,0)),0,VLOOKUP($B185,DD_Info!$A$1:$E$216,5,0))</f>
        <v>2</v>
      </c>
      <c r="D185" t="str">
        <f>IF(ISNA(VLOOKUP($B185,DD_Info!$A$1:$E$216,2,0)),0,VLOOKUP($B185,DD_Info!$A$1:$E$216,2,0))</f>
        <v>Isaac A Gonzalez</v>
      </c>
      <c r="E185" t="str">
        <f>IF(ISNA(VLOOKUP($B185,DD_Info!$A$1:$E$216,3,0)),0,VLOOKUP($B185,DD_Info!$A$1:$E$216,3,0))</f>
        <v>Laredo</v>
      </c>
      <c r="F185">
        <f>ROUND(SUMIF(Councils!$C$6:$C$809,$B185,Councils!$E$6:$E$809),0)</f>
        <v>354</v>
      </c>
      <c r="G185">
        <f>ROUND(SUMIF(Councils!$C$6:$C$809,$B185,Councils!$F$6:$F$809)*0.7,0)</f>
        <v>15</v>
      </c>
      <c r="H185">
        <f>ROUND(SUMIF(Councils!$C$6:$C$809,$B185,Councils!$G$6:$G$809),0)</f>
        <v>0</v>
      </c>
      <c r="I185">
        <f>ROUND(SUMIF(Councils!$C$6:$C$809,$B185,Councils!$H$6:$H$809),0)</f>
        <v>0</v>
      </c>
      <c r="J185">
        <f>ROUND(SUMIF(Councils!$C$6:$C$809,$B185,Councils!$I$6:$I$809),0)</f>
        <v>0</v>
      </c>
      <c r="K185">
        <f>ROUND(SUMIF(Councils!$C$6:$C$809,$B185,Councils!$J$6:$J$809),0)</f>
        <v>8</v>
      </c>
      <c r="L185">
        <f>ROUND(SUMIF(Councils!$C$6:$C$809,$B185,Councils!$K$6:$K$809),0)</f>
        <v>21</v>
      </c>
      <c r="M185">
        <f>ROUND(SUMIF(Councils!$C$6:$C$809,$B185,Councils!$L$6:$L$809),0)</f>
        <v>-13</v>
      </c>
      <c r="N185" s="63">
        <f t="shared" si="5"/>
        <v>-0.8666666666666667</v>
      </c>
    </row>
    <row r="186" spans="1:14">
      <c r="A186">
        <f t="shared" si="4"/>
        <v>105</v>
      </c>
      <c r="B186" s="67">
        <v>232</v>
      </c>
      <c r="C186" s="81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Luis  Rodriguez</v>
      </c>
      <c r="E186" t="str">
        <f>IF(ISNA(VLOOKUP($B186,DD_Info!$A$1:$E$216,3,0)),0,VLOOKUP($B186,DD_Info!$A$1:$E$216,3,0))</f>
        <v>Laredo</v>
      </c>
      <c r="F186">
        <f>ROUND(SUMIF(Councils!$C$6:$C$809,$B186,Councils!$E$6:$E$809),0)</f>
        <v>189</v>
      </c>
      <c r="G186">
        <f>ROUND(SUMIF(Councils!$C$6:$C$809,$B186,Councils!$F$6:$F$809)*0.7,0)</f>
        <v>12</v>
      </c>
      <c r="H186">
        <f>ROUND(SUMIF(Councils!$C$6:$C$809,$B186,Councils!$G$6:$G$809),0)</f>
        <v>0</v>
      </c>
      <c r="I186">
        <f>ROUND(SUMIF(Councils!$C$6:$C$809,$B186,Councils!$H$6:$H$809),0)</f>
        <v>0</v>
      </c>
      <c r="J186">
        <f>ROUND(SUMIF(Councils!$C$6:$C$809,$B186,Councils!$I$6:$I$809),0)</f>
        <v>0</v>
      </c>
      <c r="K186">
        <f>ROUND(SUMIF(Councils!$C$6:$C$809,$B186,Councils!$J$6:$J$809),0)</f>
        <v>1</v>
      </c>
      <c r="L186">
        <f>ROUND(SUMIF(Councils!$C$6:$C$809,$B186,Councils!$K$6:$K$809),0)</f>
        <v>0</v>
      </c>
      <c r="M186">
        <f>ROUND(SUMIF(Councils!$C$6:$C$809,$B186,Councils!$L$6:$L$809),0)</f>
        <v>1</v>
      </c>
      <c r="N186" s="63">
        <f t="shared" si="5"/>
        <v>8.3333333333333329E-2</v>
      </c>
    </row>
    <row r="187" spans="1:14">
      <c r="A187">
        <f t="shared" si="4"/>
        <v>123</v>
      </c>
      <c r="B187" s="67">
        <v>233</v>
      </c>
      <c r="C187" s="81">
        <f>IF(ISNA(VLOOKUP($B187,DD_Info!$A$1:$E$216,5,0)),0,VLOOKUP($B187,DD_Info!$A$1:$E$216,5,0))</f>
        <v>3</v>
      </c>
      <c r="D187" t="str">
        <f>IF(ISNA(VLOOKUP($B187,DD_Info!$A$1:$E$216,2,0)),0,VLOOKUP($B187,DD_Info!$A$1:$E$216,2,0))</f>
        <v>Luis J Collazo</v>
      </c>
      <c r="E187" t="str">
        <f>IF(ISNA(VLOOKUP($B187,DD_Info!$A$1:$E$216,3,0)),0,VLOOKUP($B187,DD_Info!$A$1:$E$216,3,0))</f>
        <v>Laredo</v>
      </c>
      <c r="F187">
        <f>ROUND(SUMIF(Councils!$C$6:$C$809,$B187,Councils!$E$6:$E$809),0)</f>
        <v>135</v>
      </c>
      <c r="G187">
        <f>ROUND(SUMIF(Councils!$C$6:$C$809,$B187,Councils!$F$6:$F$809)*0.7,0)</f>
        <v>5</v>
      </c>
      <c r="H187">
        <f>ROUND(SUMIF(Councils!$C$6:$C$809,$B187,Councils!$G$6:$G$809),0)</f>
        <v>0</v>
      </c>
      <c r="I187">
        <f>ROUND(SUMIF(Councils!$C$6:$C$809,$B187,Councils!$H$6:$H$809),0)</f>
        <v>0</v>
      </c>
      <c r="J187">
        <f>ROUND(SUMIF(Councils!$C$6:$C$809,$B187,Councils!$I$6:$I$809),0)</f>
        <v>0</v>
      </c>
      <c r="K187">
        <f>ROUND(SUMIF(Councils!$C$6:$C$809,$B187,Councils!$J$6:$J$809),0)</f>
        <v>0</v>
      </c>
      <c r="L187">
        <f>ROUND(SUMIF(Councils!$C$6:$C$809,$B187,Councils!$K$6:$K$809),0)</f>
        <v>0</v>
      </c>
      <c r="M187">
        <f>ROUND(SUMIF(Councils!$C$6:$C$809,$B187,Councils!$L$6:$L$809),0)</f>
        <v>0</v>
      </c>
      <c r="N187" s="63">
        <f t="shared" si="5"/>
        <v>0</v>
      </c>
    </row>
    <row r="188" spans="1:14">
      <c r="A188">
        <f t="shared" si="4"/>
        <v>19</v>
      </c>
      <c r="B188" s="67">
        <v>234</v>
      </c>
      <c r="C188" s="81">
        <f>IF(ISNA(VLOOKUP($B188,DD_Info!$A$1:$E$216,5,0)),0,VLOOKUP($B188,DD_Info!$A$1:$E$216,5,0))</f>
        <v>2</v>
      </c>
      <c r="D188" t="str">
        <f>IF(ISNA(VLOOKUP($B188,DD_Info!$A$1:$E$216,2,0)),0,VLOOKUP($B188,DD_Info!$A$1:$E$216,2,0))</f>
        <v>Jose A Ramos</v>
      </c>
      <c r="E188" t="str">
        <f>IF(ISNA(VLOOKUP($B188,DD_Info!$A$1:$E$216,3,0)),0,VLOOKUP($B188,DD_Info!$A$1:$E$216,3,0))</f>
        <v>Laredo</v>
      </c>
      <c r="F188">
        <f>ROUND(SUMIF(Councils!$C$6:$C$809,$B188,Councils!$E$6:$E$809),0)</f>
        <v>332</v>
      </c>
      <c r="G188">
        <f>ROUND(SUMIF(Councils!$C$6:$C$809,$B188,Councils!$F$6:$F$809)*0.7,0)</f>
        <v>13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8</v>
      </c>
      <c r="L188">
        <f>ROUND(SUMIF(Councils!$C$6:$C$809,$B188,Councils!$K$6:$K$809),0)</f>
        <v>0</v>
      </c>
      <c r="M188">
        <f>ROUND(SUMIF(Councils!$C$6:$C$809,$B188,Councils!$L$6:$L$809),0)</f>
        <v>8</v>
      </c>
      <c r="N188" s="63">
        <f t="shared" si="5"/>
        <v>0.61538461538461542</v>
      </c>
    </row>
    <row r="189" spans="1:14">
      <c r="A189">
        <f t="shared" si="4"/>
        <v>101</v>
      </c>
      <c r="B189" s="67">
        <v>235</v>
      </c>
      <c r="C189" s="81">
        <f>IF(ISNA(VLOOKUP($B189,DD_Info!$A$1:$E$216,5,0)),0,VLOOKUP($B189,DD_Info!$A$1:$E$216,5,0))</f>
        <v>2</v>
      </c>
      <c r="D189" t="str">
        <f>IF(ISNA(VLOOKUP($B189,DD_Info!$A$1:$E$216,2,0)),0,VLOOKUP($B189,DD_Info!$A$1:$E$216,2,0))</f>
        <v>Luciano V Vargas</v>
      </c>
      <c r="E189" t="str">
        <f>IF(ISNA(VLOOKUP($B189,DD_Info!$A$1:$E$216,3,0)),0,VLOOKUP($B189,DD_Info!$A$1:$E$216,3,0))</f>
        <v>Laredo</v>
      </c>
      <c r="F189">
        <f>ROUND(SUMIF(Councils!$C$6:$C$809,$B189,Councils!$E$6:$E$809),0)</f>
        <v>307</v>
      </c>
      <c r="G189">
        <f>ROUND(SUMIF(Councils!$C$6:$C$809,$B189,Councils!$F$6:$F$809)*0.7,0)</f>
        <v>11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9.0909090909090912E-2</v>
      </c>
    </row>
    <row r="190" spans="1:14">
      <c r="A190">
        <f t="shared" si="4"/>
        <v>59</v>
      </c>
      <c r="B190" s="67">
        <v>236</v>
      </c>
      <c r="C190" s="81">
        <f>IF(ISNA(VLOOKUP($B190,DD_Info!$A$1:$E$216,5,0)),0,VLOOKUP($B190,DD_Info!$A$1:$E$216,5,0))</f>
        <v>3</v>
      </c>
      <c r="D190" t="str">
        <f>IF(ISNA(VLOOKUP($B190,DD_Info!$A$1:$E$216,2,0)),0,VLOOKUP($B190,DD_Info!$A$1:$E$216,2,0))</f>
        <v>Enrique  Adriano</v>
      </c>
      <c r="E190" t="str">
        <f>IF(ISNA(VLOOKUP($B190,DD_Info!$A$1:$E$216,3,0)),0,VLOOKUP($B190,DD_Info!$A$1:$E$216,3,0))</f>
        <v>Laredo</v>
      </c>
      <c r="F190">
        <f>ROUND(SUMIF(Councils!$C$6:$C$809,$B190,Councils!$E$6:$E$809),0)</f>
        <v>193</v>
      </c>
      <c r="G190">
        <f>ROUND(SUMIF(Councils!$C$6:$C$809,$B190,Councils!$F$6:$F$809)*0.7,0)</f>
        <v>8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2</v>
      </c>
      <c r="L190">
        <f>ROUND(SUMIF(Councils!$C$6:$C$809,$B190,Councils!$K$6:$K$809),0)</f>
        <v>0</v>
      </c>
      <c r="M190">
        <f>ROUND(SUMIF(Councils!$C$6:$C$809,$B190,Councils!$L$6:$L$809),0)</f>
        <v>2</v>
      </c>
      <c r="N190" s="63">
        <f t="shared" si="5"/>
        <v>0.25</v>
      </c>
    </row>
    <row r="191" spans="1:14">
      <c r="A191">
        <f t="shared" si="4"/>
        <v>123</v>
      </c>
      <c r="B191" s="67">
        <v>237</v>
      </c>
      <c r="C191" s="81">
        <f>IF(ISNA(VLOOKUP($B191,DD_Info!$A$1:$E$216,5,0)),0,VLOOKUP($B191,DD_Info!$A$1:$E$216,5,0))</f>
        <v>3</v>
      </c>
      <c r="D191" t="str">
        <f>IF(ISNA(VLOOKUP($B191,DD_Info!$A$1:$E$216,2,0)),0,VLOOKUP($B191,DD_Info!$A$1:$E$216,2,0))</f>
        <v>Eduardo  Benavidez</v>
      </c>
      <c r="E191" t="str">
        <f>IF(ISNA(VLOOKUP($B191,DD_Info!$A$1:$E$216,3,0)),0,VLOOKUP($B191,DD_Info!$A$1:$E$216,3,0))</f>
        <v>Laredo</v>
      </c>
      <c r="F191">
        <f>ROUND(SUMIF(Councils!$C$6:$C$809,$B191,Councils!$E$6:$E$809),0)</f>
        <v>155</v>
      </c>
      <c r="G191">
        <f>ROUND(SUMIF(Councils!$C$6:$C$809,$B191,Councils!$F$6:$F$809)*0.7,0)</f>
        <v>7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123</v>
      </c>
      <c r="B192" s="67">
        <v>238</v>
      </c>
      <c r="C192" s="81">
        <f>IF(ISNA(VLOOKUP($B192,DD_Info!$A$1:$E$216,5,0)),0,VLOOKUP($B192,DD_Info!$A$1:$E$216,5,0))</f>
        <v>3</v>
      </c>
      <c r="D192" t="str">
        <f>IF(ISNA(VLOOKUP($B192,DD_Info!$A$1:$E$216,2,0)),0,VLOOKUP($B192,DD_Info!$A$1:$E$216,2,0))</f>
        <v>Adan  Gonzalez</v>
      </c>
      <c r="E192" t="str">
        <f>IF(ISNA(VLOOKUP($B192,DD_Info!$A$1:$E$216,3,0)),0,VLOOKUP($B192,DD_Info!$A$1:$E$216,3,0))</f>
        <v>Laredo</v>
      </c>
      <c r="F192">
        <f>ROUND(SUMIF(Councils!$C$6:$C$809,$B192,Councils!$E$6:$E$809),0)</f>
        <v>176</v>
      </c>
      <c r="G192">
        <f>ROUND(SUMIF(Councils!$C$6:$C$809,$B192,Councils!$F$6:$F$809)*0.7,0)</f>
        <v>7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0</v>
      </c>
      <c r="L192">
        <f>ROUND(SUMIF(Councils!$C$6:$C$809,$B192,Councils!$K$6:$K$809),0)</f>
        <v>0</v>
      </c>
      <c r="M192">
        <f>ROUND(SUMIF(Councils!$C$6:$C$809,$B192,Councils!$L$6:$L$809),0)</f>
        <v>0</v>
      </c>
      <c r="N192" s="63">
        <f t="shared" si="5"/>
        <v>0</v>
      </c>
    </row>
    <row r="193" spans="1:14">
      <c r="A193">
        <f t="shared" si="4"/>
        <v>123</v>
      </c>
      <c r="B193" s="67">
        <v>241</v>
      </c>
      <c r="C193" s="81">
        <f>IF(ISNA(VLOOKUP($B193,DD_Info!$A$1:$E$216,5,0)),0,VLOOKUP($B193,DD_Info!$A$1:$E$216,5,0))</f>
        <v>3</v>
      </c>
      <c r="D193" t="str">
        <f>IF(ISNA(VLOOKUP($B193,DD_Info!$A$1:$E$216,2,0)),0,VLOOKUP($B193,DD_Info!$A$1:$E$216,2,0))</f>
        <v>Arlie E Markusen</v>
      </c>
      <c r="E193" t="str">
        <f>IF(ISNA(VLOOKUP($B193,DD_Info!$A$1:$E$216,3,0)),0,VLOOKUP($B193,DD_Info!$A$1:$E$216,3,0))</f>
        <v>Lubbock</v>
      </c>
      <c r="F193">
        <f>ROUND(SUMIF(Councils!$C$6:$C$809,$B193,Councils!$E$6:$E$809),0)</f>
        <v>93</v>
      </c>
      <c r="G193">
        <f>ROUND(SUMIF(Councils!$C$6:$C$809,$B193,Councils!$F$6:$F$809)*0.7,0)</f>
        <v>6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08" si="6">RANK(N194,$N$2:$N$208,0)</f>
        <v>68</v>
      </c>
      <c r="B194" s="67">
        <v>245</v>
      </c>
      <c r="C194" s="81">
        <f>IF(ISNA(VLOOKUP($B194,DD_Info!$A$1:$E$216,5,0)),0,VLOOKUP($B194,DD_Info!$A$1:$E$216,5,0))</f>
        <v>0</v>
      </c>
      <c r="D194">
        <f>IF(ISNA(VLOOKUP($B194,DD_Info!$A$1:$E$216,2,0)),0,VLOOKUP($B194,DD_Info!$A$1:$E$216,2,0))</f>
        <v>0</v>
      </c>
      <c r="E194">
        <f>IF(ISNA(VLOOKUP($B194,DD_Info!$A$1:$E$216,3,0)),0,VLOOKUP($B194,DD_Info!$A$1:$E$216,3,0))</f>
        <v>0</v>
      </c>
      <c r="F194">
        <f>ROUND(SUMIF(Councils!$C$6:$C$809,$B194,Councils!$E$6:$E$809),0)</f>
        <v>284</v>
      </c>
      <c r="G194">
        <f>ROUND(SUMIF(Councils!$C$6:$C$809,$B194,Councils!$F$6:$F$809)*0.7,0)</f>
        <v>13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3</v>
      </c>
      <c r="L194">
        <f>ROUND(SUMIF(Councils!$C$6:$C$809,$B194,Councils!$K$6:$K$809),0)</f>
        <v>0</v>
      </c>
      <c r="M194">
        <f>ROUND(SUMIF(Councils!$C$6:$C$809,$B194,Councils!$L$6:$L$809),0)</f>
        <v>3</v>
      </c>
      <c r="N194" s="63">
        <f t="shared" ref="N194:N208" si="7">IFERROR(M194/G194,0)</f>
        <v>0.23076923076923078</v>
      </c>
    </row>
    <row r="195" spans="1:14">
      <c r="A195">
        <f t="shared" si="6"/>
        <v>201</v>
      </c>
      <c r="B195" s="67">
        <v>111</v>
      </c>
      <c r="C195" s="81">
        <f>IF(ISNA(VLOOKUP($B195,DD_Info!$A$1:$E$216,5,0)),0,VLOOKUP($B195,DD_Info!$A$1:$E$216,5,0))</f>
        <v>1</v>
      </c>
      <c r="D195" t="str">
        <f>IF(ISNA(VLOOKUP($B195,DD_Info!$A$1:$E$216,2,0)),0,VLOOKUP($B195,DD_Info!$A$1:$E$216,2,0))</f>
        <v>Edward J Stankunas</v>
      </c>
      <c r="E195" t="str">
        <f>IF(ISNA(VLOOKUP($B195,DD_Info!$A$1:$E$216,3,0)),0,VLOOKUP($B195,DD_Info!$A$1:$E$216,3,0))</f>
        <v>Dallas</v>
      </c>
      <c r="F195">
        <f>ROUND(SUMIF(Councils!$C$6:$C$809,$B195,Councils!$E$6:$E$809),0)</f>
        <v>1531</v>
      </c>
      <c r="G195">
        <f>ROUND(SUMIF(Councils!$C$6:$C$809,$B195,Councils!$F$6:$F$809)*0.7,0)</f>
        <v>46</v>
      </c>
      <c r="H195">
        <f>ROUND(SUMIF(Councils!$C$6:$C$809,$B195,Councils!$G$6:$G$809),0)</f>
        <v>0</v>
      </c>
      <c r="I195">
        <f>ROUND(SUMIF(Councils!$C$6:$C$809,$B195,Councils!$H$6:$H$809),0)</f>
        <v>49</v>
      </c>
      <c r="J195">
        <f>ROUND(SUMIF(Councils!$C$6:$C$809,$B195,Councils!$I$6:$I$809),0)</f>
        <v>-49</v>
      </c>
      <c r="K195">
        <f>ROUND(SUMIF(Councils!$C$6:$C$809,$B195,Councils!$J$6:$J$809),0)</f>
        <v>17</v>
      </c>
      <c r="L195">
        <f>ROUND(SUMIF(Councils!$C$6:$C$809,$B195,Councils!$K$6:$K$809),0)</f>
        <v>76</v>
      </c>
      <c r="M195">
        <f>ROUND(SUMIF(Councils!$C$6:$C$809,$B195,Councils!$L$6:$L$809),0)</f>
        <v>-59</v>
      </c>
      <c r="N195" s="63">
        <f t="shared" si="7"/>
        <v>-1.2826086956521738</v>
      </c>
    </row>
    <row r="196" spans="1:14">
      <c r="A196">
        <f t="shared" si="6"/>
        <v>55</v>
      </c>
      <c r="B196" s="67">
        <v>18</v>
      </c>
      <c r="C196" s="81">
        <f>IF(ISNA(VLOOKUP($B196,DD_Info!$A$1:$E$216,5,0)),0,VLOOKUP($B196,DD_Info!$A$1:$E$216,5,0))</f>
        <v>1</v>
      </c>
      <c r="D196" t="str">
        <f>IF(ISNA(VLOOKUP($B196,DD_Info!$A$1:$E$216,2,0)),0,VLOOKUP($B196,DD_Info!$A$1:$E$216,2,0))</f>
        <v>Richard  Norgaard</v>
      </c>
      <c r="E196" t="str">
        <f>IF(ISNA(VLOOKUP($B196,DD_Info!$A$1:$E$216,3,0)),0,VLOOKUP($B196,DD_Info!$A$1:$E$216,3,0))</f>
        <v>Fort Worth</v>
      </c>
      <c r="F196">
        <f>ROUND(SUMIF(Councils!$C$6:$C$809,$B196,Councils!$E$6:$E$809),0)</f>
        <v>979</v>
      </c>
      <c r="G196">
        <f>ROUND(SUMIF(Councils!$C$6:$C$809,$B196,Councils!$F$6:$F$809)*0.7,0)</f>
        <v>28</v>
      </c>
      <c r="H196">
        <f>ROUND(SUMIF(Councils!$C$6:$C$809,$B196,Councils!$G$6:$G$809),0)</f>
        <v>2</v>
      </c>
      <c r="I196">
        <f>ROUND(SUMIF(Councils!$C$6:$C$809,$B196,Councils!$H$6:$H$809),0)</f>
        <v>0</v>
      </c>
      <c r="J196">
        <f>ROUND(SUMIF(Councils!$C$6:$C$809,$B196,Councils!$I$6:$I$809),0)</f>
        <v>2</v>
      </c>
      <c r="K196">
        <f>ROUND(SUMIF(Councils!$C$6:$C$809,$B196,Councils!$J$6:$J$809),0)</f>
        <v>8</v>
      </c>
      <c r="L196">
        <f>ROUND(SUMIF(Councils!$C$6:$C$809,$B196,Councils!$K$6:$K$809),0)</f>
        <v>0</v>
      </c>
      <c r="M196">
        <f>ROUND(SUMIF(Councils!$C$6:$C$809,$B196,Councils!$L$6:$L$809),0)</f>
        <v>8</v>
      </c>
      <c r="N196" s="63">
        <f t="shared" si="7"/>
        <v>0.2857142857142857</v>
      </c>
    </row>
    <row r="197" spans="1:14">
      <c r="A197">
        <f t="shared" si="6"/>
        <v>23</v>
      </c>
      <c r="B197" s="67">
        <v>92</v>
      </c>
      <c r="C197" s="81">
        <f>IF(ISNA(VLOOKUP($B197,DD_Info!$A$1:$E$216,5,0)),0,VLOOKUP($B197,DD_Info!$A$1:$E$216,5,0))</f>
        <v>1</v>
      </c>
      <c r="D197" t="str">
        <f>IF(ISNA(VLOOKUP($B197,DD_Info!$A$1:$E$216,2,0)),0,VLOOKUP($B197,DD_Info!$A$1:$E$216,2,0))</f>
        <v>Robert "Bob" H Schmidt</v>
      </c>
      <c r="E197" t="str">
        <f>IF(ISNA(VLOOKUP($B197,DD_Info!$A$1:$E$216,3,0)),0,VLOOKUP($B197,DD_Info!$A$1:$E$216,3,0))</f>
        <v>Galv/Hous</v>
      </c>
      <c r="F197">
        <f>ROUND(SUMIF(Councils!$C$6:$C$809,$B197,Councils!$E$6:$E$809),0)</f>
        <v>1159</v>
      </c>
      <c r="G197">
        <f>ROUND(SUMIF(Councils!$C$6:$C$809,$B197,Councils!$F$6:$F$809)*0.7,0)</f>
        <v>30</v>
      </c>
      <c r="H197">
        <f>ROUND(SUMIF(Councils!$C$6:$C$809,$B197,Councils!$G$6:$G$809),0)</f>
        <v>2</v>
      </c>
      <c r="I197">
        <f>ROUND(SUMIF(Councils!$C$6:$C$809,$B197,Councils!$H$6:$H$809),0)</f>
        <v>0</v>
      </c>
      <c r="J197">
        <f>ROUND(SUMIF(Councils!$C$6:$C$809,$B197,Councils!$I$6:$I$809),0)</f>
        <v>2</v>
      </c>
      <c r="K197">
        <f>ROUND(SUMIF(Councils!$C$6:$C$809,$B197,Councils!$J$6:$J$809),0)</f>
        <v>17</v>
      </c>
      <c r="L197">
        <f>ROUND(SUMIF(Councils!$C$6:$C$809,$B197,Councils!$K$6:$K$809),0)</f>
        <v>0</v>
      </c>
      <c r="M197">
        <f>ROUND(SUMIF(Councils!$C$6:$C$809,$B197,Councils!$L$6:$L$809),0)</f>
        <v>17</v>
      </c>
      <c r="N197" s="63">
        <f t="shared" si="7"/>
        <v>0.56666666666666665</v>
      </c>
    </row>
    <row r="198" spans="1:14">
      <c r="A198">
        <f t="shared" si="6"/>
        <v>91</v>
      </c>
      <c r="B198" s="67">
        <v>114</v>
      </c>
      <c r="C198" s="81">
        <f>IF(ISNA(VLOOKUP($B198,DD_Info!$A$1:$E$216,5,0)),0,VLOOKUP($B198,DD_Info!$A$1:$E$216,5,0))</f>
        <v>1</v>
      </c>
      <c r="D198" t="str">
        <f>IF(ISNA(VLOOKUP($B198,DD_Info!$A$1:$E$216,2,0)),0,VLOOKUP($B198,DD_Info!$A$1:$E$216,2,0))</f>
        <v>Michael  Steffens</v>
      </c>
      <c r="E198" t="str">
        <f>IF(ISNA(VLOOKUP($B198,DD_Info!$A$1:$E$216,3,0)),0,VLOOKUP($B198,DD_Info!$A$1:$E$216,3,0))</f>
        <v>Dallas</v>
      </c>
      <c r="F198">
        <f>ROUND(SUMIF(Councils!$C$6:$C$809,$B198,Councils!$E$6:$E$809),0)</f>
        <v>1138</v>
      </c>
      <c r="G198">
        <f>ROUND(SUMIF(Councils!$C$6:$C$809,$B198,Councils!$F$6:$F$809)*0.7,0)</f>
        <v>36</v>
      </c>
      <c r="H198">
        <f>ROUND(SUMIF(Councils!$C$6:$C$809,$B198,Councils!$G$6:$G$809),0)</f>
        <v>5</v>
      </c>
      <c r="I198">
        <f>ROUND(SUMIF(Councils!$C$6:$C$809,$B198,Councils!$H$6:$H$809),0)</f>
        <v>5</v>
      </c>
      <c r="J198">
        <f>ROUND(SUMIF(Councils!$C$6:$C$809,$B198,Councils!$I$6:$I$809),0)</f>
        <v>0</v>
      </c>
      <c r="K198">
        <f>ROUND(SUMIF(Councils!$C$6:$C$809,$B198,Councils!$J$6:$J$809),0)</f>
        <v>10</v>
      </c>
      <c r="L198">
        <f>ROUND(SUMIF(Councils!$C$6:$C$809,$B198,Councils!$K$6:$K$809),0)</f>
        <v>6</v>
      </c>
      <c r="M198">
        <f>ROUND(SUMIF(Councils!$C$6:$C$809,$B198,Councils!$L$6:$L$809),0)</f>
        <v>4</v>
      </c>
      <c r="N198" s="63">
        <f t="shared" si="7"/>
        <v>0.1111111111111111</v>
      </c>
    </row>
    <row r="199" spans="1:14">
      <c r="A199">
        <f t="shared" si="6"/>
        <v>191</v>
      </c>
      <c r="B199" s="67">
        <v>82</v>
      </c>
      <c r="C199" s="81">
        <f>IF(ISNA(VLOOKUP($B199,DD_Info!$A$1:$E$216,5,0)),0,VLOOKUP($B199,DD_Info!$A$1:$E$216,5,0))</f>
        <v>1</v>
      </c>
      <c r="D199" t="str">
        <f>IF(ISNA(VLOOKUP($B199,DD_Info!$A$1:$E$216,2,0)),0,VLOOKUP($B199,DD_Info!$A$1:$E$216,2,0))</f>
        <v>Michael  Akiboh</v>
      </c>
      <c r="E199" t="str">
        <f>IF(ISNA(VLOOKUP($B199,DD_Info!$A$1:$E$216,3,0)),0,VLOOKUP($B199,DD_Info!$A$1:$E$216,3,0))</f>
        <v>Galv/Hous</v>
      </c>
      <c r="F199">
        <f>ROUND(SUMIF(Councils!$C$6:$C$809,$B199,Councils!$E$6:$E$809),0)</f>
        <v>795</v>
      </c>
      <c r="G199">
        <f>ROUND(SUMIF(Councils!$C$6:$C$809,$B199,Councils!$F$6:$F$809)*0.7,0)</f>
        <v>28</v>
      </c>
      <c r="H199">
        <f>ROUND(SUMIF(Councils!$C$6:$C$809,$B199,Councils!$G$6:$G$809),0)</f>
        <v>0</v>
      </c>
      <c r="I199">
        <f>ROUND(SUMIF(Councils!$C$6:$C$809,$B199,Councils!$H$6:$H$809),0)</f>
        <v>6</v>
      </c>
      <c r="J199">
        <f>ROUND(SUMIF(Councils!$C$6:$C$809,$B199,Councils!$I$6:$I$809),0)</f>
        <v>-6</v>
      </c>
      <c r="K199">
        <f>ROUND(SUMIF(Councils!$C$6:$C$809,$B199,Councils!$J$6:$J$809),0)</f>
        <v>9</v>
      </c>
      <c r="L199">
        <f>ROUND(SUMIF(Councils!$C$6:$C$809,$B199,Councils!$K$6:$K$809),0)</f>
        <v>21</v>
      </c>
      <c r="M199">
        <f>ROUND(SUMIF(Councils!$C$6:$C$809,$B199,Councils!$L$6:$L$809),0)</f>
        <v>-12</v>
      </c>
      <c r="N199" s="63">
        <f t="shared" si="7"/>
        <v>-0.42857142857142855</v>
      </c>
    </row>
    <row r="200" spans="1:14">
      <c r="A200">
        <f t="shared" si="6"/>
        <v>51</v>
      </c>
      <c r="B200" s="67">
        <v>88</v>
      </c>
      <c r="C200" s="81">
        <f>IF(ISNA(VLOOKUP($B200,DD_Info!$A$1:$E$216,5,0)),0,VLOOKUP($B200,DD_Info!$A$1:$E$216,5,0))</f>
        <v>1</v>
      </c>
      <c r="D200" t="str">
        <f>IF(ISNA(VLOOKUP($B200,DD_Info!$A$1:$E$216,2,0)),0,VLOOKUP($B200,DD_Info!$A$1:$E$216,2,0))</f>
        <v>Larry  Ordaz</v>
      </c>
      <c r="E200" t="str">
        <f>IF(ISNA(VLOOKUP($B200,DD_Info!$A$1:$E$216,3,0)),0,VLOOKUP($B200,DD_Info!$A$1:$E$216,3,0))</f>
        <v>Galv/Hous</v>
      </c>
      <c r="F200">
        <f>ROUND(SUMIF(Councils!$C$6:$C$809,$B200,Councils!$E$6:$E$809),0)</f>
        <v>897</v>
      </c>
      <c r="G200">
        <f>ROUND(SUMIF(Councils!$C$6:$C$809,$B200,Councils!$F$6:$F$809)*0.7,0)</f>
        <v>28</v>
      </c>
      <c r="H200">
        <f>ROUND(SUMIF(Councils!$C$6:$C$809,$B200,Councils!$G$6:$G$809),0)</f>
        <v>2</v>
      </c>
      <c r="I200">
        <f>ROUND(SUMIF(Councils!$C$6:$C$809,$B200,Councils!$H$6:$H$809),0)</f>
        <v>0</v>
      </c>
      <c r="J200">
        <f>ROUND(SUMIF(Councils!$C$6:$C$809,$B200,Councils!$I$6:$I$809),0)</f>
        <v>2</v>
      </c>
      <c r="K200">
        <f>ROUND(SUMIF(Councils!$C$6:$C$809,$B200,Councils!$J$6:$J$809),0)</f>
        <v>9</v>
      </c>
      <c r="L200">
        <f>ROUND(SUMIF(Councils!$C$6:$C$809,$B200,Councils!$K$6:$K$809),0)</f>
        <v>0</v>
      </c>
      <c r="M200">
        <f>ROUND(SUMIF(Councils!$C$6:$C$809,$B200,Councils!$L$6:$L$809),0)</f>
        <v>9</v>
      </c>
      <c r="N200" s="63">
        <f t="shared" si="7"/>
        <v>0.32142857142857145</v>
      </c>
    </row>
    <row r="201" spans="1:14">
      <c r="A201">
        <f t="shared" si="6"/>
        <v>119</v>
      </c>
      <c r="B201" s="67">
        <v>212</v>
      </c>
      <c r="C201" s="81">
        <f>IF(ISNA(VLOOKUP($B201,DD_Info!$A$1:$E$216,5,0)),0,VLOOKUP($B201,DD_Info!$A$1:$E$216,5,0))</f>
        <v>1</v>
      </c>
      <c r="D201" t="str">
        <f>IF(ISNA(VLOOKUP($B201,DD_Info!$A$1:$E$216,2,0)),0,VLOOKUP($B201,DD_Info!$A$1:$E$216,2,0))</f>
        <v>Noel P Benavides Jr</v>
      </c>
      <c r="E201" t="str">
        <f>IF(ISNA(VLOOKUP($B201,DD_Info!$A$1:$E$216,3,0)),0,VLOOKUP($B201,DD_Info!$A$1:$E$216,3,0))</f>
        <v>Brownsville</v>
      </c>
      <c r="F201">
        <f>ROUND(SUMIF(Councils!$C$6:$C$809,$B201,Councils!$E$6:$E$809),0)</f>
        <v>637</v>
      </c>
      <c r="G201">
        <f>ROUND(SUMIF(Councils!$C$6:$C$809,$B201,Councils!$F$6:$F$809)*0.7,0)</f>
        <v>22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1</v>
      </c>
      <c r="L201">
        <f>ROUND(SUMIF(Councils!$C$6:$C$809,$B201,Councils!$K$6:$K$809),0)</f>
        <v>0</v>
      </c>
      <c r="M201">
        <f>ROUND(SUMIF(Councils!$C$6:$C$809,$B201,Councils!$L$6:$L$809),0)</f>
        <v>1</v>
      </c>
      <c r="N201" s="63">
        <f t="shared" si="7"/>
        <v>4.5454545454545456E-2</v>
      </c>
    </row>
    <row r="202" spans="1:14">
      <c r="A202">
        <f t="shared" si="6"/>
        <v>123</v>
      </c>
      <c r="B202" s="67">
        <v>25</v>
      </c>
      <c r="C202" s="81">
        <f>IF(ISNA(VLOOKUP($B202,DD_Info!$A$1:$E$216,5,0)),0,VLOOKUP($B202,DD_Info!$A$1:$E$216,5,0))</f>
        <v>1</v>
      </c>
      <c r="D202" t="str">
        <f>IF(ISNA(VLOOKUP($B202,DD_Info!$A$1:$E$216,2,0)),0,VLOOKUP($B202,DD_Info!$A$1:$E$216,2,0))</f>
        <v>Alfonso "Obie"  Obregon Sr</v>
      </c>
      <c r="E202" t="str">
        <f>IF(ISNA(VLOOKUP($B202,DD_Info!$A$1:$E$216,3,0)),0,VLOOKUP($B202,DD_Info!$A$1:$E$216,3,0))</f>
        <v>Fort Worth</v>
      </c>
      <c r="F202">
        <f>ROUND(SUMIF(Councils!$C$6:$C$809,$B202,Councils!$E$6:$E$809),0)</f>
        <v>720</v>
      </c>
      <c r="G202">
        <f>ROUND(SUMIF(Councils!$C$6:$C$809,$B202,Councils!$F$6:$F$809)*0.7,0)</f>
        <v>24</v>
      </c>
      <c r="H202">
        <f>ROUND(SUMIF(Councils!$C$6:$C$809,$B202,Councils!$G$6:$G$809),0)</f>
        <v>0</v>
      </c>
      <c r="I202">
        <f>ROUND(SUMIF(Councils!$C$6:$C$809,$B202,Councils!$H$6:$H$809),0)</f>
        <v>2</v>
      </c>
      <c r="J202">
        <f>ROUND(SUMIF(Councils!$C$6:$C$809,$B202,Councils!$I$6:$I$809),0)</f>
        <v>-2</v>
      </c>
      <c r="K202">
        <f>ROUND(SUMIF(Councils!$C$6:$C$809,$B202,Councils!$J$6:$J$809),0)</f>
        <v>3</v>
      </c>
      <c r="L202">
        <f>ROUND(SUMIF(Councils!$C$6:$C$809,$B202,Councils!$K$6:$K$809),0)</f>
        <v>3</v>
      </c>
      <c r="M202">
        <f>ROUND(SUMIF(Councils!$C$6:$C$809,$B202,Councils!$L$6:$L$809),0)</f>
        <v>0</v>
      </c>
      <c r="N202" s="63">
        <f t="shared" si="7"/>
        <v>0</v>
      </c>
    </row>
    <row r="203" spans="1:14">
      <c r="A203">
        <f t="shared" si="6"/>
        <v>83</v>
      </c>
      <c r="B203" s="67">
        <v>224</v>
      </c>
      <c r="C203" s="81">
        <f>IF(ISNA(VLOOKUP($B203,DD_Info!$A$1:$E$216,5,0)),0,VLOOKUP($B203,DD_Info!$A$1:$E$216,5,0))</f>
        <v>2</v>
      </c>
      <c r="D203" t="str">
        <f>IF(ISNA(VLOOKUP($B203,DD_Info!$A$1:$E$216,2,0)),0,VLOOKUP($B203,DD_Info!$A$1:$E$216,2,0))</f>
        <v>Lupe M Rodriguez</v>
      </c>
      <c r="E203" t="str">
        <f>IF(ISNA(VLOOKUP($B203,DD_Info!$A$1:$E$216,3,0)),0,VLOOKUP($B203,DD_Info!$A$1:$E$216,3,0))</f>
        <v>San Angelo</v>
      </c>
      <c r="F203">
        <f>ROUND(SUMIF(Councils!$C$6:$C$809,$B203,Councils!$E$6:$E$809),0)</f>
        <v>527</v>
      </c>
      <c r="G203">
        <f>ROUND(SUMIF(Councils!$C$6:$C$809,$B203,Councils!$F$6:$F$809)*0.7,0)</f>
        <v>18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3</v>
      </c>
      <c r="L203">
        <f>ROUND(SUMIF(Councils!$C$6:$C$809,$B203,Councils!$K$6:$K$809),0)</f>
        <v>0</v>
      </c>
      <c r="M203">
        <f>ROUND(SUMIF(Councils!$C$6:$C$809,$B203,Councils!$L$6:$L$809),0)</f>
        <v>3</v>
      </c>
      <c r="N203" s="63">
        <f t="shared" si="7"/>
        <v>0.16666666666666666</v>
      </c>
    </row>
    <row r="204" spans="1:14">
      <c r="A204">
        <f t="shared" si="6"/>
        <v>123</v>
      </c>
      <c r="B204" s="67">
        <v>76</v>
      </c>
      <c r="C204" s="81">
        <f>IF(ISNA(VLOOKUP($B204,DD_Info!$A$1:$E$216,5,0)),0,VLOOKUP($B204,DD_Info!$A$1:$E$216,5,0))</f>
        <v>3</v>
      </c>
      <c r="D204" t="str">
        <f>IF(ISNA(VLOOKUP($B204,DD_Info!$A$1:$E$216,2,0)),0,VLOOKUP($B204,DD_Info!$A$1:$E$216,2,0))</f>
        <v>Francisco  Carpinteyro</v>
      </c>
      <c r="E204" t="str">
        <f>IF(ISNA(VLOOKUP($B204,DD_Info!$A$1:$E$216,3,0)),0,VLOOKUP($B204,DD_Info!$A$1:$E$216,3,0))</f>
        <v>Galv/Hous</v>
      </c>
      <c r="F204">
        <f>ROUND(SUMIF(Councils!$C$6:$C$809,$B204,Councils!$E$6:$E$809),0)</f>
        <v>200</v>
      </c>
      <c r="G204">
        <f>ROUND(SUMIF(Councils!$C$6:$C$809,$B204,Councils!$F$6:$F$809)*0.7,0)</f>
        <v>7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0</v>
      </c>
      <c r="L204">
        <f>ROUND(SUMIF(Councils!$C$6:$C$809,$B204,Councils!$K$6:$K$809),0)</f>
        <v>0</v>
      </c>
      <c r="M204">
        <f>ROUND(SUMIF(Councils!$C$6:$C$809,$B204,Councils!$L$6:$L$809),0)</f>
        <v>0</v>
      </c>
      <c r="N204" s="63">
        <f t="shared" si="7"/>
        <v>0</v>
      </c>
    </row>
    <row r="205" spans="1:14">
      <c r="A205">
        <f t="shared" si="6"/>
        <v>123</v>
      </c>
      <c r="B205" s="67">
        <v>157</v>
      </c>
      <c r="C205" s="81">
        <f>IF(ISNA(VLOOKUP($B205,DD_Info!$A$1:$E$216,5,0)),0,VLOOKUP($B205,DD_Info!$A$1:$E$216,5,0))</f>
        <v>2</v>
      </c>
      <c r="D205" t="str">
        <f>IF(ISNA(VLOOKUP($B205,DD_Info!$A$1:$E$216,2,0)),0,VLOOKUP($B205,DD_Info!$A$1:$E$216,2,0))</f>
        <v>TO BE APPOINTED</v>
      </c>
      <c r="E205" t="str">
        <f>IF(ISNA(VLOOKUP($B205,DD_Info!$A$1:$E$216,3,0)),0,VLOOKUP($B205,DD_Info!$A$1:$E$216,3,0))</f>
        <v>Austin</v>
      </c>
      <c r="F205">
        <f>ROUND(SUMIF(Councils!$C$6:$C$809,$B205,Councils!$E$6:$E$809),0)</f>
        <v>381</v>
      </c>
      <c r="G205">
        <f>ROUND(SUMIF(Councils!$C$6:$C$809,$B205,Councils!$F$6:$F$809)*0.7,0)</f>
        <v>13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0</v>
      </c>
      <c r="L205">
        <f>ROUND(SUMIF(Councils!$C$6:$C$809,$B205,Councils!$K$6:$K$809),0)</f>
        <v>0</v>
      </c>
      <c r="M205">
        <f>ROUND(SUMIF(Councils!$C$6:$C$809,$B205,Councils!$L$6:$L$809),0)</f>
        <v>0</v>
      </c>
      <c r="N205" s="63">
        <f t="shared" si="7"/>
        <v>0</v>
      </c>
    </row>
    <row r="206" spans="1:14">
      <c r="A206">
        <f t="shared" si="6"/>
        <v>184</v>
      </c>
      <c r="B206" s="67">
        <v>147</v>
      </c>
      <c r="C206" s="81">
        <f>IF(ISNA(VLOOKUP($B206,DD_Info!$A$1:$E$216,5,0)),0,VLOOKUP($B206,DD_Info!$A$1:$E$216,5,0))</f>
        <v>1</v>
      </c>
      <c r="D206" t="str">
        <f>IF(ISNA(VLOOKUP($B206,DD_Info!$A$1:$E$216,2,0)),0,VLOOKUP($B206,DD_Info!$A$1:$E$216,2,0))</f>
        <v>Clarence  Troy</v>
      </c>
      <c r="E206" t="str">
        <f>IF(ISNA(VLOOKUP($B206,DD_Info!$A$1:$E$216,3,0)),0,VLOOKUP($B206,DD_Info!$A$1:$E$216,3,0))</f>
        <v>Austin</v>
      </c>
      <c r="F206">
        <f>ROUND(SUMIF(Councils!$C$6:$C$809,$B206,Councils!$E$6:$E$809),0)</f>
        <v>700</v>
      </c>
      <c r="G206">
        <f>ROUND(SUMIF(Councils!$C$6:$C$809,$B206,Councils!$F$6:$F$809)*0.7,0)</f>
        <v>23</v>
      </c>
      <c r="H206">
        <f>ROUND(SUMIF(Councils!$C$6:$C$809,$B206,Councils!$G$6:$G$809),0)</f>
        <v>0</v>
      </c>
      <c r="I206">
        <f>ROUND(SUMIF(Councils!$C$6:$C$809,$B206,Councils!$H$6:$H$809),0)</f>
        <v>1</v>
      </c>
      <c r="J206">
        <f>ROUND(SUMIF(Councils!$C$6:$C$809,$B206,Councils!$I$6:$I$809),0)</f>
        <v>-1</v>
      </c>
      <c r="K206">
        <f>ROUND(SUMIF(Councils!$C$6:$C$809,$B206,Councils!$J$6:$J$809),0)</f>
        <v>2</v>
      </c>
      <c r="L206">
        <f>ROUND(SUMIF(Councils!$C$6:$C$809,$B206,Councils!$K$6:$K$809),0)</f>
        <v>8</v>
      </c>
      <c r="M206">
        <f>ROUND(SUMIF(Councils!$C$6:$C$809,$B206,Councils!$L$6:$L$809),0)</f>
        <v>-6</v>
      </c>
      <c r="N206" s="63">
        <f t="shared" si="7"/>
        <v>-0.2608695652173913</v>
      </c>
    </row>
    <row r="207" spans="1:14">
      <c r="A207">
        <f t="shared" si="6"/>
        <v>13</v>
      </c>
      <c r="B207" s="67">
        <v>28</v>
      </c>
      <c r="C207" s="81">
        <f>IF(ISNA(VLOOKUP($B207,DD_Info!$A$1:$E$216,5,0)),0,VLOOKUP($B207,DD_Info!$A$1:$E$216,5,0))</f>
        <v>1</v>
      </c>
      <c r="D207" t="str">
        <f>IF(ISNA(VLOOKUP($B207,DD_Info!$A$1:$E$216,2,0)),0,VLOOKUP($B207,DD_Info!$A$1:$E$216,2,0))</f>
        <v>Anson  Geisel</v>
      </c>
      <c r="E207" t="str">
        <f>IF(ISNA(VLOOKUP($B207,DD_Info!$A$1:$E$216,3,0)),0,VLOOKUP($B207,DD_Info!$A$1:$E$216,3,0))</f>
        <v>Fort Worth</v>
      </c>
      <c r="F207">
        <f>ROUND(SUMIF(Councils!$C$6:$C$809,$B207,Councils!$E$6:$E$809),0)</f>
        <v>601</v>
      </c>
      <c r="G207">
        <f>ROUND(SUMIF(Councils!$C$6:$C$809,$B207,Councils!$F$6:$F$809)*0.7,0)</f>
        <v>19</v>
      </c>
      <c r="H207">
        <f>ROUND(SUMIF(Councils!$C$6:$C$809,$B207,Councils!$G$6:$G$809),0)</f>
        <v>5</v>
      </c>
      <c r="I207">
        <f>ROUND(SUMIF(Councils!$C$6:$C$809,$B207,Councils!$H$6:$H$809),0)</f>
        <v>1</v>
      </c>
      <c r="J207">
        <f>ROUND(SUMIF(Councils!$C$6:$C$809,$B207,Councils!$I$6:$I$809),0)</f>
        <v>4</v>
      </c>
      <c r="K207">
        <f>ROUND(SUMIF(Councils!$C$6:$C$809,$B207,Councils!$J$6:$J$809),0)</f>
        <v>15</v>
      </c>
      <c r="L207">
        <f>ROUND(SUMIF(Councils!$C$6:$C$809,$B207,Councils!$K$6:$K$809),0)</f>
        <v>2</v>
      </c>
      <c r="M207">
        <f>ROUND(SUMIF(Councils!$C$6:$C$809,$B207,Councils!$L$6:$L$809),0)</f>
        <v>13</v>
      </c>
      <c r="N207" s="63">
        <f t="shared" si="7"/>
        <v>0.68421052631578949</v>
      </c>
    </row>
    <row r="208" spans="1:14">
      <c r="A208">
        <f t="shared" si="6"/>
        <v>34</v>
      </c>
      <c r="B208" s="67">
        <v>27</v>
      </c>
      <c r="C208" s="81">
        <f>IF(ISNA(VLOOKUP($B208,DD_Info!$A$1:$E$216,5,0)),0,VLOOKUP($B208,DD_Info!$A$1:$E$216,5,0))</f>
        <v>1</v>
      </c>
      <c r="D208" t="str">
        <f>IF(ISNA(VLOOKUP($B208,DD_Info!$A$1:$E$216,2,0)),0,VLOOKUP($B208,DD_Info!$A$1:$E$216,2,0))</f>
        <v>Archie  Wright II</v>
      </c>
      <c r="E208" t="str">
        <f>IF(ISNA(VLOOKUP($B208,DD_Info!$A$1:$E$216,3,0)),0,VLOOKUP($B208,DD_Info!$A$1:$E$216,3,0))</f>
        <v>Fort Worth</v>
      </c>
      <c r="F208">
        <f>ROUND(SUMIF(Councils!$C$6:$C$809,$B208,Councils!$E$6:$E$809),0)</f>
        <v>814</v>
      </c>
      <c r="G208">
        <f>ROUND(SUMIF(Councils!$C$6:$C$809,$B208,Councils!$F$6:$F$809)*0.7,0)</f>
        <v>29</v>
      </c>
      <c r="H208">
        <f>ROUND(SUMIF(Councils!$C$6:$C$809,$B208,Councils!$G$6:$G$809),0)</f>
        <v>2</v>
      </c>
      <c r="I208">
        <f>ROUND(SUMIF(Councils!$C$6:$C$809,$B208,Councils!$H$6:$H$809),0)</f>
        <v>5</v>
      </c>
      <c r="J208">
        <f>ROUND(SUMIF(Councils!$C$6:$C$809,$B208,Councils!$I$6:$I$809),0)</f>
        <v>-3</v>
      </c>
      <c r="K208">
        <f>ROUND(SUMIF(Councils!$C$6:$C$809,$B208,Councils!$J$6:$J$809),0)</f>
        <v>21</v>
      </c>
      <c r="L208">
        <f>ROUND(SUMIF(Councils!$C$6:$C$809,$B208,Councils!$K$6:$K$809),0)</f>
        <v>8</v>
      </c>
      <c r="M208">
        <f>ROUND(SUMIF(Councils!$C$6:$C$809,$B208,Councils!$L$6:$L$809),0)</f>
        <v>13</v>
      </c>
      <c r="N208" s="63">
        <f t="shared" si="7"/>
        <v>0.44827586206896552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3460</v>
      </c>
      <c r="B3" t="str">
        <f>IF(ISNA(VLOOKUP($A3,Councils!$B$6:$AE$841,3,0)),0,VLOOKUP($A3,Councils!$B$6:$AE$841,3,0))</f>
        <v>Grand Prairie</v>
      </c>
      <c r="C3">
        <f>IF(ISNA(VLOOKUP($A3,Councils!$B$6:$AE$841,4,0)),0,VLOOKUP($A3,Councils!$B$6:$AE$841,4,0))</f>
        <v>78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2</v>
      </c>
    </row>
    <row r="4" spans="1:22">
      <c r="A4" s="50">
        <v>8787</v>
      </c>
      <c r="B4" t="str">
        <f>IF(ISNA(VLOOKUP($A4,Councils!$B$6:$AE$841,3,0)),0,VLOOKUP($A4,Councils!$B$6:$AE$841,3,0))</f>
        <v>Dallas Fort Worth Met</v>
      </c>
      <c r="C4">
        <f>IF(ISNA(VLOOKUP($A4,Councils!$B$6:$AE$841,4,0)),0,VLOOKUP($A4,Councils!$B$6:$AE$841,4,0))</f>
        <v>32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11771</v>
      </c>
      <c r="B5" t="str">
        <f>IF(ISNA(VLOOKUP($A5,Councils!$B$6:$AE$841,3,0)),0,VLOOKUP($A5,Councils!$B$6:$AE$841,3,0))</f>
        <v>Irving</v>
      </c>
      <c r="C5">
        <f>IF(ISNA(VLOOKUP($A5,Councils!$B$6:$AE$841,4,0)),0,VLOOKUP($A5,Councils!$B$6:$AE$841,4,0))</f>
        <v>22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14872</v>
      </c>
      <c r="B6" t="str">
        <f>IF(ISNA(VLOOKUP($A6,Councils!$B$6:$AE$841,3,0)),0,VLOOKUP($A6,Councils!$B$6:$AE$841,3,0))</f>
        <v>Irving</v>
      </c>
      <c r="C6">
        <f>IF(ISNA(VLOOKUP($A6,Councils!$B$6:$AE$841,4,0)),0,VLOOKUP($A6,Councils!$B$6:$AE$841,4,0))</f>
        <v>39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:A4">
    <cfRule type="expression" dxfId="96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5789</v>
      </c>
      <c r="B3" t="str">
        <f>IF(ISNA(VLOOKUP($A3,Councils!$B$6:$AE$841,3,0)),0,VLOOKUP($A3,Councils!$B$6:$AE$841,3,0))</f>
        <v>Vidor</v>
      </c>
      <c r="C3">
        <f>IF(ISNA(VLOOKUP($A3,Councils!$B$6:$AE$841,4,0)),0,VLOOKUP($A3,Councils!$B$6:$AE$841,4,0))</f>
        <v>109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7058</v>
      </c>
      <c r="B4" t="str">
        <f>IF(ISNA(VLOOKUP($A4,Councils!$B$6:$AE$841,3,0)),0,VLOOKUP($A4,Councils!$B$6:$AE$841,3,0))</f>
        <v>Lumberton</v>
      </c>
      <c r="C4">
        <f>IF(ISNA(VLOOKUP($A4,Councils!$B$6:$AE$841,4,0)),0,VLOOKUP($A4,Councils!$B$6:$AE$841,4,0))</f>
        <v>138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4</v>
      </c>
      <c r="J4">
        <f>IF(ISNA(VLOOKUP($A4,Councils!$B$6:$AE$841,11,0)),0,VLOOKUP($A4,Councils!$B$6:$AE$841,11,0))</f>
        <v>-1</v>
      </c>
      <c r="K4" s="63">
        <f>IFERROR(J4/D4,0)</f>
        <v>-0.14285714285714285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8594</v>
      </c>
      <c r="B5" t="str">
        <f>IF(ISNA(VLOOKUP($A5,Councils!$B$6:$AE$841,3,0)),0,VLOOKUP($A5,Councils!$B$6:$AE$841,3,0))</f>
        <v>Silsbee</v>
      </c>
      <c r="C5">
        <f>IF(ISNA(VLOOKUP($A5,Councils!$B$6:$AE$841,4,0)),0,VLOOKUP($A5,Councils!$B$6:$AE$841,4,0))</f>
        <v>63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11151</v>
      </c>
      <c r="B6" t="str">
        <f>IF(ISNA(VLOOKUP($A6,Councils!$B$6:$AE$841,3,0)),0,VLOOKUP($A6,Councils!$B$6:$AE$841,3,0))</f>
        <v>Sour Lake</v>
      </c>
      <c r="C6">
        <f>IF(ISNA(VLOOKUP($A6,Councils!$B$6:$AE$841,4,0)),0,VLOOKUP($A6,Councils!$B$6:$AE$841,4,0))</f>
        <v>51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-1</v>
      </c>
      <c r="K6" s="63">
        <f>IFERROR(J6/D6,0)</f>
        <v>-0.33333333333333331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13798</v>
      </c>
      <c r="B7" t="str">
        <f>IF(ISNA(VLOOKUP($A7,Councils!$B$6:$AE$841,3,0)),0,VLOOKUP($A7,Councils!$B$6:$AE$841,3,0))</f>
        <v>Jasper</v>
      </c>
      <c r="C7">
        <f>IF(ISNA(VLOOKUP($A7,Councils!$B$6:$AE$841,4,0)),0,VLOOKUP($A7,Councils!$B$6:$AE$841,4,0))</f>
        <v>57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3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3</v>
      </c>
      <c r="K7" s="63">
        <f>IFERROR(J7/D7,0)</f>
        <v>1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3">
    <cfRule type="expression" dxfId="95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2461</v>
      </c>
      <c r="B3" t="str">
        <f>IF(ISNA(VLOOKUP($A3,Councils!$B$6:$AE$841,3,0)),0,VLOOKUP($A3,Councils!$B$6:$AE$841,3,0))</f>
        <v>Port Neches</v>
      </c>
      <c r="C3">
        <f>IF(ISNA(VLOOKUP($A3,Councils!$B$6:$AE$841,4,0)),0,VLOOKUP($A3,Councils!$B$6:$AE$841,4,0))</f>
        <v>212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3491</v>
      </c>
      <c r="B4" t="str">
        <f>IF(ISNA(VLOOKUP($A4,Councils!$B$6:$AE$841,3,0)),0,VLOOKUP($A4,Councils!$B$6:$AE$841,3,0))</f>
        <v>Groves</v>
      </c>
      <c r="C4">
        <f>IF(ISNA(VLOOKUP($A4,Councils!$B$6:$AE$841,4,0)),0,VLOOKUP($A4,Councils!$B$6:$AE$841,4,0))</f>
        <v>383</v>
      </c>
      <c r="D4">
        <f>IF(ISNA(VLOOKUP($A4,Councils!$B$6:$AE$841,5,0)),0,VLOOKUP($A4,Councils!$B$6:$AE$841,5,0))</f>
        <v>18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0.22222222222222221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-2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-3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5145</v>
      </c>
      <c r="B5" t="str">
        <f>IF(ISNA(VLOOKUP($A5,Councils!$B$6:$AE$841,3,0)),0,VLOOKUP($A5,Councils!$B$6:$AE$841,3,0))</f>
        <v>Nederland</v>
      </c>
      <c r="C5">
        <f>IF(ISNA(VLOOKUP($A5,Councils!$B$6:$AE$841,4,0)),0,VLOOKUP($A5,Councils!$B$6:$AE$841,4,0))</f>
        <v>295</v>
      </c>
      <c r="D5">
        <f>IF(ISNA(VLOOKUP($A5,Councils!$B$6:$AE$841,5,0)),0,VLOOKUP($A5,Councils!$B$6:$AE$841,5,0))</f>
        <v>14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2</v>
      </c>
      <c r="J5">
        <f>IF(ISNA(VLOOKUP($A5,Councils!$B$6:$AE$841,11,0)),0,VLOOKUP($A5,Councils!$B$6:$AE$841,11,0))</f>
        <v>3</v>
      </c>
      <c r="K5" s="63">
        <f>IFERROR(J5/D5,0)</f>
        <v>0.21428571428571427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76">
        <v>16464</v>
      </c>
      <c r="B6" t="str">
        <f>IF(ISNA(VLOOKUP($A6,Councils!$B$6:$AE$841,3,0)),0,VLOOKUP($A6,Councils!$B$6:$AE$841,3,0))</f>
        <v>Beaumont</v>
      </c>
      <c r="C6">
        <f>IF(ISNA(VLOOKUP($A6,Councils!$B$6:$AE$841,4,0)),0,VLOOKUP($A6,Councils!$B$6:$AE$841,4,0))</f>
        <v>98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4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4</v>
      </c>
      <c r="K6" s="63">
        <f>IFERROR(J6/D6,0)</f>
        <v>0.8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3195</v>
      </c>
      <c r="B3" t="str">
        <f>IF(ISNA(VLOOKUP($A3,Councils!$B$6:$AE$841,3,0)),0,VLOOKUP($A3,Councils!$B$6:$AE$841,3,0))</f>
        <v>Port Arthur</v>
      </c>
      <c r="C3">
        <f>IF(ISNA(VLOOKUP($A3,Councils!$B$6:$AE$841,4,0)),0,VLOOKUP($A3,Councils!$B$6:$AE$841,4,0))</f>
        <v>100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12809</v>
      </c>
      <c r="B4" t="str">
        <f>IF(ISNA(VLOOKUP($A4,Councils!$B$6:$AE$841,3,0)),0,VLOOKUP($A4,Councils!$B$6:$AE$841,3,0))</f>
        <v>Port Arthur</v>
      </c>
      <c r="C4">
        <f>IF(ISNA(VLOOKUP($A4,Councils!$B$6:$AE$841,4,0)),0,VLOOKUP($A4,Councils!$B$6:$AE$841,4,0))</f>
        <v>108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14355</v>
      </c>
      <c r="B5" t="str">
        <f>IF(ISNA(VLOOKUP($A5,Councils!$B$6:$AE$841,3,0)),0,VLOOKUP($A5,Councils!$B$6:$AE$841,3,0))</f>
        <v>Port Arthur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1680</v>
      </c>
      <c r="B3" t="str">
        <f>IF(ISNA(VLOOKUP($A3,Councils!$B$6:$AE$841,3,0)),0,VLOOKUP($A3,Councils!$B$6:$AE$841,3,0))</f>
        <v>Orange</v>
      </c>
      <c r="C3">
        <f>IF(ISNA(VLOOKUP($A3,Councils!$B$6:$AE$841,4,0)),0,VLOOKUP($A3,Councils!$B$6:$AE$841,4,0))</f>
        <v>81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3406</v>
      </c>
      <c r="B4" t="str">
        <f>IF(ISNA(VLOOKUP($A4,Councils!$B$6:$AE$841,3,0)),0,VLOOKUP($A4,Councils!$B$6:$AE$841,3,0))</f>
        <v>Bridge City</v>
      </c>
      <c r="C4">
        <f>IF(ISNA(VLOOKUP($A4,Councils!$B$6:$AE$841,4,0)),0,VLOOKUP($A4,Councils!$B$6:$AE$841,4,0))</f>
        <v>202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11869</v>
      </c>
      <c r="B5" t="str">
        <f>IF(ISNA(VLOOKUP($A5,Councils!$B$6:$AE$841,3,0)),0,VLOOKUP($A5,Councils!$B$6:$AE$841,3,0))</f>
        <v>Mauriceville</v>
      </c>
      <c r="C5">
        <f>IF(ISNA(VLOOKUP($A5,Councils!$B$6:$AE$841,4,0)),0,VLOOKUP($A5,Councils!$B$6:$AE$841,4,0))</f>
        <v>16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13070</v>
      </c>
      <c r="B6" t="str">
        <f>IF(ISNA(VLOOKUP($A6,Councils!$B$6:$AE$841,3,0)),0,VLOOKUP($A6,Councils!$B$6:$AE$841,3,0))</f>
        <v>Orangefield</v>
      </c>
      <c r="C6">
        <f>IF(ISNA(VLOOKUP($A6,Councils!$B$6:$AE$841,4,0)),0,VLOOKUP($A6,Councils!$B$6:$AE$841,4,0))</f>
        <v>55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13825</v>
      </c>
      <c r="B7" t="str">
        <f>IF(ISNA(VLOOKUP($A7,Councils!$B$6:$AE$841,3,0)),0,VLOOKUP($A7,Councils!$B$6:$AE$841,3,0))</f>
        <v>Orange</v>
      </c>
      <c r="C7">
        <f>IF(ISNA(VLOOKUP($A7,Councils!$B$6:$AE$841,4,0)),0,VLOOKUP($A7,Councils!$B$6:$AE$841,4,0))</f>
        <v>102</v>
      </c>
      <c r="D7">
        <f>IF(ISNA(VLOOKUP($A7,Councils!$B$6:$AE$841,5,0)),0,VLOOKUP($A7,Councils!$B$6:$AE$841,5,0))</f>
        <v>5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1</v>
      </c>
      <c r="J7">
        <f>IF(ISNA(VLOOKUP($A7,Councils!$B$6:$AE$841,11,0)),0,VLOOKUP($A7,Councils!$B$6:$AE$841,11,0))</f>
        <v>-1</v>
      </c>
      <c r="K7" s="63">
        <f>IFERROR(J7/D7,0)</f>
        <v>-0.2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3</v>
      </c>
      <c r="S7">
        <f>IF(ISNA(VLOOKUP($A7,Councils!$B$6:$AE$841,20,0)),0,VLOOKUP($A7,Councils!$B$6:$AE$841,20,0))</f>
        <v>-3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951</v>
      </c>
      <c r="B3" t="str">
        <f>IF(ISNA(VLOOKUP($A3,Councils!$B$6:$AE$841,3,0)),0,VLOOKUP($A3,Councils!$B$6:$AE$841,3,0))</f>
        <v>Beaumont</v>
      </c>
      <c r="C3">
        <f>IF(ISNA(VLOOKUP($A3,Councils!$B$6:$AE$841,4,0)),0,VLOOKUP($A3,Councils!$B$6:$AE$841,4,0))</f>
        <v>181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3452</v>
      </c>
      <c r="B4" t="str">
        <f>IF(ISNA(VLOOKUP($A4,Councils!$B$6:$AE$841,3,0)),0,VLOOKUP($A4,Councils!$B$6:$AE$841,3,0))</f>
        <v>Winnie</v>
      </c>
      <c r="C4">
        <f>IF(ISNA(VLOOKUP($A4,Councils!$B$6:$AE$841,4,0)),0,VLOOKUP($A4,Councils!$B$6:$AE$841,4,0))</f>
        <v>115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5035</v>
      </c>
      <c r="B5" t="str">
        <f>IF(ISNA(VLOOKUP($A5,Councils!$B$6:$AE$841,3,0)),0,VLOOKUP($A5,Councils!$B$6:$AE$841,3,0))</f>
        <v>Beaumont S W</v>
      </c>
      <c r="C5">
        <f>IF(ISNA(VLOOKUP($A5,Councils!$B$6:$AE$841,4,0)),0,VLOOKUP($A5,Councils!$B$6:$AE$841,4,0))</f>
        <v>69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6763</v>
      </c>
      <c r="B6" t="str">
        <f>IF(ISNA(VLOOKUP($A6,Councils!$B$6:$AE$841,3,0)),0,VLOOKUP($A6,Councils!$B$6:$AE$841,3,0))</f>
        <v>Fannett</v>
      </c>
      <c r="C6">
        <f>IF(ISNA(VLOOKUP($A6,Councils!$B$6:$AE$841,4,0)),0,VLOOKUP($A6,Councils!$B$6:$AE$841,4,0))</f>
        <v>171</v>
      </c>
      <c r="D6">
        <f>IF(ISNA(VLOOKUP($A6,Councils!$B$6:$AE$841,5,0)),0,VLOOKUP($A6,Councils!$B$6:$AE$841,5,0))</f>
        <v>8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  <row r="7" spans="1:22">
      <c r="A7" s="50">
        <v>14473</v>
      </c>
      <c r="B7" t="str">
        <f>IF(ISNA(VLOOKUP($A7,Councils!$B$6:$AE$841,3,0)),0,VLOOKUP($A7,Councils!$B$6:$AE$841,3,0))</f>
        <v>China</v>
      </c>
      <c r="C7">
        <f>IF(ISNA(VLOOKUP($A7,Councils!$B$6:$AE$841,4,0)),0,VLOOKUP($A7,Councils!$B$6:$AE$841,4,0))</f>
        <v>59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3201</v>
      </c>
      <c r="B3" t="str">
        <f>IF(ISNA(VLOOKUP($A3,Councils!$B$6:$AE$841,3,0)),0,VLOOKUP($A3,Councils!$B$6:$AE$841,3,0))</f>
        <v>Liberty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8871</v>
      </c>
      <c r="B4" t="str">
        <f>IF(ISNA(VLOOKUP($A4,Councils!$B$6:$AE$841,3,0)),0,VLOOKUP($A4,Councils!$B$6:$AE$841,3,0))</f>
        <v>Dayton</v>
      </c>
      <c r="C4">
        <f>IF(ISNA(VLOOKUP($A4,Councils!$B$6:$AE$841,4,0)),0,VLOOKUP($A4,Councils!$B$6:$AE$841,4,0))</f>
        <v>70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9564</v>
      </c>
      <c r="B5" t="str">
        <f>IF(ISNA(VLOOKUP($A5,Councils!$B$6:$AE$841,3,0)),0,VLOOKUP($A5,Councils!$B$6:$AE$841,3,0))</f>
        <v>Livingston</v>
      </c>
      <c r="C5">
        <f>IF(ISNA(VLOOKUP($A5,Councils!$B$6:$AE$841,4,0)),0,VLOOKUP($A5,Councils!$B$6:$AE$841,4,0))</f>
        <v>115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10405</v>
      </c>
      <c r="B6" t="str">
        <f>IF(ISNA(VLOOKUP($A6,Councils!$B$6:$AE$841,3,0)),0,VLOOKUP($A6,Councils!$B$6:$AE$841,3,0))</f>
        <v>Cleveland</v>
      </c>
      <c r="C6">
        <f>IF(ISNA(VLOOKUP($A6,Councils!$B$6:$AE$841,4,0)),0,VLOOKUP($A6,Councils!$B$6:$AE$841,4,0))</f>
        <v>73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13498</v>
      </c>
      <c r="B7" t="str">
        <f>IF(ISNA(VLOOKUP($A7,Councils!$B$6:$AE$841,3,0)),0,VLOOKUP($A7,Councils!$B$6:$AE$841,3,0))</f>
        <v>Mont Belvieu</v>
      </c>
      <c r="C7">
        <f>IF(ISNA(VLOOKUP($A7,Councils!$B$6:$AE$841,4,0)),0,VLOOKUP($A7,Councils!$B$6:$AE$841,4,0))</f>
        <v>99</v>
      </c>
      <c r="D7">
        <f>IF(ISNA(VLOOKUP($A7,Councils!$B$6:$AE$841,5,0)),0,VLOOKUP($A7,Councils!$B$6:$AE$841,5,0))</f>
        <v>5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1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1</v>
      </c>
      <c r="K7" s="63">
        <f>IFERROR(J7/D7,0)</f>
        <v>0.2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1</v>
      </c>
      <c r="P7">
        <f>IF(ISNA(VLOOKUP($A7,Councils!$B$6:$AE$841,17,0)),0,VLOOKUP($A7,Councils!$B$6:$AE$841,17,0))</f>
        <v>-1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2</v>
      </c>
      <c r="S7">
        <f>IF(ISNA(VLOOKUP($A7,Councils!$B$6:$AE$841,20,0)),0,VLOOKUP($A7,Councils!$B$6:$AE$841,20,0))</f>
        <v>-2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1304</v>
      </c>
      <c r="B3" t="str">
        <f>IF(ISNA(VLOOKUP($A3,Councils!$B$6:$AE$841,3,0)),0,VLOOKUP($A3,Councils!$B$6:$AE$841,3,0))</f>
        <v>Port Arthur</v>
      </c>
      <c r="C3">
        <f>IF(ISNA(VLOOKUP($A3,Councils!$B$6:$AE$841,4,0)),0,VLOOKUP($A3,Councils!$B$6:$AE$841,4,0))</f>
        <v>16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7946</v>
      </c>
      <c r="B4" t="str">
        <f>IF(ISNA(VLOOKUP($A4,Councils!$B$6:$AE$841,3,0)),0,VLOOKUP($A4,Councils!$B$6:$AE$841,3,0))</f>
        <v>Port Arthur</v>
      </c>
      <c r="C4">
        <f>IF(ISNA(VLOOKUP($A4,Councils!$B$6:$AE$841,4,0)),0,VLOOKUP($A4,Councils!$B$6:$AE$841,4,0))</f>
        <v>21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8806</v>
      </c>
      <c r="B3" t="str">
        <f>IF(ISNA(VLOOKUP($A3,Councils!$B$6:$AE$841,3,0)),0,VLOOKUP($A3,Councils!$B$6:$AE$841,3,0))</f>
        <v>Gun Barrel City</v>
      </c>
      <c r="C3">
        <f>IF(ISNA(VLOOKUP($A3,Councils!$B$6:$AE$841,4,0)),0,VLOOKUP($A3,Councils!$B$6:$AE$841,4,0))</f>
        <v>68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10524</v>
      </c>
      <c r="B4" t="str">
        <f>IF(ISNA(VLOOKUP($A4,Councils!$B$6:$AE$841,3,0)),0,VLOOKUP($A4,Councils!$B$6:$AE$841,3,0))</f>
        <v>Athens</v>
      </c>
      <c r="C4">
        <f>IF(ISNA(VLOOKUP($A4,Councils!$B$6:$AE$841,4,0)),0,VLOOKUP($A4,Councils!$B$6:$AE$841,4,0))</f>
        <v>97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-1</v>
      </c>
      <c r="K4" s="63">
        <f>IFERROR(J4/D4,0)</f>
        <v>-0.2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11978</v>
      </c>
      <c r="B5" t="str">
        <f>IF(ISNA(VLOOKUP($A5,Councils!$B$6:$AE$841,3,0)),0,VLOOKUP($A5,Councils!$B$6:$AE$841,3,0))</f>
        <v>Canton</v>
      </c>
      <c r="C5">
        <f>IF(ISNA(VLOOKUP($A5,Councils!$B$6:$AE$841,4,0)),0,VLOOKUP($A5,Councils!$B$6:$AE$841,4,0))</f>
        <v>54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5</v>
      </c>
      <c r="K5" s="63">
        <f>IFERROR(J5/D5,0)</f>
        <v>1.6666666666666667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12253</v>
      </c>
      <c r="B6" t="str">
        <f>IF(ISNA(VLOOKUP($A6,Councils!$B$6:$AE$841,3,0)),0,VLOOKUP($A6,Councils!$B$6:$AE$841,3,0))</f>
        <v>Malakoff</v>
      </c>
      <c r="C6">
        <f>IF(ISNA(VLOOKUP($A6,Councils!$B$6:$AE$841,4,0)),0,VLOOKUP($A6,Councils!$B$6:$AE$841,4,0))</f>
        <v>46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7696</v>
      </c>
      <c r="B3" t="str">
        <f>IF(ISNA(VLOOKUP($A3,Councils!$B$6:$AE$841,3,0)),0,VLOOKUP($A3,Councils!$B$6:$AE$841,3,0))</f>
        <v>Paris</v>
      </c>
      <c r="C3">
        <f>IF(ISNA(VLOOKUP($A3,Councils!$B$6:$AE$841,4,0)),0,VLOOKUP($A3,Councils!$B$6:$AE$841,4,0))</f>
        <v>79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8975</v>
      </c>
      <c r="B4" t="str">
        <f>IF(ISNA(VLOOKUP($A4,Councils!$B$6:$AE$841,3,0)),0,VLOOKUP($A4,Councils!$B$6:$AE$841,3,0))</f>
        <v>Sulphur Springs</v>
      </c>
      <c r="C4">
        <f>IF(ISNA(VLOOKUP($A4,Councils!$B$6:$AE$841,4,0)),0,VLOOKUP($A4,Councils!$B$6:$AE$841,4,0))</f>
        <v>60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15174</v>
      </c>
      <c r="B5" t="str">
        <f>IF(ISNA(VLOOKUP($A5,Councils!$B$6:$AE$841,3,0)),0,VLOOKUP($A5,Councils!$B$6:$AE$841,3,0))</f>
        <v>Holly Lake Ranch</v>
      </c>
      <c r="C5">
        <f>IF(ISNA(VLOOKUP($A5,Councils!$B$6:$AE$841,4,0)),0,VLOOKUP($A5,Councils!$B$6:$AE$841,4,0))</f>
        <v>56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16078</v>
      </c>
      <c r="B6" t="str">
        <f>IF(ISNA(VLOOKUP($A6,Councils!$B$6:$AE$841,3,0)),0,VLOOKUP($A6,Councils!$B$6:$AE$841,3,0))</f>
        <v>Emory</v>
      </c>
      <c r="C6">
        <f>IF(ISNA(VLOOKUP($A6,Councils!$B$6:$AE$841,4,0)),0,VLOOKUP($A6,Councils!$B$6:$AE$841,4,0))</f>
        <v>59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830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732</v>
      </c>
      <c r="H1" s="72" t="s">
        <v>733</v>
      </c>
      <c r="I1" s="72" t="s">
        <v>734</v>
      </c>
      <c r="J1" s="72" t="s">
        <v>735</v>
      </c>
      <c r="K1" s="72" t="s">
        <v>736</v>
      </c>
      <c r="L1" s="72" t="s">
        <v>737</v>
      </c>
      <c r="M1" s="72" t="s">
        <v>738</v>
      </c>
      <c r="N1" s="72" t="s">
        <v>819</v>
      </c>
    </row>
    <row r="2" spans="1:14">
      <c r="A2">
        <f t="shared" ref="A2:A33" si="0">RANK(N2,$N$2:$N$208,0)</f>
        <v>1</v>
      </c>
      <c r="B2" s="67">
        <v>207</v>
      </c>
      <c r="C2" s="80">
        <f>IF(ISNA(VLOOKUP($B2,DD_Info!$A$1:$E$216,5,0)),0,VLOOKUP($B2,DD_Info!$A$1:$E$216,5,0))</f>
        <v>1</v>
      </c>
      <c r="D2" t="str">
        <f>IF(ISNA(VLOOKUP($B2,DD_Info!$A$1:$E$216,2,0)),0,VLOOKUP($B2,DD_Info!$A$1:$E$216,2,0))</f>
        <v>Juan A Lopez</v>
      </c>
      <c r="E2" t="str">
        <f>IF(ISNA(VLOOKUP($B2,DD_Info!$A$1:$E$216,3,0)),0,VLOOKUP($B2,DD_Info!$A$1:$E$216,3,0))</f>
        <v>Brownsville</v>
      </c>
      <c r="F2">
        <f>ROUND(SUMIF(Councils!$C$6:$C$809,$B2,Councils!$E$6:$E$809),0)</f>
        <v>718</v>
      </c>
      <c r="G2">
        <f>ROUND(SUMIF(Councils!$C$6:$C$809,$B2,Councils!$O$6:$O$809)*0.7,0)</f>
        <v>0</v>
      </c>
      <c r="H2">
        <f>ROUND(SUMIF(Councils!$C$6:$C$809,$B2,Councils!$P$6:$P$809)*0.7,0)</f>
        <v>1</v>
      </c>
      <c r="I2">
        <f>ROUND(SUMIF(Councils!$C$6:$C$809,$B2,Councils!$Q$6:$Q$809)*0.7,0)</f>
        <v>0</v>
      </c>
      <c r="J2">
        <f>ROUND(SUMIF(Councils!$C$6:$C$809,$B2,Councils!$R$6:$R$809)*0.7,0)</f>
        <v>1</v>
      </c>
      <c r="K2">
        <f>ROUND(SUMIF(Councils!$C$6:$C$809,$B2,Councils!$S$6:$S$809)*0.7,0)</f>
        <v>1</v>
      </c>
      <c r="L2">
        <f>ROUND(SUMIF(Councils!$C$6:$C$809,$B2,Councils!$T$6:$T$809)*0.7,0)</f>
        <v>2</v>
      </c>
      <c r="M2">
        <f>ROUND(SUMIF(Councils!$C$6:$C$809,$B2,Councils!$U$6:$U$809)*0.7,0)</f>
        <v>-1</v>
      </c>
      <c r="N2" s="63">
        <f t="shared" ref="N2:N65" si="1">IFERROR(M2/G2,0)</f>
        <v>0</v>
      </c>
    </row>
    <row r="3" spans="1:14">
      <c r="A3">
        <f t="shared" si="0"/>
        <v>1</v>
      </c>
      <c r="B3" s="67">
        <v>107</v>
      </c>
      <c r="C3" s="80">
        <f>IF(ISNA(VLOOKUP($B3,DD_Info!$A$1:$E$216,5,0)),0,VLOOKUP($B3,DD_Info!$A$1:$E$216,5,0))</f>
        <v>2</v>
      </c>
      <c r="D3" t="str">
        <f>IF(ISNA(VLOOKUP($B3,DD_Info!$A$1:$E$216,2,0)),0,VLOOKUP($B3,DD_Info!$A$1:$E$216,2,0))</f>
        <v>Robert M Repka Jr</v>
      </c>
      <c r="E3" t="str">
        <f>IF(ISNA(VLOOKUP($B3,DD_Info!$A$1:$E$216,3,0)),0,VLOOKUP($B3,DD_Info!$A$1:$E$216,3,0))</f>
        <v>Dallas</v>
      </c>
      <c r="F3">
        <f>ROUND(SUMIF(Councils!$C$6:$C$809,$B3,Councils!$E$6:$E$809),0)</f>
        <v>459</v>
      </c>
      <c r="G3">
        <f>ROUND(SUMIF(Councils!$C$6:$C$809,$B3,Councils!$O$6:$O$809)*0.7,0)</f>
        <v>0</v>
      </c>
      <c r="H3">
        <f>ROUND(SUMIF(Councils!$C$6:$C$809,$B3,Councils!$P$6:$P$809)*0.7,0)</f>
        <v>0</v>
      </c>
      <c r="I3">
        <f>ROUND(SUMIF(Councils!$C$6:$C$809,$B3,Councils!$Q$6:$Q$809)*0.7,0)</f>
        <v>1</v>
      </c>
      <c r="J3">
        <f>ROUND(SUMIF(Councils!$C$6:$C$809,$B3,Councils!$R$6:$R$809)*0.7,0)</f>
        <v>-1</v>
      </c>
      <c r="K3">
        <f>ROUND(SUMIF(Councils!$C$6:$C$809,$B3,Councils!$S$6:$S$809)*0.7,0)</f>
        <v>1</v>
      </c>
      <c r="L3">
        <f>ROUND(SUMIF(Councils!$C$6:$C$809,$B3,Councils!$T$6:$T$809)*0.7,0)</f>
        <v>1</v>
      </c>
      <c r="M3">
        <f>ROUND(SUMIF(Councils!$C$6:$C$809,$B3,Councils!$U$6:$U$809)*0.7,0)</f>
        <v>0</v>
      </c>
      <c r="N3" s="63">
        <f t="shared" si="1"/>
        <v>0</v>
      </c>
    </row>
    <row r="4" spans="1:14">
      <c r="A4">
        <f t="shared" si="0"/>
        <v>1</v>
      </c>
      <c r="B4" s="67">
        <v>227</v>
      </c>
      <c r="C4" s="80">
        <f>IF(ISNA(VLOOKUP($B4,DD_Info!$A$1:$E$216,5,0)),0,VLOOKUP($B4,DD_Info!$A$1:$E$216,5,0))</f>
        <v>3</v>
      </c>
      <c r="D4" t="str">
        <f>IF(ISNA(VLOOKUP($B4,DD_Info!$A$1:$E$216,2,0)),0,VLOOKUP($B4,DD_Info!$A$1:$E$216,2,0))</f>
        <v>Michael M Murray</v>
      </c>
      <c r="E4" t="str">
        <f>IF(ISNA(VLOOKUP($B4,DD_Info!$A$1:$E$216,3,0)),0,VLOOKUP($B4,DD_Info!$A$1:$E$216,3,0))</f>
        <v>San Angelo</v>
      </c>
      <c r="F4">
        <f>ROUND(SUMIF(Councils!$C$6:$C$809,$B4,Councils!$E$6:$E$809),0)</f>
        <v>184</v>
      </c>
      <c r="G4">
        <f>ROUND(SUMIF(Councils!$C$6:$C$809,$B4,Councils!$O$6:$O$809)*0.7,0)</f>
        <v>0</v>
      </c>
      <c r="H4">
        <f>ROUND(SUMIF(Councils!$C$6:$C$809,$B4,Councils!$P$6:$P$809)*0.7,0)</f>
        <v>0</v>
      </c>
      <c r="I4">
        <f>ROUND(SUMIF(Councils!$C$6:$C$809,$B4,Councils!$Q$6:$Q$809)*0.7,0)</f>
        <v>0</v>
      </c>
      <c r="J4">
        <f>ROUND(SUMIF(Councils!$C$6:$C$809,$B4,Councils!$R$6:$R$809)*0.7,0)</f>
        <v>0</v>
      </c>
      <c r="K4">
        <f>ROUND(SUMIF(Councils!$C$6:$C$809,$B4,Councils!$S$6:$S$809)*0.7,0)</f>
        <v>0</v>
      </c>
      <c r="L4">
        <f>ROUND(SUMIF(Councils!$C$6:$C$809,$B4,Councils!$T$6:$T$809)*0.7,0)</f>
        <v>1</v>
      </c>
      <c r="M4">
        <f>ROUND(SUMIF(Councils!$C$6:$C$809,$B4,Councils!$U$6:$U$809)*0.7,0)</f>
        <v>-1</v>
      </c>
      <c r="N4" s="63">
        <f t="shared" si="1"/>
        <v>0</v>
      </c>
    </row>
    <row r="5" spans="1:14">
      <c r="A5">
        <f t="shared" si="0"/>
        <v>1</v>
      </c>
      <c r="B5" s="67">
        <v>212</v>
      </c>
      <c r="C5" s="80">
        <f>IF(ISNA(VLOOKUP($B5,DD_Info!$A$1:$E$216,5,0)),0,VLOOKUP($B5,DD_Info!$A$1:$E$216,5,0))</f>
        <v>1</v>
      </c>
      <c r="D5" t="str">
        <f>IF(ISNA(VLOOKUP($B5,DD_Info!$A$1:$E$216,2,0)),0,VLOOKUP($B5,DD_Info!$A$1:$E$216,2,0))</f>
        <v>Noel P Benavides Jr</v>
      </c>
      <c r="E5" t="str">
        <f>IF(ISNA(VLOOKUP($B5,DD_Info!$A$1:$E$216,3,0)),0,VLOOKUP($B5,DD_Info!$A$1:$E$216,3,0))</f>
        <v>Brownsville</v>
      </c>
      <c r="F5">
        <f>ROUND(SUMIF(Councils!$C$6:$C$809,$B5,Councils!$E$6:$E$809),0)</f>
        <v>637</v>
      </c>
      <c r="G5">
        <f>ROUND(SUMIF(Councils!$C$6:$C$809,$B5,Councils!$O$6:$O$809)*0.7,0)</f>
        <v>0</v>
      </c>
      <c r="H5">
        <f>ROUND(SUMIF(Councils!$C$6:$C$809,$B5,Councils!$P$6:$P$809)*0.7,0)</f>
        <v>0</v>
      </c>
      <c r="I5">
        <f>ROUND(SUMIF(Councils!$C$6:$C$809,$B5,Councils!$Q$6:$Q$809)*0.7,0)</f>
        <v>2</v>
      </c>
      <c r="J5">
        <f>ROUND(SUMIF(Councils!$C$6:$C$809,$B5,Councils!$R$6:$R$809)*0.7,0)</f>
        <v>-2</v>
      </c>
      <c r="K5">
        <f>ROUND(SUMIF(Councils!$C$6:$C$809,$B5,Councils!$S$6:$S$809)*0.7,0)</f>
        <v>0</v>
      </c>
      <c r="L5">
        <f>ROUND(SUMIF(Councils!$C$6:$C$809,$B5,Councils!$T$6:$T$809)*0.7,0)</f>
        <v>3</v>
      </c>
      <c r="M5">
        <f>ROUND(SUMIF(Councils!$C$6:$C$809,$B5,Councils!$U$6:$U$809)*0.7,0)</f>
        <v>-3</v>
      </c>
      <c r="N5" s="63">
        <f t="shared" si="1"/>
        <v>0</v>
      </c>
    </row>
    <row r="6" spans="1:14">
      <c r="A6">
        <f t="shared" si="0"/>
        <v>1</v>
      </c>
      <c r="B6" s="67">
        <v>214</v>
      </c>
      <c r="C6" s="80">
        <f>IF(ISNA(VLOOKUP($B6,DD_Info!$A$1:$E$216,5,0)),0,VLOOKUP($B6,DD_Info!$A$1:$E$216,5,0))</f>
        <v>2</v>
      </c>
      <c r="D6" t="str">
        <f>IF(ISNA(VLOOKUP($B6,DD_Info!$A$1:$E$216,2,0)),0,VLOOKUP($B6,DD_Info!$A$1:$E$216,2,0))</f>
        <v>Apolonio  Zuniga Jr</v>
      </c>
      <c r="E6" t="str">
        <f>IF(ISNA(VLOOKUP($B6,DD_Info!$A$1:$E$216,3,0)),0,VLOOKUP($B6,DD_Info!$A$1:$E$216,3,0))</f>
        <v>Brownsville</v>
      </c>
      <c r="F6">
        <f>ROUND(SUMIF(Councils!$C$6:$C$809,$B6,Councils!$E$6:$E$809),0)</f>
        <v>338</v>
      </c>
      <c r="G6">
        <f>ROUND(SUMIF(Councils!$C$6:$C$809,$B6,Councils!$O$6:$O$809)*0.7,0)</f>
        <v>0</v>
      </c>
      <c r="H6">
        <f>ROUND(SUMIF(Councils!$C$6:$C$809,$B6,Councils!$P$6:$P$809)*0.7,0)</f>
        <v>0</v>
      </c>
      <c r="I6">
        <f>ROUND(SUMIF(Councils!$C$6:$C$809,$B6,Councils!$Q$6:$Q$809)*0.7,0)</f>
        <v>0</v>
      </c>
      <c r="J6">
        <f>ROUND(SUMIF(Councils!$C$6:$C$809,$B6,Councils!$R$6:$R$809)*0.7,0)</f>
        <v>0</v>
      </c>
      <c r="K6">
        <f>ROUND(SUMIF(Councils!$C$6:$C$809,$B6,Councils!$S$6:$S$809)*0.7,0)</f>
        <v>1</v>
      </c>
      <c r="L6">
        <f>ROUND(SUMIF(Councils!$C$6:$C$809,$B6,Councils!$T$6:$T$809)*0.7,0)</f>
        <v>1</v>
      </c>
      <c r="M6">
        <f>ROUND(SUMIF(Councils!$C$6:$C$809,$B6,Councils!$U$6:$U$809)*0.7,0)</f>
        <v>0</v>
      </c>
      <c r="N6" s="63">
        <f t="shared" si="1"/>
        <v>0</v>
      </c>
    </row>
    <row r="7" spans="1:14">
      <c r="A7">
        <f t="shared" si="0"/>
        <v>1</v>
      </c>
      <c r="B7" s="67">
        <v>217</v>
      </c>
      <c r="C7" s="80">
        <f>IF(ISNA(VLOOKUP($B7,DD_Info!$A$1:$E$216,5,0)),0,VLOOKUP($B7,DD_Info!$A$1:$E$216,5,0))</f>
        <v>3</v>
      </c>
      <c r="D7" t="str">
        <f>IF(ISNA(VLOOKUP($B7,DD_Info!$A$1:$E$216,2,0)),0,VLOOKUP($B7,DD_Info!$A$1:$E$216,2,0))</f>
        <v>Eduardo  Garcia</v>
      </c>
      <c r="E7" t="str">
        <f>IF(ISNA(VLOOKUP($B7,DD_Info!$A$1:$E$216,3,0)),0,VLOOKUP($B7,DD_Info!$A$1:$E$216,3,0))</f>
        <v>Brownsville</v>
      </c>
      <c r="F7">
        <f>ROUND(SUMIF(Councils!$C$6:$C$809,$B7,Councils!$E$6:$E$809),0)</f>
        <v>209</v>
      </c>
      <c r="G7">
        <f>ROUND(SUMIF(Councils!$C$6:$C$809,$B7,Councils!$O$6:$O$809)*0.7,0)</f>
        <v>0</v>
      </c>
      <c r="H7">
        <f>ROUND(SUMIF(Councils!$C$6:$C$809,$B7,Councils!$P$6:$P$809)*0.7,0)</f>
        <v>0</v>
      </c>
      <c r="I7">
        <f>ROUND(SUMIF(Councils!$C$6:$C$809,$B7,Councils!$Q$6:$Q$809)*0.7,0)</f>
        <v>1</v>
      </c>
      <c r="J7">
        <f>ROUND(SUMIF(Councils!$C$6:$C$809,$B7,Councils!$R$6:$R$809)*0.7,0)</f>
        <v>-1</v>
      </c>
      <c r="K7">
        <f>ROUND(SUMIF(Councils!$C$6:$C$809,$B7,Councils!$S$6:$S$809)*0.7,0)</f>
        <v>1</v>
      </c>
      <c r="L7">
        <f>ROUND(SUMIF(Councils!$C$6:$C$809,$B7,Councils!$T$6:$T$809)*0.7,0)</f>
        <v>4</v>
      </c>
      <c r="M7">
        <f>ROUND(SUMIF(Councils!$C$6:$C$809,$B7,Councils!$U$6:$U$809)*0.7,0)</f>
        <v>-2</v>
      </c>
      <c r="N7" s="63">
        <f t="shared" si="1"/>
        <v>0</v>
      </c>
    </row>
    <row r="8" spans="1:14">
      <c r="A8">
        <f t="shared" si="0"/>
        <v>1</v>
      </c>
      <c r="B8" s="67">
        <v>37</v>
      </c>
      <c r="C8" s="80">
        <f>IF(ISNA(VLOOKUP($B8,DD_Info!$A$1:$E$216,5,0)),0,VLOOKUP($B8,DD_Info!$A$1:$E$216,5,0))</f>
        <v>2</v>
      </c>
      <c r="D8" t="str">
        <f>IF(ISNA(VLOOKUP($B8,DD_Info!$A$1:$E$216,2,0)),0,VLOOKUP($B8,DD_Info!$A$1:$E$216,2,0))</f>
        <v>Ruben R Elizondo</v>
      </c>
      <c r="E8" t="str">
        <f>IF(ISNA(VLOOKUP($B8,DD_Info!$A$1:$E$216,3,0)),0,VLOOKUP($B8,DD_Info!$A$1:$E$216,3,0))</f>
        <v>San Antonio</v>
      </c>
      <c r="F8">
        <f>ROUND(SUMIF(Councils!$C$6:$C$809,$B8,Councils!$E$6:$E$809),0)</f>
        <v>463</v>
      </c>
      <c r="G8">
        <f>ROUND(SUMIF(Councils!$C$6:$C$809,$B8,Councils!$O$6:$O$809)*0.7,0)</f>
        <v>0</v>
      </c>
      <c r="H8">
        <f>ROUND(SUMIF(Councils!$C$6:$C$809,$B8,Councils!$P$6:$P$809)*0.7,0)</f>
        <v>0</v>
      </c>
      <c r="I8">
        <f>ROUND(SUMIF(Councils!$C$6:$C$809,$B8,Councils!$Q$6:$Q$809)*0.7,0)</f>
        <v>1</v>
      </c>
      <c r="J8">
        <f>ROUND(SUMIF(Councils!$C$6:$C$809,$B8,Councils!$R$6:$R$809)*0.7,0)</f>
        <v>-1</v>
      </c>
      <c r="K8">
        <f>ROUND(SUMIF(Councils!$C$6:$C$809,$B8,Councils!$S$6:$S$809)*0.7,0)</f>
        <v>4</v>
      </c>
      <c r="L8">
        <f>ROUND(SUMIF(Councils!$C$6:$C$809,$B8,Councils!$T$6:$T$809)*0.7,0)</f>
        <v>2</v>
      </c>
      <c r="M8">
        <f>ROUND(SUMIF(Councils!$C$6:$C$809,$B8,Councils!$U$6:$U$809)*0.7,0)</f>
        <v>1</v>
      </c>
      <c r="N8" s="63">
        <f t="shared" si="1"/>
        <v>0</v>
      </c>
    </row>
    <row r="9" spans="1:14">
      <c r="A9">
        <f t="shared" si="0"/>
        <v>1</v>
      </c>
      <c r="B9" s="67">
        <v>78</v>
      </c>
      <c r="C9" s="80">
        <f>IF(ISNA(VLOOKUP($B9,DD_Info!$A$1:$E$216,5,0)),0,VLOOKUP($B9,DD_Info!$A$1:$E$216,5,0))</f>
        <v>3</v>
      </c>
      <c r="D9" t="str">
        <f>IF(ISNA(VLOOKUP($B9,DD_Info!$A$1:$E$216,2,0)),0,VLOOKUP($B9,DD_Info!$A$1:$E$216,2,0))</f>
        <v>Ernest Garcia</v>
      </c>
      <c r="E9" t="str">
        <f>IF(ISNA(VLOOKUP($B9,DD_Info!$A$1:$E$216,3,0)),0,VLOOKUP($B9,DD_Info!$A$1:$E$216,3,0))</f>
        <v>Galv/Hous</v>
      </c>
      <c r="F9">
        <f>ROUND(SUMIF(Councils!$C$6:$C$809,$B9,Councils!$E$6:$E$809),0)</f>
        <v>223</v>
      </c>
      <c r="G9">
        <f>ROUND(SUMIF(Councils!$C$6:$C$809,$B9,Councils!$O$6:$O$809)*0.7,0)</f>
        <v>0</v>
      </c>
      <c r="H9">
        <f>ROUND(SUMIF(Councils!$C$6:$C$809,$B9,Councils!$P$6:$P$809)*0.7,0)</f>
        <v>0</v>
      </c>
      <c r="I9">
        <f>ROUND(SUMIF(Councils!$C$6:$C$809,$B9,Councils!$Q$6:$Q$809)*0.7,0)</f>
        <v>0</v>
      </c>
      <c r="J9">
        <f>ROUND(SUMIF(Councils!$C$6:$C$809,$B9,Councils!$R$6:$R$809)*0.7,0)</f>
        <v>0</v>
      </c>
      <c r="K9">
        <f>ROUND(SUMIF(Councils!$C$6:$C$809,$B9,Councils!$S$6:$S$809)*0.7,0)</f>
        <v>1</v>
      </c>
      <c r="L9">
        <f>ROUND(SUMIF(Councils!$C$6:$C$809,$B9,Councils!$T$6:$T$809)*0.7,0)</f>
        <v>0</v>
      </c>
      <c r="M9">
        <f>ROUND(SUMIF(Councils!$C$6:$C$809,$B9,Councils!$U$6:$U$809)*0.7,0)</f>
        <v>1</v>
      </c>
      <c r="N9" s="63">
        <f t="shared" si="1"/>
        <v>0</v>
      </c>
    </row>
    <row r="10" spans="1:14">
      <c r="A10">
        <f t="shared" si="0"/>
        <v>1</v>
      </c>
      <c r="B10" s="67">
        <v>153</v>
      </c>
      <c r="C10" s="80">
        <f>IF(ISNA(VLOOKUP($B10,DD_Info!$A$1:$E$216,5,0)),0,VLOOKUP($B10,DD_Info!$A$1:$E$216,5,0))</f>
        <v>2</v>
      </c>
      <c r="D10" t="str">
        <f>IF(ISNA(VLOOKUP($B10,DD_Info!$A$1:$E$216,2,0)),0,VLOOKUP($B10,DD_Info!$A$1:$E$216,2,0))</f>
        <v>Alex  Martinez</v>
      </c>
      <c r="E10" t="str">
        <f>IF(ISNA(VLOOKUP($B10,DD_Info!$A$1:$E$216,3,0)),0,VLOOKUP($B10,DD_Info!$A$1:$E$216,3,0))</f>
        <v>Austin</v>
      </c>
      <c r="F10">
        <f>ROUND(SUMIF(Councils!$C$6:$C$809,$B10,Councils!$E$6:$E$809),0)</f>
        <v>325</v>
      </c>
      <c r="G10">
        <f>ROUND(SUMIF(Councils!$C$6:$C$809,$B10,Councils!$O$6:$O$809)*0.7,0)</f>
        <v>0</v>
      </c>
      <c r="H10">
        <f>ROUND(SUMIF(Councils!$C$6:$C$809,$B10,Councils!$P$6:$P$809)*0.7,0)</f>
        <v>0</v>
      </c>
      <c r="I10">
        <f>ROUND(SUMIF(Councils!$C$6:$C$809,$B10,Councils!$Q$6:$Q$809)*0.7,0)</f>
        <v>1</v>
      </c>
      <c r="J10">
        <f>ROUND(SUMIF(Councils!$C$6:$C$809,$B10,Councils!$R$6:$R$809)*0.7,0)</f>
        <v>-1</v>
      </c>
      <c r="K10">
        <f>ROUND(SUMIF(Councils!$C$6:$C$809,$B10,Councils!$S$6:$S$809)*0.7,0)</f>
        <v>1</v>
      </c>
      <c r="L10">
        <f>ROUND(SUMIF(Councils!$C$6:$C$809,$B10,Councils!$T$6:$T$809)*0.7,0)</f>
        <v>1</v>
      </c>
      <c r="M10">
        <f>ROUND(SUMIF(Councils!$C$6:$C$809,$B10,Councils!$U$6:$U$809)*0.7,0)</f>
        <v>-1</v>
      </c>
      <c r="N10" s="63">
        <f t="shared" si="1"/>
        <v>0</v>
      </c>
    </row>
    <row r="11" spans="1:14">
      <c r="A11">
        <f t="shared" si="0"/>
        <v>1</v>
      </c>
      <c r="B11" s="67">
        <v>178</v>
      </c>
      <c r="C11" s="80">
        <f>IF(ISNA(VLOOKUP($B11,DD_Info!$A$1:$E$216,5,0)),0,VLOOKUP($B11,DD_Info!$A$1:$E$216,5,0))</f>
        <v>3</v>
      </c>
      <c r="D11" t="str">
        <f>IF(ISNA(VLOOKUP($B11,DD_Info!$A$1:$E$216,2,0)),0,VLOOKUP($B11,DD_Info!$A$1:$E$216,2,0))</f>
        <v>Ervey  Martinez</v>
      </c>
      <c r="E11" t="str">
        <f>IF(ISNA(VLOOKUP($B11,DD_Info!$A$1:$E$216,3,0)),0,VLOOKUP($B11,DD_Info!$A$1:$E$216,3,0))</f>
        <v>Corpus Christi</v>
      </c>
      <c r="F11">
        <f>ROUND(SUMIF(Councils!$C$6:$C$809,$B11,Councils!$E$6:$E$809),0)</f>
        <v>287</v>
      </c>
      <c r="G11">
        <f>ROUND(SUMIF(Councils!$C$6:$C$809,$B11,Councils!$O$6:$O$809)*0.7,0)</f>
        <v>0</v>
      </c>
      <c r="H11">
        <f>ROUND(SUMIF(Councils!$C$6:$C$809,$B11,Councils!$P$6:$P$809)*0.7,0)</f>
        <v>0</v>
      </c>
      <c r="I11">
        <f>ROUND(SUMIF(Councils!$C$6:$C$809,$B11,Councils!$Q$6:$Q$809)*0.7,0)</f>
        <v>1</v>
      </c>
      <c r="J11">
        <f>ROUND(SUMIF(Councils!$C$6:$C$809,$B11,Councils!$R$6:$R$809)*0.7,0)</f>
        <v>-1</v>
      </c>
      <c r="K11">
        <f>ROUND(SUMIF(Councils!$C$6:$C$809,$B11,Councils!$S$6:$S$809)*0.7,0)</f>
        <v>0</v>
      </c>
      <c r="L11">
        <f>ROUND(SUMIF(Councils!$C$6:$C$809,$B11,Councils!$T$6:$T$809)*0.7,0)</f>
        <v>1</v>
      </c>
      <c r="M11">
        <f>ROUND(SUMIF(Councils!$C$6:$C$809,$B11,Councils!$U$6:$U$809)*0.7,0)</f>
        <v>-1</v>
      </c>
      <c r="N11" s="63">
        <f t="shared" si="1"/>
        <v>0</v>
      </c>
    </row>
    <row r="12" spans="1:14">
      <c r="A12">
        <f t="shared" si="0"/>
        <v>1</v>
      </c>
      <c r="B12" s="67">
        <v>209</v>
      </c>
      <c r="C12" s="80">
        <f>IF(ISNA(VLOOKUP($B12,DD_Info!$A$1:$E$216,5,0)),0,VLOOKUP($B12,DD_Info!$A$1:$E$216,5,0))</f>
        <v>2</v>
      </c>
      <c r="D12" t="str">
        <f>IF(ISNA(VLOOKUP($B12,DD_Info!$A$1:$E$216,2,0)),0,VLOOKUP($B12,DD_Info!$A$1:$E$216,2,0))</f>
        <v>George L Ramirez</v>
      </c>
      <c r="E12" t="str">
        <f>IF(ISNA(VLOOKUP($B12,DD_Info!$A$1:$E$216,3,0)),0,VLOOKUP($B12,DD_Info!$A$1:$E$216,3,0))</f>
        <v>Brownsville</v>
      </c>
      <c r="F12">
        <f>ROUND(SUMIF(Councils!$C$6:$C$809,$B12,Councils!$E$6:$E$809),0)</f>
        <v>435</v>
      </c>
      <c r="G12">
        <f>ROUND(SUMIF(Councils!$C$6:$C$809,$B12,Councils!$O$6:$O$809)*0.7,0)</f>
        <v>0</v>
      </c>
      <c r="H12">
        <f>ROUND(SUMIF(Councils!$C$6:$C$809,$B12,Councils!$P$6:$P$809)*0.7,0)</f>
        <v>0</v>
      </c>
      <c r="I12">
        <f>ROUND(SUMIF(Councils!$C$6:$C$809,$B12,Councils!$Q$6:$Q$809)*0.7,0)</f>
        <v>0</v>
      </c>
      <c r="J12">
        <f>ROUND(SUMIF(Councils!$C$6:$C$809,$B12,Councils!$R$6:$R$809)*0.7,0)</f>
        <v>0</v>
      </c>
      <c r="K12">
        <f>ROUND(SUMIF(Councils!$C$6:$C$809,$B12,Councils!$S$6:$S$809)*0.7,0)</f>
        <v>0</v>
      </c>
      <c r="L12">
        <f>ROUND(SUMIF(Councils!$C$6:$C$809,$B12,Councils!$T$6:$T$809)*0.7,0)</f>
        <v>1</v>
      </c>
      <c r="M12">
        <f>ROUND(SUMIF(Councils!$C$6:$C$809,$B12,Councils!$U$6:$U$809)*0.7,0)</f>
        <v>-1</v>
      </c>
      <c r="N12" s="63">
        <f t="shared" si="1"/>
        <v>0</v>
      </c>
    </row>
    <row r="13" spans="1:14">
      <c r="A13">
        <f t="shared" si="0"/>
        <v>1</v>
      </c>
      <c r="B13" s="67">
        <v>213</v>
      </c>
      <c r="C13" s="80">
        <f>IF(ISNA(VLOOKUP($B13,DD_Info!$A$1:$E$216,5,0)),0,VLOOKUP($B13,DD_Info!$A$1:$E$216,5,0))</f>
        <v>2</v>
      </c>
      <c r="D13" t="str">
        <f>IF(ISNA(VLOOKUP($B13,DD_Info!$A$1:$E$216,2,0)),0,VLOOKUP($B13,DD_Info!$A$1:$E$216,2,0))</f>
        <v>Vincent M Pena</v>
      </c>
      <c r="E13" t="str">
        <f>IF(ISNA(VLOOKUP($B13,DD_Info!$A$1:$E$216,3,0)),0,VLOOKUP($B13,DD_Info!$A$1:$E$216,3,0))</f>
        <v>Brownsville</v>
      </c>
      <c r="F13">
        <f>ROUND(SUMIF(Councils!$C$6:$C$809,$B13,Councils!$E$6:$E$809),0)</f>
        <v>350</v>
      </c>
      <c r="G13">
        <f>ROUND(SUMIF(Councils!$C$6:$C$809,$B13,Councils!$O$6:$O$809)*0.7,0)</f>
        <v>0</v>
      </c>
      <c r="H13">
        <f>ROUND(SUMIF(Councils!$C$6:$C$809,$B13,Councils!$P$6:$P$809)*0.7,0)</f>
        <v>0</v>
      </c>
      <c r="I13">
        <f>ROUND(SUMIF(Councils!$C$6:$C$809,$B13,Councils!$Q$6:$Q$809)*0.7,0)</f>
        <v>1</v>
      </c>
      <c r="J13">
        <f>ROUND(SUMIF(Councils!$C$6:$C$809,$B13,Councils!$R$6:$R$809)*0.7,0)</f>
        <v>-1</v>
      </c>
      <c r="K13">
        <f>ROUND(SUMIF(Councils!$C$6:$C$809,$B13,Councils!$S$6:$S$809)*0.7,0)</f>
        <v>1</v>
      </c>
      <c r="L13">
        <f>ROUND(SUMIF(Councils!$C$6:$C$809,$B13,Councils!$T$6:$T$809)*0.7,0)</f>
        <v>2</v>
      </c>
      <c r="M13">
        <f>ROUND(SUMIF(Councils!$C$6:$C$809,$B13,Councils!$U$6:$U$809)*0.7,0)</f>
        <v>-1</v>
      </c>
      <c r="N13" s="63">
        <f t="shared" si="1"/>
        <v>0</v>
      </c>
    </row>
    <row r="14" spans="1:14">
      <c r="A14">
        <f t="shared" si="0"/>
        <v>1</v>
      </c>
      <c r="B14" s="67">
        <v>134</v>
      </c>
      <c r="C14" s="80">
        <f>IF(ISNA(VLOOKUP($B14,DD_Info!$A$1:$E$216,5,0)),0,VLOOKUP($B14,DD_Info!$A$1:$E$216,5,0))</f>
        <v>2</v>
      </c>
      <c r="D14" t="str">
        <f>IF(ISNA(VLOOKUP($B14,DD_Info!$A$1:$E$216,2,0)),0,VLOOKUP($B14,DD_Info!$A$1:$E$216,2,0))</f>
        <v>Damian Christopher  Oldmixon</v>
      </c>
      <c r="E14" t="str">
        <f>IF(ISNA(VLOOKUP($B14,DD_Info!$A$1:$E$216,3,0)),0,VLOOKUP($B14,DD_Info!$A$1:$E$216,3,0))</f>
        <v>Tyler</v>
      </c>
      <c r="F14">
        <f>ROUND(SUMIF(Councils!$C$6:$C$809,$B14,Councils!$E$6:$E$809),0)</f>
        <v>433</v>
      </c>
      <c r="G14">
        <f>ROUND(SUMIF(Councils!$C$6:$C$809,$B14,Councils!$O$6:$O$809)*0.7,0)</f>
        <v>0</v>
      </c>
      <c r="H14">
        <f>ROUND(SUMIF(Councils!$C$6:$C$809,$B14,Councils!$P$6:$P$809)*0.7,0)</f>
        <v>0</v>
      </c>
      <c r="I14">
        <f>ROUND(SUMIF(Councils!$C$6:$C$809,$B14,Councils!$Q$6:$Q$809)*0.7,0)</f>
        <v>1</v>
      </c>
      <c r="J14">
        <f>ROUND(SUMIF(Councils!$C$6:$C$809,$B14,Councils!$R$6:$R$809)*0.7,0)</f>
        <v>-1</v>
      </c>
      <c r="K14">
        <f>ROUND(SUMIF(Councils!$C$6:$C$809,$B14,Councils!$S$6:$S$809)*0.7,0)</f>
        <v>1</v>
      </c>
      <c r="L14">
        <f>ROUND(SUMIF(Councils!$C$6:$C$809,$B14,Councils!$T$6:$T$809)*0.7,0)</f>
        <v>2</v>
      </c>
      <c r="M14">
        <f>ROUND(SUMIF(Councils!$C$6:$C$809,$B14,Councils!$U$6:$U$809)*0.7,0)</f>
        <v>-1</v>
      </c>
      <c r="N14" s="63">
        <f t="shared" si="1"/>
        <v>0</v>
      </c>
    </row>
    <row r="15" spans="1:14">
      <c r="A15">
        <f t="shared" si="0"/>
        <v>1</v>
      </c>
      <c r="B15" s="67">
        <v>224</v>
      </c>
      <c r="C15" s="80">
        <f>IF(ISNA(VLOOKUP($B15,DD_Info!$A$1:$E$216,5,0)),0,VLOOKUP($B15,DD_Info!$A$1:$E$216,5,0))</f>
        <v>2</v>
      </c>
      <c r="D15" t="str">
        <f>IF(ISNA(VLOOKUP($B15,DD_Info!$A$1:$E$216,2,0)),0,VLOOKUP($B15,DD_Info!$A$1:$E$216,2,0))</f>
        <v>Lupe M Rodriguez</v>
      </c>
      <c r="E15" t="str">
        <f>IF(ISNA(VLOOKUP($B15,DD_Info!$A$1:$E$216,3,0)),0,VLOOKUP($B15,DD_Info!$A$1:$E$216,3,0))</f>
        <v>San Angelo</v>
      </c>
      <c r="F15">
        <f>ROUND(SUMIF(Councils!$C$6:$C$809,$B15,Councils!$E$6:$E$809),0)</f>
        <v>527</v>
      </c>
      <c r="G15">
        <f>ROUND(SUMIF(Councils!$C$6:$C$809,$B15,Councils!$O$6:$O$809)*0.7,0)</f>
        <v>0</v>
      </c>
      <c r="H15">
        <f>ROUND(SUMIF(Councils!$C$6:$C$809,$B15,Councils!$P$6:$P$809)*0.7,0)</f>
        <v>1</v>
      </c>
      <c r="I15">
        <f>ROUND(SUMIF(Councils!$C$6:$C$809,$B15,Councils!$Q$6:$Q$809)*0.7,0)</f>
        <v>0</v>
      </c>
      <c r="J15">
        <f>ROUND(SUMIF(Councils!$C$6:$C$809,$B15,Councils!$R$6:$R$809)*0.7,0)</f>
        <v>1</v>
      </c>
      <c r="K15">
        <f>ROUND(SUMIF(Councils!$C$6:$C$809,$B15,Councils!$S$6:$S$809)*0.7,0)</f>
        <v>1</v>
      </c>
      <c r="L15">
        <f>ROUND(SUMIF(Councils!$C$6:$C$809,$B15,Councils!$T$6:$T$809)*0.7,0)</f>
        <v>1</v>
      </c>
      <c r="M15">
        <f>ROUND(SUMIF(Councils!$C$6:$C$809,$B15,Councils!$U$6:$U$809)*0.7,0)</f>
        <v>0</v>
      </c>
      <c r="N15" s="63">
        <f t="shared" si="1"/>
        <v>0</v>
      </c>
    </row>
    <row r="16" spans="1:14">
      <c r="A16">
        <f t="shared" si="0"/>
        <v>1</v>
      </c>
      <c r="B16" s="67">
        <v>22</v>
      </c>
      <c r="C16" s="80">
        <f>IF(ISNA(VLOOKUP($B16,DD_Info!$A$1:$E$216,5,0)),0,VLOOKUP($B16,DD_Info!$A$1:$E$216,5,0))</f>
        <v>2</v>
      </c>
      <c r="D16" t="str">
        <f>IF(ISNA(VLOOKUP($B16,DD_Info!$A$1:$E$216,2,0)),0,VLOOKUP($B16,DD_Info!$A$1:$E$216,2,0))</f>
        <v>John  Walker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569</v>
      </c>
      <c r="G16">
        <f>ROUND(SUMIF(Councils!$C$6:$C$809,$B16,Councils!$O$6:$O$809)*0.7,0)</f>
        <v>0</v>
      </c>
      <c r="H16">
        <f>ROUND(SUMIF(Councils!$C$6:$C$809,$B16,Councils!$P$6:$P$809)*0.7,0)</f>
        <v>1</v>
      </c>
      <c r="I16">
        <f>ROUND(SUMIF(Councils!$C$6:$C$809,$B16,Councils!$Q$6:$Q$809)*0.7,0)</f>
        <v>1</v>
      </c>
      <c r="J16">
        <f>ROUND(SUMIF(Councils!$C$6:$C$809,$B16,Councils!$R$6:$R$809)*0.7,0)</f>
        <v>0</v>
      </c>
      <c r="K16">
        <f>ROUND(SUMIF(Councils!$C$6:$C$809,$B16,Councils!$S$6:$S$809)*0.7,0)</f>
        <v>1</v>
      </c>
      <c r="L16">
        <f>ROUND(SUMIF(Councils!$C$6:$C$809,$B16,Councils!$T$6:$T$809)*0.7,0)</f>
        <v>2</v>
      </c>
      <c r="M16">
        <f>ROUND(SUMIF(Councils!$C$6:$C$809,$B16,Councils!$U$6:$U$809)*0.7,0)</f>
        <v>-1</v>
      </c>
      <c r="N16" s="63">
        <f t="shared" si="1"/>
        <v>0</v>
      </c>
    </row>
    <row r="17" spans="1:14">
      <c r="A17">
        <f t="shared" si="0"/>
        <v>1</v>
      </c>
      <c r="B17" s="67">
        <v>41</v>
      </c>
      <c r="C17" s="80">
        <f>IF(ISNA(VLOOKUP($B17,DD_Info!$A$1:$E$216,5,0)),0,VLOOKUP($B17,DD_Info!$A$1:$E$216,5,0))</f>
        <v>1</v>
      </c>
      <c r="D17" t="str">
        <f>IF(ISNA(VLOOKUP($B17,DD_Info!$A$1:$E$216,2,0)),0,VLOOKUP($B17,DD_Info!$A$1:$E$216,2,0))</f>
        <v>Jaime  Piedra</v>
      </c>
      <c r="E17" t="str">
        <f>IF(ISNA(VLOOKUP($B17,DD_Info!$A$1:$E$216,3,0)),0,VLOOKUP($B17,DD_Info!$A$1:$E$216,3,0))</f>
        <v>San Antonio</v>
      </c>
      <c r="F17">
        <f>ROUND(SUMIF(Councils!$C$6:$C$809,$B17,Councils!$E$6:$E$809),0)</f>
        <v>698</v>
      </c>
      <c r="G17">
        <f>ROUND(SUMIF(Councils!$C$6:$C$809,$B17,Councils!$O$6:$O$809)*0.7,0)</f>
        <v>0</v>
      </c>
      <c r="H17">
        <f>ROUND(SUMIF(Councils!$C$6:$C$809,$B17,Councils!$P$6:$P$809)*0.7,0)</f>
        <v>0</v>
      </c>
      <c r="I17">
        <f>ROUND(SUMIF(Councils!$C$6:$C$809,$B17,Councils!$Q$6:$Q$809)*0.7,0)</f>
        <v>0</v>
      </c>
      <c r="J17">
        <f>ROUND(SUMIF(Councils!$C$6:$C$809,$B17,Councils!$R$6:$R$809)*0.7,0)</f>
        <v>0</v>
      </c>
      <c r="K17">
        <f>ROUND(SUMIF(Councils!$C$6:$C$809,$B17,Councils!$S$6:$S$809)*0.7,0)</f>
        <v>2</v>
      </c>
      <c r="L17">
        <f>ROUND(SUMIF(Councils!$C$6:$C$809,$B17,Councils!$T$6:$T$809)*0.7,0)</f>
        <v>4</v>
      </c>
      <c r="M17">
        <f>ROUND(SUMIF(Councils!$C$6:$C$809,$B17,Councils!$U$6:$U$809)*0.7,0)</f>
        <v>-1</v>
      </c>
      <c r="N17" s="63">
        <f t="shared" si="1"/>
        <v>0</v>
      </c>
    </row>
    <row r="18" spans="1:14">
      <c r="A18">
        <f t="shared" si="0"/>
        <v>1</v>
      </c>
      <c r="B18" s="67">
        <v>109</v>
      </c>
      <c r="C18" s="80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ROUND(SUMIF(Councils!$C$6:$C$809,$B18,Councils!$O$6:$O$809)*0.7,0)</f>
        <v>0</v>
      </c>
      <c r="H18">
        <f>ROUND(SUMIF(Councils!$C$6:$C$809,$B18,Councils!$P$6:$P$809)*0.7,0)</f>
        <v>0</v>
      </c>
      <c r="I18">
        <f>ROUND(SUMIF(Councils!$C$6:$C$809,$B18,Councils!$Q$6:$Q$809)*0.7,0)</f>
        <v>1</v>
      </c>
      <c r="J18">
        <f>ROUND(SUMIF(Councils!$C$6:$C$809,$B18,Councils!$R$6:$R$809)*0.7,0)</f>
        <v>-1</v>
      </c>
      <c r="K18">
        <f>ROUND(SUMIF(Councils!$C$6:$C$809,$B18,Councils!$S$6:$S$809)*0.7,0)</f>
        <v>1</v>
      </c>
      <c r="L18">
        <f>ROUND(SUMIF(Councils!$C$6:$C$809,$B18,Councils!$T$6:$T$809)*0.7,0)</f>
        <v>4</v>
      </c>
      <c r="M18">
        <f>ROUND(SUMIF(Councils!$C$6:$C$809,$B18,Councils!$U$6:$U$809)*0.7,0)</f>
        <v>-4</v>
      </c>
      <c r="N18" s="63">
        <f t="shared" si="1"/>
        <v>0</v>
      </c>
    </row>
    <row r="19" spans="1:14">
      <c r="A19">
        <f t="shared" si="0"/>
        <v>1</v>
      </c>
      <c r="B19" s="67">
        <v>142</v>
      </c>
      <c r="C19" s="80">
        <f>IF(ISNA(VLOOKUP($B19,DD_Info!$A$1:$E$216,5,0)),0,VLOOKUP($B19,DD_Info!$A$1:$E$216,5,0))</f>
        <v>2</v>
      </c>
      <c r="D19" t="str">
        <f>IF(ISNA(VLOOKUP($B19,DD_Info!$A$1:$E$216,2,0)),0,VLOOKUP($B19,DD_Info!$A$1:$E$216,2,0))</f>
        <v>Bernard F Ott Jr</v>
      </c>
      <c r="E19" t="str">
        <f>IF(ISNA(VLOOKUP($B19,DD_Info!$A$1:$E$216,3,0)),0,VLOOKUP($B19,DD_Info!$A$1:$E$216,3,0))</f>
        <v>Austin</v>
      </c>
      <c r="F19">
        <f>ROUND(SUMIF(Councils!$C$6:$C$809,$B19,Councils!$E$6:$E$809),0)</f>
        <v>329</v>
      </c>
      <c r="G19">
        <f>ROUND(SUMIF(Councils!$C$6:$C$809,$B19,Councils!$O$6:$O$809)*0.7,0)</f>
        <v>0</v>
      </c>
      <c r="H19">
        <f>ROUND(SUMIF(Councils!$C$6:$C$809,$B19,Councils!$P$6:$P$809)*0.7,0)</f>
        <v>0</v>
      </c>
      <c r="I19">
        <f>ROUND(SUMIF(Councils!$C$6:$C$809,$B19,Councils!$Q$6:$Q$809)*0.7,0)</f>
        <v>1</v>
      </c>
      <c r="J19">
        <f>ROUND(SUMIF(Councils!$C$6:$C$809,$B19,Councils!$R$6:$R$809)*0.7,0)</f>
        <v>-1</v>
      </c>
      <c r="K19">
        <f>ROUND(SUMIF(Councils!$C$6:$C$809,$B19,Councils!$S$6:$S$809)*0.7,0)</f>
        <v>5</v>
      </c>
      <c r="L19">
        <f>ROUND(SUMIF(Councils!$C$6:$C$809,$B19,Councils!$T$6:$T$809)*0.7,0)</f>
        <v>3</v>
      </c>
      <c r="M19">
        <f>ROUND(SUMIF(Councils!$C$6:$C$809,$B19,Councils!$U$6:$U$809)*0.7,0)</f>
        <v>2</v>
      </c>
      <c r="N19" s="63">
        <f t="shared" si="1"/>
        <v>0</v>
      </c>
    </row>
    <row r="20" spans="1:14">
      <c r="A20">
        <f t="shared" si="0"/>
        <v>1</v>
      </c>
      <c r="B20" s="67">
        <v>210</v>
      </c>
      <c r="C20" s="80">
        <f>IF(ISNA(VLOOKUP($B20,DD_Info!$A$1:$E$216,5,0)),0,VLOOKUP($B20,DD_Info!$A$1:$E$216,5,0))</f>
        <v>2</v>
      </c>
      <c r="D20" t="str">
        <f>IF(ISNA(VLOOKUP($B20,DD_Info!$A$1:$E$216,2,0)),0,VLOOKUP($B20,DD_Info!$A$1:$E$216,2,0))</f>
        <v>Antonio C Puente Sr</v>
      </c>
      <c r="E20" t="str">
        <f>IF(ISNA(VLOOKUP($B20,DD_Info!$A$1:$E$216,3,0)),0,VLOOKUP($B20,DD_Info!$A$1:$E$216,3,0))</f>
        <v>Brownsville</v>
      </c>
      <c r="F20">
        <f>ROUND(SUMIF(Councils!$C$6:$C$809,$B20,Councils!$E$6:$E$809),0)</f>
        <v>574</v>
      </c>
      <c r="G20">
        <f>ROUND(SUMIF(Councils!$C$6:$C$809,$B20,Councils!$O$6:$O$809)*0.7,0)</f>
        <v>0</v>
      </c>
      <c r="H20">
        <f>ROUND(SUMIF(Councils!$C$6:$C$809,$B20,Councils!$P$6:$P$809)*0.7,0)</f>
        <v>0</v>
      </c>
      <c r="I20">
        <f>ROUND(SUMIF(Councils!$C$6:$C$809,$B20,Councils!$Q$6:$Q$809)*0.7,0)</f>
        <v>1</v>
      </c>
      <c r="J20">
        <f>ROUND(SUMIF(Councils!$C$6:$C$809,$B20,Councils!$R$6:$R$809)*0.7,0)</f>
        <v>-1</v>
      </c>
      <c r="K20">
        <f>ROUND(SUMIF(Councils!$C$6:$C$809,$B20,Councils!$S$6:$S$809)*0.7,0)</f>
        <v>2</v>
      </c>
      <c r="L20">
        <f>ROUND(SUMIF(Councils!$C$6:$C$809,$B20,Councils!$T$6:$T$809)*0.7,0)</f>
        <v>3</v>
      </c>
      <c r="M20">
        <f>ROUND(SUMIF(Councils!$C$6:$C$809,$B20,Councils!$U$6:$U$809)*0.7,0)</f>
        <v>-1</v>
      </c>
      <c r="N20" s="63">
        <f t="shared" si="1"/>
        <v>0</v>
      </c>
    </row>
    <row r="21" spans="1:14">
      <c r="A21">
        <f t="shared" si="0"/>
        <v>1</v>
      </c>
      <c r="B21" s="67">
        <v>69</v>
      </c>
      <c r="C21" s="80">
        <f>IF(ISNA(VLOOKUP($B21,DD_Info!$A$1:$E$216,5,0)),0,VLOOKUP($B21,DD_Info!$A$1:$E$216,5,0))</f>
        <v>1</v>
      </c>
      <c r="D21" t="str">
        <f>IF(ISNA(VLOOKUP($B21,DD_Info!$A$1:$E$216,2,0)),0,VLOOKUP($B21,DD_Info!$A$1:$E$216,2,0))</f>
        <v>Robert  Guerrero Jr</v>
      </c>
      <c r="E21" t="str">
        <f>IF(ISNA(VLOOKUP($B21,DD_Info!$A$1:$E$216,3,0)),0,VLOOKUP($B21,DD_Info!$A$1:$E$216,3,0))</f>
        <v>Galv/Hous</v>
      </c>
      <c r="F21">
        <f>ROUND(SUMIF(Councils!$C$6:$C$809,$B21,Councils!$E$6:$E$809),0)</f>
        <v>607</v>
      </c>
      <c r="G21">
        <f>ROUND(SUMIF(Councils!$C$6:$C$809,$B21,Councils!$O$6:$O$809)*0.7,0)</f>
        <v>0</v>
      </c>
      <c r="H21">
        <f>ROUND(SUMIF(Councils!$C$6:$C$809,$B21,Councils!$P$6:$P$809)*0.7,0)</f>
        <v>0</v>
      </c>
      <c r="I21">
        <f>ROUND(SUMIF(Councils!$C$6:$C$809,$B21,Councils!$Q$6:$Q$809)*0.7,0)</f>
        <v>1</v>
      </c>
      <c r="J21">
        <f>ROUND(SUMIF(Councils!$C$6:$C$809,$B21,Councils!$R$6:$R$809)*0.7,0)</f>
        <v>-1</v>
      </c>
      <c r="K21">
        <f>ROUND(SUMIF(Councils!$C$6:$C$809,$B21,Councils!$S$6:$S$809)*0.7,0)</f>
        <v>2</v>
      </c>
      <c r="L21">
        <f>ROUND(SUMIF(Councils!$C$6:$C$809,$B21,Councils!$T$6:$T$809)*0.7,0)</f>
        <v>5</v>
      </c>
      <c r="M21">
        <f>ROUND(SUMIF(Councils!$C$6:$C$809,$B21,Councils!$U$6:$U$809)*0.7,0)</f>
        <v>-3</v>
      </c>
      <c r="N21" s="63">
        <f t="shared" si="1"/>
        <v>0</v>
      </c>
    </row>
    <row r="22" spans="1:14">
      <c r="A22">
        <f t="shared" si="0"/>
        <v>1</v>
      </c>
      <c r="B22" s="67">
        <v>71</v>
      </c>
      <c r="C22" s="80">
        <f>IF(ISNA(VLOOKUP($B22,DD_Info!$A$1:$E$216,5,0)),0,VLOOKUP($B22,DD_Info!$A$1:$E$216,5,0))</f>
        <v>1</v>
      </c>
      <c r="D22" t="str">
        <f>IF(ISNA(VLOOKUP($B22,DD_Info!$A$1:$E$216,2,0)),0,VLOOKUP($B22,DD_Info!$A$1:$E$216,2,0))</f>
        <v>E.J. "Jerry"  Moch Jr</v>
      </c>
      <c r="E22" t="str">
        <f>IF(ISNA(VLOOKUP($B22,DD_Info!$A$1:$E$216,3,0)),0,VLOOKUP($B22,DD_Info!$A$1:$E$216,3,0))</f>
        <v>Galv/Hous</v>
      </c>
      <c r="F22">
        <f>ROUND(SUMIF(Councils!$C$6:$C$809,$B22,Councils!$E$6:$E$809),0)</f>
        <v>707</v>
      </c>
      <c r="G22">
        <f>ROUND(SUMIF(Councils!$C$6:$C$809,$B22,Councils!$O$6:$O$809)*0.7,0)</f>
        <v>0</v>
      </c>
      <c r="H22">
        <f>ROUND(SUMIF(Councils!$C$6:$C$809,$B22,Councils!$P$6:$P$809)*0.7,0)</f>
        <v>0</v>
      </c>
      <c r="I22">
        <f>ROUND(SUMIF(Councils!$C$6:$C$809,$B22,Councils!$Q$6:$Q$809)*0.7,0)</f>
        <v>0</v>
      </c>
      <c r="J22">
        <f>ROUND(SUMIF(Councils!$C$6:$C$809,$B22,Councils!$R$6:$R$809)*0.7,0)</f>
        <v>0</v>
      </c>
      <c r="K22">
        <f>ROUND(SUMIF(Councils!$C$6:$C$809,$B22,Councils!$S$6:$S$809)*0.7,0)</f>
        <v>4</v>
      </c>
      <c r="L22">
        <f>ROUND(SUMIF(Councils!$C$6:$C$809,$B22,Councils!$T$6:$T$809)*0.7,0)</f>
        <v>3</v>
      </c>
      <c r="M22">
        <f>ROUND(SUMIF(Councils!$C$6:$C$809,$B22,Councils!$U$6:$U$809)*0.7,0)</f>
        <v>1</v>
      </c>
      <c r="N22" s="63">
        <f t="shared" si="1"/>
        <v>0</v>
      </c>
    </row>
    <row r="23" spans="1:14">
      <c r="A23">
        <f t="shared" si="0"/>
        <v>1</v>
      </c>
      <c r="B23" s="67">
        <v>156</v>
      </c>
      <c r="C23" s="80">
        <f>IF(ISNA(VLOOKUP($B23,DD_Info!$A$1:$E$216,5,0)),0,VLOOKUP($B23,DD_Info!$A$1:$E$216,5,0))</f>
        <v>1</v>
      </c>
      <c r="D23" t="str">
        <f>IF(ISNA(VLOOKUP($B23,DD_Info!$A$1:$E$216,2,0)),0,VLOOKUP($B23,DD_Info!$A$1:$E$216,2,0))</f>
        <v>George G Scott</v>
      </c>
      <c r="E23" t="str">
        <f>IF(ISNA(VLOOKUP($B23,DD_Info!$A$1:$E$216,3,0)),0,VLOOKUP($B23,DD_Info!$A$1:$E$216,3,0))</f>
        <v>Austin</v>
      </c>
      <c r="F23">
        <f>ROUND(SUMIF(Councils!$C$6:$C$809,$B23,Councils!$E$6:$E$809),0)</f>
        <v>662</v>
      </c>
      <c r="G23">
        <f>ROUND(SUMIF(Councils!$C$6:$C$809,$B23,Councils!$O$6:$O$809)*0.7,0)</f>
        <v>0</v>
      </c>
      <c r="H23">
        <f>ROUND(SUMIF(Councils!$C$6:$C$809,$B23,Councils!$P$6:$P$809)*0.7,0)</f>
        <v>0</v>
      </c>
      <c r="I23">
        <f>ROUND(SUMIF(Councils!$C$6:$C$809,$B23,Councils!$Q$6:$Q$809)*0.7,0)</f>
        <v>0</v>
      </c>
      <c r="J23">
        <f>ROUND(SUMIF(Councils!$C$6:$C$809,$B23,Councils!$R$6:$R$809)*0.7,0)</f>
        <v>0</v>
      </c>
      <c r="K23">
        <f>ROUND(SUMIF(Councils!$C$6:$C$809,$B23,Councils!$S$6:$S$809)*0.7,0)</f>
        <v>2</v>
      </c>
      <c r="L23">
        <f>ROUND(SUMIF(Councils!$C$6:$C$809,$B23,Councils!$T$6:$T$809)*0.7,0)</f>
        <v>3</v>
      </c>
      <c r="M23">
        <f>ROUND(SUMIF(Councils!$C$6:$C$809,$B23,Councils!$U$6:$U$809)*0.7,0)</f>
        <v>-1</v>
      </c>
      <c r="N23" s="63">
        <f t="shared" si="1"/>
        <v>0</v>
      </c>
    </row>
    <row r="24" spans="1:14">
      <c r="A24">
        <f t="shared" si="0"/>
        <v>1</v>
      </c>
      <c r="B24" s="67">
        <v>133</v>
      </c>
      <c r="C24" s="80">
        <f>IF(ISNA(VLOOKUP($B24,DD_Info!$A$1:$E$216,5,0)),0,VLOOKUP($B24,DD_Info!$A$1:$E$216,5,0))</f>
        <v>1</v>
      </c>
      <c r="D24" t="str">
        <f>IF(ISNA(VLOOKUP($B24,DD_Info!$A$1:$E$216,2,0)),0,VLOOKUP($B24,DD_Info!$A$1:$E$216,2,0))</f>
        <v>John S Evans</v>
      </c>
      <c r="E24" t="str">
        <f>IF(ISNA(VLOOKUP($B24,DD_Info!$A$1:$E$216,3,0)),0,VLOOKUP($B24,DD_Info!$A$1:$E$216,3,0))</f>
        <v>Tyler</v>
      </c>
      <c r="F24">
        <f>ROUND(SUMIF(Councils!$C$6:$C$809,$B24,Councils!$E$6:$E$809),0)</f>
        <v>655</v>
      </c>
      <c r="G24">
        <f>ROUND(SUMIF(Councils!$C$6:$C$809,$B24,Councils!$O$6:$O$809)*0.7,0)</f>
        <v>0</v>
      </c>
      <c r="H24">
        <f>ROUND(SUMIF(Councils!$C$6:$C$809,$B24,Councils!$P$6:$P$809)*0.7,0)</f>
        <v>0</v>
      </c>
      <c r="I24">
        <f>ROUND(SUMIF(Councils!$C$6:$C$809,$B24,Councils!$Q$6:$Q$809)*0.7,0)</f>
        <v>1</v>
      </c>
      <c r="J24">
        <f>ROUND(SUMIF(Councils!$C$6:$C$809,$B24,Councils!$R$6:$R$809)*0.7,0)</f>
        <v>-1</v>
      </c>
      <c r="K24">
        <f>ROUND(SUMIF(Councils!$C$6:$C$809,$B24,Councils!$S$6:$S$809)*0.7,0)</f>
        <v>1</v>
      </c>
      <c r="L24">
        <f>ROUND(SUMIF(Councils!$C$6:$C$809,$B24,Councils!$T$6:$T$809)*0.7,0)</f>
        <v>1</v>
      </c>
      <c r="M24">
        <f>ROUND(SUMIF(Councils!$C$6:$C$809,$B24,Councils!$U$6:$U$809)*0.7,0)</f>
        <v>0</v>
      </c>
      <c r="N24" s="63">
        <f t="shared" si="1"/>
        <v>0</v>
      </c>
    </row>
    <row r="25" spans="1:14">
      <c r="A25">
        <f t="shared" si="0"/>
        <v>1</v>
      </c>
      <c r="B25" s="67">
        <v>147</v>
      </c>
      <c r="C25" s="80">
        <f>IF(ISNA(VLOOKUP($B25,DD_Info!$A$1:$E$216,5,0)),0,VLOOKUP($B25,DD_Info!$A$1:$E$216,5,0))</f>
        <v>1</v>
      </c>
      <c r="D25" t="str">
        <f>IF(ISNA(VLOOKUP($B25,DD_Info!$A$1:$E$216,2,0)),0,VLOOKUP($B25,DD_Info!$A$1:$E$216,2,0))</f>
        <v>Clarence  Troy</v>
      </c>
      <c r="E25" t="str">
        <f>IF(ISNA(VLOOKUP($B25,DD_Info!$A$1:$E$216,3,0)),0,VLOOKUP($B25,DD_Info!$A$1:$E$216,3,0))</f>
        <v>Austin</v>
      </c>
      <c r="F25">
        <f>ROUND(SUMIF(Councils!$C$6:$C$809,$B25,Councils!$E$6:$E$809),0)</f>
        <v>700</v>
      </c>
      <c r="G25">
        <f>ROUND(SUMIF(Councils!$C$6:$C$809,$B25,Councils!$O$6:$O$809)*0.7,0)</f>
        <v>0</v>
      </c>
      <c r="H25">
        <f>ROUND(SUMIF(Councils!$C$6:$C$809,$B25,Councils!$P$6:$P$809)*0.7,0)</f>
        <v>0</v>
      </c>
      <c r="I25">
        <f>ROUND(SUMIF(Councils!$C$6:$C$809,$B25,Councils!$Q$6:$Q$809)*0.7,0)</f>
        <v>1</v>
      </c>
      <c r="J25">
        <f>ROUND(SUMIF(Councils!$C$6:$C$809,$B25,Councils!$R$6:$R$809)*0.7,0)</f>
        <v>-1</v>
      </c>
      <c r="K25">
        <f>ROUND(SUMIF(Councils!$C$6:$C$809,$B25,Councils!$S$6:$S$809)*0.7,0)</f>
        <v>1</v>
      </c>
      <c r="L25">
        <f>ROUND(SUMIF(Councils!$C$6:$C$809,$B25,Councils!$T$6:$T$809)*0.7,0)</f>
        <v>6</v>
      </c>
      <c r="M25">
        <f>ROUND(SUMIF(Councils!$C$6:$C$809,$B25,Councils!$U$6:$U$809)*0.7,0)</f>
        <v>-5</v>
      </c>
      <c r="N25" s="63">
        <f t="shared" si="1"/>
        <v>0</v>
      </c>
    </row>
    <row r="26" spans="1:14">
      <c r="A26">
        <f t="shared" si="0"/>
        <v>1</v>
      </c>
      <c r="B26" s="67">
        <v>192</v>
      </c>
      <c r="C26" s="80">
        <f>IF(ISNA(VLOOKUP($B26,DD_Info!$A$1:$E$216,5,0)),0,VLOOKUP($B26,DD_Info!$A$1:$E$216,5,0))</f>
        <v>2</v>
      </c>
      <c r="D26" t="str">
        <f>IF(ISNA(VLOOKUP($B26,DD_Info!$A$1:$E$216,2,0)),0,VLOOKUP($B26,DD_Info!$A$1:$E$216,2,0))</f>
        <v>Lukas F Janak Jr</v>
      </c>
      <c r="E26" t="str">
        <f>IF(ISNA(VLOOKUP($B26,DD_Info!$A$1:$E$216,3,0)),0,VLOOKUP($B26,DD_Info!$A$1:$E$216,3,0))</f>
        <v>Victoria</v>
      </c>
      <c r="F26">
        <f>ROUND(SUMIF(Councils!$C$6:$C$809,$B26,Councils!$E$6:$E$809),0)</f>
        <v>524</v>
      </c>
      <c r="G26">
        <f>ROUND(SUMIF(Councils!$C$6:$C$809,$B26,Councils!$O$6:$O$809)*0.7,0)</f>
        <v>0</v>
      </c>
      <c r="H26">
        <f>ROUND(SUMIF(Councils!$C$6:$C$809,$B26,Councils!$P$6:$P$809)*0.7,0)</f>
        <v>0</v>
      </c>
      <c r="I26">
        <f>ROUND(SUMIF(Councils!$C$6:$C$809,$B26,Councils!$Q$6:$Q$809)*0.7,0)</f>
        <v>0</v>
      </c>
      <c r="J26">
        <f>ROUND(SUMIF(Councils!$C$6:$C$809,$B26,Councils!$R$6:$R$809)*0.7,0)</f>
        <v>0</v>
      </c>
      <c r="K26">
        <f>ROUND(SUMIF(Councils!$C$6:$C$809,$B26,Councils!$S$6:$S$809)*0.7,0)</f>
        <v>1</v>
      </c>
      <c r="L26">
        <f>ROUND(SUMIF(Councils!$C$6:$C$809,$B26,Councils!$T$6:$T$809)*0.7,0)</f>
        <v>2</v>
      </c>
      <c r="M26">
        <f>ROUND(SUMIF(Councils!$C$6:$C$809,$B26,Councils!$U$6:$U$809)*0.7,0)</f>
        <v>-1</v>
      </c>
      <c r="N26" s="63">
        <f t="shared" si="1"/>
        <v>0</v>
      </c>
    </row>
    <row r="27" spans="1:14">
      <c r="A27">
        <f t="shared" si="0"/>
        <v>1</v>
      </c>
      <c r="B27" s="67">
        <v>3</v>
      </c>
      <c r="C27" s="80">
        <f>IF(ISNA(VLOOKUP($B27,DD_Info!$A$1:$E$216,5,0)),0,VLOOKUP($B27,DD_Info!$A$1:$E$216,5,0))</f>
        <v>2</v>
      </c>
      <c r="D27" t="str">
        <f>IF(ISNA(VLOOKUP($B27,DD_Info!$A$1:$E$216,2,0)),0,VLOOKUP($B27,DD_Info!$A$1:$E$216,2,0))</f>
        <v>Armando  Acosta</v>
      </c>
      <c r="E27" t="str">
        <f>IF(ISNA(VLOOKUP($B27,DD_Info!$A$1:$E$216,3,0)),0,VLOOKUP($B27,DD_Info!$A$1:$E$216,3,0))</f>
        <v>El Paso</v>
      </c>
      <c r="F27">
        <f>ROUND(SUMIF(Councils!$C$6:$C$809,$B27,Councils!$E$6:$E$809),0)</f>
        <v>395</v>
      </c>
      <c r="G27">
        <f>ROUND(SUMIF(Councils!$C$6:$C$809,$B27,Councils!$O$6:$O$809)*0.7,0)</f>
        <v>0</v>
      </c>
      <c r="H27">
        <f>ROUND(SUMIF(Councils!$C$6:$C$809,$B27,Councils!$P$6:$P$809)*0.7,0)</f>
        <v>0</v>
      </c>
      <c r="I27">
        <f>ROUND(SUMIF(Councils!$C$6:$C$809,$B27,Councils!$Q$6:$Q$809)*0.7,0)</f>
        <v>0</v>
      </c>
      <c r="J27">
        <f>ROUND(SUMIF(Councils!$C$6:$C$809,$B27,Councils!$R$6:$R$809)*0.7,0)</f>
        <v>0</v>
      </c>
      <c r="K27">
        <f>ROUND(SUMIF(Councils!$C$6:$C$809,$B27,Councils!$S$6:$S$809)*0.7,0)</f>
        <v>0</v>
      </c>
      <c r="L27">
        <f>ROUND(SUMIF(Councils!$C$6:$C$809,$B27,Councils!$T$6:$T$809)*0.7,0)</f>
        <v>1</v>
      </c>
      <c r="M27">
        <f>ROUND(SUMIF(Councils!$C$6:$C$809,$B27,Councils!$U$6:$U$809)*0.7,0)</f>
        <v>-1</v>
      </c>
      <c r="N27" s="63">
        <f t="shared" si="1"/>
        <v>0</v>
      </c>
    </row>
    <row r="28" spans="1:14">
      <c r="A28">
        <f t="shared" si="0"/>
        <v>1</v>
      </c>
      <c r="B28" s="67">
        <v>45</v>
      </c>
      <c r="C28" s="80">
        <f>IF(ISNA(VLOOKUP($B28,DD_Info!$A$1:$E$216,5,0)),0,VLOOKUP($B28,DD_Info!$A$1:$E$216,5,0))</f>
        <v>1</v>
      </c>
      <c r="D28" t="str">
        <f>IF(ISNA(VLOOKUP($B28,DD_Info!$A$1:$E$216,2,0)),0,VLOOKUP($B28,DD_Info!$A$1:$E$216,2,0))</f>
        <v>Joseph L Zimmer</v>
      </c>
      <c r="E28" t="str">
        <f>IF(ISNA(VLOOKUP($B28,DD_Info!$A$1:$E$216,3,0)),0,VLOOKUP($B28,DD_Info!$A$1:$E$216,3,0))</f>
        <v>San Antonio</v>
      </c>
      <c r="F28">
        <f>ROUND(SUMIF(Councils!$C$6:$C$809,$B28,Councils!$E$6:$E$809),0)</f>
        <v>831</v>
      </c>
      <c r="G28">
        <f>ROUND(SUMIF(Councils!$C$6:$C$809,$B28,Councils!$O$6:$O$809)*0.7,0)</f>
        <v>0</v>
      </c>
      <c r="H28">
        <f>ROUND(SUMIF(Councils!$C$6:$C$809,$B28,Councils!$P$6:$P$809)*0.7,0)</f>
        <v>1</v>
      </c>
      <c r="I28">
        <f>ROUND(SUMIF(Councils!$C$6:$C$809,$B28,Councils!$Q$6:$Q$809)*0.7,0)</f>
        <v>1</v>
      </c>
      <c r="J28">
        <f>ROUND(SUMIF(Councils!$C$6:$C$809,$B28,Councils!$R$6:$R$809)*0.7,0)</f>
        <v>0</v>
      </c>
      <c r="K28">
        <f>ROUND(SUMIF(Councils!$C$6:$C$809,$B28,Councils!$S$6:$S$809)*0.7,0)</f>
        <v>3</v>
      </c>
      <c r="L28">
        <f>ROUND(SUMIF(Councils!$C$6:$C$809,$B28,Councils!$T$6:$T$809)*0.7,0)</f>
        <v>1</v>
      </c>
      <c r="M28">
        <f>ROUND(SUMIF(Councils!$C$6:$C$809,$B28,Councils!$U$6:$U$809)*0.7,0)</f>
        <v>1</v>
      </c>
      <c r="N28" s="63">
        <f t="shared" si="1"/>
        <v>0</v>
      </c>
    </row>
    <row r="29" spans="1:14">
      <c r="A29">
        <f t="shared" si="0"/>
        <v>1</v>
      </c>
      <c r="B29" s="67">
        <v>143</v>
      </c>
      <c r="C29" s="80">
        <f>IF(ISNA(VLOOKUP($B29,DD_Info!$A$1:$E$216,5,0)),0,VLOOKUP($B29,DD_Info!$A$1:$E$216,5,0))</f>
        <v>1</v>
      </c>
      <c r="D29" t="str">
        <f>IF(ISNA(VLOOKUP($B29,DD_Info!$A$1:$E$216,2,0)),0,VLOOKUP($B29,DD_Info!$A$1:$E$216,2,0))</f>
        <v>Eugene  Presta</v>
      </c>
      <c r="E29" t="str">
        <f>IF(ISNA(VLOOKUP($B29,DD_Info!$A$1:$E$216,3,0)),0,VLOOKUP($B29,DD_Info!$A$1:$E$216,3,0))</f>
        <v>Austin</v>
      </c>
      <c r="F29">
        <f>ROUND(SUMIF(Councils!$C$6:$C$809,$B29,Councils!$E$6:$E$809),0)</f>
        <v>743</v>
      </c>
      <c r="G29">
        <f>ROUND(SUMIF(Councils!$C$6:$C$809,$B29,Councils!$O$6:$O$809)*0.7,0)</f>
        <v>0</v>
      </c>
      <c r="H29">
        <f>ROUND(SUMIF(Councils!$C$6:$C$809,$B29,Councils!$P$6:$P$809)*0.7,0)</f>
        <v>0</v>
      </c>
      <c r="I29">
        <f>ROUND(SUMIF(Councils!$C$6:$C$809,$B29,Councils!$Q$6:$Q$809)*0.7,0)</f>
        <v>0</v>
      </c>
      <c r="J29">
        <f>ROUND(SUMIF(Councils!$C$6:$C$809,$B29,Councils!$R$6:$R$809)*0.7,0)</f>
        <v>0</v>
      </c>
      <c r="K29">
        <f>ROUND(SUMIF(Councils!$C$6:$C$809,$B29,Councils!$S$6:$S$809)*0.7,0)</f>
        <v>1</v>
      </c>
      <c r="L29">
        <f>ROUND(SUMIF(Councils!$C$6:$C$809,$B29,Councils!$T$6:$T$809)*0.7,0)</f>
        <v>2</v>
      </c>
      <c r="M29">
        <f>ROUND(SUMIF(Councils!$C$6:$C$809,$B29,Councils!$U$6:$U$809)*0.7,0)</f>
        <v>-1</v>
      </c>
      <c r="N29" s="63">
        <f t="shared" si="1"/>
        <v>0</v>
      </c>
    </row>
    <row r="30" spans="1:14">
      <c r="A30">
        <f t="shared" si="0"/>
        <v>1</v>
      </c>
      <c r="B30" s="67">
        <v>103</v>
      </c>
      <c r="C30" s="80">
        <f>IF(ISNA(VLOOKUP($B30,DD_Info!$A$1:$E$216,5,0)),0,VLOOKUP($B30,DD_Info!$A$1:$E$216,5,0))</f>
        <v>1</v>
      </c>
      <c r="D30" t="str">
        <f>IF(ISNA(VLOOKUP($B30,DD_Info!$A$1:$E$216,2,0)),0,VLOOKUP($B30,DD_Info!$A$1:$E$216,2,0))</f>
        <v>Kevin  Quinn</v>
      </c>
      <c r="E30" t="str">
        <f>IF(ISNA(VLOOKUP($B30,DD_Info!$A$1:$E$216,3,0)),0,VLOOKUP($B30,DD_Info!$A$1:$E$216,3,0))</f>
        <v>Dallas</v>
      </c>
      <c r="F30">
        <f>ROUND(SUMIF(Councils!$C$6:$C$809,$B30,Councils!$E$6:$E$809),0)</f>
        <v>888</v>
      </c>
      <c r="G30">
        <f>ROUND(SUMIF(Councils!$C$6:$C$809,$B30,Councils!$O$6:$O$809)*0.7,0)</f>
        <v>0</v>
      </c>
      <c r="H30">
        <f>ROUND(SUMIF(Councils!$C$6:$C$809,$B30,Councils!$P$6:$P$809)*0.7,0)</f>
        <v>0</v>
      </c>
      <c r="I30">
        <f>ROUND(SUMIF(Councils!$C$6:$C$809,$B30,Councils!$Q$6:$Q$809)*0.7,0)</f>
        <v>1</v>
      </c>
      <c r="J30">
        <f>ROUND(SUMIF(Councils!$C$6:$C$809,$B30,Councils!$R$6:$R$809)*0.7,0)</f>
        <v>-1</v>
      </c>
      <c r="K30">
        <f>ROUND(SUMIF(Councils!$C$6:$C$809,$B30,Councils!$S$6:$S$809)*0.7,0)</f>
        <v>4</v>
      </c>
      <c r="L30">
        <f>ROUND(SUMIF(Councils!$C$6:$C$809,$B30,Councils!$T$6:$T$809)*0.7,0)</f>
        <v>5</v>
      </c>
      <c r="M30">
        <f>ROUND(SUMIF(Councils!$C$6:$C$809,$B30,Councils!$U$6:$U$809)*0.7,0)</f>
        <v>-1</v>
      </c>
      <c r="N30" s="63">
        <f t="shared" si="1"/>
        <v>0</v>
      </c>
    </row>
    <row r="31" spans="1:14">
      <c r="A31">
        <f t="shared" si="0"/>
        <v>1</v>
      </c>
      <c r="B31" s="67">
        <v>114</v>
      </c>
      <c r="C31" s="80">
        <f>IF(ISNA(VLOOKUP($B31,DD_Info!$A$1:$E$216,5,0)),0,VLOOKUP($B31,DD_Info!$A$1:$E$216,5,0))</f>
        <v>1</v>
      </c>
      <c r="D31" t="str">
        <f>IF(ISNA(VLOOKUP($B31,DD_Info!$A$1:$E$216,2,0)),0,VLOOKUP($B31,DD_Info!$A$1:$E$216,2,0))</f>
        <v>Michael  Steffens</v>
      </c>
      <c r="E31" t="str">
        <f>IF(ISNA(VLOOKUP($B31,DD_Info!$A$1:$E$216,3,0)),0,VLOOKUP($B31,DD_Info!$A$1:$E$216,3,0))</f>
        <v>Dallas</v>
      </c>
      <c r="F31">
        <f>ROUND(SUMIF(Councils!$C$6:$C$809,$B31,Councils!$E$6:$E$809),0)</f>
        <v>1138</v>
      </c>
      <c r="G31">
        <f>ROUND(SUMIF(Councils!$C$6:$C$809,$B31,Councils!$O$6:$O$809)*0.7,0)</f>
        <v>0</v>
      </c>
      <c r="H31">
        <f>ROUND(SUMIF(Councils!$C$6:$C$809,$B31,Councils!$P$6:$P$809)*0.7,0)</f>
        <v>1</v>
      </c>
      <c r="I31">
        <f>ROUND(SUMIF(Councils!$C$6:$C$809,$B31,Councils!$Q$6:$Q$809)*0.7,0)</f>
        <v>2</v>
      </c>
      <c r="J31">
        <f>ROUND(SUMIF(Councils!$C$6:$C$809,$B31,Councils!$R$6:$R$809)*0.7,0)</f>
        <v>-1</v>
      </c>
      <c r="K31">
        <f>ROUND(SUMIF(Councils!$C$6:$C$809,$B31,Councils!$S$6:$S$809)*0.7,0)</f>
        <v>1</v>
      </c>
      <c r="L31">
        <f>ROUND(SUMIF(Councils!$C$6:$C$809,$B31,Councils!$T$6:$T$809)*0.7,0)</f>
        <v>6</v>
      </c>
      <c r="M31">
        <f>ROUND(SUMIF(Councils!$C$6:$C$809,$B31,Councils!$U$6:$U$809)*0.7,0)</f>
        <v>-5</v>
      </c>
      <c r="N31" s="63">
        <f t="shared" si="1"/>
        <v>0</v>
      </c>
    </row>
    <row r="32" spans="1:14">
      <c r="A32">
        <f t="shared" si="0"/>
        <v>1</v>
      </c>
      <c r="B32" s="67">
        <v>106</v>
      </c>
      <c r="C32" s="80">
        <f>IF(ISNA(VLOOKUP($B32,DD_Info!$A$1:$E$216,5,0)),0,VLOOKUP($B32,DD_Info!$A$1:$E$216,5,0))</f>
        <v>1</v>
      </c>
      <c r="D32" t="str">
        <f>IF(ISNA(VLOOKUP($B32,DD_Info!$A$1:$E$216,2,0)),0,VLOOKUP($B32,DD_Info!$A$1:$E$216,2,0))</f>
        <v>Dan  Stoffel</v>
      </c>
      <c r="E32" t="str">
        <f>IF(ISNA(VLOOKUP($B32,DD_Info!$A$1:$E$216,3,0)),0,VLOOKUP($B32,DD_Info!$A$1:$E$216,3,0))</f>
        <v>Dallas</v>
      </c>
      <c r="F32">
        <f>ROUND(SUMIF(Councils!$C$6:$C$809,$B32,Councils!$E$6:$E$809),0)</f>
        <v>940</v>
      </c>
      <c r="G32">
        <f>ROUND(SUMIF(Councils!$C$6:$C$809,$B32,Councils!$O$6:$O$809)*0.7,0)</f>
        <v>0</v>
      </c>
      <c r="H32">
        <f>ROUND(SUMIF(Councils!$C$6:$C$809,$B32,Councils!$P$6:$P$809)*0.7,0)</f>
        <v>1</v>
      </c>
      <c r="I32">
        <f>ROUND(SUMIF(Councils!$C$6:$C$809,$B32,Councils!$Q$6:$Q$809)*0.7,0)</f>
        <v>1</v>
      </c>
      <c r="J32">
        <f>ROUND(SUMIF(Councils!$C$6:$C$809,$B32,Councils!$R$6:$R$809)*0.7,0)</f>
        <v>0</v>
      </c>
      <c r="K32">
        <f>ROUND(SUMIF(Councils!$C$6:$C$809,$B32,Councils!$S$6:$S$809)*0.7,0)</f>
        <v>4</v>
      </c>
      <c r="L32">
        <f>ROUND(SUMIF(Councils!$C$6:$C$809,$B32,Councils!$T$6:$T$809)*0.7,0)</f>
        <v>4</v>
      </c>
      <c r="M32">
        <f>ROUND(SUMIF(Councils!$C$6:$C$809,$B32,Councils!$U$6:$U$809)*0.7,0)</f>
        <v>-1</v>
      </c>
      <c r="N32" s="63">
        <f t="shared" si="1"/>
        <v>0</v>
      </c>
    </row>
    <row r="33" spans="1:14">
      <c r="A33">
        <f t="shared" si="0"/>
        <v>1</v>
      </c>
      <c r="B33" s="67">
        <v>79</v>
      </c>
      <c r="C33" s="80">
        <f>IF(ISNA(VLOOKUP($B33,DD_Info!$A$1:$E$216,5,0)),0,VLOOKUP($B33,DD_Info!$A$1:$E$216,5,0))</f>
        <v>1</v>
      </c>
      <c r="D33" t="str">
        <f>IF(ISNA(VLOOKUP($B33,DD_Info!$A$1:$E$216,2,0)),0,VLOOKUP($B33,DD_Info!$A$1:$E$216,2,0))</f>
        <v>Samuel  Gonzalez</v>
      </c>
      <c r="E33" t="str">
        <f>IF(ISNA(VLOOKUP($B33,DD_Info!$A$1:$E$216,3,0)),0,VLOOKUP($B33,DD_Info!$A$1:$E$216,3,0))</f>
        <v>Galv/Hous</v>
      </c>
      <c r="F33">
        <f>ROUND(SUMIF(Councils!$C$6:$C$809,$B33,Councils!$E$6:$E$809),0)</f>
        <v>1599</v>
      </c>
      <c r="G33">
        <f>ROUND(SUMIF(Councils!$C$6:$C$809,$B33,Councils!$O$6:$O$809)*0.7,0)</f>
        <v>0</v>
      </c>
      <c r="H33">
        <f>ROUND(SUMIF(Councils!$C$6:$C$809,$B33,Councils!$P$6:$P$809)*0.7,0)</f>
        <v>0</v>
      </c>
      <c r="I33">
        <f>ROUND(SUMIF(Councils!$C$6:$C$809,$B33,Councils!$Q$6:$Q$809)*0.7,0)</f>
        <v>5</v>
      </c>
      <c r="J33">
        <f>ROUND(SUMIF(Councils!$C$6:$C$809,$B33,Councils!$R$6:$R$809)*0.7,0)</f>
        <v>-5</v>
      </c>
      <c r="K33">
        <f>ROUND(SUMIF(Councils!$C$6:$C$809,$B33,Councils!$S$6:$S$809)*0.7,0)</f>
        <v>6</v>
      </c>
      <c r="L33">
        <f>ROUND(SUMIF(Councils!$C$6:$C$809,$B33,Councils!$T$6:$T$809)*0.7,0)</f>
        <v>7</v>
      </c>
      <c r="M33">
        <f>ROUND(SUMIF(Councils!$C$6:$C$809,$B33,Councils!$U$6:$U$809)*0.7,0)</f>
        <v>-1</v>
      </c>
      <c r="N33" s="63">
        <f t="shared" si="1"/>
        <v>0</v>
      </c>
    </row>
    <row r="34" spans="1:14">
      <c r="A34">
        <f t="shared" ref="A34:A66" si="2">RANK(N34,$N$2:$N$208,0)</f>
        <v>1</v>
      </c>
      <c r="B34" s="67">
        <v>85</v>
      </c>
      <c r="C34" s="80">
        <f>IF(ISNA(VLOOKUP($B34,DD_Info!$A$1:$E$216,5,0)),0,VLOOKUP($B34,DD_Info!$A$1:$E$216,5,0))</f>
        <v>1</v>
      </c>
      <c r="D34" t="str">
        <f>IF(ISNA(VLOOKUP($B34,DD_Info!$A$1:$E$216,2,0)),0,VLOOKUP($B34,DD_Info!$A$1:$E$216,2,0))</f>
        <v>Patrick L Russek</v>
      </c>
      <c r="E34" t="str">
        <f>IF(ISNA(VLOOKUP($B34,DD_Info!$A$1:$E$216,3,0)),0,VLOOKUP($B34,DD_Info!$A$1:$E$216,3,0))</f>
        <v>Galv/Hous</v>
      </c>
      <c r="F34">
        <f>ROUND(SUMIF(Councils!$C$6:$C$809,$B34,Councils!$E$6:$E$809),0)</f>
        <v>1301</v>
      </c>
      <c r="G34">
        <f>ROUND(SUMIF(Councils!$C$6:$C$809,$B34,Councils!$O$6:$O$809)*0.7,0)</f>
        <v>0</v>
      </c>
      <c r="H34">
        <f>ROUND(SUMIF(Councils!$C$6:$C$809,$B34,Councils!$P$6:$P$809)*0.7,0)</f>
        <v>1</v>
      </c>
      <c r="I34">
        <f>ROUND(SUMIF(Councils!$C$6:$C$809,$B34,Councils!$Q$6:$Q$809)*0.7,0)</f>
        <v>1</v>
      </c>
      <c r="J34">
        <f>ROUND(SUMIF(Councils!$C$6:$C$809,$B34,Councils!$R$6:$R$809)*0.7,0)</f>
        <v>0</v>
      </c>
      <c r="K34">
        <f>ROUND(SUMIF(Councils!$C$6:$C$809,$B34,Councils!$S$6:$S$809)*0.7,0)</f>
        <v>6</v>
      </c>
      <c r="L34">
        <f>ROUND(SUMIF(Councils!$C$6:$C$809,$B34,Councils!$T$6:$T$809)*0.7,0)</f>
        <v>7</v>
      </c>
      <c r="M34">
        <f>ROUND(SUMIF(Councils!$C$6:$C$809,$B34,Councils!$U$6:$U$809)*0.7,0)</f>
        <v>-1</v>
      </c>
      <c r="N34" s="63">
        <f t="shared" si="1"/>
        <v>0</v>
      </c>
    </row>
    <row r="35" spans="1:14">
      <c r="A35">
        <f t="shared" si="2"/>
        <v>1</v>
      </c>
      <c r="B35" s="67">
        <v>43</v>
      </c>
      <c r="C35" s="80">
        <f>IF(ISNA(VLOOKUP($B35,DD_Info!$A$1:$E$216,5,0)),0,VLOOKUP($B35,DD_Info!$A$1:$E$216,5,0))</f>
        <v>1</v>
      </c>
      <c r="D35" t="str">
        <f>IF(ISNA(VLOOKUP($B35,DD_Info!$A$1:$E$216,2,0)),0,VLOOKUP($B35,DD_Info!$A$1:$E$216,2,0))</f>
        <v>William A Torres</v>
      </c>
      <c r="E35" t="str">
        <f>IF(ISNA(VLOOKUP($B35,DD_Info!$A$1:$E$216,3,0)),0,VLOOKUP($B35,DD_Info!$A$1:$E$216,3,0))</f>
        <v>San Antonio</v>
      </c>
      <c r="F35">
        <f>ROUND(SUMIF(Councils!$C$6:$C$809,$B35,Councils!$E$6:$E$809),0)</f>
        <v>1403</v>
      </c>
      <c r="G35">
        <f>ROUND(SUMIF(Councils!$C$6:$C$809,$B35,Councils!$O$6:$O$809)*0.7,0)</f>
        <v>0</v>
      </c>
      <c r="H35">
        <f>ROUND(SUMIF(Councils!$C$6:$C$809,$B35,Councils!$P$6:$P$809)*0.7,0)</f>
        <v>0</v>
      </c>
      <c r="I35">
        <f>ROUND(SUMIF(Councils!$C$6:$C$809,$B35,Councils!$Q$6:$Q$809)*0.7,0)</f>
        <v>1</v>
      </c>
      <c r="J35">
        <f>ROUND(SUMIF(Councils!$C$6:$C$809,$B35,Councils!$R$6:$R$809)*0.7,0)</f>
        <v>-1</v>
      </c>
      <c r="K35">
        <f>ROUND(SUMIF(Councils!$C$6:$C$809,$B35,Councils!$S$6:$S$809)*0.7,0)</f>
        <v>6</v>
      </c>
      <c r="L35">
        <f>ROUND(SUMIF(Councils!$C$6:$C$809,$B35,Councils!$T$6:$T$809)*0.7,0)</f>
        <v>5</v>
      </c>
      <c r="M35">
        <f>ROUND(SUMIF(Councils!$C$6:$C$809,$B35,Councils!$U$6:$U$809)*0.7,0)</f>
        <v>1</v>
      </c>
      <c r="N35" s="63">
        <f t="shared" si="1"/>
        <v>0</v>
      </c>
    </row>
    <row r="36" spans="1:14">
      <c r="A36">
        <f t="shared" si="2"/>
        <v>1</v>
      </c>
      <c r="B36" s="67">
        <v>191</v>
      </c>
      <c r="C36" s="80">
        <f>IF(ISNA(VLOOKUP($B36,DD_Info!$A$1:$E$216,5,0)),0,VLOOKUP($B36,DD_Info!$A$1:$E$216,5,0))</f>
        <v>1</v>
      </c>
      <c r="D36" t="str">
        <f>IF(ISNA(VLOOKUP($B36,DD_Info!$A$1:$E$216,2,0)),0,VLOOKUP($B36,DD_Info!$A$1:$E$216,2,0))</f>
        <v>Andrew  Pesek</v>
      </c>
      <c r="E36" t="str">
        <f>IF(ISNA(VLOOKUP($B36,DD_Info!$A$1:$E$216,3,0)),0,VLOOKUP($B36,DD_Info!$A$1:$E$216,3,0))</f>
        <v>Victoria</v>
      </c>
      <c r="F36">
        <f>ROUND(SUMIF(Councils!$C$6:$C$809,$B36,Councils!$E$6:$E$809),0)</f>
        <v>1302</v>
      </c>
      <c r="G36">
        <f>ROUND(SUMIF(Councils!$C$6:$C$809,$B36,Councils!$O$6:$O$809)*0.7,0)</f>
        <v>0</v>
      </c>
      <c r="H36">
        <f>ROUND(SUMIF(Councils!$C$6:$C$809,$B36,Councils!$P$6:$P$809)*0.7,0)</f>
        <v>0</v>
      </c>
      <c r="I36">
        <f>ROUND(SUMIF(Councils!$C$6:$C$809,$B36,Councils!$Q$6:$Q$809)*0.7,0)</f>
        <v>1</v>
      </c>
      <c r="J36">
        <f>ROUND(SUMIF(Councils!$C$6:$C$809,$B36,Councils!$R$6:$R$809)*0.7,0)</f>
        <v>-1</v>
      </c>
      <c r="K36">
        <f>ROUND(SUMIF(Councils!$C$6:$C$809,$B36,Councils!$S$6:$S$809)*0.7,0)</f>
        <v>3</v>
      </c>
      <c r="L36">
        <f>ROUND(SUMIF(Councils!$C$6:$C$809,$B36,Councils!$T$6:$T$809)*0.7,0)</f>
        <v>4</v>
      </c>
      <c r="M36">
        <f>ROUND(SUMIF(Councils!$C$6:$C$809,$B36,Councils!$U$6:$U$809)*0.7,0)</f>
        <v>-1</v>
      </c>
      <c r="N36" s="63">
        <f t="shared" si="1"/>
        <v>0</v>
      </c>
    </row>
    <row r="37" spans="1:14">
      <c r="A37">
        <f t="shared" si="2"/>
        <v>1</v>
      </c>
      <c r="B37" s="67">
        <v>1</v>
      </c>
      <c r="C37" s="80">
        <f>IF(ISNA(VLOOKUP($B37,DD_Info!$A$1:$E$216,5,0)),0,VLOOKUP($B37,DD_Info!$A$1:$E$216,5,0))</f>
        <v>3</v>
      </c>
      <c r="D37" t="str">
        <f>IF(ISNA(VLOOKUP($B37,DD_Info!$A$1:$E$216,2,0)),0,VLOOKUP($B37,DD_Info!$A$1:$E$216,2,0))</f>
        <v>Richard  Gilliland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293</v>
      </c>
      <c r="G37">
        <f>ROUND(SUMIF(Councils!$C$6:$C$809,$B37,Councils!$O$6:$O$809)*0.7,0)</f>
        <v>0</v>
      </c>
      <c r="H37">
        <f>ROUND(SUMIF(Councils!$C$6:$C$809,$B37,Councils!$P$6:$P$809)*0.7,0)</f>
        <v>1</v>
      </c>
      <c r="I37">
        <f>ROUND(SUMIF(Councils!$C$6:$C$809,$B37,Councils!$Q$6:$Q$809)*0.7,0)</f>
        <v>2</v>
      </c>
      <c r="J37">
        <f>ROUND(SUMIF(Councils!$C$6:$C$809,$B37,Councils!$R$6:$R$809)*0.7,0)</f>
        <v>-1</v>
      </c>
      <c r="K37">
        <f>ROUND(SUMIF(Councils!$C$6:$C$809,$B37,Councils!$S$6:$S$809)*0.7,0)</f>
        <v>1</v>
      </c>
      <c r="L37">
        <f>ROUND(SUMIF(Councils!$C$6:$C$809,$B37,Councils!$T$6:$T$809)*0.7,0)</f>
        <v>2</v>
      </c>
      <c r="M37">
        <f>ROUND(SUMIF(Councils!$C$6:$C$809,$B37,Councils!$U$6:$U$809)*0.7,0)</f>
        <v>-1</v>
      </c>
      <c r="N37" s="63">
        <f t="shared" si="1"/>
        <v>0</v>
      </c>
    </row>
    <row r="38" spans="1:14">
      <c r="A38">
        <f t="shared" si="2"/>
        <v>1</v>
      </c>
      <c r="B38" s="67">
        <v>4</v>
      </c>
      <c r="C38" s="80">
        <f>IF(ISNA(VLOOKUP($B38,DD_Info!$A$1:$E$216,5,0)),0,VLOOKUP($B38,DD_Info!$A$1:$E$216,5,0))</f>
        <v>3</v>
      </c>
      <c r="D38" t="str">
        <f>IF(ISNA(VLOOKUP($B38,DD_Info!$A$1:$E$216,2,0)),0,VLOOKUP($B38,DD_Info!$A$1:$E$216,2,0))</f>
        <v>James B Weber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30</v>
      </c>
      <c r="G38">
        <f>ROUND(SUMIF(Councils!$C$6:$C$809,$B38,Councils!$O$6:$O$809)*0.7,0)</f>
        <v>0</v>
      </c>
      <c r="H38">
        <f>ROUND(SUMIF(Councils!$C$6:$C$809,$B38,Councils!$P$6:$P$809)*0.7,0)</f>
        <v>0</v>
      </c>
      <c r="I38">
        <f>ROUND(SUMIF(Councils!$C$6:$C$809,$B38,Councils!$Q$6:$Q$809)*0.7,0)</f>
        <v>0</v>
      </c>
      <c r="J38">
        <f>ROUND(SUMIF(Councils!$C$6:$C$809,$B38,Councils!$R$6:$R$809)*0.7,0)</f>
        <v>0</v>
      </c>
      <c r="K38">
        <f>ROUND(SUMIF(Councils!$C$6:$C$809,$B38,Councils!$S$6:$S$809)*0.7,0)</f>
        <v>0</v>
      </c>
      <c r="L38">
        <f>ROUND(SUMIF(Councils!$C$6:$C$809,$B38,Councils!$T$6:$T$809)*0.7,0)</f>
        <v>0</v>
      </c>
      <c r="M38">
        <f>ROUND(SUMIF(Councils!$C$6:$C$809,$B38,Councils!$U$6:$U$809)*0.7,0)</f>
        <v>0</v>
      </c>
      <c r="N38" s="63">
        <f t="shared" si="1"/>
        <v>0</v>
      </c>
    </row>
    <row r="39" spans="1:14">
      <c r="A39">
        <f t="shared" si="2"/>
        <v>1</v>
      </c>
      <c r="B39" s="67">
        <v>5</v>
      </c>
      <c r="C39" s="80">
        <f>IF(ISNA(VLOOKUP($B39,DD_Info!$A$1:$E$216,5,0)),0,VLOOKUP($B39,DD_Info!$A$1:$E$216,5,0))</f>
        <v>3</v>
      </c>
      <c r="D39" t="str">
        <f>IF(ISNA(VLOOKUP($B39,DD_Info!$A$1:$E$216,2,0)),0,VLOOKUP($B39,DD_Info!$A$1:$E$216,2,0))</f>
        <v>Giovani  Hyppolite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267</v>
      </c>
      <c r="G39">
        <f>ROUND(SUMIF(Councils!$C$6:$C$809,$B39,Councils!$O$6:$O$809)*0.7,0)</f>
        <v>0</v>
      </c>
      <c r="H39">
        <f>ROUND(SUMIF(Councils!$C$6:$C$809,$B39,Councils!$P$6:$P$809)*0.7,0)</f>
        <v>0</v>
      </c>
      <c r="I39">
        <f>ROUND(SUMIF(Councils!$C$6:$C$809,$B39,Councils!$Q$6:$Q$809)*0.7,0)</f>
        <v>0</v>
      </c>
      <c r="J39">
        <f>ROUND(SUMIF(Councils!$C$6:$C$809,$B39,Councils!$R$6:$R$809)*0.7,0)</f>
        <v>0</v>
      </c>
      <c r="K39">
        <f>ROUND(SUMIF(Councils!$C$6:$C$809,$B39,Councils!$S$6:$S$809)*0.7,0)</f>
        <v>0</v>
      </c>
      <c r="L39">
        <f>ROUND(SUMIF(Councils!$C$6:$C$809,$B39,Councils!$T$6:$T$809)*0.7,0)</f>
        <v>1</v>
      </c>
      <c r="M39">
        <f>ROUND(SUMIF(Councils!$C$6:$C$809,$B39,Councils!$U$6:$U$809)*0.7,0)</f>
        <v>-1</v>
      </c>
      <c r="N39" s="63">
        <f t="shared" si="1"/>
        <v>0</v>
      </c>
    </row>
    <row r="40" spans="1:14">
      <c r="A40">
        <f t="shared" si="2"/>
        <v>1</v>
      </c>
      <c r="B40" s="67">
        <v>6</v>
      </c>
      <c r="C40" s="80">
        <f>IF(ISNA(VLOOKUP($B40,DD_Info!$A$1:$E$216,5,0)),0,VLOOKUP($B40,DD_Info!$A$1:$E$216,5,0))</f>
        <v>3</v>
      </c>
      <c r="D40" t="str">
        <f>IF(ISNA(VLOOKUP($B40,DD_Info!$A$1:$E$216,2,0)),0,VLOOKUP($B40,DD_Info!$A$1:$E$216,2,0))</f>
        <v>Luis J Ortiz Jr</v>
      </c>
      <c r="E40" t="str">
        <f>IF(ISNA(VLOOKUP($B40,DD_Info!$A$1:$E$216,3,0)),0,VLOOKUP($B40,DD_Info!$A$1:$E$216,3,0))</f>
        <v>El Paso</v>
      </c>
      <c r="F40">
        <f>ROUND(SUMIF(Councils!$C$6:$C$809,$B40,Councils!$E$6:$E$809),0)</f>
        <v>233</v>
      </c>
      <c r="G40">
        <f>ROUND(SUMIF(Councils!$C$6:$C$809,$B40,Councils!$O$6:$O$809)*0.7,0)</f>
        <v>0</v>
      </c>
      <c r="H40">
        <f>ROUND(SUMIF(Councils!$C$6:$C$809,$B40,Councils!$P$6:$P$809)*0.7,0)</f>
        <v>0</v>
      </c>
      <c r="I40">
        <f>ROUND(SUMIF(Councils!$C$6:$C$809,$B40,Councils!$Q$6:$Q$809)*0.7,0)</f>
        <v>0</v>
      </c>
      <c r="J40">
        <f>ROUND(SUMIF(Councils!$C$6:$C$809,$B40,Councils!$R$6:$R$809)*0.7,0)</f>
        <v>0</v>
      </c>
      <c r="K40">
        <f>ROUND(SUMIF(Councils!$C$6:$C$809,$B40,Councils!$S$6:$S$809)*0.7,0)</f>
        <v>0</v>
      </c>
      <c r="L40">
        <f>ROUND(SUMIF(Councils!$C$6:$C$809,$B40,Councils!$T$6:$T$809)*0.7,0)</f>
        <v>0</v>
      </c>
      <c r="M40">
        <f>ROUND(SUMIF(Councils!$C$6:$C$809,$B40,Councils!$U$6:$U$809)*0.7,0)</f>
        <v>0</v>
      </c>
      <c r="N40" s="63">
        <f t="shared" si="1"/>
        <v>0</v>
      </c>
    </row>
    <row r="41" spans="1:14">
      <c r="A41">
        <f t="shared" si="2"/>
        <v>1</v>
      </c>
      <c r="B41" s="67">
        <v>7</v>
      </c>
      <c r="C41" s="80">
        <f>IF(ISNA(VLOOKUP($B41,DD_Info!$A$1:$E$216,5,0)),0,VLOOKUP($B41,DD_Info!$A$1:$E$216,5,0))</f>
        <v>3</v>
      </c>
      <c r="D41" t="str">
        <f>IF(ISNA(VLOOKUP($B41,DD_Info!$A$1:$E$216,2,0)),0,VLOOKUP($B41,DD_Info!$A$1:$E$216,2,0))</f>
        <v>Jesus  Granado Jr</v>
      </c>
      <c r="E41" t="str">
        <f>IF(ISNA(VLOOKUP($B41,DD_Info!$A$1:$E$216,3,0)),0,VLOOKUP($B41,DD_Info!$A$1:$E$216,3,0))</f>
        <v>El Paso</v>
      </c>
      <c r="F41">
        <f>ROUND(SUMIF(Councils!$C$6:$C$809,$B41,Councils!$E$6:$E$809),0)</f>
        <v>176</v>
      </c>
      <c r="G41">
        <f>ROUND(SUMIF(Councils!$C$6:$C$809,$B41,Councils!$O$6:$O$809)*0.7,0)</f>
        <v>0</v>
      </c>
      <c r="H41">
        <f>ROUND(SUMIF(Councils!$C$6:$C$809,$B41,Councils!$P$6:$P$809)*0.7,0)</f>
        <v>0</v>
      </c>
      <c r="I41">
        <f>ROUND(SUMIF(Councils!$C$6:$C$809,$B41,Councils!$Q$6:$Q$809)*0.7,0)</f>
        <v>0</v>
      </c>
      <c r="J41">
        <f>ROUND(SUMIF(Councils!$C$6:$C$809,$B41,Councils!$R$6:$R$809)*0.7,0)</f>
        <v>0</v>
      </c>
      <c r="K41">
        <f>ROUND(SUMIF(Councils!$C$6:$C$809,$B41,Councils!$S$6:$S$809)*0.7,0)</f>
        <v>0</v>
      </c>
      <c r="L41">
        <f>ROUND(SUMIF(Councils!$C$6:$C$809,$B41,Councils!$T$6:$T$809)*0.7,0)</f>
        <v>1</v>
      </c>
      <c r="M41">
        <f>ROUND(SUMIF(Councils!$C$6:$C$809,$B41,Councils!$U$6:$U$809)*0.7,0)</f>
        <v>-1</v>
      </c>
      <c r="N41" s="63">
        <f t="shared" si="1"/>
        <v>0</v>
      </c>
    </row>
    <row r="42" spans="1:14">
      <c r="A42">
        <f t="shared" si="2"/>
        <v>1</v>
      </c>
      <c r="B42" s="67">
        <v>8</v>
      </c>
      <c r="C42" s="80">
        <f>IF(ISNA(VLOOKUP($B42,DD_Info!$A$1:$E$216,5,0)),0,VLOOKUP($B42,DD_Info!$A$1:$E$216,5,0))</f>
        <v>3</v>
      </c>
      <c r="D42" t="str">
        <f>IF(ISNA(VLOOKUP($B42,DD_Info!$A$1:$E$216,2,0)),0,VLOOKUP($B42,DD_Info!$A$1:$E$216,2,0))</f>
        <v>Roman  Bustillos</v>
      </c>
      <c r="E42" t="str">
        <f>IF(ISNA(VLOOKUP($B42,DD_Info!$A$1:$E$216,3,0)),0,VLOOKUP($B42,DD_Info!$A$1:$E$216,3,0))</f>
        <v>El Paso</v>
      </c>
      <c r="F42">
        <f>ROUND(SUMIF(Councils!$C$6:$C$809,$B42,Councils!$E$6:$E$809),0)</f>
        <v>215</v>
      </c>
      <c r="G42">
        <f>ROUND(SUMIF(Councils!$C$6:$C$809,$B42,Councils!$O$6:$O$809)*0.7,0)</f>
        <v>0</v>
      </c>
      <c r="H42">
        <f>ROUND(SUMIF(Councils!$C$6:$C$809,$B42,Councils!$P$6:$P$809)*0.7,0)</f>
        <v>1</v>
      </c>
      <c r="I42">
        <f>ROUND(SUMIF(Councils!$C$6:$C$809,$B42,Councils!$Q$6:$Q$809)*0.7,0)</f>
        <v>1</v>
      </c>
      <c r="J42">
        <f>ROUND(SUMIF(Councils!$C$6:$C$809,$B42,Councils!$R$6:$R$809)*0.7,0)</f>
        <v>0</v>
      </c>
      <c r="K42">
        <f>ROUND(SUMIF(Councils!$C$6:$C$809,$B42,Councils!$S$6:$S$809)*0.7,0)</f>
        <v>2</v>
      </c>
      <c r="L42">
        <f>ROUND(SUMIF(Councils!$C$6:$C$809,$B42,Councils!$T$6:$T$809)*0.7,0)</f>
        <v>1</v>
      </c>
      <c r="M42">
        <f>ROUND(SUMIF(Councils!$C$6:$C$809,$B42,Councils!$U$6:$U$809)*0.7,0)</f>
        <v>1</v>
      </c>
      <c r="N42" s="63">
        <f t="shared" si="1"/>
        <v>0</v>
      </c>
    </row>
    <row r="43" spans="1:14">
      <c r="A43">
        <f t="shared" si="2"/>
        <v>1</v>
      </c>
      <c r="B43" s="67">
        <v>9</v>
      </c>
      <c r="C43" s="80">
        <f>IF(ISNA(VLOOKUP($B43,DD_Info!$A$1:$E$216,5,0)),0,VLOOKUP($B43,DD_Info!$A$1:$E$216,5,0))</f>
        <v>3</v>
      </c>
      <c r="D43" t="str">
        <f>IF(ISNA(VLOOKUP($B43,DD_Info!$A$1:$E$216,2,0)),0,VLOOKUP($B43,DD_Info!$A$1:$E$216,2,0))</f>
        <v>Jesus  Quinones</v>
      </c>
      <c r="E43" t="str">
        <f>IF(ISNA(VLOOKUP($B43,DD_Info!$A$1:$E$216,3,0)),0,VLOOKUP($B43,DD_Info!$A$1:$E$216,3,0))</f>
        <v>El Paso</v>
      </c>
      <c r="F43">
        <f>ROUND(SUMIF(Councils!$C$6:$C$809,$B43,Councils!$E$6:$E$809),0)</f>
        <v>69</v>
      </c>
      <c r="G43">
        <f>ROUND(SUMIF(Councils!$C$6:$C$809,$B43,Councils!$O$6:$O$809)*0.7,0)</f>
        <v>0</v>
      </c>
      <c r="H43">
        <f>ROUND(SUMIF(Councils!$C$6:$C$809,$B43,Councils!$P$6:$P$809)*0.7,0)</f>
        <v>0</v>
      </c>
      <c r="I43">
        <f>ROUND(SUMIF(Councils!$C$6:$C$809,$B43,Councils!$Q$6:$Q$809)*0.7,0)</f>
        <v>1</v>
      </c>
      <c r="J43">
        <f>ROUND(SUMIF(Councils!$C$6:$C$809,$B43,Councils!$R$6:$R$809)*0.7,0)</f>
        <v>-1</v>
      </c>
      <c r="K43">
        <f>ROUND(SUMIF(Councils!$C$6:$C$809,$B43,Councils!$S$6:$S$809)*0.7,0)</f>
        <v>0</v>
      </c>
      <c r="L43">
        <f>ROUND(SUMIF(Councils!$C$6:$C$809,$B43,Councils!$T$6:$T$809)*0.7,0)</f>
        <v>1</v>
      </c>
      <c r="M43">
        <f>ROUND(SUMIF(Councils!$C$6:$C$809,$B43,Councils!$U$6:$U$809)*0.7,0)</f>
        <v>-1</v>
      </c>
      <c r="N43" s="63">
        <f t="shared" si="1"/>
        <v>0</v>
      </c>
    </row>
    <row r="44" spans="1:14">
      <c r="A44">
        <f t="shared" si="2"/>
        <v>1</v>
      </c>
      <c r="B44" s="67">
        <v>10</v>
      </c>
      <c r="C44" s="80">
        <f>IF(ISNA(VLOOKUP($B44,DD_Info!$A$1:$E$216,5,0)),0,VLOOKUP($B44,DD_Info!$A$1:$E$216,5,0))</f>
        <v>3</v>
      </c>
      <c r="D44" t="str">
        <f>IF(ISNA(VLOOKUP($B44,DD_Info!$A$1:$E$216,2,0)),0,VLOOKUP($B44,DD_Info!$A$1:$E$216,2,0))</f>
        <v>Robert  Diaz</v>
      </c>
      <c r="E44" t="str">
        <f>IF(ISNA(VLOOKUP($B44,DD_Info!$A$1:$E$216,3,0)),0,VLOOKUP($B44,DD_Info!$A$1:$E$216,3,0))</f>
        <v>El Paso</v>
      </c>
      <c r="F44">
        <f>ROUND(SUMIF(Councils!$C$6:$C$809,$B44,Councils!$E$6:$E$809),0)</f>
        <v>181</v>
      </c>
      <c r="G44">
        <f>ROUND(SUMIF(Councils!$C$6:$C$809,$B44,Councils!$O$6:$O$809)*0.7,0)</f>
        <v>0</v>
      </c>
      <c r="H44">
        <f>ROUND(SUMIF(Councils!$C$6:$C$809,$B44,Councils!$P$6:$P$809)*0.7,0)</f>
        <v>0</v>
      </c>
      <c r="I44">
        <f>ROUND(SUMIF(Councils!$C$6:$C$809,$B44,Councils!$Q$6:$Q$809)*0.7,0)</f>
        <v>1</v>
      </c>
      <c r="J44">
        <f>ROUND(SUMIF(Councils!$C$6:$C$809,$B44,Councils!$R$6:$R$809)*0.7,0)</f>
        <v>-1</v>
      </c>
      <c r="K44">
        <f>ROUND(SUMIF(Councils!$C$6:$C$809,$B44,Councils!$S$6:$S$809)*0.7,0)</f>
        <v>0</v>
      </c>
      <c r="L44">
        <f>ROUND(SUMIF(Councils!$C$6:$C$809,$B44,Councils!$T$6:$T$809)*0.7,0)</f>
        <v>1</v>
      </c>
      <c r="M44">
        <f>ROUND(SUMIF(Councils!$C$6:$C$809,$B44,Councils!$U$6:$U$809)*0.7,0)</f>
        <v>-1</v>
      </c>
      <c r="N44" s="63">
        <f t="shared" si="1"/>
        <v>0</v>
      </c>
    </row>
    <row r="45" spans="1:14">
      <c r="A45">
        <f t="shared" si="2"/>
        <v>1</v>
      </c>
      <c r="B45" s="67">
        <v>11</v>
      </c>
      <c r="C45" s="80">
        <f>IF(ISNA(VLOOKUP($B45,DD_Info!$A$1:$E$216,5,0)),0,VLOOKUP($B45,DD_Info!$A$1:$E$216,5,0))</f>
        <v>3</v>
      </c>
      <c r="D45" t="str">
        <f>IF(ISNA(VLOOKUP($B45,DD_Info!$A$1:$E$216,2,0)),0,VLOOKUP($B45,DD_Info!$A$1:$E$216,2,0))</f>
        <v>Ramon J Salgado</v>
      </c>
      <c r="E45" t="str">
        <f>IF(ISNA(VLOOKUP($B45,DD_Info!$A$1:$E$216,3,0)),0,VLOOKUP($B45,DD_Info!$A$1:$E$216,3,0))</f>
        <v>El Paso</v>
      </c>
      <c r="F45">
        <f>ROUND(SUMIF(Councils!$C$6:$C$809,$B45,Councils!$E$6:$E$809),0)</f>
        <v>172</v>
      </c>
      <c r="G45">
        <f>ROUND(SUMIF(Councils!$C$6:$C$809,$B45,Councils!$O$6:$O$809)*0.7,0)</f>
        <v>0</v>
      </c>
      <c r="H45">
        <f>ROUND(SUMIF(Councils!$C$6:$C$809,$B45,Councils!$P$6:$P$809)*0.7,0)</f>
        <v>0</v>
      </c>
      <c r="I45">
        <f>ROUND(SUMIF(Councils!$C$6:$C$809,$B45,Councils!$Q$6:$Q$809)*0.7,0)</f>
        <v>0</v>
      </c>
      <c r="J45">
        <f>ROUND(SUMIF(Councils!$C$6:$C$809,$B45,Councils!$R$6:$R$809)*0.7,0)</f>
        <v>0</v>
      </c>
      <c r="K45">
        <f>ROUND(SUMIF(Councils!$C$6:$C$809,$B45,Councils!$S$6:$S$809)*0.7,0)</f>
        <v>1</v>
      </c>
      <c r="L45">
        <f>ROUND(SUMIF(Councils!$C$6:$C$809,$B45,Councils!$T$6:$T$809)*0.7,0)</f>
        <v>1</v>
      </c>
      <c r="M45">
        <f>ROUND(SUMIF(Councils!$C$6:$C$809,$B45,Councils!$U$6:$U$809)*0.7,0)</f>
        <v>0</v>
      </c>
      <c r="N45" s="63">
        <f t="shared" si="1"/>
        <v>0</v>
      </c>
    </row>
    <row r="46" spans="1:14">
      <c r="A46">
        <f t="shared" si="2"/>
        <v>1</v>
      </c>
      <c r="B46" s="67">
        <v>16</v>
      </c>
      <c r="C46" s="80">
        <f>IF(ISNA(VLOOKUP($B46,DD_Info!$A$1:$E$216,5,0)),0,VLOOKUP($B46,DD_Info!$A$1:$E$216,5,0))</f>
        <v>3</v>
      </c>
      <c r="D46" t="str">
        <f>IF(ISNA(VLOOKUP($B46,DD_Info!$A$1:$E$216,2,0)),0,VLOOKUP($B46,DD_Info!$A$1:$E$216,2,0))</f>
        <v>TO BE APPOINTED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268</v>
      </c>
      <c r="G46">
        <f>ROUND(SUMIF(Councils!$C$6:$C$809,$B46,Councils!$O$6:$O$809)*0.7,0)</f>
        <v>0</v>
      </c>
      <c r="H46">
        <f>ROUND(SUMIF(Councils!$C$6:$C$809,$B46,Councils!$P$6:$P$809)*0.7,0)</f>
        <v>0</v>
      </c>
      <c r="I46">
        <f>ROUND(SUMIF(Councils!$C$6:$C$809,$B46,Councils!$Q$6:$Q$809)*0.7,0)</f>
        <v>0</v>
      </c>
      <c r="J46">
        <f>ROUND(SUMIF(Councils!$C$6:$C$809,$B46,Councils!$R$6:$R$809)*0.7,0)</f>
        <v>0</v>
      </c>
      <c r="K46">
        <f>ROUND(SUMIF(Councils!$C$6:$C$809,$B46,Councils!$S$6:$S$809)*0.7,0)</f>
        <v>1</v>
      </c>
      <c r="L46">
        <f>ROUND(SUMIF(Councils!$C$6:$C$809,$B46,Councils!$T$6:$T$809)*0.7,0)</f>
        <v>0</v>
      </c>
      <c r="M46">
        <f>ROUND(SUMIF(Councils!$C$6:$C$809,$B46,Councils!$U$6:$U$809)*0.7,0)</f>
        <v>1</v>
      </c>
      <c r="N46" s="63">
        <f t="shared" si="1"/>
        <v>0</v>
      </c>
    </row>
    <row r="47" spans="1:14">
      <c r="A47">
        <f t="shared" si="2"/>
        <v>1</v>
      </c>
      <c r="B47" s="67">
        <v>17</v>
      </c>
      <c r="C47" s="80">
        <f>IF(ISNA(VLOOKUP($B47,DD_Info!$A$1:$E$216,5,0)),0,VLOOKUP($B47,DD_Info!$A$1:$E$216,5,0))</f>
        <v>1</v>
      </c>
      <c r="D47" t="str">
        <f>IF(ISNA(VLOOKUP($B47,DD_Info!$A$1:$E$216,2,0)),0,VLOOKUP($B47,DD_Info!$A$1:$E$216,2,0))</f>
        <v>Gregory  Brown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622</v>
      </c>
      <c r="G47">
        <f>ROUND(SUMIF(Councils!$C$6:$C$809,$B47,Councils!$O$6:$O$809)*0.7,0)</f>
        <v>0</v>
      </c>
      <c r="H47">
        <f>ROUND(SUMIF(Councils!$C$6:$C$809,$B47,Councils!$P$6:$P$809)*0.7,0)</f>
        <v>0</v>
      </c>
      <c r="I47">
        <f>ROUND(SUMIF(Councils!$C$6:$C$809,$B47,Councils!$Q$6:$Q$809)*0.7,0)</f>
        <v>1</v>
      </c>
      <c r="J47">
        <f>ROUND(SUMIF(Councils!$C$6:$C$809,$B47,Councils!$R$6:$R$809)*0.7,0)</f>
        <v>-1</v>
      </c>
      <c r="K47">
        <f>ROUND(SUMIF(Councils!$C$6:$C$809,$B47,Councils!$S$6:$S$809)*0.7,0)</f>
        <v>4</v>
      </c>
      <c r="L47">
        <f>ROUND(SUMIF(Councils!$C$6:$C$809,$B47,Councils!$T$6:$T$809)*0.7,0)</f>
        <v>1</v>
      </c>
      <c r="M47">
        <f>ROUND(SUMIF(Councils!$C$6:$C$809,$B47,Councils!$U$6:$U$809)*0.7,0)</f>
        <v>2</v>
      </c>
      <c r="N47" s="63">
        <f t="shared" si="1"/>
        <v>0</v>
      </c>
    </row>
    <row r="48" spans="1:14">
      <c r="A48">
        <f t="shared" si="2"/>
        <v>1</v>
      </c>
      <c r="B48" s="67">
        <v>18</v>
      </c>
      <c r="C48" s="80">
        <f>IF(ISNA(VLOOKUP($B48,DD_Info!$A$1:$E$216,5,0)),0,VLOOKUP($B48,DD_Info!$A$1:$E$216,5,0))</f>
        <v>1</v>
      </c>
      <c r="D48" t="str">
        <f>IF(ISNA(VLOOKUP($B48,DD_Info!$A$1:$E$216,2,0)),0,VLOOKUP($B48,DD_Info!$A$1:$E$216,2,0))</f>
        <v>Richard  Norgaard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979</v>
      </c>
      <c r="G48">
        <f>ROUND(SUMIF(Councils!$C$6:$C$809,$B48,Councils!$O$6:$O$809)*0.7,0)</f>
        <v>0</v>
      </c>
      <c r="H48">
        <f>ROUND(SUMIF(Councils!$C$6:$C$809,$B48,Councils!$P$6:$P$809)*0.7,0)</f>
        <v>1</v>
      </c>
      <c r="I48">
        <f>ROUND(SUMIF(Councils!$C$6:$C$809,$B48,Councils!$Q$6:$Q$809)*0.7,0)</f>
        <v>1</v>
      </c>
      <c r="J48">
        <f>ROUND(SUMIF(Councils!$C$6:$C$809,$B48,Councils!$R$6:$R$809)*0.7,0)</f>
        <v>1</v>
      </c>
      <c r="K48">
        <f>ROUND(SUMIF(Councils!$C$6:$C$809,$B48,Councils!$S$6:$S$809)*0.7,0)</f>
        <v>6</v>
      </c>
      <c r="L48">
        <f>ROUND(SUMIF(Councils!$C$6:$C$809,$B48,Councils!$T$6:$T$809)*0.7,0)</f>
        <v>1</v>
      </c>
      <c r="M48">
        <f>ROUND(SUMIF(Councils!$C$6:$C$809,$B48,Councils!$U$6:$U$809)*0.7,0)</f>
        <v>4</v>
      </c>
      <c r="N48" s="63">
        <f t="shared" si="1"/>
        <v>0</v>
      </c>
    </row>
    <row r="49" spans="1:14">
      <c r="A49">
        <f t="shared" si="2"/>
        <v>1</v>
      </c>
      <c r="B49" s="67">
        <v>19</v>
      </c>
      <c r="C49" s="80">
        <f>IF(ISNA(VLOOKUP($B49,DD_Info!$A$1:$E$216,5,0)),0,VLOOKUP($B49,DD_Info!$A$1:$E$216,5,0))</f>
        <v>1</v>
      </c>
      <c r="D49" t="str">
        <f>IF(ISNA(VLOOKUP($B49,DD_Info!$A$1:$E$216,2,0)),0,VLOOKUP($B49,DD_Info!$A$1:$E$216,2,0))</f>
        <v>Richard  Rumenapp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586</v>
      </c>
      <c r="G49">
        <f>ROUND(SUMIF(Councils!$C$6:$C$809,$B49,Councils!$O$6:$O$809)*0.7,0)</f>
        <v>0</v>
      </c>
      <c r="H49">
        <f>ROUND(SUMIF(Councils!$C$6:$C$809,$B49,Councils!$P$6:$P$809)*0.7,0)</f>
        <v>1</v>
      </c>
      <c r="I49">
        <f>ROUND(SUMIF(Councils!$C$6:$C$809,$B49,Councils!$Q$6:$Q$809)*0.7,0)</f>
        <v>1</v>
      </c>
      <c r="J49">
        <f>ROUND(SUMIF(Councils!$C$6:$C$809,$B49,Councils!$R$6:$R$809)*0.7,0)</f>
        <v>0</v>
      </c>
      <c r="K49">
        <f>ROUND(SUMIF(Councils!$C$6:$C$809,$B49,Councils!$S$6:$S$809)*0.7,0)</f>
        <v>6</v>
      </c>
      <c r="L49">
        <f>ROUND(SUMIF(Councils!$C$6:$C$809,$B49,Councils!$T$6:$T$809)*0.7,0)</f>
        <v>5</v>
      </c>
      <c r="M49">
        <f>ROUND(SUMIF(Councils!$C$6:$C$809,$B49,Councils!$U$6:$U$809)*0.7,0)</f>
        <v>1</v>
      </c>
      <c r="N49" s="63">
        <f t="shared" si="1"/>
        <v>0</v>
      </c>
    </row>
    <row r="50" spans="1:14">
      <c r="A50">
        <f t="shared" si="2"/>
        <v>1</v>
      </c>
      <c r="B50" s="67">
        <v>20</v>
      </c>
      <c r="C50" s="80">
        <f>IF(ISNA(VLOOKUP($B50,DD_Info!$A$1:$E$216,5,0)),0,VLOOKUP($B50,DD_Info!$A$1:$E$216,5,0))</f>
        <v>2</v>
      </c>
      <c r="D50" t="str">
        <f>IF(ISNA(VLOOKUP($B50,DD_Info!$A$1:$E$216,2,0)),0,VLOOKUP($B50,DD_Info!$A$1:$E$216,2,0))</f>
        <v>Walter A Hoesing</v>
      </c>
      <c r="E50" t="str">
        <f>IF(ISNA(VLOOKUP($B50,DD_Info!$A$1:$E$216,3,0)),0,VLOOKUP($B50,DD_Info!$A$1:$E$216,3,0))</f>
        <v>Fort Worth</v>
      </c>
      <c r="F50">
        <f>ROUND(SUMIF(Councils!$C$6:$C$809,$B50,Councils!$E$6:$E$809),0)</f>
        <v>487</v>
      </c>
      <c r="G50">
        <f>ROUND(SUMIF(Councils!$C$6:$C$809,$B50,Councils!$O$6:$O$809)*0.7,0)</f>
        <v>0</v>
      </c>
      <c r="H50">
        <f>ROUND(SUMIF(Councils!$C$6:$C$809,$B50,Councils!$P$6:$P$809)*0.7,0)</f>
        <v>0</v>
      </c>
      <c r="I50">
        <f>ROUND(SUMIF(Councils!$C$6:$C$809,$B50,Councils!$Q$6:$Q$809)*0.7,0)</f>
        <v>0</v>
      </c>
      <c r="J50">
        <f>ROUND(SUMIF(Councils!$C$6:$C$809,$B50,Councils!$R$6:$R$809)*0.7,0)</f>
        <v>0</v>
      </c>
      <c r="K50">
        <f>ROUND(SUMIF(Councils!$C$6:$C$809,$B50,Councils!$S$6:$S$809)*0.7,0)</f>
        <v>2</v>
      </c>
      <c r="L50">
        <f>ROUND(SUMIF(Councils!$C$6:$C$809,$B50,Councils!$T$6:$T$809)*0.7,0)</f>
        <v>0</v>
      </c>
      <c r="M50">
        <f>ROUND(SUMIF(Councils!$C$6:$C$809,$B50,Councils!$U$6:$U$809)*0.7,0)</f>
        <v>2</v>
      </c>
      <c r="N50" s="63">
        <f t="shared" si="1"/>
        <v>0</v>
      </c>
    </row>
    <row r="51" spans="1:14">
      <c r="A51">
        <f t="shared" si="2"/>
        <v>1</v>
      </c>
      <c r="B51" s="67">
        <v>21</v>
      </c>
      <c r="C51" s="80">
        <f>IF(ISNA(VLOOKUP($B51,DD_Info!$A$1:$E$216,5,0)),0,VLOOKUP($B51,DD_Info!$A$1:$E$216,5,0))</f>
        <v>1</v>
      </c>
      <c r="D51" t="str">
        <f>IF(ISNA(VLOOKUP($B51,DD_Info!$A$1:$E$216,2,0)),0,VLOOKUP($B51,DD_Info!$A$1:$E$216,2,0))</f>
        <v>Mike G Becan Sr</v>
      </c>
      <c r="E51" t="str">
        <f>IF(ISNA(VLOOKUP($B51,DD_Info!$A$1:$E$216,3,0)),0,VLOOKUP($B51,DD_Info!$A$1:$E$216,3,0))</f>
        <v>Fort Worth</v>
      </c>
      <c r="F51">
        <f>ROUND(SUMIF(Councils!$C$6:$C$809,$B51,Councils!$E$6:$E$809),0)</f>
        <v>839</v>
      </c>
      <c r="G51">
        <f>ROUND(SUMIF(Councils!$C$6:$C$809,$B51,Councils!$O$6:$O$809)*0.7,0)</f>
        <v>0</v>
      </c>
      <c r="H51">
        <f>ROUND(SUMIF(Councils!$C$6:$C$809,$B51,Councils!$P$6:$P$809)*0.7,0)</f>
        <v>0</v>
      </c>
      <c r="I51">
        <f>ROUND(SUMIF(Councils!$C$6:$C$809,$B51,Councils!$Q$6:$Q$809)*0.7,0)</f>
        <v>0</v>
      </c>
      <c r="J51">
        <f>ROUND(SUMIF(Councils!$C$6:$C$809,$B51,Councils!$R$6:$R$809)*0.7,0)</f>
        <v>0</v>
      </c>
      <c r="K51">
        <f>ROUND(SUMIF(Councils!$C$6:$C$809,$B51,Councils!$S$6:$S$809)*0.7,0)</f>
        <v>1</v>
      </c>
      <c r="L51">
        <f>ROUND(SUMIF(Councils!$C$6:$C$809,$B51,Councils!$T$6:$T$809)*0.7,0)</f>
        <v>0</v>
      </c>
      <c r="M51">
        <f>ROUND(SUMIF(Councils!$C$6:$C$809,$B51,Councils!$U$6:$U$809)*0.7,0)</f>
        <v>1</v>
      </c>
      <c r="N51" s="63">
        <f t="shared" si="1"/>
        <v>0</v>
      </c>
    </row>
    <row r="52" spans="1:14">
      <c r="A52">
        <f t="shared" si="2"/>
        <v>1</v>
      </c>
      <c r="B52" s="67">
        <v>23</v>
      </c>
      <c r="C52" s="80">
        <f>IF(ISNA(VLOOKUP($B52,DD_Info!$A$1:$E$216,5,0)),0,VLOOKUP($B52,DD_Info!$A$1:$E$216,5,0))</f>
        <v>2</v>
      </c>
      <c r="D52" t="str">
        <f>IF(ISNA(VLOOKUP($B52,DD_Info!$A$1:$E$216,2,0)),0,VLOOKUP($B52,DD_Info!$A$1:$E$216,2,0))</f>
        <v>Michael  Rueschenberg</v>
      </c>
      <c r="E52" t="str">
        <f>IF(ISNA(VLOOKUP($B52,DD_Info!$A$1:$E$216,3,0)),0,VLOOKUP($B52,DD_Info!$A$1:$E$216,3,0))</f>
        <v>Fort Worth</v>
      </c>
      <c r="F52">
        <f>ROUND(SUMIF(Councils!$C$6:$C$809,$B52,Councils!$E$6:$E$809),0)</f>
        <v>554</v>
      </c>
      <c r="G52">
        <f>ROUND(SUMIF(Councils!$C$6:$C$809,$B52,Councils!$O$6:$O$809)*0.7,0)</f>
        <v>0</v>
      </c>
      <c r="H52">
        <f>ROUND(SUMIF(Councils!$C$6:$C$809,$B52,Councils!$P$6:$P$809)*0.7,0)</f>
        <v>0</v>
      </c>
      <c r="I52">
        <f>ROUND(SUMIF(Councils!$C$6:$C$809,$B52,Councils!$Q$6:$Q$809)*0.7,0)</f>
        <v>1</v>
      </c>
      <c r="J52">
        <f>ROUND(SUMIF(Councils!$C$6:$C$809,$B52,Councils!$R$6:$R$809)*0.7,0)</f>
        <v>-1</v>
      </c>
      <c r="K52">
        <f>ROUND(SUMIF(Councils!$C$6:$C$809,$B52,Councils!$S$6:$S$809)*0.7,0)</f>
        <v>1</v>
      </c>
      <c r="L52">
        <f>ROUND(SUMIF(Councils!$C$6:$C$809,$B52,Councils!$T$6:$T$809)*0.7,0)</f>
        <v>2</v>
      </c>
      <c r="M52">
        <f>ROUND(SUMIF(Councils!$C$6:$C$809,$B52,Councils!$U$6:$U$809)*0.7,0)</f>
        <v>-1</v>
      </c>
      <c r="N52" s="63">
        <f t="shared" si="1"/>
        <v>0</v>
      </c>
    </row>
    <row r="53" spans="1:14">
      <c r="A53">
        <f t="shared" si="2"/>
        <v>1</v>
      </c>
      <c r="B53" s="67">
        <v>25</v>
      </c>
      <c r="C53" s="80">
        <f>IF(ISNA(VLOOKUP($B53,DD_Info!$A$1:$E$216,5,0)),0,VLOOKUP($B53,DD_Info!$A$1:$E$216,5,0))</f>
        <v>1</v>
      </c>
      <c r="D53" t="str">
        <f>IF(ISNA(VLOOKUP($B53,DD_Info!$A$1:$E$216,2,0)),0,VLOOKUP($B53,DD_Info!$A$1:$E$216,2,0))</f>
        <v>Alfonso "Obie"  Obregon Sr</v>
      </c>
      <c r="E53" t="str">
        <f>IF(ISNA(VLOOKUP($B53,DD_Info!$A$1:$E$216,3,0)),0,VLOOKUP($B53,DD_Info!$A$1:$E$216,3,0))</f>
        <v>Fort Worth</v>
      </c>
      <c r="F53">
        <f>ROUND(SUMIF(Councils!$C$6:$C$809,$B53,Councils!$E$6:$E$809),0)</f>
        <v>720</v>
      </c>
      <c r="G53">
        <f>ROUND(SUMIF(Councils!$C$6:$C$809,$B53,Councils!$O$6:$O$809)*0.7,0)</f>
        <v>0</v>
      </c>
      <c r="H53">
        <f>ROUND(SUMIF(Councils!$C$6:$C$809,$B53,Councils!$P$6:$P$809)*0.7,0)</f>
        <v>0</v>
      </c>
      <c r="I53">
        <f>ROUND(SUMIF(Councils!$C$6:$C$809,$B53,Councils!$Q$6:$Q$809)*0.7,0)</f>
        <v>0</v>
      </c>
      <c r="J53">
        <f>ROUND(SUMIF(Councils!$C$6:$C$809,$B53,Councils!$R$6:$R$809)*0.7,0)</f>
        <v>0</v>
      </c>
      <c r="K53">
        <f>ROUND(SUMIF(Councils!$C$6:$C$809,$B53,Councils!$S$6:$S$809)*0.7,0)</f>
        <v>3</v>
      </c>
      <c r="L53">
        <f>ROUND(SUMIF(Councils!$C$6:$C$809,$B53,Councils!$T$6:$T$809)*0.7,0)</f>
        <v>4</v>
      </c>
      <c r="M53">
        <f>ROUND(SUMIF(Councils!$C$6:$C$809,$B53,Councils!$U$6:$U$809)*0.7,0)</f>
        <v>-1</v>
      </c>
      <c r="N53" s="63">
        <f t="shared" si="1"/>
        <v>0</v>
      </c>
    </row>
    <row r="54" spans="1:14">
      <c r="A54">
        <f t="shared" si="2"/>
        <v>1</v>
      </c>
      <c r="B54" s="67">
        <v>26</v>
      </c>
      <c r="C54" s="80">
        <f>IF(ISNA(VLOOKUP($B54,DD_Info!$A$1:$E$216,5,0)),0,VLOOKUP($B54,DD_Info!$A$1:$E$216,5,0))</f>
        <v>1</v>
      </c>
      <c r="D54" t="str">
        <f>IF(ISNA(VLOOKUP($B54,DD_Info!$A$1:$E$216,2,0)),0,VLOOKUP($B54,DD_Info!$A$1:$E$216,2,0))</f>
        <v>Gerald  Hightower</v>
      </c>
      <c r="E54" t="str">
        <f>IF(ISNA(VLOOKUP($B54,DD_Info!$A$1:$E$216,3,0)),0,VLOOKUP($B54,DD_Info!$A$1:$E$216,3,0))</f>
        <v>Fort Worth</v>
      </c>
      <c r="F54">
        <f>ROUND(SUMIF(Councils!$C$6:$C$809,$B54,Councils!$E$6:$E$809),0)</f>
        <v>634</v>
      </c>
      <c r="G54">
        <f>ROUND(SUMIF(Councils!$C$6:$C$809,$B54,Councils!$O$6:$O$809)*0.7,0)</f>
        <v>0</v>
      </c>
      <c r="H54">
        <f>ROUND(SUMIF(Councils!$C$6:$C$809,$B54,Councils!$P$6:$P$809)*0.7,0)</f>
        <v>0</v>
      </c>
      <c r="I54">
        <f>ROUND(SUMIF(Councils!$C$6:$C$809,$B54,Councils!$Q$6:$Q$809)*0.7,0)</f>
        <v>1</v>
      </c>
      <c r="J54">
        <f>ROUND(SUMIF(Councils!$C$6:$C$809,$B54,Councils!$R$6:$R$809)*0.7,0)</f>
        <v>-1</v>
      </c>
      <c r="K54">
        <f>ROUND(SUMIF(Councils!$C$6:$C$809,$B54,Councils!$S$6:$S$809)*0.7,0)</f>
        <v>2</v>
      </c>
      <c r="L54">
        <f>ROUND(SUMIF(Councils!$C$6:$C$809,$B54,Councils!$T$6:$T$809)*0.7,0)</f>
        <v>6</v>
      </c>
      <c r="M54">
        <f>ROUND(SUMIF(Councils!$C$6:$C$809,$B54,Councils!$U$6:$U$809)*0.7,0)</f>
        <v>-4</v>
      </c>
      <c r="N54" s="63">
        <f t="shared" si="1"/>
        <v>0</v>
      </c>
    </row>
    <row r="55" spans="1:14">
      <c r="A55">
        <f t="shared" si="2"/>
        <v>1</v>
      </c>
      <c r="B55" s="67">
        <v>29</v>
      </c>
      <c r="C55" s="80">
        <f>IF(ISNA(VLOOKUP($B55,DD_Info!$A$1:$E$216,5,0)),0,VLOOKUP($B55,DD_Info!$A$1:$E$216,5,0))</f>
        <v>3</v>
      </c>
      <c r="D55" t="str">
        <f>IF(ISNA(VLOOKUP($B55,DD_Info!$A$1:$E$216,2,0)),0,VLOOKUP($B55,DD_Info!$A$1:$E$216,2,0))</f>
        <v>James Halfmann</v>
      </c>
      <c r="E55" t="str">
        <f>IF(ISNA(VLOOKUP($B55,DD_Info!$A$1:$E$216,3,0)),0,VLOOKUP($B55,DD_Info!$A$1:$E$216,3,0))</f>
        <v>Fort Worth</v>
      </c>
      <c r="F55">
        <f>ROUND(SUMIF(Councils!$C$6:$C$809,$B55,Councils!$E$6:$E$809),0)</f>
        <v>156</v>
      </c>
      <c r="G55">
        <f>ROUND(SUMIF(Councils!$C$6:$C$809,$B55,Councils!$O$6:$O$809)*0.7,0)</f>
        <v>0</v>
      </c>
      <c r="H55">
        <f>ROUND(SUMIF(Councils!$C$6:$C$809,$B55,Councils!$P$6:$P$809)*0.7,0)</f>
        <v>1</v>
      </c>
      <c r="I55">
        <f>ROUND(SUMIF(Councils!$C$6:$C$809,$B55,Councils!$Q$6:$Q$809)*0.7,0)</f>
        <v>1</v>
      </c>
      <c r="J55">
        <f>ROUND(SUMIF(Councils!$C$6:$C$809,$B55,Councils!$R$6:$R$809)*0.7,0)</f>
        <v>0</v>
      </c>
      <c r="K55">
        <f>ROUND(SUMIF(Councils!$C$6:$C$809,$B55,Councils!$S$6:$S$809)*0.7,0)</f>
        <v>1</v>
      </c>
      <c r="L55">
        <f>ROUND(SUMIF(Councils!$C$6:$C$809,$B55,Councils!$T$6:$T$809)*0.7,0)</f>
        <v>1</v>
      </c>
      <c r="M55">
        <f>ROUND(SUMIF(Councils!$C$6:$C$809,$B55,Councils!$U$6:$U$809)*0.7,0)</f>
        <v>0</v>
      </c>
      <c r="N55" s="63">
        <f t="shared" si="1"/>
        <v>0</v>
      </c>
    </row>
    <row r="56" spans="1:14">
      <c r="A56">
        <f t="shared" si="2"/>
        <v>1</v>
      </c>
      <c r="B56" s="67">
        <v>30</v>
      </c>
      <c r="C56" s="80">
        <f>IF(ISNA(VLOOKUP($B56,DD_Info!$A$1:$E$216,5,0)),0,VLOOKUP($B56,DD_Info!$A$1:$E$216,5,0))</f>
        <v>2</v>
      </c>
      <c r="D56" t="str">
        <f>IF(ISNA(VLOOKUP($B56,DD_Info!$A$1:$E$216,2,0)),0,VLOOKUP($B56,DD_Info!$A$1:$E$216,2,0))</f>
        <v>Robert  Daleo</v>
      </c>
      <c r="E56" t="str">
        <f>IF(ISNA(VLOOKUP($B56,DD_Info!$A$1:$E$216,3,0)),0,VLOOKUP($B56,DD_Info!$A$1:$E$216,3,0))</f>
        <v>Fort Worth</v>
      </c>
      <c r="F56">
        <f>ROUND(SUMIF(Councils!$C$6:$C$809,$B56,Councils!$E$6:$E$809),0)</f>
        <v>436</v>
      </c>
      <c r="G56">
        <f>ROUND(SUMIF(Councils!$C$6:$C$809,$B56,Councils!$O$6:$O$809)*0.7,0)</f>
        <v>0</v>
      </c>
      <c r="H56">
        <f>ROUND(SUMIF(Councils!$C$6:$C$809,$B56,Councils!$P$6:$P$809)*0.7,0)</f>
        <v>0</v>
      </c>
      <c r="I56">
        <f>ROUND(SUMIF(Councils!$C$6:$C$809,$B56,Councils!$Q$6:$Q$809)*0.7,0)</f>
        <v>0</v>
      </c>
      <c r="J56">
        <f>ROUND(SUMIF(Councils!$C$6:$C$809,$B56,Councils!$R$6:$R$809)*0.7,0)</f>
        <v>0</v>
      </c>
      <c r="K56">
        <f>ROUND(SUMIF(Councils!$C$6:$C$809,$B56,Councils!$S$6:$S$809)*0.7,0)</f>
        <v>0</v>
      </c>
      <c r="L56">
        <f>ROUND(SUMIF(Councils!$C$6:$C$809,$B56,Councils!$T$6:$T$809)*0.7,0)</f>
        <v>0</v>
      </c>
      <c r="M56">
        <f>ROUND(SUMIF(Councils!$C$6:$C$809,$B56,Councils!$U$6:$U$809)*0.7,0)</f>
        <v>0</v>
      </c>
      <c r="N56" s="63">
        <f t="shared" si="1"/>
        <v>0</v>
      </c>
    </row>
    <row r="57" spans="1:14">
      <c r="A57">
        <f t="shared" si="2"/>
        <v>1</v>
      </c>
      <c r="B57" s="67">
        <v>31</v>
      </c>
      <c r="C57" s="80">
        <f>IF(ISNA(VLOOKUP($B57,DD_Info!$A$1:$E$216,5,0)),0,VLOOKUP($B57,DD_Info!$A$1:$E$216,5,0))</f>
        <v>3</v>
      </c>
      <c r="D57" t="str">
        <f>IF(ISNA(VLOOKUP($B57,DD_Info!$A$1:$E$216,2,0)),0,VLOOKUP($B57,DD_Info!$A$1:$E$216,2,0))</f>
        <v>William  Tillotson</v>
      </c>
      <c r="E57" t="str">
        <f>IF(ISNA(VLOOKUP($B57,DD_Info!$A$1:$E$216,3,0)),0,VLOOKUP($B57,DD_Info!$A$1:$E$216,3,0))</f>
        <v>Fort Worth</v>
      </c>
      <c r="F57">
        <f>ROUND(SUMIF(Councils!$C$6:$C$809,$B57,Councils!$E$6:$E$809),0)</f>
        <v>42</v>
      </c>
      <c r="G57">
        <f>ROUND(SUMIF(Councils!$C$6:$C$809,$B57,Councils!$O$6:$O$809)*0.7,0)</f>
        <v>0</v>
      </c>
      <c r="H57">
        <f>ROUND(SUMIF(Councils!$C$6:$C$809,$B57,Councils!$P$6:$P$809)*0.7,0)</f>
        <v>0</v>
      </c>
      <c r="I57">
        <f>ROUND(SUMIF(Councils!$C$6:$C$809,$B57,Councils!$Q$6:$Q$809)*0.7,0)</f>
        <v>0</v>
      </c>
      <c r="J57">
        <f>ROUND(SUMIF(Councils!$C$6:$C$809,$B57,Councils!$R$6:$R$809)*0.7,0)</f>
        <v>0</v>
      </c>
      <c r="K57">
        <f>ROUND(SUMIF(Councils!$C$6:$C$809,$B57,Councils!$S$6:$S$809)*0.7,0)</f>
        <v>0</v>
      </c>
      <c r="L57">
        <f>ROUND(SUMIF(Councils!$C$6:$C$809,$B57,Councils!$T$6:$T$809)*0.7,0)</f>
        <v>0</v>
      </c>
      <c r="M57">
        <f>ROUND(SUMIF(Councils!$C$6:$C$809,$B57,Councils!$U$6:$U$809)*0.7,0)</f>
        <v>0</v>
      </c>
      <c r="N57" s="63">
        <f t="shared" si="1"/>
        <v>0</v>
      </c>
    </row>
    <row r="58" spans="1:14">
      <c r="A58">
        <f t="shared" si="2"/>
        <v>1</v>
      </c>
      <c r="B58" s="67">
        <v>36</v>
      </c>
      <c r="C58" s="80">
        <f>IF(ISNA(VLOOKUP($B58,DD_Info!$A$1:$E$216,5,0)),0,VLOOKUP($B58,DD_Info!$A$1:$E$216,5,0))</f>
        <v>2</v>
      </c>
      <c r="D58" t="str">
        <f>IF(ISNA(VLOOKUP($B58,DD_Info!$A$1:$E$216,2,0)),0,VLOOKUP($B58,DD_Info!$A$1:$E$216,2,0))</f>
        <v>Armando R Vasquez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419</v>
      </c>
      <c r="G58">
        <f>ROUND(SUMIF(Councils!$C$6:$C$809,$B58,Councils!$O$6:$O$809)*0.7,0)</f>
        <v>0</v>
      </c>
      <c r="H58">
        <f>ROUND(SUMIF(Councils!$C$6:$C$809,$B58,Councils!$P$6:$P$809)*0.7,0)</f>
        <v>0</v>
      </c>
      <c r="I58">
        <f>ROUND(SUMIF(Councils!$C$6:$C$809,$B58,Councils!$Q$6:$Q$809)*0.7,0)</f>
        <v>0</v>
      </c>
      <c r="J58">
        <f>ROUND(SUMIF(Councils!$C$6:$C$809,$B58,Councils!$R$6:$R$809)*0.7,0)</f>
        <v>0</v>
      </c>
      <c r="K58">
        <f>ROUND(SUMIF(Councils!$C$6:$C$809,$B58,Councils!$S$6:$S$809)*0.7,0)</f>
        <v>1</v>
      </c>
      <c r="L58">
        <f>ROUND(SUMIF(Councils!$C$6:$C$809,$B58,Councils!$T$6:$T$809)*0.7,0)</f>
        <v>1</v>
      </c>
      <c r="M58">
        <f>ROUND(SUMIF(Councils!$C$6:$C$809,$B58,Councils!$U$6:$U$809)*0.7,0)</f>
        <v>1</v>
      </c>
      <c r="N58" s="63">
        <f t="shared" si="1"/>
        <v>0</v>
      </c>
    </row>
    <row r="59" spans="1:14">
      <c r="A59">
        <f t="shared" si="2"/>
        <v>1</v>
      </c>
      <c r="B59" s="67">
        <v>38</v>
      </c>
      <c r="C59" s="80">
        <f>IF(ISNA(VLOOKUP($B59,DD_Info!$A$1:$E$216,5,0)),0,VLOOKUP($B59,DD_Info!$A$1:$E$216,5,0))</f>
        <v>2</v>
      </c>
      <c r="D59" t="str">
        <f>IF(ISNA(VLOOKUP($B59,DD_Info!$A$1:$E$216,2,0)),0,VLOOKUP($B59,DD_Info!$A$1:$E$216,2,0))</f>
        <v>Fernando  Herrera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309</v>
      </c>
      <c r="G59">
        <f>ROUND(SUMIF(Councils!$C$6:$C$809,$B59,Councils!$O$6:$O$809)*0.7,0)</f>
        <v>0</v>
      </c>
      <c r="H59">
        <f>ROUND(SUMIF(Councils!$C$6:$C$809,$B59,Councils!$P$6:$P$809)*0.7,0)</f>
        <v>0</v>
      </c>
      <c r="I59">
        <f>ROUND(SUMIF(Councils!$C$6:$C$809,$B59,Councils!$Q$6:$Q$809)*0.7,0)</f>
        <v>1</v>
      </c>
      <c r="J59">
        <f>ROUND(SUMIF(Councils!$C$6:$C$809,$B59,Councils!$R$6:$R$809)*0.7,0)</f>
        <v>-1</v>
      </c>
      <c r="K59">
        <f>ROUND(SUMIF(Councils!$C$6:$C$809,$B59,Councils!$S$6:$S$809)*0.7,0)</f>
        <v>1</v>
      </c>
      <c r="L59">
        <f>ROUND(SUMIF(Councils!$C$6:$C$809,$B59,Councils!$T$6:$T$809)*0.7,0)</f>
        <v>1</v>
      </c>
      <c r="M59">
        <f>ROUND(SUMIF(Councils!$C$6:$C$809,$B59,Councils!$U$6:$U$809)*0.7,0)</f>
        <v>0</v>
      </c>
      <c r="N59" s="63">
        <f t="shared" si="1"/>
        <v>0</v>
      </c>
    </row>
    <row r="60" spans="1:14">
      <c r="A60">
        <f t="shared" si="2"/>
        <v>1</v>
      </c>
      <c r="B60" s="67">
        <v>39</v>
      </c>
      <c r="C60" s="80">
        <f>IF(ISNA(VLOOKUP($B60,DD_Info!$A$1:$E$216,5,0)),0,VLOOKUP($B60,DD_Info!$A$1:$E$216,5,0))</f>
        <v>2</v>
      </c>
      <c r="D60" t="str">
        <f>IF(ISNA(VLOOKUP($B60,DD_Info!$A$1:$E$216,2,0)),0,VLOOKUP($B60,DD_Info!$A$1:$E$216,2,0))</f>
        <v>Carlos  Delgado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405</v>
      </c>
      <c r="G60">
        <f>ROUND(SUMIF(Councils!$C$6:$C$809,$B60,Councils!$O$6:$O$809)*0.7,0)</f>
        <v>0</v>
      </c>
      <c r="H60">
        <f>ROUND(SUMIF(Councils!$C$6:$C$809,$B60,Councils!$P$6:$P$809)*0.7,0)</f>
        <v>0</v>
      </c>
      <c r="I60">
        <f>ROUND(SUMIF(Councils!$C$6:$C$809,$B60,Councils!$Q$6:$Q$809)*0.7,0)</f>
        <v>1</v>
      </c>
      <c r="J60">
        <f>ROUND(SUMIF(Councils!$C$6:$C$809,$B60,Councils!$R$6:$R$809)*0.7,0)</f>
        <v>-1</v>
      </c>
      <c r="K60">
        <f>ROUND(SUMIF(Councils!$C$6:$C$809,$B60,Councils!$S$6:$S$809)*0.7,0)</f>
        <v>0</v>
      </c>
      <c r="L60">
        <f>ROUND(SUMIF(Councils!$C$6:$C$809,$B60,Councils!$T$6:$T$809)*0.7,0)</f>
        <v>1</v>
      </c>
      <c r="M60">
        <f>ROUND(SUMIF(Councils!$C$6:$C$809,$B60,Councils!$U$6:$U$809)*0.7,0)</f>
        <v>-1</v>
      </c>
      <c r="N60" s="63">
        <f t="shared" si="1"/>
        <v>0</v>
      </c>
    </row>
    <row r="61" spans="1:14">
      <c r="A61">
        <f t="shared" si="2"/>
        <v>1</v>
      </c>
      <c r="B61" s="67">
        <v>42</v>
      </c>
      <c r="C61" s="80">
        <f>IF(ISNA(VLOOKUP($B61,DD_Info!$A$1:$E$216,5,0)),0,VLOOKUP($B61,DD_Info!$A$1:$E$216,5,0))</f>
        <v>1</v>
      </c>
      <c r="D61" t="str">
        <f>IF(ISNA(VLOOKUP($B61,DD_Info!$A$1:$E$216,2,0)),0,VLOOKUP($B61,DD_Info!$A$1:$E$216,2,0))</f>
        <v>Michael W Trevino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926</v>
      </c>
      <c r="G61">
        <f>ROUND(SUMIF(Councils!$C$6:$C$809,$B61,Councils!$O$6:$O$809)*0.7,0)</f>
        <v>0</v>
      </c>
      <c r="H61">
        <f>ROUND(SUMIF(Councils!$C$6:$C$809,$B61,Councils!$P$6:$P$809)*0.7,0)</f>
        <v>0</v>
      </c>
      <c r="I61">
        <f>ROUND(SUMIF(Councils!$C$6:$C$809,$B61,Councils!$Q$6:$Q$809)*0.7,0)</f>
        <v>0</v>
      </c>
      <c r="J61">
        <f>ROUND(SUMIF(Councils!$C$6:$C$809,$B61,Councils!$R$6:$R$809)*0.7,0)</f>
        <v>0</v>
      </c>
      <c r="K61">
        <f>ROUND(SUMIF(Councils!$C$6:$C$809,$B61,Councils!$S$6:$S$809)*0.7,0)</f>
        <v>5</v>
      </c>
      <c r="L61">
        <f>ROUND(SUMIF(Councils!$C$6:$C$809,$B61,Councils!$T$6:$T$809)*0.7,0)</f>
        <v>4</v>
      </c>
      <c r="M61">
        <f>ROUND(SUMIF(Councils!$C$6:$C$809,$B61,Councils!$U$6:$U$809)*0.7,0)</f>
        <v>1</v>
      </c>
      <c r="N61" s="63">
        <f t="shared" si="1"/>
        <v>0</v>
      </c>
    </row>
    <row r="62" spans="1:14">
      <c r="A62">
        <f t="shared" si="2"/>
        <v>1</v>
      </c>
      <c r="B62" s="67">
        <v>44</v>
      </c>
      <c r="C62" s="80">
        <f>IF(ISNA(VLOOKUP($B62,DD_Info!$A$1:$E$216,5,0)),0,VLOOKUP($B62,DD_Info!$A$1:$E$216,5,0))</f>
        <v>3</v>
      </c>
      <c r="D62" t="str">
        <f>IF(ISNA(VLOOKUP($B62,DD_Info!$A$1:$E$216,2,0)),0,VLOOKUP($B62,DD_Info!$A$1:$E$216,2,0))</f>
        <v>James A Matz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264</v>
      </c>
      <c r="G62">
        <f>ROUND(SUMIF(Councils!$C$6:$C$809,$B62,Councils!$O$6:$O$809)*0.7,0)</f>
        <v>0</v>
      </c>
      <c r="H62">
        <f>ROUND(SUMIF(Councils!$C$6:$C$809,$B62,Councils!$P$6:$P$809)*0.7,0)</f>
        <v>0</v>
      </c>
      <c r="I62">
        <f>ROUND(SUMIF(Councils!$C$6:$C$809,$B62,Councils!$Q$6:$Q$809)*0.7,0)</f>
        <v>1</v>
      </c>
      <c r="J62">
        <f>ROUND(SUMIF(Councils!$C$6:$C$809,$B62,Councils!$R$6:$R$809)*0.7,0)</f>
        <v>-1</v>
      </c>
      <c r="K62">
        <f>ROUND(SUMIF(Councils!$C$6:$C$809,$B62,Councils!$S$6:$S$809)*0.7,0)</f>
        <v>1</v>
      </c>
      <c r="L62">
        <f>ROUND(SUMIF(Councils!$C$6:$C$809,$B62,Councils!$T$6:$T$809)*0.7,0)</f>
        <v>1</v>
      </c>
      <c r="M62">
        <f>ROUND(SUMIF(Councils!$C$6:$C$809,$B62,Councils!$U$6:$U$809)*0.7,0)</f>
        <v>0</v>
      </c>
      <c r="N62" s="63">
        <f t="shared" si="1"/>
        <v>0</v>
      </c>
    </row>
    <row r="63" spans="1:14">
      <c r="A63">
        <f t="shared" si="2"/>
        <v>1</v>
      </c>
      <c r="B63" s="67">
        <v>46</v>
      </c>
      <c r="C63" s="80">
        <f>IF(ISNA(VLOOKUP($B63,DD_Info!$A$1:$E$216,5,0)),0,VLOOKUP($B63,DD_Info!$A$1:$E$216,5,0))</f>
        <v>1</v>
      </c>
      <c r="D63" t="str">
        <f>IF(ISNA(VLOOKUP($B63,DD_Info!$A$1:$E$216,2,0)),0,VLOOKUP($B63,DD_Info!$A$1:$E$216,2,0))</f>
        <v>Hermilo  Silva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705</v>
      </c>
      <c r="G63">
        <f>ROUND(SUMIF(Councils!$C$6:$C$809,$B63,Councils!$O$6:$O$809)*0.7,0)</f>
        <v>0</v>
      </c>
      <c r="H63">
        <f>ROUND(SUMIF(Councils!$C$6:$C$809,$B63,Councils!$P$6:$P$809)*0.7,0)</f>
        <v>0</v>
      </c>
      <c r="I63">
        <f>ROUND(SUMIF(Councils!$C$6:$C$809,$B63,Councils!$Q$6:$Q$809)*0.7,0)</f>
        <v>1</v>
      </c>
      <c r="J63">
        <f>ROUND(SUMIF(Councils!$C$6:$C$809,$B63,Councils!$R$6:$R$809)*0.7,0)</f>
        <v>-1</v>
      </c>
      <c r="K63">
        <f>ROUND(SUMIF(Councils!$C$6:$C$809,$B63,Councils!$S$6:$S$809)*0.7,0)</f>
        <v>3</v>
      </c>
      <c r="L63">
        <f>ROUND(SUMIF(Councils!$C$6:$C$809,$B63,Councils!$T$6:$T$809)*0.7,0)</f>
        <v>1</v>
      </c>
      <c r="M63">
        <f>ROUND(SUMIF(Councils!$C$6:$C$809,$B63,Councils!$U$6:$U$809)*0.7,0)</f>
        <v>2</v>
      </c>
      <c r="N63" s="63">
        <f t="shared" si="1"/>
        <v>0</v>
      </c>
    </row>
    <row r="64" spans="1:14">
      <c r="A64">
        <f t="shared" si="2"/>
        <v>1</v>
      </c>
      <c r="B64" s="67">
        <v>47</v>
      </c>
      <c r="C64" s="80">
        <f>IF(ISNA(VLOOKUP($B64,DD_Info!$A$1:$E$216,5,0)),0,VLOOKUP($B64,DD_Info!$A$1:$E$216,5,0))</f>
        <v>2</v>
      </c>
      <c r="D64" t="str">
        <f>IF(ISNA(VLOOKUP($B64,DD_Info!$A$1:$E$216,2,0)),0,VLOOKUP($B64,DD_Info!$A$1:$E$216,2,0))</f>
        <v>George H Cheney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489</v>
      </c>
      <c r="G64">
        <f>ROUND(SUMIF(Councils!$C$6:$C$809,$B64,Councils!$O$6:$O$809)*0.7,0)</f>
        <v>0</v>
      </c>
      <c r="H64">
        <f>ROUND(SUMIF(Councils!$C$6:$C$809,$B64,Councils!$P$6:$P$809)*0.7,0)</f>
        <v>0</v>
      </c>
      <c r="I64">
        <f>ROUND(SUMIF(Councils!$C$6:$C$809,$B64,Councils!$Q$6:$Q$809)*0.7,0)</f>
        <v>1</v>
      </c>
      <c r="J64">
        <f>ROUND(SUMIF(Councils!$C$6:$C$809,$B64,Councils!$R$6:$R$809)*0.7,0)</f>
        <v>-1</v>
      </c>
      <c r="K64">
        <f>ROUND(SUMIF(Councils!$C$6:$C$809,$B64,Councils!$S$6:$S$809)*0.7,0)</f>
        <v>4</v>
      </c>
      <c r="L64">
        <f>ROUND(SUMIF(Councils!$C$6:$C$809,$B64,Councils!$T$6:$T$809)*0.7,0)</f>
        <v>1</v>
      </c>
      <c r="M64">
        <f>ROUND(SUMIF(Councils!$C$6:$C$809,$B64,Councils!$U$6:$U$809)*0.7,0)</f>
        <v>3</v>
      </c>
      <c r="N64" s="63">
        <f t="shared" si="1"/>
        <v>0</v>
      </c>
    </row>
    <row r="65" spans="1:14">
      <c r="A65">
        <f t="shared" si="2"/>
        <v>1</v>
      </c>
      <c r="B65" s="67">
        <v>48</v>
      </c>
      <c r="C65" s="80">
        <f>IF(ISNA(VLOOKUP($B65,DD_Info!$A$1:$E$216,5,0)),0,VLOOKUP($B65,DD_Info!$A$1:$E$216,5,0))</f>
        <v>1</v>
      </c>
      <c r="D65" t="str">
        <f>IF(ISNA(VLOOKUP($B65,DD_Info!$A$1:$E$216,2,0)),0,VLOOKUP($B65,DD_Info!$A$1:$E$216,2,0))</f>
        <v>Henry  Alves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659</v>
      </c>
      <c r="G65">
        <f>ROUND(SUMIF(Councils!$C$6:$C$809,$B65,Councils!$O$6:$O$809)*0.7,0)</f>
        <v>0</v>
      </c>
      <c r="H65">
        <f>ROUND(SUMIF(Councils!$C$6:$C$809,$B65,Councils!$P$6:$P$809)*0.7,0)</f>
        <v>1</v>
      </c>
      <c r="I65">
        <f>ROUND(SUMIF(Councils!$C$6:$C$809,$B65,Councils!$Q$6:$Q$809)*0.7,0)</f>
        <v>0</v>
      </c>
      <c r="J65">
        <f>ROUND(SUMIF(Councils!$C$6:$C$809,$B65,Councils!$R$6:$R$809)*0.7,0)</f>
        <v>1</v>
      </c>
      <c r="K65">
        <f>ROUND(SUMIF(Councils!$C$6:$C$809,$B65,Councils!$S$6:$S$809)*0.7,0)</f>
        <v>3</v>
      </c>
      <c r="L65">
        <f>ROUND(SUMIF(Councils!$C$6:$C$809,$B65,Councils!$T$6:$T$809)*0.7,0)</f>
        <v>4</v>
      </c>
      <c r="M65">
        <f>ROUND(SUMIF(Councils!$C$6:$C$809,$B65,Councils!$U$6:$U$809)*0.7,0)</f>
        <v>-1</v>
      </c>
      <c r="N65" s="63">
        <f t="shared" si="1"/>
        <v>0</v>
      </c>
    </row>
    <row r="66" spans="1:14">
      <c r="A66">
        <f t="shared" si="2"/>
        <v>1</v>
      </c>
      <c r="B66" s="67">
        <v>49</v>
      </c>
      <c r="C66" s="80">
        <f>IF(ISNA(VLOOKUP($B66,DD_Info!$A$1:$E$216,5,0)),0,VLOOKUP($B66,DD_Info!$A$1:$E$216,5,0))</f>
        <v>2</v>
      </c>
      <c r="D66" t="str">
        <f>IF(ISNA(VLOOKUP($B66,DD_Info!$A$1:$E$216,2,0)),0,VLOOKUP($B66,DD_Info!$A$1:$E$216,2,0))</f>
        <v>Oscar M Caballero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494</v>
      </c>
      <c r="G66">
        <f>ROUND(SUMIF(Councils!$C$6:$C$809,$B66,Councils!$O$6:$O$809)*0.7,0)</f>
        <v>0</v>
      </c>
      <c r="H66">
        <f>ROUND(SUMIF(Councils!$C$6:$C$809,$B66,Councils!$P$6:$P$809)*0.7,0)</f>
        <v>0</v>
      </c>
      <c r="I66">
        <f>ROUND(SUMIF(Councils!$C$6:$C$809,$B66,Councils!$Q$6:$Q$809)*0.7,0)</f>
        <v>1</v>
      </c>
      <c r="J66">
        <f>ROUND(SUMIF(Councils!$C$6:$C$809,$B66,Councils!$R$6:$R$809)*0.7,0)</f>
        <v>-1</v>
      </c>
      <c r="K66">
        <f>ROUND(SUMIF(Councils!$C$6:$C$809,$B66,Councils!$S$6:$S$809)*0.7,0)</f>
        <v>1</v>
      </c>
      <c r="L66">
        <f>ROUND(SUMIF(Councils!$C$6:$C$809,$B66,Councils!$T$6:$T$809)*0.7,0)</f>
        <v>2</v>
      </c>
      <c r="M66">
        <f>ROUND(SUMIF(Councils!$C$6:$C$809,$B66,Councils!$U$6:$U$809)*0.7,0)</f>
        <v>-1</v>
      </c>
      <c r="N66" s="63">
        <f t="shared" ref="N66:N129" si="3">IFERROR(M66/G66,0)</f>
        <v>0</v>
      </c>
    </row>
    <row r="67" spans="1:14">
      <c r="A67">
        <f t="shared" ref="A67:A130" si="4">RANK(N67,$N$2:$N$208,0)</f>
        <v>1</v>
      </c>
      <c r="B67" s="67">
        <v>50</v>
      </c>
      <c r="C67" s="80">
        <f>IF(ISNA(VLOOKUP($B67,DD_Info!$A$1:$E$216,5,0)),0,VLOOKUP($B67,DD_Info!$A$1:$E$216,5,0))</f>
        <v>2</v>
      </c>
      <c r="D67" t="str">
        <f>IF(ISNA(VLOOKUP($B67,DD_Info!$A$1:$E$216,2,0)),0,VLOOKUP($B67,DD_Info!$A$1:$E$216,2,0))</f>
        <v>Phillip  Reyes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403</v>
      </c>
      <c r="G67">
        <f>ROUND(SUMIF(Councils!$C$6:$C$809,$B67,Councils!$O$6:$O$809)*0.7,0)</f>
        <v>0</v>
      </c>
      <c r="H67">
        <f>ROUND(SUMIF(Councils!$C$6:$C$809,$B67,Councils!$P$6:$P$809)*0.7,0)</f>
        <v>0</v>
      </c>
      <c r="I67">
        <f>ROUND(SUMIF(Councils!$C$6:$C$809,$B67,Councils!$Q$6:$Q$809)*0.7,0)</f>
        <v>1</v>
      </c>
      <c r="J67">
        <f>ROUND(SUMIF(Councils!$C$6:$C$809,$B67,Councils!$R$6:$R$809)*0.7,0)</f>
        <v>-1</v>
      </c>
      <c r="K67">
        <f>ROUND(SUMIF(Councils!$C$6:$C$809,$B67,Councils!$S$6:$S$809)*0.7,0)</f>
        <v>2</v>
      </c>
      <c r="L67">
        <f>ROUND(SUMIF(Councils!$C$6:$C$809,$B67,Councils!$T$6:$T$809)*0.7,0)</f>
        <v>1</v>
      </c>
      <c r="M67">
        <f>ROUND(SUMIF(Councils!$C$6:$C$809,$B67,Councils!$U$6:$U$809)*0.7,0)</f>
        <v>1</v>
      </c>
      <c r="N67" s="63">
        <f t="shared" si="3"/>
        <v>0</v>
      </c>
    </row>
    <row r="68" spans="1:14">
      <c r="A68">
        <f t="shared" si="4"/>
        <v>1</v>
      </c>
      <c r="B68" s="67">
        <v>51</v>
      </c>
      <c r="C68" s="80">
        <f>IF(ISNA(VLOOKUP($B68,DD_Info!$A$1:$E$216,5,0)),0,VLOOKUP($B68,DD_Info!$A$1:$E$216,5,0))</f>
        <v>1</v>
      </c>
      <c r="D68" t="str">
        <f>IF(ISNA(VLOOKUP($B68,DD_Info!$A$1:$E$216,2,0)),0,VLOOKUP($B68,DD_Info!$A$1:$E$216,2,0))</f>
        <v>Edvardo  Garcia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970</v>
      </c>
      <c r="G68">
        <f>ROUND(SUMIF(Councils!$C$6:$C$809,$B68,Councils!$O$6:$O$809)*0.7,0)</f>
        <v>0</v>
      </c>
      <c r="H68">
        <f>ROUND(SUMIF(Councils!$C$6:$C$809,$B68,Councils!$P$6:$P$809)*0.7,0)</f>
        <v>1</v>
      </c>
      <c r="I68">
        <f>ROUND(SUMIF(Councils!$C$6:$C$809,$B68,Councils!$Q$6:$Q$809)*0.7,0)</f>
        <v>1</v>
      </c>
      <c r="J68">
        <f>ROUND(SUMIF(Councils!$C$6:$C$809,$B68,Councils!$R$6:$R$809)*0.7,0)</f>
        <v>0</v>
      </c>
      <c r="K68">
        <f>ROUND(SUMIF(Councils!$C$6:$C$809,$B68,Councils!$S$6:$S$809)*0.7,0)</f>
        <v>4</v>
      </c>
      <c r="L68">
        <f>ROUND(SUMIF(Councils!$C$6:$C$809,$B68,Councils!$T$6:$T$809)*0.7,0)</f>
        <v>1</v>
      </c>
      <c r="M68">
        <f>ROUND(SUMIF(Councils!$C$6:$C$809,$B68,Councils!$U$6:$U$809)*0.7,0)</f>
        <v>4</v>
      </c>
      <c r="N68" s="63">
        <f t="shared" si="3"/>
        <v>0</v>
      </c>
    </row>
    <row r="69" spans="1:14">
      <c r="A69">
        <f t="shared" si="4"/>
        <v>1</v>
      </c>
      <c r="B69" s="67">
        <v>52</v>
      </c>
      <c r="C69" s="80">
        <f>IF(ISNA(VLOOKUP($B69,DD_Info!$A$1:$E$216,5,0)),0,VLOOKUP($B69,DD_Info!$A$1:$E$216,5,0))</f>
        <v>2</v>
      </c>
      <c r="D69" t="str">
        <f>IF(ISNA(VLOOKUP($B69,DD_Info!$A$1:$E$216,2,0)),0,VLOOKUP($B69,DD_Info!$A$1:$E$216,2,0))</f>
        <v>Ruben  Gallegos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302</v>
      </c>
      <c r="G69">
        <f>ROUND(SUMIF(Councils!$C$6:$C$809,$B69,Councils!$O$6:$O$809)*0.7,0)</f>
        <v>0</v>
      </c>
      <c r="H69">
        <f>ROUND(SUMIF(Councils!$C$6:$C$809,$B69,Councils!$P$6:$P$809)*0.7,0)</f>
        <v>0</v>
      </c>
      <c r="I69">
        <f>ROUND(SUMIF(Councils!$C$6:$C$809,$B69,Councils!$Q$6:$Q$809)*0.7,0)</f>
        <v>0</v>
      </c>
      <c r="J69">
        <f>ROUND(SUMIF(Councils!$C$6:$C$809,$B69,Councils!$R$6:$R$809)*0.7,0)</f>
        <v>0</v>
      </c>
      <c r="K69">
        <f>ROUND(SUMIF(Councils!$C$6:$C$809,$B69,Councils!$S$6:$S$809)*0.7,0)</f>
        <v>1</v>
      </c>
      <c r="L69">
        <f>ROUND(SUMIF(Councils!$C$6:$C$809,$B69,Councils!$T$6:$T$809)*0.7,0)</f>
        <v>2</v>
      </c>
      <c r="M69">
        <f>ROUND(SUMIF(Councils!$C$6:$C$809,$B69,Councils!$U$6:$U$809)*0.7,0)</f>
        <v>-1</v>
      </c>
      <c r="N69" s="63">
        <f t="shared" si="3"/>
        <v>0</v>
      </c>
    </row>
    <row r="70" spans="1:14">
      <c r="A70">
        <f t="shared" si="4"/>
        <v>1</v>
      </c>
      <c r="B70" s="67">
        <v>53</v>
      </c>
      <c r="C70" s="80">
        <f>IF(ISNA(VLOOKUP($B70,DD_Info!$A$1:$E$216,5,0)),0,VLOOKUP($B70,DD_Info!$A$1:$E$216,5,0))</f>
        <v>3</v>
      </c>
      <c r="D70" t="str">
        <f>IF(ISNA(VLOOKUP($B70,DD_Info!$A$1:$E$216,2,0)),0,VLOOKUP($B70,DD_Info!$A$1:$E$216,2,0))</f>
        <v>Jim  Irwin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276</v>
      </c>
      <c r="G70">
        <f>ROUND(SUMIF(Councils!$C$6:$C$809,$B70,Councils!$O$6:$O$809)*0.7,0)</f>
        <v>0</v>
      </c>
      <c r="H70">
        <f>ROUND(SUMIF(Councils!$C$6:$C$809,$B70,Councils!$P$6:$P$809)*0.7,0)</f>
        <v>0</v>
      </c>
      <c r="I70">
        <f>ROUND(SUMIF(Councils!$C$6:$C$809,$B70,Councils!$Q$6:$Q$809)*0.7,0)</f>
        <v>0</v>
      </c>
      <c r="J70">
        <f>ROUND(SUMIF(Councils!$C$6:$C$809,$B70,Councils!$R$6:$R$809)*0.7,0)</f>
        <v>0</v>
      </c>
      <c r="K70">
        <f>ROUND(SUMIF(Councils!$C$6:$C$809,$B70,Councils!$S$6:$S$809)*0.7,0)</f>
        <v>3</v>
      </c>
      <c r="L70">
        <f>ROUND(SUMIF(Councils!$C$6:$C$809,$B70,Councils!$T$6:$T$809)*0.7,0)</f>
        <v>1</v>
      </c>
      <c r="M70">
        <f>ROUND(SUMIF(Councils!$C$6:$C$809,$B70,Councils!$U$6:$U$809)*0.7,0)</f>
        <v>2</v>
      </c>
      <c r="N70" s="63">
        <f t="shared" si="3"/>
        <v>0</v>
      </c>
    </row>
    <row r="71" spans="1:14">
      <c r="A71">
        <f t="shared" si="4"/>
        <v>1</v>
      </c>
      <c r="B71" s="67">
        <v>54</v>
      </c>
      <c r="C71" s="80">
        <f>IF(ISNA(VLOOKUP($B71,DD_Info!$A$1:$E$216,5,0)),0,VLOOKUP($B71,DD_Info!$A$1:$E$216,5,0))</f>
        <v>2</v>
      </c>
      <c r="D71" t="str">
        <f>IF(ISNA(VLOOKUP($B71,DD_Info!$A$1:$E$216,2,0)),0,VLOOKUP($B71,DD_Info!$A$1:$E$216,2,0))</f>
        <v>Jesse J Aguilar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365</v>
      </c>
      <c r="G71">
        <f>ROUND(SUMIF(Councils!$C$6:$C$809,$B71,Councils!$O$6:$O$809)*0.7,0)</f>
        <v>0</v>
      </c>
      <c r="H71">
        <f>ROUND(SUMIF(Councils!$C$6:$C$809,$B71,Councils!$P$6:$P$809)*0.7,0)</f>
        <v>0</v>
      </c>
      <c r="I71">
        <f>ROUND(SUMIF(Councils!$C$6:$C$809,$B71,Councils!$Q$6:$Q$809)*0.7,0)</f>
        <v>1</v>
      </c>
      <c r="J71">
        <f>ROUND(SUMIF(Councils!$C$6:$C$809,$B71,Councils!$R$6:$R$809)*0.7,0)</f>
        <v>-1</v>
      </c>
      <c r="K71">
        <f>ROUND(SUMIF(Councils!$C$6:$C$809,$B71,Councils!$S$6:$S$809)*0.7,0)</f>
        <v>1</v>
      </c>
      <c r="L71">
        <f>ROUND(SUMIF(Councils!$C$6:$C$809,$B71,Councils!$T$6:$T$809)*0.7,0)</f>
        <v>2</v>
      </c>
      <c r="M71">
        <f>ROUND(SUMIF(Councils!$C$6:$C$809,$B71,Councils!$U$6:$U$809)*0.7,0)</f>
        <v>-1</v>
      </c>
      <c r="N71" s="63">
        <f t="shared" si="3"/>
        <v>0</v>
      </c>
    </row>
    <row r="72" spans="1:14">
      <c r="A72">
        <f t="shared" si="4"/>
        <v>1</v>
      </c>
      <c r="B72" s="67">
        <v>55</v>
      </c>
      <c r="C72" s="80">
        <f>IF(ISNA(VLOOKUP($B72,DD_Info!$A$1:$E$216,5,0)),0,VLOOKUP($B72,DD_Info!$A$1:$E$216,5,0))</f>
        <v>2</v>
      </c>
      <c r="D72" t="str">
        <f>IF(ISNA(VLOOKUP($B72,DD_Info!$A$1:$E$216,2,0)),0,VLOOKUP($B72,DD_Info!$A$1:$E$216,2,0))</f>
        <v>Javier  Martinez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423</v>
      </c>
      <c r="G72">
        <f>ROUND(SUMIF(Councils!$C$6:$C$809,$B72,Councils!$O$6:$O$809)*0.7,0)</f>
        <v>0</v>
      </c>
      <c r="H72">
        <f>ROUND(SUMIF(Councils!$C$6:$C$809,$B72,Councils!$P$6:$P$809)*0.7,0)</f>
        <v>0</v>
      </c>
      <c r="I72">
        <f>ROUND(SUMIF(Councils!$C$6:$C$809,$B72,Councils!$Q$6:$Q$809)*0.7,0)</f>
        <v>0</v>
      </c>
      <c r="J72">
        <f>ROUND(SUMIF(Councils!$C$6:$C$809,$B72,Councils!$R$6:$R$809)*0.7,0)</f>
        <v>0</v>
      </c>
      <c r="K72">
        <f>ROUND(SUMIF(Councils!$C$6:$C$809,$B72,Councils!$S$6:$S$809)*0.7,0)</f>
        <v>1</v>
      </c>
      <c r="L72">
        <f>ROUND(SUMIF(Councils!$C$6:$C$809,$B72,Councils!$T$6:$T$809)*0.7,0)</f>
        <v>3</v>
      </c>
      <c r="M72">
        <f>ROUND(SUMIF(Councils!$C$6:$C$809,$B72,Councils!$U$6:$U$809)*0.7,0)</f>
        <v>-2</v>
      </c>
      <c r="N72" s="63">
        <f t="shared" si="3"/>
        <v>0</v>
      </c>
    </row>
    <row r="73" spans="1:14">
      <c r="A73">
        <f t="shared" si="4"/>
        <v>1</v>
      </c>
      <c r="B73" s="67">
        <v>56</v>
      </c>
      <c r="C73" s="80">
        <f>IF(ISNA(VLOOKUP($B73,DD_Info!$A$1:$E$216,5,0)),0,VLOOKUP($B73,DD_Info!$A$1:$E$216,5,0))</f>
        <v>2</v>
      </c>
      <c r="D73" t="str">
        <f>IF(ISNA(VLOOKUP($B73,DD_Info!$A$1:$E$216,2,0)),0,VLOOKUP($B73,DD_Info!$A$1:$E$216,2,0))</f>
        <v>Carlos J Gonzalez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333</v>
      </c>
      <c r="G73">
        <f>ROUND(SUMIF(Councils!$C$6:$C$809,$B73,Councils!$O$6:$O$809)*0.7,0)</f>
        <v>0</v>
      </c>
      <c r="H73">
        <f>ROUND(SUMIF(Councils!$C$6:$C$809,$B73,Councils!$P$6:$P$809)*0.7,0)</f>
        <v>0</v>
      </c>
      <c r="I73">
        <f>ROUND(SUMIF(Councils!$C$6:$C$809,$B73,Councils!$Q$6:$Q$809)*0.7,0)</f>
        <v>0</v>
      </c>
      <c r="J73">
        <f>ROUND(SUMIF(Councils!$C$6:$C$809,$B73,Councils!$R$6:$R$809)*0.7,0)</f>
        <v>0</v>
      </c>
      <c r="K73">
        <f>ROUND(SUMIF(Councils!$C$6:$C$809,$B73,Councils!$S$6:$S$809)*0.7,0)</f>
        <v>0</v>
      </c>
      <c r="L73">
        <f>ROUND(SUMIF(Councils!$C$6:$C$809,$B73,Councils!$T$6:$T$809)*0.7,0)</f>
        <v>0</v>
      </c>
      <c r="M73">
        <f>ROUND(SUMIF(Councils!$C$6:$C$809,$B73,Councils!$U$6:$U$809)*0.7,0)</f>
        <v>0</v>
      </c>
      <c r="N73" s="63">
        <f t="shared" si="3"/>
        <v>0</v>
      </c>
    </row>
    <row r="74" spans="1:14">
      <c r="A74">
        <f t="shared" si="4"/>
        <v>1</v>
      </c>
      <c r="B74" s="67">
        <v>57</v>
      </c>
      <c r="C74" s="80">
        <f>IF(ISNA(VLOOKUP($B74,DD_Info!$A$1:$E$216,5,0)),0,VLOOKUP($B74,DD_Info!$A$1:$E$216,5,0))</f>
        <v>2</v>
      </c>
      <c r="D74" t="str">
        <f>IF(ISNA(VLOOKUP($B74,DD_Info!$A$1:$E$216,2,0)),0,VLOOKUP($B74,DD_Info!$A$1:$E$216,2,0))</f>
        <v>Willie  Leal Jr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328</v>
      </c>
      <c r="G74">
        <f>ROUND(SUMIF(Councils!$C$6:$C$809,$B74,Councils!$O$6:$O$809)*0.7,0)</f>
        <v>0</v>
      </c>
      <c r="H74">
        <f>ROUND(SUMIF(Councils!$C$6:$C$809,$B74,Councils!$P$6:$P$809)*0.7,0)</f>
        <v>0</v>
      </c>
      <c r="I74">
        <f>ROUND(SUMIF(Councils!$C$6:$C$809,$B74,Councils!$Q$6:$Q$809)*0.7,0)</f>
        <v>1</v>
      </c>
      <c r="J74">
        <f>ROUND(SUMIF(Councils!$C$6:$C$809,$B74,Councils!$R$6:$R$809)*0.7,0)</f>
        <v>-1</v>
      </c>
      <c r="K74">
        <f>ROUND(SUMIF(Councils!$C$6:$C$809,$B74,Councils!$S$6:$S$809)*0.7,0)</f>
        <v>2</v>
      </c>
      <c r="L74">
        <f>ROUND(SUMIF(Councils!$C$6:$C$809,$B74,Councils!$T$6:$T$809)*0.7,0)</f>
        <v>1</v>
      </c>
      <c r="M74">
        <f>ROUND(SUMIF(Councils!$C$6:$C$809,$B74,Councils!$U$6:$U$809)*0.7,0)</f>
        <v>1</v>
      </c>
      <c r="N74" s="63">
        <f t="shared" si="3"/>
        <v>0</v>
      </c>
    </row>
    <row r="75" spans="1:14">
      <c r="A75">
        <f t="shared" si="4"/>
        <v>1</v>
      </c>
      <c r="B75" s="67">
        <v>59</v>
      </c>
      <c r="C75" s="80">
        <f>IF(ISNA(VLOOKUP($B75,DD_Info!$A$1:$E$216,5,0)),0,VLOOKUP($B75,DD_Info!$A$1:$E$216,5,0))</f>
        <v>1</v>
      </c>
      <c r="D75" t="str">
        <f>IF(ISNA(VLOOKUP($B75,DD_Info!$A$1:$E$216,2,0)),0,VLOOKUP($B75,DD_Info!$A$1:$E$216,2,0))</f>
        <v>Butch J Rodriguez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575</v>
      </c>
      <c r="G75">
        <f>ROUND(SUMIF(Councils!$C$6:$C$809,$B75,Councils!$O$6:$O$809)*0.7,0)</f>
        <v>0</v>
      </c>
      <c r="H75">
        <f>ROUND(SUMIF(Councils!$C$6:$C$809,$B75,Councils!$P$6:$P$809)*0.7,0)</f>
        <v>0</v>
      </c>
      <c r="I75">
        <f>ROUND(SUMIF(Councils!$C$6:$C$809,$B75,Councils!$Q$6:$Q$809)*0.7,0)</f>
        <v>0</v>
      </c>
      <c r="J75">
        <f>ROUND(SUMIF(Councils!$C$6:$C$809,$B75,Councils!$R$6:$R$809)*0.7,0)</f>
        <v>0</v>
      </c>
      <c r="K75">
        <f>ROUND(SUMIF(Councils!$C$6:$C$809,$B75,Councils!$S$6:$S$809)*0.7,0)</f>
        <v>1</v>
      </c>
      <c r="L75">
        <f>ROUND(SUMIF(Councils!$C$6:$C$809,$B75,Councils!$T$6:$T$809)*0.7,0)</f>
        <v>1</v>
      </c>
      <c r="M75">
        <f>ROUND(SUMIF(Councils!$C$6:$C$809,$B75,Councils!$U$6:$U$809)*0.7,0)</f>
        <v>0</v>
      </c>
      <c r="N75" s="63">
        <f t="shared" si="3"/>
        <v>0</v>
      </c>
    </row>
    <row r="76" spans="1:14">
      <c r="A76">
        <f t="shared" si="4"/>
        <v>1</v>
      </c>
      <c r="B76" s="67">
        <v>60</v>
      </c>
      <c r="C76" s="80">
        <f>IF(ISNA(VLOOKUP($B76,DD_Info!$A$1:$E$216,5,0)),0,VLOOKUP($B76,DD_Info!$A$1:$E$216,5,0))</f>
        <v>3</v>
      </c>
      <c r="D76" t="str">
        <f>IF(ISNA(VLOOKUP($B76,DD_Info!$A$1:$E$216,2,0)),0,VLOOKUP($B76,DD_Info!$A$1:$E$216,2,0))</f>
        <v>Ruben C Gomez</v>
      </c>
      <c r="E76" t="str">
        <f>IF(ISNA(VLOOKUP($B76,DD_Info!$A$1:$E$216,3,0)),0,VLOOKUP($B76,DD_Info!$A$1:$E$216,3,0))</f>
        <v>San Antonio</v>
      </c>
      <c r="F76">
        <f>ROUND(SUMIF(Councils!$C$6:$C$809,$B76,Councils!$E$6:$E$809),0)</f>
        <v>285</v>
      </c>
      <c r="G76">
        <f>ROUND(SUMIF(Councils!$C$6:$C$809,$B76,Councils!$O$6:$O$809)*0.7,0)</f>
        <v>0</v>
      </c>
      <c r="H76">
        <f>ROUND(SUMIF(Councils!$C$6:$C$809,$B76,Councils!$P$6:$P$809)*0.7,0)</f>
        <v>0</v>
      </c>
      <c r="I76">
        <f>ROUND(SUMIF(Councils!$C$6:$C$809,$B76,Councils!$Q$6:$Q$809)*0.7,0)</f>
        <v>0</v>
      </c>
      <c r="J76">
        <f>ROUND(SUMIF(Councils!$C$6:$C$809,$B76,Councils!$R$6:$R$809)*0.7,0)</f>
        <v>0</v>
      </c>
      <c r="K76">
        <f>ROUND(SUMIF(Councils!$C$6:$C$809,$B76,Councils!$S$6:$S$809)*0.7,0)</f>
        <v>0</v>
      </c>
      <c r="L76">
        <f>ROUND(SUMIF(Councils!$C$6:$C$809,$B76,Councils!$T$6:$T$809)*0.7,0)</f>
        <v>1</v>
      </c>
      <c r="M76">
        <f>ROUND(SUMIF(Councils!$C$6:$C$809,$B76,Councils!$U$6:$U$809)*0.7,0)</f>
        <v>-1</v>
      </c>
      <c r="N76" s="63">
        <f t="shared" si="3"/>
        <v>0</v>
      </c>
    </row>
    <row r="77" spans="1:14">
      <c r="A77">
        <f t="shared" si="4"/>
        <v>1</v>
      </c>
      <c r="B77" s="67">
        <v>61</v>
      </c>
      <c r="C77" s="80">
        <f>IF(ISNA(VLOOKUP($B77,DD_Info!$A$1:$E$216,5,0)),0,VLOOKUP($B77,DD_Info!$A$1:$E$216,5,0))</f>
        <v>3</v>
      </c>
      <c r="D77" t="str">
        <f>IF(ISNA(VLOOKUP($B77,DD_Info!$A$1:$E$216,2,0)),0,VLOOKUP($B77,DD_Info!$A$1:$E$216,2,0))</f>
        <v>Joe  Torres</v>
      </c>
      <c r="E77" t="str">
        <f>IF(ISNA(VLOOKUP($B77,DD_Info!$A$1:$E$216,3,0)),0,VLOOKUP($B77,DD_Info!$A$1:$E$216,3,0))</f>
        <v>San Antonio</v>
      </c>
      <c r="F77">
        <f>ROUND(SUMIF(Councils!$C$6:$C$809,$B77,Councils!$E$6:$E$809),0)</f>
        <v>112</v>
      </c>
      <c r="G77">
        <f>ROUND(SUMIF(Councils!$C$6:$C$809,$B77,Councils!$O$6:$O$809)*0.7,0)</f>
        <v>0</v>
      </c>
      <c r="H77">
        <f>ROUND(SUMIF(Councils!$C$6:$C$809,$B77,Councils!$P$6:$P$809)*0.7,0)</f>
        <v>0</v>
      </c>
      <c r="I77">
        <f>ROUND(SUMIF(Councils!$C$6:$C$809,$B77,Councils!$Q$6:$Q$809)*0.7,0)</f>
        <v>0</v>
      </c>
      <c r="J77">
        <f>ROUND(SUMIF(Councils!$C$6:$C$809,$B77,Councils!$R$6:$R$809)*0.7,0)</f>
        <v>0</v>
      </c>
      <c r="K77">
        <f>ROUND(SUMIF(Councils!$C$6:$C$809,$B77,Councils!$S$6:$S$809)*0.7,0)</f>
        <v>0</v>
      </c>
      <c r="L77">
        <f>ROUND(SUMIF(Councils!$C$6:$C$809,$B77,Councils!$T$6:$T$809)*0.7,0)</f>
        <v>1</v>
      </c>
      <c r="M77">
        <f>ROUND(SUMIF(Councils!$C$6:$C$809,$B77,Councils!$U$6:$U$809)*0.7,0)</f>
        <v>-1</v>
      </c>
      <c r="N77" s="63">
        <f t="shared" si="3"/>
        <v>0</v>
      </c>
    </row>
    <row r="78" spans="1:14">
      <c r="A78">
        <f t="shared" si="4"/>
        <v>1</v>
      </c>
      <c r="B78" s="67">
        <v>62</v>
      </c>
      <c r="C78" s="80">
        <f>IF(ISNA(VLOOKUP($B78,DD_Info!$A$1:$E$216,5,0)),0,VLOOKUP($B78,DD_Info!$A$1:$E$216,5,0))</f>
        <v>3</v>
      </c>
      <c r="D78" t="str">
        <f>IF(ISNA(VLOOKUP($B78,DD_Info!$A$1:$E$216,2,0)),0,VLOOKUP($B78,DD_Info!$A$1:$E$216,2,0))</f>
        <v>David D Colton</v>
      </c>
      <c r="E78" t="str">
        <f>IF(ISNA(VLOOKUP($B78,DD_Info!$A$1:$E$216,3,0)),0,VLOOKUP($B78,DD_Info!$A$1:$E$216,3,0))</f>
        <v>San Antonio</v>
      </c>
      <c r="F78">
        <f>ROUND(SUMIF(Councils!$C$6:$C$809,$B78,Councils!$E$6:$E$809),0)</f>
        <v>69</v>
      </c>
      <c r="G78">
        <f>ROUND(SUMIF(Councils!$C$6:$C$809,$B78,Councils!$O$6:$O$809)*0.7,0)</f>
        <v>0</v>
      </c>
      <c r="H78">
        <f>ROUND(SUMIF(Councils!$C$6:$C$809,$B78,Councils!$P$6:$P$809)*0.7,0)</f>
        <v>0</v>
      </c>
      <c r="I78">
        <f>ROUND(SUMIF(Councils!$C$6:$C$809,$B78,Councils!$Q$6:$Q$809)*0.7,0)</f>
        <v>0</v>
      </c>
      <c r="J78">
        <f>ROUND(SUMIF(Councils!$C$6:$C$809,$B78,Councils!$R$6:$R$809)*0.7,0)</f>
        <v>0</v>
      </c>
      <c r="K78">
        <f>ROUND(SUMIF(Councils!$C$6:$C$809,$B78,Councils!$S$6:$S$809)*0.7,0)</f>
        <v>0</v>
      </c>
      <c r="L78">
        <f>ROUND(SUMIF(Councils!$C$6:$C$809,$B78,Councils!$T$6:$T$809)*0.7,0)</f>
        <v>0</v>
      </c>
      <c r="M78">
        <f>ROUND(SUMIF(Councils!$C$6:$C$809,$B78,Councils!$U$6:$U$809)*0.7,0)</f>
        <v>0</v>
      </c>
      <c r="N78" s="63">
        <f t="shared" si="3"/>
        <v>0</v>
      </c>
    </row>
    <row r="79" spans="1:14">
      <c r="A79">
        <f t="shared" si="4"/>
        <v>1</v>
      </c>
      <c r="B79" s="67">
        <v>63</v>
      </c>
      <c r="C79" s="80">
        <f>IF(ISNA(VLOOKUP($B79,DD_Info!$A$1:$E$216,5,0)),0,VLOOKUP($B79,DD_Info!$A$1:$E$216,5,0))</f>
        <v>3</v>
      </c>
      <c r="D79" t="str">
        <f>IF(ISNA(VLOOKUP($B79,DD_Info!$A$1:$E$216,2,0)),0,VLOOKUP($B79,DD_Info!$A$1:$E$216,2,0))</f>
        <v>Joe  Hernandez</v>
      </c>
      <c r="E79" t="str">
        <f>IF(ISNA(VLOOKUP($B79,DD_Info!$A$1:$E$216,3,0)),0,VLOOKUP($B79,DD_Info!$A$1:$E$216,3,0))</f>
        <v>San Antonio</v>
      </c>
      <c r="F79">
        <f>ROUND(SUMIF(Councils!$C$6:$C$809,$B79,Councils!$E$6:$E$809),0)</f>
        <v>108</v>
      </c>
      <c r="G79">
        <f>ROUND(SUMIF(Councils!$C$6:$C$809,$B79,Councils!$O$6:$O$809)*0.7,0)</f>
        <v>0</v>
      </c>
      <c r="H79">
        <f>ROUND(SUMIF(Councils!$C$6:$C$809,$B79,Councils!$P$6:$P$809)*0.7,0)</f>
        <v>0</v>
      </c>
      <c r="I79">
        <f>ROUND(SUMIF(Councils!$C$6:$C$809,$B79,Councils!$Q$6:$Q$809)*0.7,0)</f>
        <v>0</v>
      </c>
      <c r="J79">
        <f>ROUND(SUMIF(Councils!$C$6:$C$809,$B79,Councils!$R$6:$R$809)*0.7,0)</f>
        <v>0</v>
      </c>
      <c r="K79">
        <f>ROUND(SUMIF(Councils!$C$6:$C$809,$B79,Councils!$S$6:$S$809)*0.7,0)</f>
        <v>0</v>
      </c>
      <c r="L79">
        <f>ROUND(SUMIF(Councils!$C$6:$C$809,$B79,Councils!$T$6:$T$809)*0.7,0)</f>
        <v>0</v>
      </c>
      <c r="M79">
        <f>ROUND(SUMIF(Councils!$C$6:$C$809,$B79,Councils!$U$6:$U$809)*0.7,0)</f>
        <v>0</v>
      </c>
      <c r="N79" s="63">
        <f t="shared" si="3"/>
        <v>0</v>
      </c>
    </row>
    <row r="80" spans="1:14">
      <c r="A80">
        <f t="shared" si="4"/>
        <v>1</v>
      </c>
      <c r="B80" s="67">
        <v>66</v>
      </c>
      <c r="C80" s="80">
        <f>IF(ISNA(VLOOKUP($B80,DD_Info!$A$1:$E$216,5,0)),0,VLOOKUP($B80,DD_Info!$A$1:$E$216,5,0))</f>
        <v>1</v>
      </c>
      <c r="D80" t="str">
        <f>IF(ISNA(VLOOKUP($B80,DD_Info!$A$1:$E$216,2,0)),0,VLOOKUP($B80,DD_Info!$A$1:$E$216,2,0))</f>
        <v>Mark L Jasek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671</v>
      </c>
      <c r="G80">
        <f>ROUND(SUMIF(Councils!$C$6:$C$809,$B80,Councils!$O$6:$O$809)*0.7,0)</f>
        <v>0</v>
      </c>
      <c r="H80">
        <f>ROUND(SUMIF(Councils!$C$6:$C$809,$B80,Councils!$P$6:$P$809)*0.7,0)</f>
        <v>0</v>
      </c>
      <c r="I80">
        <f>ROUND(SUMIF(Councils!$C$6:$C$809,$B80,Councils!$Q$6:$Q$809)*0.7,0)</f>
        <v>1</v>
      </c>
      <c r="J80">
        <f>ROUND(SUMIF(Councils!$C$6:$C$809,$B80,Councils!$R$6:$R$809)*0.7,0)</f>
        <v>-1</v>
      </c>
      <c r="K80">
        <f>ROUND(SUMIF(Councils!$C$6:$C$809,$B80,Councils!$S$6:$S$809)*0.7,0)</f>
        <v>3</v>
      </c>
      <c r="L80">
        <f>ROUND(SUMIF(Councils!$C$6:$C$809,$B80,Councils!$T$6:$T$809)*0.7,0)</f>
        <v>1</v>
      </c>
      <c r="M80">
        <f>ROUND(SUMIF(Councils!$C$6:$C$809,$B80,Councils!$U$6:$U$809)*0.7,0)</f>
        <v>1</v>
      </c>
      <c r="N80" s="63">
        <f t="shared" si="3"/>
        <v>0</v>
      </c>
    </row>
    <row r="81" spans="1:14">
      <c r="A81">
        <f t="shared" si="4"/>
        <v>1</v>
      </c>
      <c r="B81" s="67">
        <v>67</v>
      </c>
      <c r="C81" s="80">
        <f>IF(ISNA(VLOOKUP($B81,DD_Info!$A$1:$E$216,5,0)),0,VLOOKUP($B81,DD_Info!$A$1:$E$216,5,0))</f>
        <v>2</v>
      </c>
      <c r="D81" t="str">
        <f>IF(ISNA(VLOOKUP($B81,DD_Info!$A$1:$E$216,2,0)),0,VLOOKUP($B81,DD_Info!$A$1:$E$216,2,0))</f>
        <v>Raul R Maldonado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489</v>
      </c>
      <c r="G81">
        <f>ROUND(SUMIF(Councils!$C$6:$C$809,$B81,Councils!$O$6:$O$809)*0.7,0)</f>
        <v>0</v>
      </c>
      <c r="H81">
        <f>ROUND(SUMIF(Councils!$C$6:$C$809,$B81,Councils!$P$6:$P$809)*0.7,0)</f>
        <v>0</v>
      </c>
      <c r="I81">
        <f>ROUND(SUMIF(Councils!$C$6:$C$809,$B81,Councils!$Q$6:$Q$809)*0.7,0)</f>
        <v>0</v>
      </c>
      <c r="J81">
        <f>ROUND(SUMIF(Councils!$C$6:$C$809,$B81,Councils!$R$6:$R$809)*0.7,0)</f>
        <v>0</v>
      </c>
      <c r="K81">
        <f>ROUND(SUMIF(Councils!$C$6:$C$809,$B81,Councils!$S$6:$S$809)*0.7,0)</f>
        <v>1</v>
      </c>
      <c r="L81">
        <f>ROUND(SUMIF(Councils!$C$6:$C$809,$B81,Councils!$T$6:$T$809)*0.7,0)</f>
        <v>0</v>
      </c>
      <c r="M81">
        <f>ROUND(SUMIF(Councils!$C$6:$C$809,$B81,Councils!$U$6:$U$809)*0.7,0)</f>
        <v>1</v>
      </c>
      <c r="N81" s="63">
        <f t="shared" si="3"/>
        <v>0</v>
      </c>
    </row>
    <row r="82" spans="1:14">
      <c r="A82">
        <f t="shared" si="4"/>
        <v>1</v>
      </c>
      <c r="B82" s="67">
        <v>70</v>
      </c>
      <c r="C82" s="80">
        <f>IF(ISNA(VLOOKUP($B82,DD_Info!$A$1:$E$216,5,0)),0,VLOOKUP($B82,DD_Info!$A$1:$E$216,5,0))</f>
        <v>1</v>
      </c>
      <c r="D82" t="str">
        <f>IF(ISNA(VLOOKUP($B82,DD_Info!$A$1:$E$216,2,0)),0,VLOOKUP($B82,DD_Info!$A$1:$E$216,2,0))</f>
        <v>Joseph E Maloy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643</v>
      </c>
      <c r="G82">
        <f>ROUND(SUMIF(Councils!$C$6:$C$809,$B82,Councils!$O$6:$O$809)*0.7,0)</f>
        <v>0</v>
      </c>
      <c r="H82">
        <f>ROUND(SUMIF(Councils!$C$6:$C$809,$B82,Councils!$P$6:$P$809)*0.7,0)</f>
        <v>0</v>
      </c>
      <c r="I82">
        <f>ROUND(SUMIF(Councils!$C$6:$C$809,$B82,Councils!$Q$6:$Q$809)*0.7,0)</f>
        <v>1</v>
      </c>
      <c r="J82">
        <f>ROUND(SUMIF(Councils!$C$6:$C$809,$B82,Councils!$R$6:$R$809)*0.7,0)</f>
        <v>-1</v>
      </c>
      <c r="K82">
        <f>ROUND(SUMIF(Councils!$C$6:$C$809,$B82,Councils!$S$6:$S$809)*0.7,0)</f>
        <v>1</v>
      </c>
      <c r="L82">
        <f>ROUND(SUMIF(Councils!$C$6:$C$809,$B82,Councils!$T$6:$T$809)*0.7,0)</f>
        <v>2</v>
      </c>
      <c r="M82">
        <f>ROUND(SUMIF(Councils!$C$6:$C$809,$B82,Councils!$U$6:$U$809)*0.7,0)</f>
        <v>-1</v>
      </c>
      <c r="N82" s="63">
        <f t="shared" si="3"/>
        <v>0</v>
      </c>
    </row>
    <row r="83" spans="1:14">
      <c r="A83">
        <f t="shared" si="4"/>
        <v>1</v>
      </c>
      <c r="B83" s="67">
        <v>72</v>
      </c>
      <c r="C83" s="80">
        <f>IF(ISNA(VLOOKUP($B83,DD_Info!$A$1:$E$216,5,0)),0,VLOOKUP($B83,DD_Info!$A$1:$E$216,5,0))</f>
        <v>2</v>
      </c>
      <c r="D83" t="str">
        <f>IF(ISNA(VLOOKUP($B83,DD_Info!$A$1:$E$216,2,0)),0,VLOOKUP($B83,DD_Info!$A$1:$E$216,2,0))</f>
        <v>Anthony P Scarpa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508</v>
      </c>
      <c r="G83">
        <f>ROUND(SUMIF(Councils!$C$6:$C$809,$B83,Councils!$O$6:$O$809)*0.7,0)</f>
        <v>0</v>
      </c>
      <c r="H83">
        <f>ROUND(SUMIF(Councils!$C$6:$C$809,$B83,Councils!$P$6:$P$809)*0.7,0)</f>
        <v>0</v>
      </c>
      <c r="I83">
        <f>ROUND(SUMIF(Councils!$C$6:$C$809,$B83,Councils!$Q$6:$Q$809)*0.7,0)</f>
        <v>1</v>
      </c>
      <c r="J83">
        <f>ROUND(SUMIF(Councils!$C$6:$C$809,$B83,Councils!$R$6:$R$809)*0.7,0)</f>
        <v>-1</v>
      </c>
      <c r="K83">
        <f>ROUND(SUMIF(Councils!$C$6:$C$809,$B83,Councils!$S$6:$S$809)*0.7,0)</f>
        <v>1</v>
      </c>
      <c r="L83">
        <f>ROUND(SUMIF(Councils!$C$6:$C$809,$B83,Councils!$T$6:$T$809)*0.7,0)</f>
        <v>1</v>
      </c>
      <c r="M83">
        <f>ROUND(SUMIF(Councils!$C$6:$C$809,$B83,Councils!$U$6:$U$809)*0.7,0)</f>
        <v>0</v>
      </c>
      <c r="N83" s="63">
        <f t="shared" si="3"/>
        <v>0</v>
      </c>
    </row>
    <row r="84" spans="1:14">
      <c r="A84">
        <f t="shared" si="4"/>
        <v>1</v>
      </c>
      <c r="B84" s="67">
        <v>73</v>
      </c>
      <c r="C84" s="80">
        <f>IF(ISNA(VLOOKUP($B84,DD_Info!$A$1:$E$216,5,0)),0,VLOOKUP($B84,DD_Info!$A$1:$E$216,5,0))</f>
        <v>2</v>
      </c>
      <c r="D84" t="str">
        <f>IF(ISNA(VLOOKUP($B84,DD_Info!$A$1:$E$216,2,0)),0,VLOOKUP($B84,DD_Info!$A$1:$E$216,2,0))</f>
        <v>Rudy  Ordaz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461</v>
      </c>
      <c r="G84">
        <f>ROUND(SUMIF(Councils!$C$6:$C$809,$B84,Councils!$O$6:$O$809)*0.7,0)</f>
        <v>0</v>
      </c>
      <c r="H84">
        <f>ROUND(SUMIF(Councils!$C$6:$C$809,$B84,Councils!$P$6:$P$809)*0.7,0)</f>
        <v>0</v>
      </c>
      <c r="I84">
        <f>ROUND(SUMIF(Councils!$C$6:$C$809,$B84,Councils!$Q$6:$Q$809)*0.7,0)</f>
        <v>2</v>
      </c>
      <c r="J84">
        <f>ROUND(SUMIF(Councils!$C$6:$C$809,$B84,Councils!$R$6:$R$809)*0.7,0)</f>
        <v>-2</v>
      </c>
      <c r="K84">
        <f>ROUND(SUMIF(Councils!$C$6:$C$809,$B84,Councils!$S$6:$S$809)*0.7,0)</f>
        <v>1</v>
      </c>
      <c r="L84">
        <f>ROUND(SUMIF(Councils!$C$6:$C$809,$B84,Councils!$T$6:$T$809)*0.7,0)</f>
        <v>7</v>
      </c>
      <c r="M84">
        <f>ROUND(SUMIF(Councils!$C$6:$C$809,$B84,Councils!$U$6:$U$809)*0.7,0)</f>
        <v>-6</v>
      </c>
      <c r="N84" s="63">
        <f t="shared" si="3"/>
        <v>0</v>
      </c>
    </row>
    <row r="85" spans="1:14">
      <c r="A85">
        <f t="shared" si="4"/>
        <v>1</v>
      </c>
      <c r="B85" s="67">
        <v>74</v>
      </c>
      <c r="C85" s="80">
        <f>IF(ISNA(VLOOKUP($B85,DD_Info!$A$1:$E$216,5,0)),0,VLOOKUP($B85,DD_Info!$A$1:$E$216,5,0))</f>
        <v>1</v>
      </c>
      <c r="D85" t="str">
        <f>IF(ISNA(VLOOKUP($B85,DD_Info!$A$1:$E$216,2,0)),0,VLOOKUP($B85,DD_Info!$A$1:$E$216,2,0))</f>
        <v>Brian  Kozel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1114</v>
      </c>
      <c r="G85">
        <f>ROUND(SUMIF(Councils!$C$6:$C$809,$B85,Councils!$O$6:$O$809)*0.7,0)</f>
        <v>0</v>
      </c>
      <c r="H85">
        <f>ROUND(SUMIF(Councils!$C$6:$C$809,$B85,Councils!$P$6:$P$809)*0.7,0)</f>
        <v>0</v>
      </c>
      <c r="I85">
        <f>ROUND(SUMIF(Councils!$C$6:$C$809,$B85,Councils!$Q$6:$Q$809)*0.7,0)</f>
        <v>3</v>
      </c>
      <c r="J85">
        <f>ROUND(SUMIF(Councils!$C$6:$C$809,$B85,Councils!$R$6:$R$809)*0.7,0)</f>
        <v>-3</v>
      </c>
      <c r="K85">
        <f>ROUND(SUMIF(Councils!$C$6:$C$809,$B85,Councils!$S$6:$S$809)*0.7,0)</f>
        <v>1</v>
      </c>
      <c r="L85">
        <f>ROUND(SUMIF(Councils!$C$6:$C$809,$B85,Councils!$T$6:$T$809)*0.7,0)</f>
        <v>11</v>
      </c>
      <c r="M85">
        <f>ROUND(SUMIF(Councils!$C$6:$C$809,$B85,Councils!$U$6:$U$809)*0.7,0)</f>
        <v>-11</v>
      </c>
      <c r="N85" s="63">
        <f t="shared" si="3"/>
        <v>0</v>
      </c>
    </row>
    <row r="86" spans="1:14">
      <c r="A86">
        <f t="shared" si="4"/>
        <v>1</v>
      </c>
      <c r="B86" s="67">
        <v>76</v>
      </c>
      <c r="C86" s="80">
        <f>IF(ISNA(VLOOKUP($B86,DD_Info!$A$1:$E$216,5,0)),0,VLOOKUP($B86,DD_Info!$A$1:$E$216,5,0))</f>
        <v>3</v>
      </c>
      <c r="D86" t="str">
        <f>IF(ISNA(VLOOKUP($B86,DD_Info!$A$1:$E$216,2,0)),0,VLOOKUP($B86,DD_Info!$A$1:$E$216,2,0))</f>
        <v>Francisco  Carpinteyro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200</v>
      </c>
      <c r="G86">
        <f>ROUND(SUMIF(Councils!$C$6:$C$809,$B86,Councils!$O$6:$O$809)*0.7,0)</f>
        <v>0</v>
      </c>
      <c r="H86">
        <f>ROUND(SUMIF(Councils!$C$6:$C$809,$B86,Councils!$P$6:$P$809)*0.7,0)</f>
        <v>0</v>
      </c>
      <c r="I86">
        <f>ROUND(SUMIF(Councils!$C$6:$C$809,$B86,Councils!$Q$6:$Q$809)*0.7,0)</f>
        <v>1</v>
      </c>
      <c r="J86">
        <f>ROUND(SUMIF(Councils!$C$6:$C$809,$B86,Councils!$R$6:$R$809)*0.7,0)</f>
        <v>-1</v>
      </c>
      <c r="K86">
        <f>ROUND(SUMIF(Councils!$C$6:$C$809,$B86,Councils!$S$6:$S$809)*0.7,0)</f>
        <v>2</v>
      </c>
      <c r="L86">
        <f>ROUND(SUMIF(Councils!$C$6:$C$809,$B86,Councils!$T$6:$T$809)*0.7,0)</f>
        <v>2</v>
      </c>
      <c r="M86">
        <f>ROUND(SUMIF(Councils!$C$6:$C$809,$B86,Councils!$U$6:$U$809)*0.7,0)</f>
        <v>0</v>
      </c>
      <c r="N86" s="63">
        <f t="shared" si="3"/>
        <v>0</v>
      </c>
    </row>
    <row r="87" spans="1:14">
      <c r="A87">
        <f t="shared" si="4"/>
        <v>1</v>
      </c>
      <c r="B87" s="67">
        <v>77</v>
      </c>
      <c r="C87" s="80">
        <f>IF(ISNA(VLOOKUP($B87,DD_Info!$A$1:$E$216,5,0)),0,VLOOKUP($B87,DD_Info!$A$1:$E$216,5,0))</f>
        <v>2</v>
      </c>
      <c r="D87" t="str">
        <f>IF(ISNA(VLOOKUP($B87,DD_Info!$A$1:$E$216,2,0)),0,VLOOKUP($B87,DD_Info!$A$1:$E$216,2,0))</f>
        <v>Manuel  Cervantes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368</v>
      </c>
      <c r="G87">
        <f>ROUND(SUMIF(Councils!$C$6:$C$809,$B87,Councils!$O$6:$O$809)*0.7,0)</f>
        <v>0</v>
      </c>
      <c r="H87">
        <f>ROUND(SUMIF(Councils!$C$6:$C$809,$B87,Councils!$P$6:$P$809)*0.7,0)</f>
        <v>2</v>
      </c>
      <c r="I87">
        <f>ROUND(SUMIF(Councils!$C$6:$C$809,$B87,Councils!$Q$6:$Q$809)*0.7,0)</f>
        <v>0</v>
      </c>
      <c r="J87">
        <f>ROUND(SUMIF(Councils!$C$6:$C$809,$B87,Councils!$R$6:$R$809)*0.7,0)</f>
        <v>2</v>
      </c>
      <c r="K87">
        <f>ROUND(SUMIF(Councils!$C$6:$C$809,$B87,Councils!$S$6:$S$809)*0.7,0)</f>
        <v>8</v>
      </c>
      <c r="L87">
        <f>ROUND(SUMIF(Councils!$C$6:$C$809,$B87,Councils!$T$6:$T$809)*0.7,0)</f>
        <v>3</v>
      </c>
      <c r="M87">
        <f>ROUND(SUMIF(Councils!$C$6:$C$809,$B87,Councils!$U$6:$U$809)*0.7,0)</f>
        <v>6</v>
      </c>
      <c r="N87" s="63">
        <f t="shared" si="3"/>
        <v>0</v>
      </c>
    </row>
    <row r="88" spans="1:14">
      <c r="A88">
        <f t="shared" si="4"/>
        <v>1</v>
      </c>
      <c r="B88" s="67">
        <v>80</v>
      </c>
      <c r="C88" s="80">
        <f>IF(ISNA(VLOOKUP($B88,DD_Info!$A$1:$E$216,5,0)),0,VLOOKUP($B88,DD_Info!$A$1:$E$216,5,0))</f>
        <v>1</v>
      </c>
      <c r="D88" t="str">
        <f>IF(ISNA(VLOOKUP($B88,DD_Info!$A$1:$E$216,2,0)),0,VLOOKUP($B88,DD_Info!$A$1:$E$216,2,0))</f>
        <v>Vincent C Stasio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914</v>
      </c>
      <c r="G88">
        <f>ROUND(SUMIF(Councils!$C$6:$C$809,$B88,Councils!$O$6:$O$809)*0.7,0)</f>
        <v>0</v>
      </c>
      <c r="H88">
        <f>ROUND(SUMIF(Councils!$C$6:$C$809,$B88,Councils!$P$6:$P$809)*0.7,0)</f>
        <v>1</v>
      </c>
      <c r="I88">
        <f>ROUND(SUMIF(Councils!$C$6:$C$809,$B88,Councils!$Q$6:$Q$809)*0.7,0)</f>
        <v>4</v>
      </c>
      <c r="J88">
        <f>ROUND(SUMIF(Councils!$C$6:$C$809,$B88,Councils!$R$6:$R$809)*0.7,0)</f>
        <v>-4</v>
      </c>
      <c r="K88">
        <f>ROUND(SUMIF(Councils!$C$6:$C$809,$B88,Councils!$S$6:$S$809)*0.7,0)</f>
        <v>3</v>
      </c>
      <c r="L88">
        <f>ROUND(SUMIF(Councils!$C$6:$C$809,$B88,Councils!$T$6:$T$809)*0.7,0)</f>
        <v>8</v>
      </c>
      <c r="M88">
        <f>ROUND(SUMIF(Councils!$C$6:$C$809,$B88,Councils!$U$6:$U$809)*0.7,0)</f>
        <v>-6</v>
      </c>
      <c r="N88" s="63">
        <f t="shared" si="3"/>
        <v>0</v>
      </c>
    </row>
    <row r="89" spans="1:14">
      <c r="A89">
        <f t="shared" si="4"/>
        <v>1</v>
      </c>
      <c r="B89" s="67">
        <v>81</v>
      </c>
      <c r="C89" s="80">
        <f>IF(ISNA(VLOOKUP($B89,DD_Info!$A$1:$E$216,5,0)),0,VLOOKUP($B89,DD_Info!$A$1:$E$216,5,0))</f>
        <v>2</v>
      </c>
      <c r="D89" t="str">
        <f>IF(ISNA(VLOOKUP($B89,DD_Info!$A$1:$E$216,2,0)),0,VLOOKUP($B89,DD_Info!$A$1:$E$216,2,0))</f>
        <v>Mario Rodriguez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435</v>
      </c>
      <c r="G89">
        <f>ROUND(SUMIF(Councils!$C$6:$C$809,$B89,Councils!$O$6:$O$809)*0.7,0)</f>
        <v>0</v>
      </c>
      <c r="H89">
        <f>ROUND(SUMIF(Councils!$C$6:$C$809,$B89,Councils!$P$6:$P$809)*0.7,0)</f>
        <v>0</v>
      </c>
      <c r="I89">
        <f>ROUND(SUMIF(Councils!$C$6:$C$809,$B89,Councils!$Q$6:$Q$809)*0.7,0)</f>
        <v>1</v>
      </c>
      <c r="J89">
        <f>ROUND(SUMIF(Councils!$C$6:$C$809,$B89,Councils!$R$6:$R$809)*0.7,0)</f>
        <v>-1</v>
      </c>
      <c r="K89">
        <f>ROUND(SUMIF(Councils!$C$6:$C$809,$B89,Councils!$S$6:$S$809)*0.7,0)</f>
        <v>3</v>
      </c>
      <c r="L89">
        <f>ROUND(SUMIF(Councils!$C$6:$C$809,$B89,Councils!$T$6:$T$809)*0.7,0)</f>
        <v>2</v>
      </c>
      <c r="M89">
        <f>ROUND(SUMIF(Councils!$C$6:$C$809,$B89,Councils!$U$6:$U$809)*0.7,0)</f>
        <v>1</v>
      </c>
      <c r="N89" s="63">
        <f t="shared" si="3"/>
        <v>0</v>
      </c>
    </row>
    <row r="90" spans="1:14">
      <c r="A90">
        <f t="shared" si="4"/>
        <v>1</v>
      </c>
      <c r="B90" s="67">
        <v>82</v>
      </c>
      <c r="C90" s="80">
        <f>IF(ISNA(VLOOKUP($B90,DD_Info!$A$1:$E$216,5,0)),0,VLOOKUP($B90,DD_Info!$A$1:$E$216,5,0))</f>
        <v>1</v>
      </c>
      <c r="D90" t="str">
        <f>IF(ISNA(VLOOKUP($B90,DD_Info!$A$1:$E$216,2,0)),0,VLOOKUP($B90,DD_Info!$A$1:$E$216,2,0))</f>
        <v>Michael  Akiboh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795</v>
      </c>
      <c r="G90">
        <f>ROUND(SUMIF(Councils!$C$6:$C$809,$B90,Councils!$O$6:$O$809)*0.7,0)</f>
        <v>0</v>
      </c>
      <c r="H90">
        <f>ROUND(SUMIF(Councils!$C$6:$C$809,$B90,Councils!$P$6:$P$809)*0.7,0)</f>
        <v>1</v>
      </c>
      <c r="I90">
        <f>ROUND(SUMIF(Councils!$C$6:$C$809,$B90,Councils!$Q$6:$Q$809)*0.7,0)</f>
        <v>2</v>
      </c>
      <c r="J90">
        <f>ROUND(SUMIF(Councils!$C$6:$C$809,$B90,Councils!$R$6:$R$809)*0.7,0)</f>
        <v>-1</v>
      </c>
      <c r="K90">
        <f>ROUND(SUMIF(Councils!$C$6:$C$809,$B90,Councils!$S$6:$S$809)*0.7,0)</f>
        <v>8</v>
      </c>
      <c r="L90">
        <f>ROUND(SUMIF(Councils!$C$6:$C$809,$B90,Councils!$T$6:$T$809)*0.7,0)</f>
        <v>10</v>
      </c>
      <c r="M90">
        <f>ROUND(SUMIF(Councils!$C$6:$C$809,$B90,Councils!$U$6:$U$809)*0.7,0)</f>
        <v>-1</v>
      </c>
      <c r="N90" s="63">
        <f t="shared" si="3"/>
        <v>0</v>
      </c>
    </row>
    <row r="91" spans="1:14">
      <c r="A91">
        <f t="shared" si="4"/>
        <v>1</v>
      </c>
      <c r="B91" s="67">
        <v>83</v>
      </c>
      <c r="C91" s="80">
        <f>IF(ISNA(VLOOKUP($B91,DD_Info!$A$1:$E$216,5,0)),0,VLOOKUP($B91,DD_Info!$A$1:$E$216,5,0))</f>
        <v>1</v>
      </c>
      <c r="D91" t="str">
        <f>IF(ISNA(VLOOKUP($B91,DD_Info!$A$1:$E$216,2,0)),0,VLOOKUP($B91,DD_Info!$A$1:$E$216,2,0))</f>
        <v>Don  Huml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597</v>
      </c>
      <c r="G91">
        <f>ROUND(SUMIF(Councils!$C$6:$C$809,$B91,Councils!$O$6:$O$809)*0.7,0)</f>
        <v>0</v>
      </c>
      <c r="H91">
        <f>ROUND(SUMIF(Councils!$C$6:$C$809,$B91,Councils!$P$6:$P$809)*0.7,0)</f>
        <v>1</v>
      </c>
      <c r="I91">
        <f>ROUND(SUMIF(Councils!$C$6:$C$809,$B91,Councils!$Q$6:$Q$809)*0.7,0)</f>
        <v>1</v>
      </c>
      <c r="J91">
        <f>ROUND(SUMIF(Councils!$C$6:$C$809,$B91,Councils!$R$6:$R$809)*0.7,0)</f>
        <v>-1</v>
      </c>
      <c r="K91">
        <f>ROUND(SUMIF(Councils!$C$6:$C$809,$B91,Councils!$S$6:$S$809)*0.7,0)</f>
        <v>1</v>
      </c>
      <c r="L91">
        <f>ROUND(SUMIF(Councils!$C$6:$C$809,$B91,Councils!$T$6:$T$809)*0.7,0)</f>
        <v>4</v>
      </c>
      <c r="M91">
        <f>ROUND(SUMIF(Councils!$C$6:$C$809,$B91,Councils!$U$6:$U$809)*0.7,0)</f>
        <v>-3</v>
      </c>
      <c r="N91" s="63">
        <f t="shared" si="3"/>
        <v>0</v>
      </c>
    </row>
    <row r="92" spans="1:14">
      <c r="A92">
        <f t="shared" si="4"/>
        <v>1</v>
      </c>
      <c r="B92" s="67">
        <v>84</v>
      </c>
      <c r="C92" s="80">
        <f>IF(ISNA(VLOOKUP($B92,DD_Info!$A$1:$E$216,5,0)),0,VLOOKUP($B92,DD_Info!$A$1:$E$216,5,0))</f>
        <v>3</v>
      </c>
      <c r="D92" t="str">
        <f>IF(ISNA(VLOOKUP($B92,DD_Info!$A$1:$E$216,2,0)),0,VLOOKUP($B92,DD_Info!$A$1:$E$216,2,0))</f>
        <v>Thomas J. Gooney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288</v>
      </c>
      <c r="G92">
        <f>ROUND(SUMIF(Councils!$C$6:$C$809,$B92,Councils!$O$6:$O$809)*0.7,0)</f>
        <v>0</v>
      </c>
      <c r="H92">
        <f>ROUND(SUMIF(Councils!$C$6:$C$809,$B92,Councils!$P$6:$P$809)*0.7,0)</f>
        <v>0</v>
      </c>
      <c r="I92">
        <f>ROUND(SUMIF(Councils!$C$6:$C$809,$B92,Councils!$Q$6:$Q$809)*0.7,0)</f>
        <v>1</v>
      </c>
      <c r="J92">
        <f>ROUND(SUMIF(Councils!$C$6:$C$809,$B92,Councils!$R$6:$R$809)*0.7,0)</f>
        <v>-1</v>
      </c>
      <c r="K92">
        <f>ROUND(SUMIF(Councils!$C$6:$C$809,$B92,Councils!$S$6:$S$809)*0.7,0)</f>
        <v>1</v>
      </c>
      <c r="L92">
        <f>ROUND(SUMIF(Councils!$C$6:$C$809,$B92,Councils!$T$6:$T$809)*0.7,0)</f>
        <v>1</v>
      </c>
      <c r="M92">
        <f>ROUND(SUMIF(Councils!$C$6:$C$809,$B92,Councils!$U$6:$U$809)*0.7,0)</f>
        <v>1</v>
      </c>
      <c r="N92" s="63">
        <f t="shared" si="3"/>
        <v>0</v>
      </c>
    </row>
    <row r="93" spans="1:14">
      <c r="A93">
        <f t="shared" si="4"/>
        <v>1</v>
      </c>
      <c r="B93" s="67">
        <v>86</v>
      </c>
      <c r="C93" s="80">
        <f>IF(ISNA(VLOOKUP($B93,DD_Info!$A$1:$E$216,5,0)),0,VLOOKUP($B93,DD_Info!$A$1:$E$216,5,0))</f>
        <v>1</v>
      </c>
      <c r="D93" t="str">
        <f>IF(ISNA(VLOOKUP($B93,DD_Info!$A$1:$E$216,2,0)),0,VLOOKUP($B93,DD_Info!$A$1:$E$216,2,0))</f>
        <v>Clarence "CJ"  Hattier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614</v>
      </c>
      <c r="G93">
        <f>ROUND(SUMIF(Councils!$C$6:$C$809,$B93,Councils!$O$6:$O$809)*0.7,0)</f>
        <v>0</v>
      </c>
      <c r="H93">
        <f>ROUND(SUMIF(Councils!$C$6:$C$809,$B93,Councils!$P$6:$P$809)*0.7,0)</f>
        <v>0</v>
      </c>
      <c r="I93">
        <f>ROUND(SUMIF(Councils!$C$6:$C$809,$B93,Councils!$Q$6:$Q$809)*0.7,0)</f>
        <v>4</v>
      </c>
      <c r="J93">
        <f>ROUND(SUMIF(Councils!$C$6:$C$809,$B93,Councils!$R$6:$R$809)*0.7,0)</f>
        <v>-4</v>
      </c>
      <c r="K93">
        <f>ROUND(SUMIF(Councils!$C$6:$C$809,$B93,Councils!$S$6:$S$809)*0.7,0)</f>
        <v>2</v>
      </c>
      <c r="L93">
        <f>ROUND(SUMIF(Councils!$C$6:$C$809,$B93,Councils!$T$6:$T$809)*0.7,0)</f>
        <v>5</v>
      </c>
      <c r="M93">
        <f>ROUND(SUMIF(Councils!$C$6:$C$809,$B93,Councils!$U$6:$U$809)*0.7,0)</f>
        <v>-3</v>
      </c>
      <c r="N93" s="63">
        <f t="shared" si="3"/>
        <v>0</v>
      </c>
    </row>
    <row r="94" spans="1:14">
      <c r="A94">
        <f t="shared" si="4"/>
        <v>1</v>
      </c>
      <c r="B94" s="67">
        <v>87</v>
      </c>
      <c r="C94" s="80">
        <f>IF(ISNA(VLOOKUP($B94,DD_Info!$A$1:$E$216,5,0)),0,VLOOKUP($B94,DD_Info!$A$1:$E$216,5,0))</f>
        <v>1</v>
      </c>
      <c r="D94" t="str">
        <f>IF(ISNA(VLOOKUP($B94,DD_Info!$A$1:$E$216,2,0)),0,VLOOKUP($B94,DD_Info!$A$1:$E$216,2,0))</f>
        <v>Juan A Perez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583</v>
      </c>
      <c r="G94">
        <f>ROUND(SUMIF(Councils!$C$6:$C$809,$B94,Councils!$O$6:$O$809)*0.7,0)</f>
        <v>0</v>
      </c>
      <c r="H94">
        <f>ROUND(SUMIF(Councils!$C$6:$C$809,$B94,Councils!$P$6:$P$809)*0.7,0)</f>
        <v>0</v>
      </c>
      <c r="I94">
        <f>ROUND(SUMIF(Councils!$C$6:$C$809,$B94,Councils!$Q$6:$Q$809)*0.7,0)</f>
        <v>0</v>
      </c>
      <c r="J94">
        <f>ROUND(SUMIF(Councils!$C$6:$C$809,$B94,Councils!$R$6:$R$809)*0.7,0)</f>
        <v>0</v>
      </c>
      <c r="K94">
        <f>ROUND(SUMIF(Councils!$C$6:$C$809,$B94,Councils!$S$6:$S$809)*0.7,0)</f>
        <v>1</v>
      </c>
      <c r="L94">
        <f>ROUND(SUMIF(Councils!$C$6:$C$809,$B94,Councils!$T$6:$T$809)*0.7,0)</f>
        <v>1</v>
      </c>
      <c r="M94">
        <f>ROUND(SUMIF(Councils!$C$6:$C$809,$B94,Councils!$U$6:$U$809)*0.7,0)</f>
        <v>0</v>
      </c>
      <c r="N94" s="63">
        <f t="shared" si="3"/>
        <v>0</v>
      </c>
    </row>
    <row r="95" spans="1:14">
      <c r="A95">
        <f t="shared" si="4"/>
        <v>1</v>
      </c>
      <c r="B95" s="67">
        <v>88</v>
      </c>
      <c r="C95" s="80">
        <f>IF(ISNA(VLOOKUP($B95,DD_Info!$A$1:$E$216,5,0)),0,VLOOKUP($B95,DD_Info!$A$1:$E$216,5,0))</f>
        <v>1</v>
      </c>
      <c r="D95" t="str">
        <f>IF(ISNA(VLOOKUP($B95,DD_Info!$A$1:$E$216,2,0)),0,VLOOKUP($B95,DD_Info!$A$1:$E$216,2,0))</f>
        <v>Larry  Ordaz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897</v>
      </c>
      <c r="G95">
        <f>ROUND(SUMIF(Councils!$C$6:$C$809,$B95,Councils!$O$6:$O$809)*0.7,0)</f>
        <v>0</v>
      </c>
      <c r="H95">
        <f>ROUND(SUMIF(Councils!$C$6:$C$809,$B95,Councils!$P$6:$P$809)*0.7,0)</f>
        <v>0</v>
      </c>
      <c r="I95">
        <f>ROUND(SUMIF(Councils!$C$6:$C$809,$B95,Councils!$Q$6:$Q$809)*0.7,0)</f>
        <v>3</v>
      </c>
      <c r="J95">
        <f>ROUND(SUMIF(Councils!$C$6:$C$809,$B95,Councils!$R$6:$R$809)*0.7,0)</f>
        <v>-3</v>
      </c>
      <c r="K95">
        <f>ROUND(SUMIF(Councils!$C$6:$C$809,$B95,Councils!$S$6:$S$809)*0.7,0)</f>
        <v>3</v>
      </c>
      <c r="L95">
        <f>ROUND(SUMIF(Councils!$C$6:$C$809,$B95,Councils!$T$6:$T$809)*0.7,0)</f>
        <v>4</v>
      </c>
      <c r="M95">
        <f>ROUND(SUMIF(Councils!$C$6:$C$809,$B95,Councils!$U$6:$U$809)*0.7,0)</f>
        <v>-1</v>
      </c>
      <c r="N95" s="63">
        <f t="shared" si="3"/>
        <v>0</v>
      </c>
    </row>
    <row r="96" spans="1:14">
      <c r="A96">
        <f t="shared" si="4"/>
        <v>1</v>
      </c>
      <c r="B96" s="67">
        <v>89</v>
      </c>
      <c r="C96" s="80">
        <f>IF(ISNA(VLOOKUP($B96,DD_Info!$A$1:$E$216,5,0)),0,VLOOKUP($B96,DD_Info!$A$1:$E$216,5,0))</f>
        <v>3</v>
      </c>
      <c r="D96" t="str">
        <f>IF(ISNA(VLOOKUP($B96,DD_Info!$A$1:$E$216,2,0)),0,VLOOKUP($B96,DD_Info!$A$1:$E$216,2,0))</f>
        <v>Abner  Brown Jr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204</v>
      </c>
      <c r="G96">
        <f>ROUND(SUMIF(Councils!$C$6:$C$809,$B96,Councils!$O$6:$O$809)*0.7,0)</f>
        <v>0</v>
      </c>
      <c r="H96">
        <f>ROUND(SUMIF(Councils!$C$6:$C$809,$B96,Councils!$P$6:$P$809)*0.7,0)</f>
        <v>1</v>
      </c>
      <c r="I96">
        <f>ROUND(SUMIF(Councils!$C$6:$C$809,$B96,Councils!$Q$6:$Q$809)*0.7,0)</f>
        <v>0</v>
      </c>
      <c r="J96">
        <f>ROUND(SUMIF(Councils!$C$6:$C$809,$B96,Councils!$R$6:$R$809)*0.7,0)</f>
        <v>1</v>
      </c>
      <c r="K96">
        <f>ROUND(SUMIF(Councils!$C$6:$C$809,$B96,Councils!$S$6:$S$809)*0.7,0)</f>
        <v>1</v>
      </c>
      <c r="L96">
        <f>ROUND(SUMIF(Councils!$C$6:$C$809,$B96,Councils!$T$6:$T$809)*0.7,0)</f>
        <v>0</v>
      </c>
      <c r="M96">
        <f>ROUND(SUMIF(Councils!$C$6:$C$809,$B96,Councils!$U$6:$U$809)*0.7,0)</f>
        <v>1</v>
      </c>
      <c r="N96" s="63">
        <f t="shared" si="3"/>
        <v>0</v>
      </c>
    </row>
    <row r="97" spans="1:14">
      <c r="A97">
        <f t="shared" si="4"/>
        <v>1</v>
      </c>
      <c r="B97" s="67">
        <v>90</v>
      </c>
      <c r="C97" s="80">
        <f>IF(ISNA(VLOOKUP($B97,DD_Info!$A$1:$E$216,5,0)),0,VLOOKUP($B97,DD_Info!$A$1:$E$216,5,0))</f>
        <v>1</v>
      </c>
      <c r="D97" t="str">
        <f>IF(ISNA(VLOOKUP($B97,DD_Info!$A$1:$E$216,2,0)),0,VLOOKUP($B97,DD_Info!$A$1:$E$216,2,0))</f>
        <v>Reggie  Vasquez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1236</v>
      </c>
      <c r="G97">
        <f>ROUND(SUMIF(Councils!$C$6:$C$809,$B97,Councils!$O$6:$O$809)*0.7,0)</f>
        <v>0</v>
      </c>
      <c r="H97">
        <f>ROUND(SUMIF(Councils!$C$6:$C$809,$B97,Councils!$P$6:$P$809)*0.7,0)</f>
        <v>1</v>
      </c>
      <c r="I97">
        <f>ROUND(SUMIF(Councils!$C$6:$C$809,$B97,Councils!$Q$6:$Q$809)*0.7,0)</f>
        <v>1</v>
      </c>
      <c r="J97">
        <f>ROUND(SUMIF(Councils!$C$6:$C$809,$B97,Councils!$R$6:$R$809)*0.7,0)</f>
        <v>-1</v>
      </c>
      <c r="K97">
        <f>ROUND(SUMIF(Councils!$C$6:$C$809,$B97,Councils!$S$6:$S$809)*0.7,0)</f>
        <v>2</v>
      </c>
      <c r="L97">
        <f>ROUND(SUMIF(Councils!$C$6:$C$809,$B97,Councils!$T$6:$T$809)*0.7,0)</f>
        <v>5</v>
      </c>
      <c r="M97">
        <f>ROUND(SUMIF(Councils!$C$6:$C$809,$B97,Councils!$U$6:$U$809)*0.7,0)</f>
        <v>-3</v>
      </c>
      <c r="N97" s="63">
        <f t="shared" si="3"/>
        <v>0</v>
      </c>
    </row>
    <row r="98" spans="1:14">
      <c r="A98">
        <f t="shared" si="4"/>
        <v>1</v>
      </c>
      <c r="B98" s="67">
        <v>91</v>
      </c>
      <c r="C98" s="80">
        <f>IF(ISNA(VLOOKUP($B98,DD_Info!$A$1:$E$216,5,0)),0,VLOOKUP($B98,DD_Info!$A$1:$E$216,5,0))</f>
        <v>1</v>
      </c>
      <c r="D98" t="str">
        <f>IF(ISNA(VLOOKUP($B98,DD_Info!$A$1:$E$216,2,0)),0,VLOOKUP($B98,DD_Info!$A$1:$E$216,2,0))</f>
        <v>John Anthony  Martinez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694</v>
      </c>
      <c r="G98">
        <f>ROUND(SUMIF(Councils!$C$6:$C$809,$B98,Councils!$O$6:$O$809)*0.7,0)</f>
        <v>0</v>
      </c>
      <c r="H98">
        <f>ROUND(SUMIF(Councils!$C$6:$C$809,$B98,Councils!$P$6:$P$809)*0.7,0)</f>
        <v>1</v>
      </c>
      <c r="I98">
        <f>ROUND(SUMIF(Councils!$C$6:$C$809,$B98,Councils!$Q$6:$Q$809)*0.7,0)</f>
        <v>4</v>
      </c>
      <c r="J98">
        <f>ROUND(SUMIF(Councils!$C$6:$C$809,$B98,Councils!$R$6:$R$809)*0.7,0)</f>
        <v>-3</v>
      </c>
      <c r="K98">
        <f>ROUND(SUMIF(Councils!$C$6:$C$809,$B98,Councils!$S$6:$S$809)*0.7,0)</f>
        <v>5</v>
      </c>
      <c r="L98">
        <f>ROUND(SUMIF(Councils!$C$6:$C$809,$B98,Councils!$T$6:$T$809)*0.7,0)</f>
        <v>11</v>
      </c>
      <c r="M98">
        <f>ROUND(SUMIF(Councils!$C$6:$C$809,$B98,Councils!$U$6:$U$809)*0.7,0)</f>
        <v>-6</v>
      </c>
      <c r="N98" s="63">
        <f t="shared" si="3"/>
        <v>0</v>
      </c>
    </row>
    <row r="99" spans="1:14">
      <c r="A99">
        <f t="shared" si="4"/>
        <v>1</v>
      </c>
      <c r="B99" s="67">
        <v>93</v>
      </c>
      <c r="C99" s="80">
        <f>IF(ISNA(VLOOKUP($B99,DD_Info!$A$1:$E$216,5,0)),0,VLOOKUP($B99,DD_Info!$A$1:$E$216,5,0))</f>
        <v>1</v>
      </c>
      <c r="D99" t="str">
        <f>IF(ISNA(VLOOKUP($B99,DD_Info!$A$1:$E$216,2,0)),0,VLOOKUP($B99,DD_Info!$A$1:$E$216,2,0))</f>
        <v>TBD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1121</v>
      </c>
      <c r="G99">
        <f>ROUND(SUMIF(Councils!$C$6:$C$809,$B99,Councils!$O$6:$O$809)*0.7,0)</f>
        <v>0</v>
      </c>
      <c r="H99">
        <f>ROUND(SUMIF(Councils!$C$6:$C$809,$B99,Councils!$P$6:$P$809)*0.7,0)</f>
        <v>1</v>
      </c>
      <c r="I99">
        <f>ROUND(SUMIF(Councils!$C$6:$C$809,$B99,Councils!$Q$6:$Q$809)*0.7,0)</f>
        <v>1</v>
      </c>
      <c r="J99">
        <f>ROUND(SUMIF(Councils!$C$6:$C$809,$B99,Councils!$R$6:$R$809)*0.7,0)</f>
        <v>-1</v>
      </c>
      <c r="K99">
        <f>ROUND(SUMIF(Councils!$C$6:$C$809,$B99,Councils!$S$6:$S$809)*0.7,0)</f>
        <v>4</v>
      </c>
      <c r="L99">
        <f>ROUND(SUMIF(Councils!$C$6:$C$809,$B99,Councils!$T$6:$T$809)*0.7,0)</f>
        <v>4</v>
      </c>
      <c r="M99">
        <f>ROUND(SUMIF(Councils!$C$6:$C$809,$B99,Councils!$U$6:$U$809)*0.7,0)</f>
        <v>1</v>
      </c>
      <c r="N99" s="63">
        <f t="shared" si="3"/>
        <v>0</v>
      </c>
    </row>
    <row r="100" spans="1:14">
      <c r="A100">
        <f t="shared" si="4"/>
        <v>1</v>
      </c>
      <c r="B100" s="67">
        <v>94</v>
      </c>
      <c r="C100" s="80">
        <f>IF(ISNA(VLOOKUP($B100,DD_Info!$A$1:$E$216,5,0)),0,VLOOKUP($B100,DD_Info!$A$1:$E$216,5,0))</f>
        <v>1</v>
      </c>
      <c r="D100" t="str">
        <f>IF(ISNA(VLOOKUP($B100,DD_Info!$A$1:$E$216,2,0)),0,VLOOKUP($B100,DD_Info!$A$1:$E$216,2,0))</f>
        <v>Larry  Pellerito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848</v>
      </c>
      <c r="G100">
        <f>ROUND(SUMIF(Councils!$C$6:$C$809,$B100,Councils!$O$6:$O$809)*0.7,0)</f>
        <v>0</v>
      </c>
      <c r="H100">
        <f>ROUND(SUMIF(Councils!$C$6:$C$809,$B100,Councils!$P$6:$P$809)*0.7,0)</f>
        <v>0</v>
      </c>
      <c r="I100">
        <f>ROUND(SUMIF(Councils!$C$6:$C$809,$B100,Councils!$Q$6:$Q$809)*0.7,0)</f>
        <v>2</v>
      </c>
      <c r="J100">
        <f>ROUND(SUMIF(Councils!$C$6:$C$809,$B100,Councils!$R$6:$R$809)*0.7,0)</f>
        <v>-2</v>
      </c>
      <c r="K100">
        <f>ROUND(SUMIF(Councils!$C$6:$C$809,$B100,Councils!$S$6:$S$809)*0.7,0)</f>
        <v>1</v>
      </c>
      <c r="L100">
        <f>ROUND(SUMIF(Councils!$C$6:$C$809,$B100,Councils!$T$6:$T$809)*0.7,0)</f>
        <v>4</v>
      </c>
      <c r="M100">
        <f>ROUND(SUMIF(Councils!$C$6:$C$809,$B100,Councils!$U$6:$U$809)*0.7,0)</f>
        <v>-3</v>
      </c>
      <c r="N100" s="63">
        <f t="shared" si="3"/>
        <v>0</v>
      </c>
    </row>
    <row r="101" spans="1:14">
      <c r="A101">
        <f t="shared" si="4"/>
        <v>1</v>
      </c>
      <c r="B101" s="67">
        <v>95</v>
      </c>
      <c r="C101" s="80">
        <f>IF(ISNA(VLOOKUP($B101,DD_Info!$A$1:$E$216,5,0)),0,VLOOKUP($B101,DD_Info!$A$1:$E$216,5,0))</f>
        <v>2</v>
      </c>
      <c r="D101" t="str">
        <f>IF(ISNA(VLOOKUP($B101,DD_Info!$A$1:$E$216,2,0)),0,VLOOKUP($B101,DD_Info!$A$1:$E$216,2,0))</f>
        <v>Joseph A Geiman</v>
      </c>
      <c r="E101" t="str">
        <f>IF(ISNA(VLOOKUP($B101,DD_Info!$A$1:$E$216,3,0)),0,VLOOKUP($B101,DD_Info!$A$1:$E$216,3,0))</f>
        <v>Galv/Hous</v>
      </c>
      <c r="F101">
        <f>ROUND(SUMIF(Councils!$C$6:$C$809,$B101,Councils!$E$6:$E$809),0)</f>
        <v>411</v>
      </c>
      <c r="G101">
        <f>ROUND(SUMIF(Councils!$C$6:$C$809,$B101,Councils!$O$6:$O$809)*0.7,0)</f>
        <v>0</v>
      </c>
      <c r="H101">
        <f>ROUND(SUMIF(Councils!$C$6:$C$809,$B101,Councils!$P$6:$P$809)*0.7,0)</f>
        <v>0</v>
      </c>
      <c r="I101">
        <f>ROUND(SUMIF(Councils!$C$6:$C$809,$B101,Councils!$Q$6:$Q$809)*0.7,0)</f>
        <v>1</v>
      </c>
      <c r="J101">
        <f>ROUND(SUMIF(Councils!$C$6:$C$809,$B101,Councils!$R$6:$R$809)*0.7,0)</f>
        <v>-1</v>
      </c>
      <c r="K101">
        <f>ROUND(SUMIF(Councils!$C$6:$C$809,$B101,Councils!$S$6:$S$809)*0.7,0)</f>
        <v>1</v>
      </c>
      <c r="L101">
        <f>ROUND(SUMIF(Councils!$C$6:$C$809,$B101,Councils!$T$6:$T$809)*0.7,0)</f>
        <v>1</v>
      </c>
      <c r="M101">
        <f>ROUND(SUMIF(Councils!$C$6:$C$809,$B101,Councils!$U$6:$U$809)*0.7,0)</f>
        <v>0</v>
      </c>
      <c r="N101" s="63">
        <f t="shared" si="3"/>
        <v>0</v>
      </c>
    </row>
    <row r="102" spans="1:14">
      <c r="A102">
        <f t="shared" si="4"/>
        <v>1</v>
      </c>
      <c r="B102" s="67">
        <v>96</v>
      </c>
      <c r="C102" s="80">
        <f>IF(ISNA(VLOOKUP($B102,DD_Info!$A$1:$E$216,5,0)),0,VLOOKUP($B102,DD_Info!$A$1:$E$216,5,0))</f>
        <v>3</v>
      </c>
      <c r="D102" t="str">
        <f>IF(ISNA(VLOOKUP($B102,DD_Info!$A$1:$E$216,2,0)),0,VLOOKUP($B102,DD_Info!$A$1:$E$216,2,0))</f>
        <v>John G Hinojosa</v>
      </c>
      <c r="E102" t="str">
        <f>IF(ISNA(VLOOKUP($B102,DD_Info!$A$1:$E$216,3,0)),0,VLOOKUP($B102,DD_Info!$A$1:$E$216,3,0))</f>
        <v>Galv/Hous</v>
      </c>
      <c r="F102">
        <f>ROUND(SUMIF(Councils!$C$6:$C$809,$B102,Councils!$E$6:$E$809),0)</f>
        <v>172</v>
      </c>
      <c r="G102">
        <f>ROUND(SUMIF(Councils!$C$6:$C$809,$B102,Councils!$O$6:$O$809)*0.7,0)</f>
        <v>0</v>
      </c>
      <c r="H102">
        <f>ROUND(SUMIF(Councils!$C$6:$C$809,$B102,Councils!$P$6:$P$809)*0.7,0)</f>
        <v>0</v>
      </c>
      <c r="I102">
        <f>ROUND(SUMIF(Councils!$C$6:$C$809,$B102,Councils!$Q$6:$Q$809)*0.7,0)</f>
        <v>0</v>
      </c>
      <c r="J102">
        <f>ROUND(SUMIF(Councils!$C$6:$C$809,$B102,Councils!$R$6:$R$809)*0.7,0)</f>
        <v>0</v>
      </c>
      <c r="K102">
        <f>ROUND(SUMIF(Councils!$C$6:$C$809,$B102,Councils!$S$6:$S$809)*0.7,0)</f>
        <v>0</v>
      </c>
      <c r="L102">
        <f>ROUND(SUMIF(Councils!$C$6:$C$809,$B102,Councils!$T$6:$T$809)*0.7,0)</f>
        <v>0</v>
      </c>
      <c r="M102">
        <f>ROUND(SUMIF(Councils!$C$6:$C$809,$B102,Councils!$U$6:$U$809)*0.7,0)</f>
        <v>0</v>
      </c>
      <c r="N102" s="63">
        <f t="shared" si="3"/>
        <v>0</v>
      </c>
    </row>
    <row r="103" spans="1:14">
      <c r="A103">
        <f t="shared" si="4"/>
        <v>1</v>
      </c>
      <c r="B103" s="67">
        <v>97</v>
      </c>
      <c r="C103" s="80">
        <f>IF(ISNA(VLOOKUP($B103,DD_Info!$A$1:$E$216,5,0)),0,VLOOKUP($B103,DD_Info!$A$1:$E$216,5,0))</f>
        <v>3</v>
      </c>
      <c r="D103" t="str">
        <f>IF(ISNA(VLOOKUP($B103,DD_Info!$A$1:$E$216,2,0)),0,VLOOKUP($B103,DD_Info!$A$1:$E$216,2,0))</f>
        <v>James A Hatcher</v>
      </c>
      <c r="E103" t="str">
        <f>IF(ISNA(VLOOKUP($B103,DD_Info!$A$1:$E$216,3,0)),0,VLOOKUP($B103,DD_Info!$A$1:$E$216,3,0))</f>
        <v>Galv/Hous</v>
      </c>
      <c r="F103">
        <f>ROUND(SUMIF(Councils!$C$6:$C$809,$B103,Councils!$E$6:$E$809),0)</f>
        <v>58</v>
      </c>
      <c r="G103">
        <f>ROUND(SUMIF(Councils!$C$6:$C$809,$B103,Councils!$O$6:$O$809)*0.7,0)</f>
        <v>0</v>
      </c>
      <c r="H103">
        <f>ROUND(SUMIF(Councils!$C$6:$C$809,$B103,Councils!$P$6:$P$809)*0.7,0)</f>
        <v>0</v>
      </c>
      <c r="I103">
        <f>ROUND(SUMIF(Councils!$C$6:$C$809,$B103,Councils!$Q$6:$Q$809)*0.7,0)</f>
        <v>0</v>
      </c>
      <c r="J103">
        <f>ROUND(SUMIF(Councils!$C$6:$C$809,$B103,Councils!$R$6:$R$809)*0.7,0)</f>
        <v>0</v>
      </c>
      <c r="K103">
        <f>ROUND(SUMIF(Councils!$C$6:$C$809,$B103,Councils!$S$6:$S$809)*0.7,0)</f>
        <v>0</v>
      </c>
      <c r="L103">
        <f>ROUND(SUMIF(Councils!$C$6:$C$809,$B103,Councils!$T$6:$T$809)*0.7,0)</f>
        <v>0</v>
      </c>
      <c r="M103">
        <f>ROUND(SUMIF(Councils!$C$6:$C$809,$B103,Councils!$U$6:$U$809)*0.7,0)</f>
        <v>0</v>
      </c>
      <c r="N103" s="63">
        <f t="shared" si="3"/>
        <v>0</v>
      </c>
    </row>
    <row r="104" spans="1:14">
      <c r="A104">
        <f t="shared" si="4"/>
        <v>1</v>
      </c>
      <c r="B104" s="67">
        <v>98</v>
      </c>
      <c r="C104" s="80">
        <f>IF(ISNA(VLOOKUP($B104,DD_Info!$A$1:$E$216,5,0)),0,VLOOKUP($B104,DD_Info!$A$1:$E$216,5,0))</f>
        <v>3</v>
      </c>
      <c r="D104" t="str">
        <f>IF(ISNA(VLOOKUP($B104,DD_Info!$A$1:$E$216,2,0)),0,VLOOKUP($B104,DD_Info!$A$1:$E$216,2,0))</f>
        <v>Ron  Frerich</v>
      </c>
      <c r="E104" t="str">
        <f>IF(ISNA(VLOOKUP($B104,DD_Info!$A$1:$E$216,3,0)),0,VLOOKUP($B104,DD_Info!$A$1:$E$216,3,0))</f>
        <v>Galv/Hous</v>
      </c>
      <c r="F104">
        <f>ROUND(SUMIF(Councils!$C$6:$C$809,$B104,Councils!$E$6:$E$809),0)</f>
        <v>273</v>
      </c>
      <c r="G104">
        <f>ROUND(SUMIF(Councils!$C$6:$C$809,$B104,Councils!$O$6:$O$809)*0.7,0)</f>
        <v>0</v>
      </c>
      <c r="H104">
        <f>ROUND(SUMIF(Councils!$C$6:$C$809,$B104,Councils!$P$6:$P$809)*0.7,0)</f>
        <v>0</v>
      </c>
      <c r="I104">
        <f>ROUND(SUMIF(Councils!$C$6:$C$809,$B104,Councils!$Q$6:$Q$809)*0.7,0)</f>
        <v>1</v>
      </c>
      <c r="J104">
        <f>ROUND(SUMIF(Councils!$C$6:$C$809,$B104,Councils!$R$6:$R$809)*0.7,0)</f>
        <v>-1</v>
      </c>
      <c r="K104">
        <f>ROUND(SUMIF(Councils!$C$6:$C$809,$B104,Councils!$S$6:$S$809)*0.7,0)</f>
        <v>0</v>
      </c>
      <c r="L104">
        <f>ROUND(SUMIF(Councils!$C$6:$C$809,$B104,Councils!$T$6:$T$809)*0.7,0)</f>
        <v>1</v>
      </c>
      <c r="M104">
        <f>ROUND(SUMIF(Councils!$C$6:$C$809,$B104,Councils!$U$6:$U$809)*0.7,0)</f>
        <v>-1</v>
      </c>
      <c r="N104" s="63">
        <f t="shared" si="3"/>
        <v>0</v>
      </c>
    </row>
    <row r="105" spans="1:14">
      <c r="A105">
        <f t="shared" si="4"/>
        <v>1</v>
      </c>
      <c r="B105" s="67">
        <v>101</v>
      </c>
      <c r="C105" s="80">
        <f>IF(ISNA(VLOOKUP($B105,DD_Info!$A$1:$E$216,5,0)),0,VLOOKUP($B105,DD_Info!$A$1:$E$216,5,0))</f>
        <v>2</v>
      </c>
      <c r="D105" t="str">
        <f>IF(ISNA(VLOOKUP($B105,DD_Info!$A$1:$E$216,2,0)),0,VLOOKUP($B105,DD_Info!$A$1:$E$216,2,0))</f>
        <v>Gary L Walton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458</v>
      </c>
      <c r="G105">
        <f>ROUND(SUMIF(Councils!$C$6:$C$809,$B105,Councils!$O$6:$O$809)*0.7,0)</f>
        <v>0</v>
      </c>
      <c r="H105">
        <f>ROUND(SUMIF(Councils!$C$6:$C$809,$B105,Councils!$P$6:$P$809)*0.7,0)</f>
        <v>1</v>
      </c>
      <c r="I105">
        <f>ROUND(SUMIF(Councils!$C$6:$C$809,$B105,Councils!$Q$6:$Q$809)*0.7,0)</f>
        <v>2</v>
      </c>
      <c r="J105">
        <f>ROUND(SUMIF(Councils!$C$6:$C$809,$B105,Councils!$R$6:$R$809)*0.7,0)</f>
        <v>-1</v>
      </c>
      <c r="K105">
        <f>ROUND(SUMIF(Councils!$C$6:$C$809,$B105,Councils!$S$6:$S$809)*0.7,0)</f>
        <v>3</v>
      </c>
      <c r="L105">
        <f>ROUND(SUMIF(Councils!$C$6:$C$809,$B105,Councils!$T$6:$T$809)*0.7,0)</f>
        <v>5</v>
      </c>
      <c r="M105">
        <f>ROUND(SUMIF(Councils!$C$6:$C$809,$B105,Councils!$U$6:$U$809)*0.7,0)</f>
        <v>-2</v>
      </c>
      <c r="N105" s="63">
        <f t="shared" si="3"/>
        <v>0</v>
      </c>
    </row>
    <row r="106" spans="1:14">
      <c r="A106">
        <f t="shared" si="4"/>
        <v>1</v>
      </c>
      <c r="B106" s="67">
        <v>102</v>
      </c>
      <c r="C106" s="80">
        <f>IF(ISNA(VLOOKUP($B106,DD_Info!$A$1:$E$216,5,0)),0,VLOOKUP($B106,DD_Info!$A$1:$E$216,5,0))</f>
        <v>1</v>
      </c>
      <c r="D106" t="str">
        <f>IF(ISNA(VLOOKUP($B106,DD_Info!$A$1:$E$216,2,0)),0,VLOOKUP($B106,DD_Info!$A$1:$E$216,2,0))</f>
        <v>Jose "John" J Casarez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767</v>
      </c>
      <c r="G106">
        <f>ROUND(SUMIF(Councils!$C$6:$C$809,$B106,Councils!$O$6:$O$809)*0.7,0)</f>
        <v>0</v>
      </c>
      <c r="H106">
        <f>ROUND(SUMIF(Councils!$C$6:$C$809,$B106,Councils!$P$6:$P$809)*0.7,0)</f>
        <v>1</v>
      </c>
      <c r="I106">
        <f>ROUND(SUMIF(Councils!$C$6:$C$809,$B106,Councils!$Q$6:$Q$809)*0.7,0)</f>
        <v>0</v>
      </c>
      <c r="J106">
        <f>ROUND(SUMIF(Councils!$C$6:$C$809,$B106,Councils!$R$6:$R$809)*0.7,0)</f>
        <v>1</v>
      </c>
      <c r="K106">
        <f>ROUND(SUMIF(Councils!$C$6:$C$809,$B106,Councils!$S$6:$S$809)*0.7,0)</f>
        <v>4</v>
      </c>
      <c r="L106">
        <f>ROUND(SUMIF(Councils!$C$6:$C$809,$B106,Councils!$T$6:$T$809)*0.7,0)</f>
        <v>4</v>
      </c>
      <c r="M106">
        <f>ROUND(SUMIF(Councils!$C$6:$C$809,$B106,Councils!$U$6:$U$809)*0.7,0)</f>
        <v>0</v>
      </c>
      <c r="N106" s="63">
        <f t="shared" si="3"/>
        <v>0</v>
      </c>
    </row>
    <row r="107" spans="1:14">
      <c r="A107">
        <f t="shared" si="4"/>
        <v>1</v>
      </c>
      <c r="B107" s="67">
        <v>104</v>
      </c>
      <c r="C107" s="80">
        <f>IF(ISNA(VLOOKUP($B107,DD_Info!$A$1:$E$216,5,0)),0,VLOOKUP($B107,DD_Info!$A$1:$E$216,5,0))</f>
        <v>1</v>
      </c>
      <c r="D107" t="str">
        <f>IF(ISNA(VLOOKUP($B107,DD_Info!$A$1:$E$216,2,0)),0,VLOOKUP($B107,DD_Info!$A$1:$E$216,2,0))</f>
        <v>Scott  Brkovich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2177</v>
      </c>
      <c r="G107">
        <f>ROUND(SUMIF(Councils!$C$6:$C$809,$B107,Councils!$O$6:$O$809)*0.7,0)</f>
        <v>0</v>
      </c>
      <c r="H107">
        <f>ROUND(SUMIF(Councils!$C$6:$C$809,$B107,Councils!$P$6:$P$809)*0.7,0)</f>
        <v>0</v>
      </c>
      <c r="I107">
        <f>ROUND(SUMIF(Councils!$C$6:$C$809,$B107,Councils!$Q$6:$Q$809)*0.7,0)</f>
        <v>1</v>
      </c>
      <c r="J107">
        <f>ROUND(SUMIF(Councils!$C$6:$C$809,$B107,Councils!$R$6:$R$809)*0.7,0)</f>
        <v>-1</v>
      </c>
      <c r="K107">
        <f>ROUND(SUMIF(Councils!$C$6:$C$809,$B107,Councils!$S$6:$S$809)*0.7,0)</f>
        <v>2</v>
      </c>
      <c r="L107">
        <f>ROUND(SUMIF(Councils!$C$6:$C$809,$B107,Councils!$T$6:$T$809)*0.7,0)</f>
        <v>5</v>
      </c>
      <c r="M107">
        <f>ROUND(SUMIF(Councils!$C$6:$C$809,$B107,Councils!$U$6:$U$809)*0.7,0)</f>
        <v>-3</v>
      </c>
      <c r="N107" s="63">
        <f t="shared" si="3"/>
        <v>0</v>
      </c>
    </row>
    <row r="108" spans="1:14">
      <c r="A108">
        <f t="shared" si="4"/>
        <v>1</v>
      </c>
      <c r="B108" s="67">
        <v>105</v>
      </c>
      <c r="C108" s="80">
        <f>IF(ISNA(VLOOKUP($B108,DD_Info!$A$1:$E$216,5,0)),0,VLOOKUP($B108,DD_Info!$A$1:$E$216,5,0))</f>
        <v>1</v>
      </c>
      <c r="D108" t="str">
        <f>IF(ISNA(VLOOKUP($B108,DD_Info!$A$1:$E$216,2,0)),0,VLOOKUP($B108,DD_Info!$A$1:$E$216,2,0))</f>
        <v>Royce G Cheek</v>
      </c>
      <c r="E108" t="str">
        <f>IF(ISNA(VLOOKUP($B108,DD_Info!$A$1:$E$216,3,0)),0,VLOOKUP($B108,DD_Info!$A$1:$E$216,3,0))</f>
        <v>Dallas</v>
      </c>
      <c r="F108">
        <f>ROUND(SUMIF(Councils!$C$6:$C$809,$B108,Councils!$E$6:$E$809),0)</f>
        <v>661</v>
      </c>
      <c r="G108">
        <f>ROUND(SUMIF(Councils!$C$6:$C$809,$B108,Councils!$O$6:$O$809)*0.7,0)</f>
        <v>0</v>
      </c>
      <c r="H108">
        <f>ROUND(SUMIF(Councils!$C$6:$C$809,$B108,Councils!$P$6:$P$809)*0.7,0)</f>
        <v>1</v>
      </c>
      <c r="I108">
        <f>ROUND(SUMIF(Councils!$C$6:$C$809,$B108,Councils!$Q$6:$Q$809)*0.7,0)</f>
        <v>0</v>
      </c>
      <c r="J108">
        <f>ROUND(SUMIF(Councils!$C$6:$C$809,$B108,Councils!$R$6:$R$809)*0.7,0)</f>
        <v>1</v>
      </c>
      <c r="K108">
        <f>ROUND(SUMIF(Councils!$C$6:$C$809,$B108,Councils!$S$6:$S$809)*0.7,0)</f>
        <v>3</v>
      </c>
      <c r="L108">
        <f>ROUND(SUMIF(Councils!$C$6:$C$809,$B108,Councils!$T$6:$T$809)*0.7,0)</f>
        <v>3</v>
      </c>
      <c r="M108">
        <f>ROUND(SUMIF(Councils!$C$6:$C$809,$B108,Councils!$U$6:$U$809)*0.7,0)</f>
        <v>0</v>
      </c>
      <c r="N108" s="63">
        <f t="shared" si="3"/>
        <v>0</v>
      </c>
    </row>
    <row r="109" spans="1:14">
      <c r="A109">
        <f t="shared" si="4"/>
        <v>1</v>
      </c>
      <c r="B109" s="67">
        <v>108</v>
      </c>
      <c r="C109" s="80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John "Jack" G Ayers</v>
      </c>
      <c r="E109" t="str">
        <f>IF(ISNA(VLOOKUP($B109,DD_Info!$A$1:$E$216,3,0)),0,VLOOKUP($B109,DD_Info!$A$1:$E$216,3,0))</f>
        <v>Dallas</v>
      </c>
      <c r="F109">
        <f>ROUND(SUMIF(Councils!$C$6:$C$809,$B109,Councils!$E$6:$E$809),0)</f>
        <v>822</v>
      </c>
      <c r="G109">
        <f>ROUND(SUMIF(Councils!$C$6:$C$809,$B109,Councils!$O$6:$O$809)*0.7,0)</f>
        <v>0</v>
      </c>
      <c r="H109">
        <f>ROUND(SUMIF(Councils!$C$6:$C$809,$B109,Councils!$P$6:$P$809)*0.7,0)</f>
        <v>1</v>
      </c>
      <c r="I109">
        <f>ROUND(SUMIF(Councils!$C$6:$C$809,$B109,Councils!$Q$6:$Q$809)*0.7,0)</f>
        <v>1</v>
      </c>
      <c r="J109">
        <f>ROUND(SUMIF(Councils!$C$6:$C$809,$B109,Councils!$R$6:$R$809)*0.7,0)</f>
        <v>0</v>
      </c>
      <c r="K109">
        <f>ROUND(SUMIF(Councils!$C$6:$C$809,$B109,Councils!$S$6:$S$809)*0.7,0)</f>
        <v>5</v>
      </c>
      <c r="L109">
        <f>ROUND(SUMIF(Councils!$C$6:$C$809,$B109,Councils!$T$6:$T$809)*0.7,0)</f>
        <v>2</v>
      </c>
      <c r="M109">
        <f>ROUND(SUMIF(Councils!$C$6:$C$809,$B109,Councils!$U$6:$U$809)*0.7,0)</f>
        <v>3</v>
      </c>
      <c r="N109" s="63">
        <f t="shared" si="3"/>
        <v>0</v>
      </c>
    </row>
    <row r="110" spans="1:14">
      <c r="A110">
        <f t="shared" si="4"/>
        <v>1</v>
      </c>
      <c r="B110" s="67">
        <v>110</v>
      </c>
      <c r="C110" s="80">
        <f>IF(ISNA(VLOOKUP($B110,DD_Info!$A$1:$E$216,5,0)),0,VLOOKUP($B110,DD_Info!$A$1:$E$216,5,0))</f>
        <v>2</v>
      </c>
      <c r="D110" t="str">
        <f>IF(ISNA(VLOOKUP($B110,DD_Info!$A$1:$E$216,2,0)),0,VLOOKUP($B110,DD_Info!$A$1:$E$216,2,0))</f>
        <v>Richard C Frasco</v>
      </c>
      <c r="E110" t="str">
        <f>IF(ISNA(VLOOKUP($B110,DD_Info!$A$1:$E$216,3,0)),0,VLOOKUP($B110,DD_Info!$A$1:$E$216,3,0))</f>
        <v>Dallas</v>
      </c>
      <c r="F110">
        <f>ROUND(SUMIF(Councils!$C$6:$C$809,$B110,Councils!$E$6:$E$809),0)</f>
        <v>557</v>
      </c>
      <c r="G110">
        <f>ROUND(SUMIF(Councils!$C$6:$C$809,$B110,Councils!$O$6:$O$809)*0.7,0)</f>
        <v>0</v>
      </c>
      <c r="H110">
        <f>ROUND(SUMIF(Councils!$C$6:$C$809,$B110,Councils!$P$6:$P$809)*0.7,0)</f>
        <v>0</v>
      </c>
      <c r="I110">
        <f>ROUND(SUMIF(Councils!$C$6:$C$809,$B110,Councils!$Q$6:$Q$809)*0.7,0)</f>
        <v>1</v>
      </c>
      <c r="J110">
        <f>ROUND(SUMIF(Councils!$C$6:$C$809,$B110,Councils!$R$6:$R$809)*0.7,0)</f>
        <v>-1</v>
      </c>
      <c r="K110">
        <f>ROUND(SUMIF(Councils!$C$6:$C$809,$B110,Councils!$S$6:$S$809)*0.7,0)</f>
        <v>2</v>
      </c>
      <c r="L110">
        <f>ROUND(SUMIF(Councils!$C$6:$C$809,$B110,Councils!$T$6:$T$809)*0.7,0)</f>
        <v>1</v>
      </c>
      <c r="M110">
        <f>ROUND(SUMIF(Councils!$C$6:$C$809,$B110,Councils!$U$6:$U$809)*0.7,0)</f>
        <v>1</v>
      </c>
      <c r="N110" s="63">
        <f t="shared" si="3"/>
        <v>0</v>
      </c>
    </row>
    <row r="111" spans="1:14">
      <c r="A111">
        <f t="shared" si="4"/>
        <v>1</v>
      </c>
      <c r="B111" s="67">
        <v>113</v>
      </c>
      <c r="C111" s="80">
        <f>IF(ISNA(VLOOKUP($B111,DD_Info!$A$1:$E$216,5,0)),0,VLOOKUP($B111,DD_Info!$A$1:$E$216,5,0))</f>
        <v>2</v>
      </c>
      <c r="D111" t="str">
        <f>IF(ISNA(VLOOKUP($B111,DD_Info!$A$1:$E$216,2,0)),0,VLOOKUP($B111,DD_Info!$A$1:$E$216,2,0))</f>
        <v>Nick  Flores</v>
      </c>
      <c r="E111" t="str">
        <f>IF(ISNA(VLOOKUP($B111,DD_Info!$A$1:$E$216,3,0)),0,VLOOKUP($B111,DD_Info!$A$1:$E$216,3,0))</f>
        <v>Dallas</v>
      </c>
      <c r="F111">
        <f>ROUND(SUMIF(Councils!$C$6:$C$809,$B111,Councils!$E$6:$E$809),0)</f>
        <v>369</v>
      </c>
      <c r="G111">
        <f>ROUND(SUMIF(Councils!$C$6:$C$809,$B111,Councils!$O$6:$O$809)*0.7,0)</f>
        <v>0</v>
      </c>
      <c r="H111">
        <f>ROUND(SUMIF(Councils!$C$6:$C$809,$B111,Councils!$P$6:$P$809)*0.7,0)</f>
        <v>0</v>
      </c>
      <c r="I111">
        <f>ROUND(SUMIF(Councils!$C$6:$C$809,$B111,Councils!$Q$6:$Q$809)*0.7,0)</f>
        <v>0</v>
      </c>
      <c r="J111">
        <f>ROUND(SUMIF(Councils!$C$6:$C$809,$B111,Councils!$R$6:$R$809)*0.7,0)</f>
        <v>0</v>
      </c>
      <c r="K111">
        <f>ROUND(SUMIF(Councils!$C$6:$C$809,$B111,Councils!$S$6:$S$809)*0.7,0)</f>
        <v>2</v>
      </c>
      <c r="L111">
        <f>ROUND(SUMIF(Councils!$C$6:$C$809,$B111,Councils!$T$6:$T$809)*0.7,0)</f>
        <v>1</v>
      </c>
      <c r="M111">
        <f>ROUND(SUMIF(Councils!$C$6:$C$809,$B111,Councils!$U$6:$U$809)*0.7,0)</f>
        <v>1</v>
      </c>
      <c r="N111" s="63">
        <f t="shared" si="3"/>
        <v>0</v>
      </c>
    </row>
    <row r="112" spans="1:14">
      <c r="A112">
        <f t="shared" si="4"/>
        <v>1</v>
      </c>
      <c r="B112" s="67">
        <v>115</v>
      </c>
      <c r="C112" s="80">
        <f>IF(ISNA(VLOOKUP($B112,DD_Info!$A$1:$E$216,5,0)),0,VLOOKUP($B112,DD_Info!$A$1:$E$216,5,0))</f>
        <v>2</v>
      </c>
      <c r="D112" t="str">
        <f>IF(ISNA(VLOOKUP($B112,DD_Info!$A$1:$E$216,2,0)),0,VLOOKUP($B112,DD_Info!$A$1:$E$216,2,0))</f>
        <v>Ed  Romack</v>
      </c>
      <c r="E112" t="str">
        <f>IF(ISNA(VLOOKUP($B112,DD_Info!$A$1:$E$216,3,0)),0,VLOOKUP($B112,DD_Info!$A$1:$E$216,3,0))</f>
        <v>Dallas</v>
      </c>
      <c r="F112">
        <f>ROUND(SUMIF(Councils!$C$6:$C$809,$B112,Councils!$E$6:$E$809),0)</f>
        <v>403</v>
      </c>
      <c r="G112">
        <f>ROUND(SUMIF(Councils!$C$6:$C$809,$B112,Councils!$O$6:$O$809)*0.7,0)</f>
        <v>0</v>
      </c>
      <c r="H112">
        <f>ROUND(SUMIF(Councils!$C$6:$C$809,$B112,Councils!$P$6:$P$809)*0.7,0)</f>
        <v>0</v>
      </c>
      <c r="I112">
        <f>ROUND(SUMIF(Councils!$C$6:$C$809,$B112,Councils!$Q$6:$Q$809)*0.7,0)</f>
        <v>0</v>
      </c>
      <c r="J112">
        <f>ROUND(SUMIF(Councils!$C$6:$C$809,$B112,Councils!$R$6:$R$809)*0.7,0)</f>
        <v>0</v>
      </c>
      <c r="K112">
        <f>ROUND(SUMIF(Councils!$C$6:$C$809,$B112,Councils!$S$6:$S$809)*0.7,0)</f>
        <v>3</v>
      </c>
      <c r="L112">
        <f>ROUND(SUMIF(Councils!$C$6:$C$809,$B112,Councils!$T$6:$T$809)*0.7,0)</f>
        <v>6</v>
      </c>
      <c r="M112">
        <f>ROUND(SUMIF(Councils!$C$6:$C$809,$B112,Councils!$U$6:$U$809)*0.7,0)</f>
        <v>-4</v>
      </c>
      <c r="N112" s="63">
        <f t="shared" si="3"/>
        <v>0</v>
      </c>
    </row>
    <row r="113" spans="1:14">
      <c r="A113">
        <f t="shared" si="4"/>
        <v>1</v>
      </c>
      <c r="B113" s="67">
        <v>122</v>
      </c>
      <c r="C113" s="80">
        <f>IF(ISNA(VLOOKUP($B113,DD_Info!$A$1:$E$216,5,0)),0,VLOOKUP($B113,DD_Info!$A$1:$E$216,5,0))</f>
        <v>1</v>
      </c>
      <c r="D113" t="str">
        <f>IF(ISNA(VLOOKUP($B113,DD_Info!$A$1:$E$216,2,0)),0,VLOOKUP($B113,DD_Info!$A$1:$E$216,2,0))</f>
        <v>Jason L Kelley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988</v>
      </c>
      <c r="G113">
        <f>ROUND(SUMIF(Councils!$C$6:$C$809,$B113,Councils!$O$6:$O$809)*0.7,0)</f>
        <v>0</v>
      </c>
      <c r="H113">
        <f>ROUND(SUMIF(Councils!$C$6:$C$809,$B113,Councils!$P$6:$P$809)*0.7,0)</f>
        <v>1</v>
      </c>
      <c r="I113">
        <f>ROUND(SUMIF(Councils!$C$6:$C$809,$B113,Councils!$Q$6:$Q$809)*0.7,0)</f>
        <v>2</v>
      </c>
      <c r="J113">
        <f>ROUND(SUMIF(Councils!$C$6:$C$809,$B113,Councils!$R$6:$R$809)*0.7,0)</f>
        <v>-1</v>
      </c>
      <c r="K113">
        <f>ROUND(SUMIF(Councils!$C$6:$C$809,$B113,Councils!$S$6:$S$809)*0.7,0)</f>
        <v>1</v>
      </c>
      <c r="L113">
        <f>ROUND(SUMIF(Councils!$C$6:$C$809,$B113,Councils!$T$6:$T$809)*0.7,0)</f>
        <v>4</v>
      </c>
      <c r="M113">
        <f>ROUND(SUMIF(Councils!$C$6:$C$809,$B113,Councils!$U$6:$U$809)*0.7,0)</f>
        <v>-3</v>
      </c>
      <c r="N113" s="63">
        <f t="shared" si="3"/>
        <v>0</v>
      </c>
    </row>
    <row r="114" spans="1:14">
      <c r="A114">
        <f t="shared" si="4"/>
        <v>1</v>
      </c>
      <c r="B114" s="67">
        <v>124</v>
      </c>
      <c r="C114" s="80">
        <f>IF(ISNA(VLOOKUP($B114,DD_Info!$A$1:$E$216,5,0)),0,VLOOKUP($B114,DD_Info!$A$1:$E$216,5,0))</f>
        <v>2</v>
      </c>
      <c r="D114" t="str">
        <f>IF(ISNA(VLOOKUP($B114,DD_Info!$A$1:$E$216,2,0)),0,VLOOKUP($B114,DD_Info!$A$1:$E$216,2,0))</f>
        <v>John  Badeaux Sr</v>
      </c>
      <c r="E114" t="str">
        <f>IF(ISNA(VLOOKUP($B114,DD_Info!$A$1:$E$216,3,0)),0,VLOOKUP($B114,DD_Info!$A$1:$E$216,3,0))</f>
        <v>Beaumont</v>
      </c>
      <c r="F114">
        <f>ROUND(SUMIF(Councils!$C$6:$C$809,$B114,Councils!$E$6:$E$809),0)</f>
        <v>456</v>
      </c>
      <c r="G114">
        <f>ROUND(SUMIF(Councils!$C$6:$C$809,$B114,Councils!$O$6:$O$809)*0.7,0)</f>
        <v>0</v>
      </c>
      <c r="H114">
        <f>ROUND(SUMIF(Councils!$C$6:$C$809,$B114,Councils!$P$6:$P$809)*0.7,0)</f>
        <v>0</v>
      </c>
      <c r="I114">
        <f>ROUND(SUMIF(Councils!$C$6:$C$809,$B114,Councils!$Q$6:$Q$809)*0.7,0)</f>
        <v>1</v>
      </c>
      <c r="J114">
        <f>ROUND(SUMIF(Councils!$C$6:$C$809,$B114,Councils!$R$6:$R$809)*0.7,0)</f>
        <v>-1</v>
      </c>
      <c r="K114">
        <f>ROUND(SUMIF(Councils!$C$6:$C$809,$B114,Councils!$S$6:$S$809)*0.7,0)</f>
        <v>0</v>
      </c>
      <c r="L114">
        <f>ROUND(SUMIF(Councils!$C$6:$C$809,$B114,Councils!$T$6:$T$809)*0.7,0)</f>
        <v>4</v>
      </c>
      <c r="M114">
        <f>ROUND(SUMIF(Councils!$C$6:$C$809,$B114,Councils!$U$6:$U$809)*0.7,0)</f>
        <v>-4</v>
      </c>
      <c r="N114" s="63">
        <f t="shared" si="3"/>
        <v>0</v>
      </c>
    </row>
    <row r="115" spans="1:14">
      <c r="A115">
        <f t="shared" si="4"/>
        <v>1</v>
      </c>
      <c r="B115" s="67">
        <v>126</v>
      </c>
      <c r="C115" s="80">
        <f>IF(ISNA(VLOOKUP($B115,DD_Info!$A$1:$E$216,5,0)),0,VLOOKUP($B115,DD_Info!$A$1:$E$216,5,0))</f>
        <v>2</v>
      </c>
      <c r="D115" t="str">
        <f>IF(ISNA(VLOOKUP($B115,DD_Info!$A$1:$E$216,2,0)),0,VLOOKUP($B115,DD_Info!$A$1:$E$216,2,0))</f>
        <v>James M Langford</v>
      </c>
      <c r="E115" t="str">
        <f>IF(ISNA(VLOOKUP($B115,DD_Info!$A$1:$E$216,3,0)),0,VLOOKUP($B115,DD_Info!$A$1:$E$216,3,0))</f>
        <v>Beaumont</v>
      </c>
      <c r="F115">
        <f>ROUND(SUMIF(Councils!$C$6:$C$809,$B115,Councils!$E$6:$E$809),0)</f>
        <v>410</v>
      </c>
      <c r="G115">
        <f>ROUND(SUMIF(Councils!$C$6:$C$809,$B115,Councils!$O$6:$O$809)*0.7,0)</f>
        <v>0</v>
      </c>
      <c r="H115">
        <f>ROUND(SUMIF(Councils!$C$6:$C$809,$B115,Councils!$P$6:$P$809)*0.7,0)</f>
        <v>1</v>
      </c>
      <c r="I115">
        <f>ROUND(SUMIF(Councils!$C$6:$C$809,$B115,Councils!$Q$6:$Q$809)*0.7,0)</f>
        <v>1</v>
      </c>
      <c r="J115">
        <f>ROUND(SUMIF(Councils!$C$6:$C$809,$B115,Councils!$R$6:$R$809)*0.7,0)</f>
        <v>0</v>
      </c>
      <c r="K115">
        <f>ROUND(SUMIF(Councils!$C$6:$C$809,$B115,Councils!$S$6:$S$809)*0.7,0)</f>
        <v>1</v>
      </c>
      <c r="L115">
        <f>ROUND(SUMIF(Councils!$C$6:$C$809,$B115,Councils!$T$6:$T$809)*0.7,0)</f>
        <v>1</v>
      </c>
      <c r="M115">
        <f>ROUND(SUMIF(Councils!$C$6:$C$809,$B115,Councils!$U$6:$U$809)*0.7,0)</f>
        <v>0</v>
      </c>
      <c r="N115" s="63">
        <f t="shared" si="3"/>
        <v>0</v>
      </c>
    </row>
    <row r="116" spans="1:14">
      <c r="A116">
        <f t="shared" si="4"/>
        <v>1</v>
      </c>
      <c r="B116" s="67">
        <v>127</v>
      </c>
      <c r="C116" s="80">
        <f>IF(ISNA(VLOOKUP($B116,DD_Info!$A$1:$E$216,5,0)),0,VLOOKUP($B116,DD_Info!$A$1:$E$216,5,0))</f>
        <v>3</v>
      </c>
      <c r="D116" t="str">
        <f>IF(ISNA(VLOOKUP($B116,DD_Info!$A$1:$E$216,2,0)),0,VLOOKUP($B116,DD_Info!$A$1:$E$216,2,0))</f>
        <v>Charles D Trahan</v>
      </c>
      <c r="E116" t="str">
        <f>IF(ISNA(VLOOKUP($B116,DD_Info!$A$1:$E$216,3,0)),0,VLOOKUP($B116,DD_Info!$A$1:$E$216,3,0))</f>
        <v>Beaumont</v>
      </c>
      <c r="F116">
        <f>ROUND(SUMIF(Councils!$C$6:$C$809,$B116,Councils!$E$6:$E$809),0)</f>
        <v>37</v>
      </c>
      <c r="G116">
        <f>ROUND(SUMIF(Councils!$C$6:$C$809,$B116,Councils!$O$6:$O$809)*0.7,0)</f>
        <v>0</v>
      </c>
      <c r="H116">
        <f>ROUND(SUMIF(Councils!$C$6:$C$809,$B116,Councils!$P$6:$P$809)*0.7,0)</f>
        <v>0</v>
      </c>
      <c r="I116">
        <f>ROUND(SUMIF(Councils!$C$6:$C$809,$B116,Councils!$Q$6:$Q$809)*0.7,0)</f>
        <v>0</v>
      </c>
      <c r="J116">
        <f>ROUND(SUMIF(Councils!$C$6:$C$809,$B116,Councils!$R$6:$R$809)*0.7,0)</f>
        <v>0</v>
      </c>
      <c r="K116">
        <f>ROUND(SUMIF(Councils!$C$6:$C$809,$B116,Councils!$S$6:$S$809)*0.7,0)</f>
        <v>0</v>
      </c>
      <c r="L116">
        <f>ROUND(SUMIF(Councils!$C$6:$C$809,$B116,Councils!$T$6:$T$809)*0.7,0)</f>
        <v>0</v>
      </c>
      <c r="M116">
        <f>ROUND(SUMIF(Councils!$C$6:$C$809,$B116,Councils!$U$6:$U$809)*0.7,0)</f>
        <v>0</v>
      </c>
      <c r="N116" s="63">
        <f t="shared" si="3"/>
        <v>0</v>
      </c>
    </row>
    <row r="117" spans="1:14">
      <c r="A117">
        <f t="shared" si="4"/>
        <v>1</v>
      </c>
      <c r="B117" s="67">
        <v>131</v>
      </c>
      <c r="C117" s="80">
        <f>IF(ISNA(VLOOKUP($B117,DD_Info!$A$1:$E$216,5,0)),0,VLOOKUP($B117,DD_Info!$A$1:$E$216,5,0))</f>
        <v>3</v>
      </c>
      <c r="D117" t="str">
        <f>IF(ISNA(VLOOKUP($B117,DD_Info!$A$1:$E$216,2,0)),0,VLOOKUP($B117,DD_Info!$A$1:$E$216,2,0))</f>
        <v>Lawrence E Pfeifer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265</v>
      </c>
      <c r="G117">
        <f>ROUND(SUMIF(Councils!$C$6:$C$809,$B117,Councils!$O$6:$O$809)*0.7,0)</f>
        <v>0</v>
      </c>
      <c r="H117">
        <f>ROUND(SUMIF(Councils!$C$6:$C$809,$B117,Councils!$P$6:$P$809)*0.7,0)</f>
        <v>0</v>
      </c>
      <c r="I117">
        <f>ROUND(SUMIF(Councils!$C$6:$C$809,$B117,Councils!$Q$6:$Q$809)*0.7,0)</f>
        <v>0</v>
      </c>
      <c r="J117">
        <f>ROUND(SUMIF(Councils!$C$6:$C$809,$B117,Councils!$R$6:$R$809)*0.7,0)</f>
        <v>0</v>
      </c>
      <c r="K117">
        <f>ROUND(SUMIF(Councils!$C$6:$C$809,$B117,Councils!$S$6:$S$809)*0.7,0)</f>
        <v>1</v>
      </c>
      <c r="L117">
        <f>ROUND(SUMIF(Councils!$C$6:$C$809,$B117,Councils!$T$6:$T$809)*0.7,0)</f>
        <v>0</v>
      </c>
      <c r="M117">
        <f>ROUND(SUMIF(Councils!$C$6:$C$809,$B117,Councils!$U$6:$U$809)*0.7,0)</f>
        <v>1</v>
      </c>
      <c r="N117" s="63">
        <f t="shared" si="3"/>
        <v>0</v>
      </c>
    </row>
    <row r="118" spans="1:14">
      <c r="A118">
        <f t="shared" si="4"/>
        <v>1</v>
      </c>
      <c r="B118" s="67">
        <v>132</v>
      </c>
      <c r="C118" s="80">
        <f>IF(ISNA(VLOOKUP($B118,DD_Info!$A$1:$E$216,5,0)),0,VLOOKUP($B118,DD_Info!$A$1:$E$216,5,0))</f>
        <v>3</v>
      </c>
      <c r="D118" t="str">
        <f>IF(ISNA(VLOOKUP($B118,DD_Info!$A$1:$E$216,2,0)),0,VLOOKUP($B118,DD_Info!$A$1:$E$216,2,0))</f>
        <v>Mark J Freund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254</v>
      </c>
      <c r="G118">
        <f>ROUND(SUMIF(Councils!$C$6:$C$809,$B118,Councils!$O$6:$O$809)*0.7,0)</f>
        <v>0</v>
      </c>
      <c r="H118">
        <f>ROUND(SUMIF(Councils!$C$6:$C$809,$B118,Councils!$P$6:$P$809)*0.7,0)</f>
        <v>1</v>
      </c>
      <c r="I118">
        <f>ROUND(SUMIF(Councils!$C$6:$C$809,$B118,Councils!$Q$6:$Q$809)*0.7,0)</f>
        <v>0</v>
      </c>
      <c r="J118">
        <f>ROUND(SUMIF(Councils!$C$6:$C$809,$B118,Councils!$R$6:$R$809)*0.7,0)</f>
        <v>1</v>
      </c>
      <c r="K118">
        <f>ROUND(SUMIF(Councils!$C$6:$C$809,$B118,Councils!$S$6:$S$809)*0.7,0)</f>
        <v>1</v>
      </c>
      <c r="L118">
        <f>ROUND(SUMIF(Councils!$C$6:$C$809,$B118,Councils!$T$6:$T$809)*0.7,0)</f>
        <v>1</v>
      </c>
      <c r="M118">
        <f>ROUND(SUMIF(Councils!$C$6:$C$809,$B118,Councils!$U$6:$U$809)*0.7,0)</f>
        <v>0</v>
      </c>
      <c r="N118" s="63">
        <f t="shared" si="3"/>
        <v>0</v>
      </c>
    </row>
    <row r="119" spans="1:14">
      <c r="A119">
        <f t="shared" si="4"/>
        <v>1</v>
      </c>
      <c r="B119" s="67">
        <v>135</v>
      </c>
      <c r="C119" s="80">
        <f>IF(ISNA(VLOOKUP($B119,DD_Info!$A$1:$E$216,5,0)),0,VLOOKUP($B119,DD_Info!$A$1:$E$216,5,0))</f>
        <v>3</v>
      </c>
      <c r="D119" t="str">
        <f>IF(ISNA(VLOOKUP($B119,DD_Info!$A$1:$E$216,2,0)),0,VLOOKUP($B119,DD_Info!$A$1:$E$216,2,0))</f>
        <v>James  Kennerly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292</v>
      </c>
      <c r="G119">
        <f>ROUND(SUMIF(Councils!$C$6:$C$809,$B119,Councils!$O$6:$O$809)*0.7,0)</f>
        <v>0</v>
      </c>
      <c r="H119">
        <f>ROUND(SUMIF(Councils!$C$6:$C$809,$B119,Councils!$P$6:$P$809)*0.7,0)</f>
        <v>0</v>
      </c>
      <c r="I119">
        <f>ROUND(SUMIF(Councils!$C$6:$C$809,$B119,Councils!$Q$6:$Q$809)*0.7,0)</f>
        <v>1</v>
      </c>
      <c r="J119">
        <f>ROUND(SUMIF(Councils!$C$6:$C$809,$B119,Councils!$R$6:$R$809)*0.7,0)</f>
        <v>-1</v>
      </c>
      <c r="K119">
        <f>ROUND(SUMIF(Councils!$C$6:$C$809,$B119,Councils!$S$6:$S$809)*0.7,0)</f>
        <v>1</v>
      </c>
      <c r="L119">
        <f>ROUND(SUMIF(Councils!$C$6:$C$809,$B119,Councils!$T$6:$T$809)*0.7,0)</f>
        <v>2</v>
      </c>
      <c r="M119">
        <f>ROUND(SUMIF(Councils!$C$6:$C$809,$B119,Councils!$U$6:$U$809)*0.7,0)</f>
        <v>-1</v>
      </c>
      <c r="N119" s="63">
        <f t="shared" si="3"/>
        <v>0</v>
      </c>
    </row>
    <row r="120" spans="1:14">
      <c r="A120">
        <f t="shared" si="4"/>
        <v>1</v>
      </c>
      <c r="B120" s="67">
        <v>136</v>
      </c>
      <c r="C120" s="80">
        <f>IF(ISNA(VLOOKUP($B120,DD_Info!$A$1:$E$216,5,0)),0,VLOOKUP($B120,DD_Info!$A$1:$E$216,5,0))</f>
        <v>3</v>
      </c>
      <c r="D120" t="str">
        <f>IF(ISNA(VLOOKUP($B120,DD_Info!$A$1:$E$216,2,0)),0,VLOOKUP($B120,DD_Info!$A$1:$E$216,2,0))</f>
        <v>Travis  Desjarlais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288</v>
      </c>
      <c r="G120">
        <f>ROUND(SUMIF(Councils!$C$6:$C$809,$B120,Councils!$O$6:$O$809)*0.7,0)</f>
        <v>0</v>
      </c>
      <c r="H120">
        <f>ROUND(SUMIF(Councils!$C$6:$C$809,$B120,Councils!$P$6:$P$809)*0.7,0)</f>
        <v>0</v>
      </c>
      <c r="I120">
        <f>ROUND(SUMIF(Councils!$C$6:$C$809,$B120,Councils!$Q$6:$Q$809)*0.7,0)</f>
        <v>1</v>
      </c>
      <c r="J120">
        <f>ROUND(SUMIF(Councils!$C$6:$C$809,$B120,Councils!$R$6:$R$809)*0.7,0)</f>
        <v>-1</v>
      </c>
      <c r="K120">
        <f>ROUND(SUMIF(Councils!$C$6:$C$809,$B120,Councils!$S$6:$S$809)*0.7,0)</f>
        <v>1</v>
      </c>
      <c r="L120">
        <f>ROUND(SUMIF(Councils!$C$6:$C$809,$B120,Councils!$T$6:$T$809)*0.7,0)</f>
        <v>2</v>
      </c>
      <c r="M120">
        <f>ROUND(SUMIF(Councils!$C$6:$C$809,$B120,Councils!$U$6:$U$809)*0.7,0)</f>
        <v>-1</v>
      </c>
      <c r="N120" s="63">
        <f t="shared" si="3"/>
        <v>0</v>
      </c>
    </row>
    <row r="121" spans="1:14">
      <c r="A121">
        <f t="shared" si="4"/>
        <v>1</v>
      </c>
      <c r="B121" s="67">
        <v>137</v>
      </c>
      <c r="C121" s="80">
        <f>IF(ISNA(VLOOKUP($B121,DD_Info!$A$1:$E$216,5,0)),0,VLOOKUP($B121,DD_Info!$A$1:$E$216,5,0))</f>
        <v>2</v>
      </c>
      <c r="D121" t="str">
        <f>IF(ISNA(VLOOKUP($B121,DD_Info!$A$1:$E$216,2,0)),0,VLOOKUP($B121,DD_Info!$A$1:$E$216,2,0))</f>
        <v>Jeffrey  Allen</v>
      </c>
      <c r="E121" t="str">
        <f>IF(ISNA(VLOOKUP($B121,DD_Info!$A$1:$E$216,3,0)),0,VLOOKUP($B121,DD_Info!$A$1:$E$216,3,0))</f>
        <v>Tyler</v>
      </c>
      <c r="F121">
        <f>ROUND(SUMIF(Councils!$C$6:$C$809,$B121,Councils!$E$6:$E$809),0)</f>
        <v>314</v>
      </c>
      <c r="G121">
        <f>ROUND(SUMIF(Councils!$C$6:$C$809,$B121,Councils!$O$6:$O$809)*0.7,0)</f>
        <v>0</v>
      </c>
      <c r="H121">
        <f>ROUND(SUMIF(Councils!$C$6:$C$809,$B121,Councils!$P$6:$P$809)*0.7,0)</f>
        <v>0</v>
      </c>
      <c r="I121">
        <f>ROUND(SUMIF(Councils!$C$6:$C$809,$B121,Councils!$Q$6:$Q$809)*0.7,0)</f>
        <v>0</v>
      </c>
      <c r="J121">
        <f>ROUND(SUMIF(Councils!$C$6:$C$809,$B121,Councils!$R$6:$R$809)*0.7,0)</f>
        <v>0</v>
      </c>
      <c r="K121">
        <f>ROUND(SUMIF(Councils!$C$6:$C$809,$B121,Councils!$S$6:$S$809)*0.7,0)</f>
        <v>1</v>
      </c>
      <c r="L121">
        <f>ROUND(SUMIF(Councils!$C$6:$C$809,$B121,Councils!$T$6:$T$809)*0.7,0)</f>
        <v>1</v>
      </c>
      <c r="M121">
        <f>ROUND(SUMIF(Councils!$C$6:$C$809,$B121,Councils!$U$6:$U$809)*0.7,0)</f>
        <v>0</v>
      </c>
      <c r="N121" s="63">
        <f t="shared" si="3"/>
        <v>0</v>
      </c>
    </row>
    <row r="122" spans="1:14">
      <c r="A122">
        <f t="shared" si="4"/>
        <v>1</v>
      </c>
      <c r="B122" s="67">
        <v>138</v>
      </c>
      <c r="C122" s="80">
        <f>IF(ISNA(VLOOKUP($B122,DD_Info!$A$1:$E$216,5,0)),0,VLOOKUP($B122,DD_Info!$A$1:$E$216,5,0))</f>
        <v>3</v>
      </c>
      <c r="D122" t="str">
        <f>IF(ISNA(VLOOKUP($B122,DD_Info!$A$1:$E$216,2,0)),0,VLOOKUP($B122,DD_Info!$A$1:$E$216,2,0))</f>
        <v>Alan  Mebes</v>
      </c>
      <c r="E122" t="str">
        <f>IF(ISNA(VLOOKUP($B122,DD_Info!$A$1:$E$216,3,0)),0,VLOOKUP($B122,DD_Info!$A$1:$E$216,3,0))</f>
        <v>Tyler</v>
      </c>
      <c r="F122">
        <f>ROUND(SUMIF(Councils!$C$6:$C$809,$B122,Councils!$E$6:$E$809),0)</f>
        <v>135</v>
      </c>
      <c r="G122">
        <f>ROUND(SUMIF(Councils!$C$6:$C$809,$B122,Councils!$O$6:$O$809)*0.7,0)</f>
        <v>0</v>
      </c>
      <c r="H122">
        <f>ROUND(SUMIF(Councils!$C$6:$C$809,$B122,Councils!$P$6:$P$809)*0.7,0)</f>
        <v>0</v>
      </c>
      <c r="I122">
        <f>ROUND(SUMIF(Councils!$C$6:$C$809,$B122,Councils!$Q$6:$Q$809)*0.7,0)</f>
        <v>0</v>
      </c>
      <c r="J122">
        <f>ROUND(SUMIF(Councils!$C$6:$C$809,$B122,Councils!$R$6:$R$809)*0.7,0)</f>
        <v>0</v>
      </c>
      <c r="K122">
        <f>ROUND(SUMIF(Councils!$C$6:$C$809,$B122,Councils!$S$6:$S$809)*0.7,0)</f>
        <v>0</v>
      </c>
      <c r="L122">
        <f>ROUND(SUMIF(Councils!$C$6:$C$809,$B122,Councils!$T$6:$T$809)*0.7,0)</f>
        <v>0</v>
      </c>
      <c r="M122">
        <f>ROUND(SUMIF(Councils!$C$6:$C$809,$B122,Councils!$U$6:$U$809)*0.7,0)</f>
        <v>0</v>
      </c>
      <c r="N122" s="63">
        <f t="shared" si="3"/>
        <v>0</v>
      </c>
    </row>
    <row r="123" spans="1:14">
      <c r="A123">
        <f t="shared" si="4"/>
        <v>1</v>
      </c>
      <c r="B123" s="67">
        <v>144</v>
      </c>
      <c r="C123" s="80">
        <f>IF(ISNA(VLOOKUP($B123,DD_Info!$A$1:$E$216,5,0)),0,VLOOKUP($B123,DD_Info!$A$1:$E$216,5,0))</f>
        <v>3</v>
      </c>
      <c r="D123" t="str">
        <f>IF(ISNA(VLOOKUP($B123,DD_Info!$A$1:$E$216,2,0)),0,VLOOKUP($B123,DD_Info!$A$1:$E$216,2,0))</f>
        <v>TO BE APPOINTED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266</v>
      </c>
      <c r="G123">
        <f>ROUND(SUMIF(Councils!$C$6:$C$809,$B123,Councils!$O$6:$O$809)*0.7,0)</f>
        <v>0</v>
      </c>
      <c r="H123">
        <f>ROUND(SUMIF(Councils!$C$6:$C$809,$B123,Councils!$P$6:$P$809)*0.7,0)</f>
        <v>0</v>
      </c>
      <c r="I123">
        <f>ROUND(SUMIF(Councils!$C$6:$C$809,$B123,Councils!$Q$6:$Q$809)*0.7,0)</f>
        <v>0</v>
      </c>
      <c r="J123">
        <f>ROUND(SUMIF(Councils!$C$6:$C$809,$B123,Councils!$R$6:$R$809)*0.7,0)</f>
        <v>0</v>
      </c>
      <c r="K123">
        <f>ROUND(SUMIF(Councils!$C$6:$C$809,$B123,Councils!$S$6:$S$809)*0.7,0)</f>
        <v>0</v>
      </c>
      <c r="L123">
        <f>ROUND(SUMIF(Councils!$C$6:$C$809,$B123,Councils!$T$6:$T$809)*0.7,0)</f>
        <v>0</v>
      </c>
      <c r="M123">
        <f>ROUND(SUMIF(Councils!$C$6:$C$809,$B123,Councils!$U$6:$U$809)*0.7,0)</f>
        <v>0</v>
      </c>
      <c r="N123" s="63">
        <f t="shared" si="3"/>
        <v>0</v>
      </c>
    </row>
    <row r="124" spans="1:14">
      <c r="A124">
        <f t="shared" si="4"/>
        <v>1</v>
      </c>
      <c r="B124" s="67">
        <v>145</v>
      </c>
      <c r="C124" s="80">
        <f>IF(ISNA(VLOOKUP($B124,DD_Info!$A$1:$E$216,5,0)),0,VLOOKUP($B124,DD_Info!$A$1:$E$216,5,0))</f>
        <v>3</v>
      </c>
      <c r="D124" t="str">
        <f>IF(ISNA(VLOOKUP($B124,DD_Info!$A$1:$E$216,2,0)),0,VLOOKUP($B124,DD_Info!$A$1:$E$216,2,0))</f>
        <v>Wayne  McCart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80</v>
      </c>
      <c r="G124">
        <f>ROUND(SUMIF(Councils!$C$6:$C$809,$B124,Councils!$O$6:$O$809)*0.7,0)</f>
        <v>0</v>
      </c>
      <c r="H124">
        <f>ROUND(SUMIF(Councils!$C$6:$C$809,$B124,Councils!$P$6:$P$809)*0.7,0)</f>
        <v>0</v>
      </c>
      <c r="I124">
        <f>ROUND(SUMIF(Councils!$C$6:$C$809,$B124,Councils!$Q$6:$Q$809)*0.7,0)</f>
        <v>0</v>
      </c>
      <c r="J124">
        <f>ROUND(SUMIF(Councils!$C$6:$C$809,$B124,Councils!$R$6:$R$809)*0.7,0)</f>
        <v>0</v>
      </c>
      <c r="K124">
        <f>ROUND(SUMIF(Councils!$C$6:$C$809,$B124,Councils!$S$6:$S$809)*0.7,0)</f>
        <v>0</v>
      </c>
      <c r="L124">
        <f>ROUND(SUMIF(Councils!$C$6:$C$809,$B124,Councils!$T$6:$T$809)*0.7,0)</f>
        <v>1</v>
      </c>
      <c r="M124">
        <f>ROUND(SUMIF(Councils!$C$6:$C$809,$B124,Councils!$U$6:$U$809)*0.7,0)</f>
        <v>-1</v>
      </c>
      <c r="N124" s="63">
        <f t="shared" si="3"/>
        <v>0</v>
      </c>
    </row>
    <row r="125" spans="1:14">
      <c r="A125">
        <f t="shared" si="4"/>
        <v>1</v>
      </c>
      <c r="B125" s="67">
        <v>146</v>
      </c>
      <c r="C125" s="80">
        <f>IF(ISNA(VLOOKUP($B125,DD_Info!$A$1:$E$216,5,0)),0,VLOOKUP($B125,DD_Info!$A$1:$E$216,5,0))</f>
        <v>1</v>
      </c>
      <c r="D125" t="str">
        <f>IF(ISNA(VLOOKUP($B125,DD_Info!$A$1:$E$216,2,0)),0,VLOOKUP($B125,DD_Info!$A$1:$E$216,2,0))</f>
        <v>David  Lamme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1148</v>
      </c>
      <c r="G125">
        <f>ROUND(SUMIF(Councils!$C$6:$C$809,$B125,Councils!$O$6:$O$809)*0.7,0)</f>
        <v>0</v>
      </c>
      <c r="H125">
        <f>ROUND(SUMIF(Councils!$C$6:$C$809,$B125,Councils!$P$6:$P$809)*0.7,0)</f>
        <v>0</v>
      </c>
      <c r="I125">
        <f>ROUND(SUMIF(Councils!$C$6:$C$809,$B125,Councils!$Q$6:$Q$809)*0.7,0)</f>
        <v>1</v>
      </c>
      <c r="J125">
        <f>ROUND(SUMIF(Councils!$C$6:$C$809,$B125,Councils!$R$6:$R$809)*0.7,0)</f>
        <v>-1</v>
      </c>
      <c r="K125">
        <f>ROUND(SUMIF(Councils!$C$6:$C$809,$B125,Councils!$S$6:$S$809)*0.7,0)</f>
        <v>2</v>
      </c>
      <c r="L125">
        <f>ROUND(SUMIF(Councils!$C$6:$C$809,$B125,Councils!$T$6:$T$809)*0.7,0)</f>
        <v>5</v>
      </c>
      <c r="M125">
        <f>ROUND(SUMIF(Councils!$C$6:$C$809,$B125,Councils!$U$6:$U$809)*0.7,0)</f>
        <v>-3</v>
      </c>
      <c r="N125" s="63">
        <f t="shared" si="3"/>
        <v>0</v>
      </c>
    </row>
    <row r="126" spans="1:14">
      <c r="A126">
        <f t="shared" si="4"/>
        <v>1</v>
      </c>
      <c r="B126" s="67">
        <v>148</v>
      </c>
      <c r="C126" s="80">
        <f>IF(ISNA(VLOOKUP($B126,DD_Info!$A$1:$E$216,5,0)),0,VLOOKUP($B126,DD_Info!$A$1:$E$216,5,0))</f>
        <v>1</v>
      </c>
      <c r="D126" t="str">
        <f>IF(ISNA(VLOOKUP($B126,DD_Info!$A$1:$E$216,2,0)),0,VLOOKUP($B126,DD_Info!$A$1:$E$216,2,0))</f>
        <v>Maurice  Jurena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575</v>
      </c>
      <c r="G126">
        <f>ROUND(SUMIF(Councils!$C$6:$C$809,$B126,Councils!$O$6:$O$809)*0.7,0)</f>
        <v>0</v>
      </c>
      <c r="H126">
        <f>ROUND(SUMIF(Councils!$C$6:$C$809,$B126,Councils!$P$6:$P$809)*0.7,0)</f>
        <v>0</v>
      </c>
      <c r="I126">
        <f>ROUND(SUMIF(Councils!$C$6:$C$809,$B126,Councils!$Q$6:$Q$809)*0.7,0)</f>
        <v>0</v>
      </c>
      <c r="J126">
        <f>ROUND(SUMIF(Councils!$C$6:$C$809,$B126,Councils!$R$6:$R$809)*0.7,0)</f>
        <v>0</v>
      </c>
      <c r="K126">
        <f>ROUND(SUMIF(Councils!$C$6:$C$809,$B126,Councils!$S$6:$S$809)*0.7,0)</f>
        <v>0</v>
      </c>
      <c r="L126">
        <f>ROUND(SUMIF(Councils!$C$6:$C$809,$B126,Councils!$T$6:$T$809)*0.7,0)</f>
        <v>1</v>
      </c>
      <c r="M126">
        <f>ROUND(SUMIF(Councils!$C$6:$C$809,$B126,Councils!$U$6:$U$809)*0.7,0)</f>
        <v>-1</v>
      </c>
      <c r="N126" s="63">
        <f t="shared" si="3"/>
        <v>0</v>
      </c>
    </row>
    <row r="127" spans="1:14">
      <c r="A127">
        <f t="shared" si="4"/>
        <v>1</v>
      </c>
      <c r="B127" s="67">
        <v>149</v>
      </c>
      <c r="C127" s="80">
        <f>IF(ISNA(VLOOKUP($B127,DD_Info!$A$1:$E$216,5,0)),0,VLOOKUP($B127,DD_Info!$A$1:$E$216,5,0))</f>
        <v>1</v>
      </c>
      <c r="D127" t="str">
        <f>IF(ISNA(VLOOKUP($B127,DD_Info!$A$1:$E$216,2,0)),0,VLOOKUP($B127,DD_Info!$A$1:$E$216,2,0))</f>
        <v>Vince  Verdicchio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659</v>
      </c>
      <c r="G127">
        <f>ROUND(SUMIF(Councils!$C$6:$C$809,$B127,Councils!$O$6:$O$809)*0.7,0)</f>
        <v>0</v>
      </c>
      <c r="H127">
        <f>ROUND(SUMIF(Councils!$C$6:$C$809,$B127,Councils!$P$6:$P$809)*0.7,0)</f>
        <v>0</v>
      </c>
      <c r="I127">
        <f>ROUND(SUMIF(Councils!$C$6:$C$809,$B127,Councils!$Q$6:$Q$809)*0.7,0)</f>
        <v>0</v>
      </c>
      <c r="J127">
        <f>ROUND(SUMIF(Councils!$C$6:$C$809,$B127,Councils!$R$6:$R$809)*0.7,0)</f>
        <v>0</v>
      </c>
      <c r="K127">
        <f>ROUND(SUMIF(Councils!$C$6:$C$809,$B127,Councils!$S$6:$S$809)*0.7,0)</f>
        <v>1</v>
      </c>
      <c r="L127">
        <f>ROUND(SUMIF(Councils!$C$6:$C$809,$B127,Councils!$T$6:$T$809)*0.7,0)</f>
        <v>0</v>
      </c>
      <c r="M127">
        <f>ROUND(SUMIF(Councils!$C$6:$C$809,$B127,Councils!$U$6:$U$809)*0.7,0)</f>
        <v>1</v>
      </c>
      <c r="N127" s="63">
        <f t="shared" si="3"/>
        <v>0</v>
      </c>
    </row>
    <row r="128" spans="1:14">
      <c r="A128">
        <f t="shared" si="4"/>
        <v>1</v>
      </c>
      <c r="B128" s="67">
        <v>150</v>
      </c>
      <c r="C128" s="80">
        <f>IF(ISNA(VLOOKUP($B128,DD_Info!$A$1:$E$216,5,0)),0,VLOOKUP($B128,DD_Info!$A$1:$E$216,5,0))</f>
        <v>1</v>
      </c>
      <c r="D128" t="str">
        <f>IF(ISNA(VLOOKUP($B128,DD_Info!$A$1:$E$216,2,0)),0,VLOOKUP($B128,DD_Info!$A$1:$E$216,2,0))</f>
        <v>Michael  Barnett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837</v>
      </c>
      <c r="G128">
        <f>ROUND(SUMIF(Councils!$C$6:$C$809,$B128,Councils!$O$6:$O$809)*0.7,0)</f>
        <v>0</v>
      </c>
      <c r="H128">
        <f>ROUND(SUMIF(Councils!$C$6:$C$809,$B128,Councils!$P$6:$P$809)*0.7,0)</f>
        <v>1</v>
      </c>
      <c r="I128">
        <f>ROUND(SUMIF(Councils!$C$6:$C$809,$B128,Councils!$Q$6:$Q$809)*0.7,0)</f>
        <v>2</v>
      </c>
      <c r="J128">
        <f>ROUND(SUMIF(Councils!$C$6:$C$809,$B128,Councils!$R$6:$R$809)*0.7,0)</f>
        <v>-1</v>
      </c>
      <c r="K128">
        <f>ROUND(SUMIF(Councils!$C$6:$C$809,$B128,Councils!$S$6:$S$809)*0.7,0)</f>
        <v>2</v>
      </c>
      <c r="L128">
        <f>ROUND(SUMIF(Councils!$C$6:$C$809,$B128,Councils!$T$6:$T$809)*0.7,0)</f>
        <v>2</v>
      </c>
      <c r="M128">
        <f>ROUND(SUMIF(Councils!$C$6:$C$809,$B128,Councils!$U$6:$U$809)*0.7,0)</f>
        <v>0</v>
      </c>
      <c r="N128" s="63">
        <f t="shared" si="3"/>
        <v>0</v>
      </c>
    </row>
    <row r="129" spans="1:14">
      <c r="A129">
        <f t="shared" si="4"/>
        <v>1</v>
      </c>
      <c r="B129" s="67">
        <v>151</v>
      </c>
      <c r="C129" s="80">
        <f>IF(ISNA(VLOOKUP($B129,DD_Info!$A$1:$E$216,5,0)),0,VLOOKUP($B129,DD_Info!$A$1:$E$216,5,0))</f>
        <v>1</v>
      </c>
      <c r="D129" t="str">
        <f>IF(ISNA(VLOOKUP($B129,DD_Info!$A$1:$E$216,2,0)),0,VLOOKUP($B129,DD_Info!$A$1:$E$216,2,0))</f>
        <v>John W Hicks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673</v>
      </c>
      <c r="G129">
        <f>ROUND(SUMIF(Councils!$C$6:$C$809,$B129,Councils!$O$6:$O$809)*0.7,0)</f>
        <v>0</v>
      </c>
      <c r="H129">
        <f>ROUND(SUMIF(Councils!$C$6:$C$809,$B129,Councils!$P$6:$P$809)*0.7,0)</f>
        <v>1</v>
      </c>
      <c r="I129">
        <f>ROUND(SUMIF(Councils!$C$6:$C$809,$B129,Councils!$Q$6:$Q$809)*0.7,0)</f>
        <v>0</v>
      </c>
      <c r="J129">
        <f>ROUND(SUMIF(Councils!$C$6:$C$809,$B129,Councils!$R$6:$R$809)*0.7,0)</f>
        <v>1</v>
      </c>
      <c r="K129">
        <f>ROUND(SUMIF(Councils!$C$6:$C$809,$B129,Councils!$S$6:$S$809)*0.7,0)</f>
        <v>4</v>
      </c>
      <c r="L129">
        <f>ROUND(SUMIF(Councils!$C$6:$C$809,$B129,Councils!$T$6:$T$809)*0.7,0)</f>
        <v>4</v>
      </c>
      <c r="M129">
        <f>ROUND(SUMIF(Councils!$C$6:$C$809,$B129,Councils!$U$6:$U$809)*0.7,0)</f>
        <v>1</v>
      </c>
      <c r="N129" s="63">
        <f t="shared" si="3"/>
        <v>0</v>
      </c>
    </row>
    <row r="130" spans="1:14">
      <c r="A130">
        <f t="shared" si="4"/>
        <v>1</v>
      </c>
      <c r="B130" s="67">
        <v>152</v>
      </c>
      <c r="C130" s="80">
        <f>IF(ISNA(VLOOKUP($B130,DD_Info!$A$1:$E$216,5,0)),0,VLOOKUP($B130,DD_Info!$A$1:$E$216,5,0))</f>
        <v>2</v>
      </c>
      <c r="D130" t="str">
        <f>IF(ISNA(VLOOKUP($B130,DD_Info!$A$1:$E$216,2,0)),0,VLOOKUP($B130,DD_Info!$A$1:$E$216,2,0))</f>
        <v>Michael  D'Antonio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486</v>
      </c>
      <c r="G130">
        <f>ROUND(SUMIF(Councils!$C$6:$C$809,$B130,Councils!$O$6:$O$809)*0.7,0)</f>
        <v>0</v>
      </c>
      <c r="H130">
        <f>ROUND(SUMIF(Councils!$C$6:$C$809,$B130,Councils!$P$6:$P$809)*0.7,0)</f>
        <v>0</v>
      </c>
      <c r="I130">
        <f>ROUND(SUMIF(Councils!$C$6:$C$809,$B130,Councils!$Q$6:$Q$809)*0.7,0)</f>
        <v>3</v>
      </c>
      <c r="J130">
        <f>ROUND(SUMIF(Councils!$C$6:$C$809,$B130,Councils!$R$6:$R$809)*0.7,0)</f>
        <v>-3</v>
      </c>
      <c r="K130">
        <f>ROUND(SUMIF(Councils!$C$6:$C$809,$B130,Councils!$S$6:$S$809)*0.7,0)</f>
        <v>1</v>
      </c>
      <c r="L130">
        <f>ROUND(SUMIF(Councils!$C$6:$C$809,$B130,Councils!$T$6:$T$809)*0.7,0)</f>
        <v>4</v>
      </c>
      <c r="M130">
        <f>ROUND(SUMIF(Councils!$C$6:$C$809,$B130,Councils!$U$6:$U$809)*0.7,0)</f>
        <v>-4</v>
      </c>
      <c r="N130" s="63">
        <f t="shared" ref="N130:N193" si="5">IFERROR(M130/G130,0)</f>
        <v>0</v>
      </c>
    </row>
    <row r="131" spans="1:14">
      <c r="A131">
        <f t="shared" ref="A131:A194" si="6">RANK(N131,$N$2:$N$208,0)</f>
        <v>1</v>
      </c>
      <c r="B131" s="67">
        <v>154</v>
      </c>
      <c r="C131" s="80">
        <f>IF(ISNA(VLOOKUP($B131,DD_Info!$A$1:$E$216,5,0)),0,VLOOKUP($B131,DD_Info!$A$1:$E$216,5,0))</f>
        <v>1</v>
      </c>
      <c r="D131" t="str">
        <f>IF(ISNA(VLOOKUP($B131,DD_Info!$A$1:$E$216,2,0)),0,VLOOKUP($B131,DD_Info!$A$1:$E$216,2,0))</f>
        <v>Darris  Chapple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855</v>
      </c>
      <c r="G131">
        <f>ROUND(SUMIF(Councils!$C$6:$C$809,$B131,Councils!$O$6:$O$809)*0.7,0)</f>
        <v>0</v>
      </c>
      <c r="H131">
        <f>ROUND(SUMIF(Councils!$C$6:$C$809,$B131,Councils!$P$6:$P$809)*0.7,0)</f>
        <v>1</v>
      </c>
      <c r="I131">
        <f>ROUND(SUMIF(Councils!$C$6:$C$809,$B131,Councils!$Q$6:$Q$809)*0.7,0)</f>
        <v>1</v>
      </c>
      <c r="J131">
        <f>ROUND(SUMIF(Councils!$C$6:$C$809,$B131,Councils!$R$6:$R$809)*0.7,0)</f>
        <v>-1</v>
      </c>
      <c r="K131">
        <f>ROUND(SUMIF(Councils!$C$6:$C$809,$B131,Councils!$S$6:$S$809)*0.7,0)</f>
        <v>6</v>
      </c>
      <c r="L131">
        <f>ROUND(SUMIF(Councils!$C$6:$C$809,$B131,Councils!$T$6:$T$809)*0.7,0)</f>
        <v>2</v>
      </c>
      <c r="M131">
        <f>ROUND(SUMIF(Councils!$C$6:$C$809,$B131,Councils!$U$6:$U$809)*0.7,0)</f>
        <v>4</v>
      </c>
      <c r="N131" s="63">
        <f t="shared" si="5"/>
        <v>0</v>
      </c>
    </row>
    <row r="132" spans="1:14">
      <c r="A132">
        <f t="shared" si="6"/>
        <v>1</v>
      </c>
      <c r="B132" s="67">
        <v>155</v>
      </c>
      <c r="C132" s="80">
        <f>IF(ISNA(VLOOKUP($B132,DD_Info!$A$1:$E$216,5,0)),0,VLOOKUP($B132,DD_Info!$A$1:$E$216,5,0))</f>
        <v>1</v>
      </c>
      <c r="D132" t="str">
        <f>IF(ISNA(VLOOKUP($B132,DD_Info!$A$1:$E$216,2,0)),0,VLOOKUP($B132,DD_Info!$A$1:$E$216,2,0))</f>
        <v>Joseph "Pat" P Ortiz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677</v>
      </c>
      <c r="G132">
        <f>ROUND(SUMIF(Councils!$C$6:$C$809,$B132,Councils!$O$6:$O$809)*0.7,0)</f>
        <v>0</v>
      </c>
      <c r="H132">
        <f>ROUND(SUMIF(Councils!$C$6:$C$809,$B132,Councils!$P$6:$P$809)*0.7,0)</f>
        <v>0</v>
      </c>
      <c r="I132">
        <f>ROUND(SUMIF(Councils!$C$6:$C$809,$B132,Councils!$Q$6:$Q$809)*0.7,0)</f>
        <v>0</v>
      </c>
      <c r="J132">
        <f>ROUND(SUMIF(Councils!$C$6:$C$809,$B132,Councils!$R$6:$R$809)*0.7,0)</f>
        <v>0</v>
      </c>
      <c r="K132">
        <f>ROUND(SUMIF(Councils!$C$6:$C$809,$B132,Councils!$S$6:$S$809)*0.7,0)</f>
        <v>1</v>
      </c>
      <c r="L132">
        <f>ROUND(SUMIF(Councils!$C$6:$C$809,$B132,Councils!$T$6:$T$809)*0.7,0)</f>
        <v>1</v>
      </c>
      <c r="M132">
        <f>ROUND(SUMIF(Councils!$C$6:$C$809,$B132,Councils!$U$6:$U$809)*0.7,0)</f>
        <v>0</v>
      </c>
      <c r="N132" s="63">
        <f t="shared" si="5"/>
        <v>0</v>
      </c>
    </row>
    <row r="133" spans="1:14">
      <c r="A133">
        <f t="shared" si="6"/>
        <v>1</v>
      </c>
      <c r="B133" s="67">
        <v>157</v>
      </c>
      <c r="C133" s="80">
        <f>IF(ISNA(VLOOKUP($B133,DD_Info!$A$1:$E$216,5,0)),0,VLOOKUP($B133,DD_Info!$A$1:$E$216,5,0))</f>
        <v>2</v>
      </c>
      <c r="D133" t="str">
        <f>IF(ISNA(VLOOKUP($B133,DD_Info!$A$1:$E$216,2,0)),0,VLOOKUP($B133,DD_Info!$A$1:$E$216,2,0))</f>
        <v>TO BE APPOINTED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381</v>
      </c>
      <c r="G133">
        <f>ROUND(SUMIF(Councils!$C$6:$C$809,$B133,Councils!$O$6:$O$809)*0.7,0)</f>
        <v>0</v>
      </c>
      <c r="H133">
        <f>ROUND(SUMIF(Councils!$C$6:$C$809,$B133,Councils!$P$6:$P$809)*0.7,0)</f>
        <v>0</v>
      </c>
      <c r="I133">
        <f>ROUND(SUMIF(Councils!$C$6:$C$809,$B133,Councils!$Q$6:$Q$809)*0.7,0)</f>
        <v>1</v>
      </c>
      <c r="J133">
        <f>ROUND(SUMIF(Councils!$C$6:$C$809,$B133,Councils!$R$6:$R$809)*0.7,0)</f>
        <v>-1</v>
      </c>
      <c r="K133">
        <f>ROUND(SUMIF(Councils!$C$6:$C$809,$B133,Councils!$S$6:$S$809)*0.7,0)</f>
        <v>0</v>
      </c>
      <c r="L133">
        <f>ROUND(SUMIF(Councils!$C$6:$C$809,$B133,Councils!$T$6:$T$809)*0.7,0)</f>
        <v>1</v>
      </c>
      <c r="M133">
        <f>ROUND(SUMIF(Councils!$C$6:$C$809,$B133,Councils!$U$6:$U$809)*0.7,0)</f>
        <v>-1</v>
      </c>
      <c r="N133" s="63">
        <f t="shared" si="5"/>
        <v>0</v>
      </c>
    </row>
    <row r="134" spans="1:14">
      <c r="A134">
        <f t="shared" si="6"/>
        <v>1</v>
      </c>
      <c r="B134" s="67">
        <v>158</v>
      </c>
      <c r="C134" s="80">
        <f>IF(ISNA(VLOOKUP($B134,DD_Info!$A$1:$E$216,5,0)),0,VLOOKUP($B134,DD_Info!$A$1:$E$216,5,0))</f>
        <v>1</v>
      </c>
      <c r="D134" t="str">
        <f>IF(ISNA(VLOOKUP($B134,DD_Info!$A$1:$E$216,2,0)),0,VLOOKUP($B134,DD_Info!$A$1:$E$216,2,0))</f>
        <v>Kevin  Russell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767</v>
      </c>
      <c r="G134">
        <f>ROUND(SUMIF(Councils!$C$6:$C$809,$B134,Councils!$O$6:$O$809)*0.7,0)</f>
        <v>0</v>
      </c>
      <c r="H134">
        <f>ROUND(SUMIF(Councils!$C$6:$C$809,$B134,Councils!$P$6:$P$809)*0.7,0)</f>
        <v>0</v>
      </c>
      <c r="I134">
        <f>ROUND(SUMIF(Councils!$C$6:$C$809,$B134,Councils!$Q$6:$Q$809)*0.7,0)</f>
        <v>0</v>
      </c>
      <c r="J134">
        <f>ROUND(SUMIF(Councils!$C$6:$C$809,$B134,Councils!$R$6:$R$809)*0.7,0)</f>
        <v>0</v>
      </c>
      <c r="K134">
        <f>ROUND(SUMIF(Councils!$C$6:$C$809,$B134,Councils!$S$6:$S$809)*0.7,0)</f>
        <v>0</v>
      </c>
      <c r="L134">
        <f>ROUND(SUMIF(Councils!$C$6:$C$809,$B134,Councils!$T$6:$T$809)*0.7,0)</f>
        <v>4</v>
      </c>
      <c r="M134">
        <f>ROUND(SUMIF(Councils!$C$6:$C$809,$B134,Councils!$U$6:$U$809)*0.7,0)</f>
        <v>-4</v>
      </c>
      <c r="N134" s="63">
        <f t="shared" si="5"/>
        <v>0</v>
      </c>
    </row>
    <row r="135" spans="1:14">
      <c r="A135">
        <f t="shared" si="6"/>
        <v>1</v>
      </c>
      <c r="B135" s="67">
        <v>159</v>
      </c>
      <c r="C135" s="80">
        <f>IF(ISNA(VLOOKUP($B135,DD_Info!$A$1:$E$216,5,0)),0,VLOOKUP($B135,DD_Info!$A$1:$E$216,5,0))</f>
        <v>2</v>
      </c>
      <c r="D135" t="str">
        <f>IF(ISNA(VLOOKUP($B135,DD_Info!$A$1:$E$216,2,0)),0,VLOOKUP($B135,DD_Info!$A$1:$E$216,2,0))</f>
        <v>Tony  Grandinetti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573</v>
      </c>
      <c r="G135">
        <f>ROUND(SUMIF(Councils!$C$6:$C$809,$B135,Councils!$O$6:$O$809)*0.7,0)</f>
        <v>0</v>
      </c>
      <c r="H135">
        <f>ROUND(SUMIF(Councils!$C$6:$C$809,$B135,Councils!$P$6:$P$809)*0.7,0)</f>
        <v>0</v>
      </c>
      <c r="I135">
        <f>ROUND(SUMIF(Councils!$C$6:$C$809,$B135,Councils!$Q$6:$Q$809)*0.7,0)</f>
        <v>1</v>
      </c>
      <c r="J135">
        <f>ROUND(SUMIF(Councils!$C$6:$C$809,$B135,Councils!$R$6:$R$809)*0.7,0)</f>
        <v>-1</v>
      </c>
      <c r="K135">
        <f>ROUND(SUMIF(Councils!$C$6:$C$809,$B135,Councils!$S$6:$S$809)*0.7,0)</f>
        <v>2</v>
      </c>
      <c r="L135">
        <f>ROUND(SUMIF(Councils!$C$6:$C$809,$B135,Councils!$T$6:$T$809)*0.7,0)</f>
        <v>1</v>
      </c>
      <c r="M135">
        <f>ROUND(SUMIF(Councils!$C$6:$C$809,$B135,Councils!$U$6:$U$809)*0.7,0)</f>
        <v>1</v>
      </c>
      <c r="N135" s="63">
        <f t="shared" si="5"/>
        <v>0</v>
      </c>
    </row>
    <row r="136" spans="1:14">
      <c r="A136">
        <f t="shared" si="6"/>
        <v>1</v>
      </c>
      <c r="B136" s="67">
        <v>161</v>
      </c>
      <c r="C136" s="80">
        <f>IF(ISNA(VLOOKUP($B136,DD_Info!$A$1:$E$216,5,0)),0,VLOOKUP($B136,DD_Info!$A$1:$E$216,5,0))</f>
        <v>3</v>
      </c>
      <c r="D136" t="str">
        <f>IF(ISNA(VLOOKUP($B136,DD_Info!$A$1:$E$216,2,0)),0,VLOOKUP($B136,DD_Info!$A$1:$E$216,2,0))</f>
        <v>Armando  Montes Jr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242</v>
      </c>
      <c r="G136">
        <f>ROUND(SUMIF(Councils!$C$6:$C$809,$B136,Councils!$O$6:$O$809)*0.7,0)</f>
        <v>0</v>
      </c>
      <c r="H136">
        <f>ROUND(SUMIF(Councils!$C$6:$C$809,$B136,Councils!$P$6:$P$809)*0.7,0)</f>
        <v>0</v>
      </c>
      <c r="I136">
        <f>ROUND(SUMIF(Councils!$C$6:$C$809,$B136,Councils!$Q$6:$Q$809)*0.7,0)</f>
        <v>1</v>
      </c>
      <c r="J136">
        <f>ROUND(SUMIF(Councils!$C$6:$C$809,$B136,Councils!$R$6:$R$809)*0.7,0)</f>
        <v>-1</v>
      </c>
      <c r="K136">
        <f>ROUND(SUMIF(Councils!$C$6:$C$809,$B136,Councils!$S$6:$S$809)*0.7,0)</f>
        <v>0</v>
      </c>
      <c r="L136">
        <f>ROUND(SUMIF(Councils!$C$6:$C$809,$B136,Councils!$T$6:$T$809)*0.7,0)</f>
        <v>1</v>
      </c>
      <c r="M136">
        <f>ROUND(SUMIF(Councils!$C$6:$C$809,$B136,Councils!$U$6:$U$809)*0.7,0)</f>
        <v>-1</v>
      </c>
      <c r="N136" s="63">
        <f t="shared" si="5"/>
        <v>0</v>
      </c>
    </row>
    <row r="137" spans="1:14">
      <c r="A137">
        <f t="shared" si="6"/>
        <v>1</v>
      </c>
      <c r="B137" s="67">
        <v>162</v>
      </c>
      <c r="C137" s="80">
        <f>IF(ISNA(VLOOKUP($B137,DD_Info!$A$1:$E$216,5,0)),0,VLOOKUP($B137,DD_Info!$A$1:$E$216,5,0))</f>
        <v>3</v>
      </c>
      <c r="D137" t="str">
        <f>IF(ISNA(VLOOKUP($B137,DD_Info!$A$1:$E$216,2,0)),0,VLOOKUP($B137,DD_Info!$A$1:$E$216,2,0))</f>
        <v>Edward  Tydings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131</v>
      </c>
      <c r="G137">
        <f>ROUND(SUMIF(Councils!$C$6:$C$809,$B137,Councils!$O$6:$O$809)*0.7,0)</f>
        <v>0</v>
      </c>
      <c r="H137">
        <f>ROUND(SUMIF(Councils!$C$6:$C$809,$B137,Councils!$P$6:$P$809)*0.7,0)</f>
        <v>0</v>
      </c>
      <c r="I137">
        <f>ROUND(SUMIF(Councils!$C$6:$C$809,$B137,Councils!$Q$6:$Q$809)*0.7,0)</f>
        <v>0</v>
      </c>
      <c r="J137">
        <f>ROUND(SUMIF(Councils!$C$6:$C$809,$B137,Councils!$R$6:$R$809)*0.7,0)</f>
        <v>0</v>
      </c>
      <c r="K137">
        <f>ROUND(SUMIF(Councils!$C$6:$C$809,$B137,Councils!$S$6:$S$809)*0.7,0)</f>
        <v>0</v>
      </c>
      <c r="L137">
        <f>ROUND(SUMIF(Councils!$C$6:$C$809,$B137,Councils!$T$6:$T$809)*0.7,0)</f>
        <v>0</v>
      </c>
      <c r="M137">
        <f>ROUND(SUMIF(Councils!$C$6:$C$809,$B137,Councils!$U$6:$U$809)*0.7,0)</f>
        <v>0</v>
      </c>
      <c r="N137" s="63">
        <f t="shared" si="5"/>
        <v>0</v>
      </c>
    </row>
    <row r="138" spans="1:14">
      <c r="A138">
        <f t="shared" si="6"/>
        <v>1</v>
      </c>
      <c r="B138" s="67">
        <v>166</v>
      </c>
      <c r="C138" s="80">
        <f>IF(ISNA(VLOOKUP($B138,DD_Info!$A$1:$E$216,5,0)),0,VLOOKUP($B138,DD_Info!$A$1:$E$216,5,0))</f>
        <v>3</v>
      </c>
      <c r="D138" t="str">
        <f>IF(ISNA(VLOOKUP($B138,DD_Info!$A$1:$E$216,2,0)),0,VLOOKUP($B138,DD_Info!$A$1:$E$216,2,0))</f>
        <v>TO BE APPOINETED</v>
      </c>
      <c r="E138" t="str">
        <f>IF(ISNA(VLOOKUP($B138,DD_Info!$A$1:$E$216,3,0)),0,VLOOKUP($B138,DD_Info!$A$1:$E$216,3,0))</f>
        <v>Corpus Christi</v>
      </c>
      <c r="F138">
        <f>ROUND(SUMIF(Councils!$C$6:$C$809,$B138,Councils!$E$6:$E$809),0)</f>
        <v>223</v>
      </c>
      <c r="G138">
        <f>ROUND(SUMIF(Councils!$C$6:$C$809,$B138,Councils!$O$6:$O$809)*0.7,0)</f>
        <v>0</v>
      </c>
      <c r="H138">
        <f>ROUND(SUMIF(Councils!$C$6:$C$809,$B138,Councils!$P$6:$P$809)*0.7,0)</f>
        <v>0</v>
      </c>
      <c r="I138">
        <f>ROUND(SUMIF(Councils!$C$6:$C$809,$B138,Councils!$Q$6:$Q$809)*0.7,0)</f>
        <v>0</v>
      </c>
      <c r="J138">
        <f>ROUND(SUMIF(Councils!$C$6:$C$809,$B138,Councils!$R$6:$R$809)*0.7,0)</f>
        <v>0</v>
      </c>
      <c r="K138">
        <f>ROUND(SUMIF(Councils!$C$6:$C$809,$B138,Councils!$S$6:$S$809)*0.7,0)</f>
        <v>0</v>
      </c>
      <c r="L138">
        <f>ROUND(SUMIF(Councils!$C$6:$C$809,$B138,Councils!$T$6:$T$809)*0.7,0)</f>
        <v>0</v>
      </c>
      <c r="M138">
        <f>ROUND(SUMIF(Councils!$C$6:$C$809,$B138,Councils!$U$6:$U$809)*0.7,0)</f>
        <v>0</v>
      </c>
      <c r="N138" s="63">
        <f t="shared" si="5"/>
        <v>0</v>
      </c>
    </row>
    <row r="139" spans="1:14">
      <c r="A139">
        <f t="shared" si="6"/>
        <v>1</v>
      </c>
      <c r="B139" s="67">
        <v>167</v>
      </c>
      <c r="C139" s="80">
        <f>IF(ISNA(VLOOKUP($B139,DD_Info!$A$1:$E$216,5,0)),0,VLOOKUP($B139,DD_Info!$A$1:$E$216,5,0))</f>
        <v>2</v>
      </c>
      <c r="D139" t="str">
        <f>IF(ISNA(VLOOKUP($B139,DD_Info!$A$1:$E$216,2,0)),0,VLOOKUP($B139,DD_Info!$A$1:$E$216,2,0))</f>
        <v>Joseph  Naderer</v>
      </c>
      <c r="E139" t="str">
        <f>IF(ISNA(VLOOKUP($B139,DD_Info!$A$1:$E$216,3,0)),0,VLOOKUP($B139,DD_Info!$A$1:$E$216,3,0))</f>
        <v>Corpus Christi</v>
      </c>
      <c r="F139">
        <f>ROUND(SUMIF(Councils!$C$6:$C$809,$B139,Councils!$E$6:$E$809),0)</f>
        <v>508</v>
      </c>
      <c r="G139">
        <f>ROUND(SUMIF(Councils!$C$6:$C$809,$B139,Councils!$O$6:$O$809)*0.7,0)</f>
        <v>0</v>
      </c>
      <c r="H139">
        <f>ROUND(SUMIF(Councils!$C$6:$C$809,$B139,Councils!$P$6:$P$809)*0.7,0)</f>
        <v>0</v>
      </c>
      <c r="I139">
        <f>ROUND(SUMIF(Councils!$C$6:$C$809,$B139,Councils!$Q$6:$Q$809)*0.7,0)</f>
        <v>1</v>
      </c>
      <c r="J139">
        <f>ROUND(SUMIF(Councils!$C$6:$C$809,$B139,Councils!$R$6:$R$809)*0.7,0)</f>
        <v>-1</v>
      </c>
      <c r="K139">
        <f>ROUND(SUMIF(Councils!$C$6:$C$809,$B139,Councils!$S$6:$S$809)*0.7,0)</f>
        <v>0</v>
      </c>
      <c r="L139">
        <f>ROUND(SUMIF(Councils!$C$6:$C$809,$B139,Councils!$T$6:$T$809)*0.7,0)</f>
        <v>1</v>
      </c>
      <c r="M139">
        <f>ROUND(SUMIF(Councils!$C$6:$C$809,$B139,Councils!$U$6:$U$809)*0.7,0)</f>
        <v>-1</v>
      </c>
      <c r="N139" s="63">
        <f t="shared" si="5"/>
        <v>0</v>
      </c>
    </row>
    <row r="140" spans="1:14">
      <c r="A140">
        <f t="shared" si="6"/>
        <v>1</v>
      </c>
      <c r="B140" s="67">
        <v>168</v>
      </c>
      <c r="C140" s="80">
        <f>IF(ISNA(VLOOKUP($B140,DD_Info!$A$1:$E$216,5,0)),0,VLOOKUP($B140,DD_Info!$A$1:$E$216,5,0))</f>
        <v>2</v>
      </c>
      <c r="D140" t="str">
        <f>IF(ISNA(VLOOKUP($B140,DD_Info!$A$1:$E$216,2,0)),0,VLOOKUP($B140,DD_Info!$A$1:$E$216,2,0))</f>
        <v>Paul  Hickey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314</v>
      </c>
      <c r="G140">
        <f>ROUND(SUMIF(Councils!$C$6:$C$809,$B140,Councils!$O$6:$O$809)*0.7,0)</f>
        <v>0</v>
      </c>
      <c r="H140">
        <f>ROUND(SUMIF(Councils!$C$6:$C$809,$B140,Councils!$P$6:$P$809)*0.7,0)</f>
        <v>1</v>
      </c>
      <c r="I140">
        <f>ROUND(SUMIF(Councils!$C$6:$C$809,$B140,Councils!$Q$6:$Q$809)*0.7,0)</f>
        <v>1</v>
      </c>
      <c r="J140">
        <f>ROUND(SUMIF(Councils!$C$6:$C$809,$B140,Councils!$R$6:$R$809)*0.7,0)</f>
        <v>0</v>
      </c>
      <c r="K140">
        <f>ROUND(SUMIF(Councils!$C$6:$C$809,$B140,Councils!$S$6:$S$809)*0.7,0)</f>
        <v>1</v>
      </c>
      <c r="L140">
        <f>ROUND(SUMIF(Councils!$C$6:$C$809,$B140,Councils!$T$6:$T$809)*0.7,0)</f>
        <v>1</v>
      </c>
      <c r="M140">
        <f>ROUND(SUMIF(Councils!$C$6:$C$809,$B140,Councils!$U$6:$U$809)*0.7,0)</f>
        <v>0</v>
      </c>
      <c r="N140" s="63">
        <f t="shared" si="5"/>
        <v>0</v>
      </c>
    </row>
    <row r="141" spans="1:14">
      <c r="A141">
        <f t="shared" si="6"/>
        <v>1</v>
      </c>
      <c r="B141" s="67">
        <v>170</v>
      </c>
      <c r="C141" s="80">
        <f>IF(ISNA(VLOOKUP($B141,DD_Info!$A$1:$E$216,5,0)),0,VLOOKUP($B141,DD_Info!$A$1:$E$216,5,0))</f>
        <v>3</v>
      </c>
      <c r="D141" t="str">
        <f>IF(ISNA(VLOOKUP($B141,DD_Info!$A$1:$E$216,2,0)),0,VLOOKUP($B141,DD_Info!$A$1:$E$216,2,0))</f>
        <v>Alfredo  Torres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275</v>
      </c>
      <c r="G141">
        <f>ROUND(SUMIF(Councils!$C$6:$C$809,$B141,Councils!$O$6:$O$809)*0.7,0)</f>
        <v>0</v>
      </c>
      <c r="H141">
        <f>ROUND(SUMIF(Councils!$C$6:$C$809,$B141,Councils!$P$6:$P$809)*0.7,0)</f>
        <v>0</v>
      </c>
      <c r="I141">
        <f>ROUND(SUMIF(Councils!$C$6:$C$809,$B141,Councils!$Q$6:$Q$809)*0.7,0)</f>
        <v>1</v>
      </c>
      <c r="J141">
        <f>ROUND(SUMIF(Councils!$C$6:$C$809,$B141,Councils!$R$6:$R$809)*0.7,0)</f>
        <v>-1</v>
      </c>
      <c r="K141">
        <f>ROUND(SUMIF(Councils!$C$6:$C$809,$B141,Councils!$S$6:$S$809)*0.7,0)</f>
        <v>0</v>
      </c>
      <c r="L141">
        <f>ROUND(SUMIF(Councils!$C$6:$C$809,$B141,Councils!$T$6:$T$809)*0.7,0)</f>
        <v>1</v>
      </c>
      <c r="M141">
        <f>ROUND(SUMIF(Councils!$C$6:$C$809,$B141,Councils!$U$6:$U$809)*0.7,0)</f>
        <v>-1</v>
      </c>
      <c r="N141" s="63">
        <f t="shared" si="5"/>
        <v>0</v>
      </c>
    </row>
    <row r="142" spans="1:14">
      <c r="A142">
        <f t="shared" si="6"/>
        <v>1</v>
      </c>
      <c r="B142" s="67">
        <v>171</v>
      </c>
      <c r="C142" s="80">
        <f>IF(ISNA(VLOOKUP($B142,DD_Info!$A$1:$E$216,5,0)),0,VLOOKUP($B142,DD_Info!$A$1:$E$216,5,0))</f>
        <v>2</v>
      </c>
      <c r="D142" t="str">
        <f>IF(ISNA(VLOOKUP($B142,DD_Info!$A$1:$E$216,2,0)),0,VLOOKUP($B142,DD_Info!$A$1:$E$216,2,0))</f>
        <v>William G Archambeault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444</v>
      </c>
      <c r="G142">
        <f>ROUND(SUMIF(Councils!$C$6:$C$809,$B142,Councils!$O$6:$O$809)*0.7,0)</f>
        <v>0</v>
      </c>
      <c r="H142">
        <f>ROUND(SUMIF(Councils!$C$6:$C$809,$B142,Councils!$P$6:$P$809)*0.7,0)</f>
        <v>0</v>
      </c>
      <c r="I142">
        <f>ROUND(SUMIF(Councils!$C$6:$C$809,$B142,Councils!$Q$6:$Q$809)*0.7,0)</f>
        <v>1</v>
      </c>
      <c r="J142">
        <f>ROUND(SUMIF(Councils!$C$6:$C$809,$B142,Councils!$R$6:$R$809)*0.7,0)</f>
        <v>-1</v>
      </c>
      <c r="K142">
        <f>ROUND(SUMIF(Councils!$C$6:$C$809,$B142,Councils!$S$6:$S$809)*0.7,0)</f>
        <v>1</v>
      </c>
      <c r="L142">
        <f>ROUND(SUMIF(Councils!$C$6:$C$809,$B142,Councils!$T$6:$T$809)*0.7,0)</f>
        <v>3</v>
      </c>
      <c r="M142">
        <f>ROUND(SUMIF(Councils!$C$6:$C$809,$B142,Councils!$U$6:$U$809)*0.7,0)</f>
        <v>-1</v>
      </c>
      <c r="N142" s="63">
        <f t="shared" si="5"/>
        <v>0</v>
      </c>
    </row>
    <row r="143" spans="1:14">
      <c r="A143">
        <f t="shared" si="6"/>
        <v>1</v>
      </c>
      <c r="B143" s="67">
        <v>172</v>
      </c>
      <c r="C143" s="80">
        <f>IF(ISNA(VLOOKUP($B143,DD_Info!$A$1:$E$216,5,0)),0,VLOOKUP($B143,DD_Info!$A$1:$E$216,5,0))</f>
        <v>2</v>
      </c>
      <c r="D143" t="str">
        <f>IF(ISNA(VLOOKUP($B143,DD_Info!$A$1:$E$216,2,0)),0,VLOOKUP($B143,DD_Info!$A$1:$E$216,2,0))</f>
        <v>TO BE APPOINTED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472</v>
      </c>
      <c r="G143">
        <f>ROUND(SUMIF(Councils!$C$6:$C$809,$B143,Councils!$O$6:$O$809)*0.7,0)</f>
        <v>0</v>
      </c>
      <c r="H143">
        <f>ROUND(SUMIF(Councils!$C$6:$C$809,$B143,Councils!$P$6:$P$809)*0.7,0)</f>
        <v>0</v>
      </c>
      <c r="I143">
        <f>ROUND(SUMIF(Councils!$C$6:$C$809,$B143,Councils!$Q$6:$Q$809)*0.7,0)</f>
        <v>1</v>
      </c>
      <c r="J143">
        <f>ROUND(SUMIF(Councils!$C$6:$C$809,$B143,Councils!$R$6:$R$809)*0.7,0)</f>
        <v>-1</v>
      </c>
      <c r="K143">
        <f>ROUND(SUMIF(Councils!$C$6:$C$809,$B143,Councils!$S$6:$S$809)*0.7,0)</f>
        <v>0</v>
      </c>
      <c r="L143">
        <f>ROUND(SUMIF(Councils!$C$6:$C$809,$B143,Councils!$T$6:$T$809)*0.7,0)</f>
        <v>1</v>
      </c>
      <c r="M143">
        <f>ROUND(SUMIF(Councils!$C$6:$C$809,$B143,Councils!$U$6:$U$809)*0.7,0)</f>
        <v>-1</v>
      </c>
      <c r="N143" s="63">
        <f t="shared" si="5"/>
        <v>0</v>
      </c>
    </row>
    <row r="144" spans="1:14">
      <c r="A144">
        <f t="shared" si="6"/>
        <v>1</v>
      </c>
      <c r="B144" s="67">
        <v>173</v>
      </c>
      <c r="C144" s="80">
        <f>IF(ISNA(VLOOKUP($B144,DD_Info!$A$1:$E$216,5,0)),0,VLOOKUP($B144,DD_Info!$A$1:$E$216,5,0))</f>
        <v>2</v>
      </c>
      <c r="D144" t="str">
        <f>IF(ISNA(VLOOKUP($B144,DD_Info!$A$1:$E$216,2,0)),0,VLOOKUP($B144,DD_Info!$A$1:$E$216,2,0))</f>
        <v>Pedro  Gonzalez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505</v>
      </c>
      <c r="G144">
        <f>ROUND(SUMIF(Councils!$C$6:$C$809,$B144,Councils!$O$6:$O$809)*0.7,0)</f>
        <v>0</v>
      </c>
      <c r="H144">
        <f>ROUND(SUMIF(Councils!$C$6:$C$809,$B144,Councils!$P$6:$P$809)*0.7,0)</f>
        <v>0</v>
      </c>
      <c r="I144">
        <f>ROUND(SUMIF(Councils!$C$6:$C$809,$B144,Councils!$Q$6:$Q$809)*0.7,0)</f>
        <v>1</v>
      </c>
      <c r="J144">
        <f>ROUND(SUMIF(Councils!$C$6:$C$809,$B144,Councils!$R$6:$R$809)*0.7,0)</f>
        <v>-1</v>
      </c>
      <c r="K144">
        <f>ROUND(SUMIF(Councils!$C$6:$C$809,$B144,Councils!$S$6:$S$809)*0.7,0)</f>
        <v>1</v>
      </c>
      <c r="L144">
        <f>ROUND(SUMIF(Councils!$C$6:$C$809,$B144,Councils!$T$6:$T$809)*0.7,0)</f>
        <v>1</v>
      </c>
      <c r="M144">
        <f>ROUND(SUMIF(Councils!$C$6:$C$809,$B144,Councils!$U$6:$U$809)*0.7,0)</f>
        <v>-1</v>
      </c>
      <c r="N144" s="63">
        <f t="shared" si="5"/>
        <v>0</v>
      </c>
    </row>
    <row r="145" spans="1:14">
      <c r="A145">
        <f t="shared" si="6"/>
        <v>1</v>
      </c>
      <c r="B145" s="67">
        <v>174</v>
      </c>
      <c r="C145" s="80">
        <f>IF(ISNA(VLOOKUP($B145,DD_Info!$A$1:$E$216,5,0)),0,VLOOKUP($B145,DD_Info!$A$1:$E$216,5,0))</f>
        <v>3</v>
      </c>
      <c r="D145" t="str">
        <f>IF(ISNA(VLOOKUP($B145,DD_Info!$A$1:$E$216,2,0)),0,VLOOKUP($B145,DD_Info!$A$1:$E$216,2,0))</f>
        <v>Christopher  Hernandez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281</v>
      </c>
      <c r="G145">
        <f>ROUND(SUMIF(Councils!$C$6:$C$809,$B145,Councils!$O$6:$O$809)*0.7,0)</f>
        <v>0</v>
      </c>
      <c r="H145">
        <f>ROUND(SUMIF(Councils!$C$6:$C$809,$B145,Councils!$P$6:$P$809)*0.7,0)</f>
        <v>0</v>
      </c>
      <c r="I145">
        <f>ROUND(SUMIF(Councils!$C$6:$C$809,$B145,Councils!$Q$6:$Q$809)*0.7,0)</f>
        <v>0</v>
      </c>
      <c r="J145">
        <f>ROUND(SUMIF(Councils!$C$6:$C$809,$B145,Councils!$R$6:$R$809)*0.7,0)</f>
        <v>0</v>
      </c>
      <c r="K145">
        <f>ROUND(SUMIF(Councils!$C$6:$C$809,$B145,Councils!$S$6:$S$809)*0.7,0)</f>
        <v>0</v>
      </c>
      <c r="L145">
        <f>ROUND(SUMIF(Councils!$C$6:$C$809,$B145,Councils!$T$6:$T$809)*0.7,0)</f>
        <v>1</v>
      </c>
      <c r="M145">
        <f>ROUND(SUMIF(Councils!$C$6:$C$809,$B145,Councils!$U$6:$U$809)*0.7,0)</f>
        <v>-1</v>
      </c>
      <c r="N145" s="63">
        <f t="shared" si="5"/>
        <v>0</v>
      </c>
    </row>
    <row r="146" spans="1:14">
      <c r="A146">
        <f t="shared" si="6"/>
        <v>1</v>
      </c>
      <c r="B146" s="67">
        <v>175</v>
      </c>
      <c r="C146" s="80">
        <f>IF(ISNA(VLOOKUP($B146,DD_Info!$A$1:$E$216,5,0)),0,VLOOKUP($B146,DD_Info!$A$1:$E$216,5,0))</f>
        <v>3</v>
      </c>
      <c r="D146" t="str">
        <f>IF(ISNA(VLOOKUP($B146,DD_Info!$A$1:$E$216,2,0)),0,VLOOKUP($B146,DD_Info!$A$1:$E$216,2,0))</f>
        <v>Abel  Gutierrez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225</v>
      </c>
      <c r="G146">
        <f>ROUND(SUMIF(Councils!$C$6:$C$809,$B146,Councils!$O$6:$O$809)*0.7,0)</f>
        <v>0</v>
      </c>
      <c r="H146">
        <f>ROUND(SUMIF(Councils!$C$6:$C$809,$B146,Councils!$P$6:$P$809)*0.7,0)</f>
        <v>0</v>
      </c>
      <c r="I146">
        <f>ROUND(SUMIF(Councils!$C$6:$C$809,$B146,Councils!$Q$6:$Q$809)*0.7,0)</f>
        <v>0</v>
      </c>
      <c r="J146">
        <f>ROUND(SUMIF(Councils!$C$6:$C$809,$B146,Councils!$R$6:$R$809)*0.7,0)</f>
        <v>0</v>
      </c>
      <c r="K146">
        <f>ROUND(SUMIF(Councils!$C$6:$C$809,$B146,Councils!$S$6:$S$809)*0.7,0)</f>
        <v>0</v>
      </c>
      <c r="L146">
        <f>ROUND(SUMIF(Councils!$C$6:$C$809,$B146,Councils!$T$6:$T$809)*0.7,0)</f>
        <v>1</v>
      </c>
      <c r="M146">
        <f>ROUND(SUMIF(Councils!$C$6:$C$809,$B146,Councils!$U$6:$U$809)*0.7,0)</f>
        <v>-1</v>
      </c>
      <c r="N146" s="63">
        <f t="shared" si="5"/>
        <v>0</v>
      </c>
    </row>
    <row r="147" spans="1:14">
      <c r="A147">
        <f t="shared" si="6"/>
        <v>1</v>
      </c>
      <c r="B147" s="67">
        <v>176</v>
      </c>
      <c r="C147" s="80">
        <f>IF(ISNA(VLOOKUP($B147,DD_Info!$A$1:$E$216,5,0)),0,VLOOKUP($B147,DD_Info!$A$1:$E$216,5,0))</f>
        <v>3</v>
      </c>
      <c r="D147" t="str">
        <f>IF(ISNA(VLOOKUP($B147,DD_Info!$A$1:$E$216,2,0)),0,VLOOKUP($B147,DD_Info!$A$1:$E$216,2,0))</f>
        <v>Gilbert  Perez Sr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258</v>
      </c>
      <c r="G147">
        <f>ROUND(SUMIF(Councils!$C$6:$C$809,$B147,Councils!$O$6:$O$809)*0.7,0)</f>
        <v>0</v>
      </c>
      <c r="H147">
        <f>ROUND(SUMIF(Councils!$C$6:$C$809,$B147,Councils!$P$6:$P$809)*0.7,0)</f>
        <v>0</v>
      </c>
      <c r="I147">
        <f>ROUND(SUMIF(Councils!$C$6:$C$809,$B147,Councils!$Q$6:$Q$809)*0.7,0)</f>
        <v>0</v>
      </c>
      <c r="J147">
        <f>ROUND(SUMIF(Councils!$C$6:$C$809,$B147,Councils!$R$6:$R$809)*0.7,0)</f>
        <v>0</v>
      </c>
      <c r="K147">
        <f>ROUND(SUMIF(Councils!$C$6:$C$809,$B147,Councils!$S$6:$S$809)*0.7,0)</f>
        <v>0</v>
      </c>
      <c r="L147">
        <f>ROUND(SUMIF(Councils!$C$6:$C$809,$B147,Councils!$T$6:$T$809)*0.7,0)</f>
        <v>1</v>
      </c>
      <c r="M147">
        <f>ROUND(SUMIF(Councils!$C$6:$C$809,$B147,Councils!$U$6:$U$809)*0.7,0)</f>
        <v>-1</v>
      </c>
      <c r="N147" s="63">
        <f t="shared" si="5"/>
        <v>0</v>
      </c>
    </row>
    <row r="148" spans="1:14">
      <c r="A148">
        <f t="shared" si="6"/>
        <v>1</v>
      </c>
      <c r="B148" s="67">
        <v>177</v>
      </c>
      <c r="C148" s="80">
        <f>IF(ISNA(VLOOKUP($B148,DD_Info!$A$1:$E$216,5,0)),0,VLOOKUP($B148,DD_Info!$A$1:$E$216,5,0))</f>
        <v>2</v>
      </c>
      <c r="D148" t="str">
        <f>IF(ISNA(VLOOKUP($B148,DD_Info!$A$1:$E$216,2,0)),0,VLOOKUP($B148,DD_Info!$A$1:$E$216,2,0))</f>
        <v>Juan M Hernandez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379</v>
      </c>
      <c r="G148">
        <f>ROUND(SUMIF(Councils!$C$6:$C$809,$B148,Councils!$O$6:$O$809)*0.7,0)</f>
        <v>0</v>
      </c>
      <c r="H148">
        <f>ROUND(SUMIF(Councils!$C$6:$C$809,$B148,Councils!$P$6:$P$809)*0.7,0)</f>
        <v>0</v>
      </c>
      <c r="I148">
        <f>ROUND(SUMIF(Councils!$C$6:$C$809,$B148,Councils!$Q$6:$Q$809)*0.7,0)</f>
        <v>1</v>
      </c>
      <c r="J148">
        <f>ROUND(SUMIF(Councils!$C$6:$C$809,$B148,Councils!$R$6:$R$809)*0.7,0)</f>
        <v>-1</v>
      </c>
      <c r="K148">
        <f>ROUND(SUMIF(Councils!$C$6:$C$809,$B148,Councils!$S$6:$S$809)*0.7,0)</f>
        <v>0</v>
      </c>
      <c r="L148">
        <f>ROUND(SUMIF(Councils!$C$6:$C$809,$B148,Councils!$T$6:$T$809)*0.7,0)</f>
        <v>2</v>
      </c>
      <c r="M148">
        <f>ROUND(SUMIF(Councils!$C$6:$C$809,$B148,Councils!$U$6:$U$809)*0.7,0)</f>
        <v>-2</v>
      </c>
      <c r="N148" s="63">
        <f t="shared" si="5"/>
        <v>0</v>
      </c>
    </row>
    <row r="149" spans="1:14">
      <c r="A149">
        <f t="shared" si="6"/>
        <v>1</v>
      </c>
      <c r="B149" s="67">
        <v>179</v>
      </c>
      <c r="C149" s="80">
        <f>IF(ISNA(VLOOKUP($B149,DD_Info!$A$1:$E$216,5,0)),0,VLOOKUP($B149,DD_Info!$A$1:$E$216,5,0))</f>
        <v>2</v>
      </c>
      <c r="D149" t="str">
        <f>IF(ISNA(VLOOKUP($B149,DD_Info!$A$1:$E$216,2,0)),0,VLOOKUP($B149,DD_Info!$A$1:$E$216,2,0))</f>
        <v>Jesse Q Garcia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318</v>
      </c>
      <c r="G149">
        <f>ROUND(SUMIF(Councils!$C$6:$C$809,$B149,Councils!$O$6:$O$809)*0.7,0)</f>
        <v>0</v>
      </c>
      <c r="H149">
        <f>ROUND(SUMIF(Councils!$C$6:$C$809,$B149,Councils!$P$6:$P$809)*0.7,0)</f>
        <v>0</v>
      </c>
      <c r="I149">
        <f>ROUND(SUMIF(Councils!$C$6:$C$809,$B149,Councils!$Q$6:$Q$809)*0.7,0)</f>
        <v>1</v>
      </c>
      <c r="J149">
        <f>ROUND(SUMIF(Councils!$C$6:$C$809,$B149,Councils!$R$6:$R$809)*0.7,0)</f>
        <v>-1</v>
      </c>
      <c r="K149">
        <f>ROUND(SUMIF(Councils!$C$6:$C$809,$B149,Councils!$S$6:$S$809)*0.7,0)</f>
        <v>0</v>
      </c>
      <c r="L149">
        <f>ROUND(SUMIF(Councils!$C$6:$C$809,$B149,Councils!$T$6:$T$809)*0.7,0)</f>
        <v>1</v>
      </c>
      <c r="M149">
        <f>ROUND(SUMIF(Councils!$C$6:$C$809,$B149,Councils!$U$6:$U$809)*0.7,0)</f>
        <v>-1</v>
      </c>
      <c r="N149" s="63">
        <f t="shared" si="5"/>
        <v>0</v>
      </c>
    </row>
    <row r="150" spans="1:14">
      <c r="A150">
        <f t="shared" si="6"/>
        <v>1</v>
      </c>
      <c r="B150" s="67">
        <v>181</v>
      </c>
      <c r="C150" s="80">
        <f>IF(ISNA(VLOOKUP($B150,DD_Info!$A$1:$E$216,5,0)),0,VLOOKUP($B150,DD_Info!$A$1:$E$216,5,0))</f>
        <v>0</v>
      </c>
      <c r="D150">
        <f>IF(ISNA(VLOOKUP($B150,DD_Info!$A$1:$E$216,2,0)),0,VLOOKUP($B150,DD_Info!$A$1:$E$216,2,0))</f>
        <v>0</v>
      </c>
      <c r="E150">
        <f>IF(ISNA(VLOOKUP($B150,DD_Info!$A$1:$E$216,3,0)),0,VLOOKUP($B150,DD_Info!$A$1:$E$216,3,0))</f>
        <v>0</v>
      </c>
      <c r="F150">
        <f>ROUND(SUMIF(Councils!$C$6:$C$809,$B150,Councils!$E$6:$E$809),0)</f>
        <v>0</v>
      </c>
      <c r="G150">
        <f>ROUND(SUMIF(Councils!$C$6:$C$809,$B150,Councils!$O$6:$O$809)*0.7,0)</f>
        <v>0</v>
      </c>
      <c r="H150">
        <f>ROUND(SUMIF(Councils!$C$6:$C$809,$B150,Councils!$P$6:$P$809)*0.7,0)</f>
        <v>0</v>
      </c>
      <c r="I150">
        <f>ROUND(SUMIF(Councils!$C$6:$C$809,$B150,Councils!$Q$6:$Q$809)*0.7,0)</f>
        <v>0</v>
      </c>
      <c r="J150">
        <f>ROUND(SUMIF(Councils!$C$6:$C$809,$B150,Councils!$R$6:$R$809)*0.7,0)</f>
        <v>0</v>
      </c>
      <c r="K150">
        <f>ROUND(SUMIF(Councils!$C$6:$C$809,$B150,Councils!$S$6:$S$809)*0.7,0)</f>
        <v>0</v>
      </c>
      <c r="L150">
        <f>ROUND(SUMIF(Councils!$C$6:$C$809,$B150,Councils!$T$6:$T$809)*0.7,0)</f>
        <v>0</v>
      </c>
      <c r="M150">
        <f>ROUND(SUMIF(Councils!$C$6:$C$809,$B150,Councils!$U$6:$U$809)*0.7,0)</f>
        <v>0</v>
      </c>
      <c r="N150" s="63">
        <f t="shared" si="5"/>
        <v>0</v>
      </c>
    </row>
    <row r="151" spans="1:14">
      <c r="A151">
        <f t="shared" si="6"/>
        <v>1</v>
      </c>
      <c r="B151" s="67">
        <v>187</v>
      </c>
      <c r="C151" s="80">
        <f>IF(ISNA(VLOOKUP($B151,DD_Info!$A$1:$E$216,5,0)),0,VLOOKUP($B151,DD_Info!$A$1:$E$216,5,0))</f>
        <v>2</v>
      </c>
      <c r="D151" t="str">
        <f>IF(ISNA(VLOOKUP($B151,DD_Info!$A$1:$E$216,2,0)),0,VLOOKUP($B151,DD_Info!$A$1:$E$216,2,0))</f>
        <v>Harry A Isenberger</v>
      </c>
      <c r="E151" t="str">
        <f>IF(ISNA(VLOOKUP($B151,DD_Info!$A$1:$E$216,3,0)),0,VLOOKUP($B151,DD_Info!$A$1:$E$216,3,0))</f>
        <v>Victoria</v>
      </c>
      <c r="F151">
        <f>ROUND(SUMIF(Councils!$C$6:$C$809,$B151,Councils!$E$6:$E$809),0)</f>
        <v>369</v>
      </c>
      <c r="G151">
        <f>ROUND(SUMIF(Councils!$C$6:$C$809,$B151,Councils!$O$6:$O$809)*0.7,0)</f>
        <v>0</v>
      </c>
      <c r="H151">
        <f>ROUND(SUMIF(Councils!$C$6:$C$809,$B151,Councils!$P$6:$P$809)*0.7,0)</f>
        <v>0</v>
      </c>
      <c r="I151">
        <f>ROUND(SUMIF(Councils!$C$6:$C$809,$B151,Councils!$Q$6:$Q$809)*0.7,0)</f>
        <v>0</v>
      </c>
      <c r="J151">
        <f>ROUND(SUMIF(Councils!$C$6:$C$809,$B151,Councils!$R$6:$R$809)*0.7,0)</f>
        <v>0</v>
      </c>
      <c r="K151">
        <f>ROUND(SUMIF(Councils!$C$6:$C$809,$B151,Councils!$S$6:$S$809)*0.7,0)</f>
        <v>1</v>
      </c>
      <c r="L151">
        <f>ROUND(SUMIF(Councils!$C$6:$C$809,$B151,Councils!$T$6:$T$809)*0.7,0)</f>
        <v>0</v>
      </c>
      <c r="M151">
        <f>ROUND(SUMIF(Councils!$C$6:$C$809,$B151,Councils!$U$6:$U$809)*0.7,0)</f>
        <v>1</v>
      </c>
      <c r="N151" s="63">
        <f t="shared" si="5"/>
        <v>0</v>
      </c>
    </row>
    <row r="152" spans="1:14">
      <c r="A152">
        <f t="shared" si="6"/>
        <v>1</v>
      </c>
      <c r="B152" s="67">
        <v>188</v>
      </c>
      <c r="C152" s="80">
        <f>IF(ISNA(VLOOKUP($B152,DD_Info!$A$1:$E$216,5,0)),0,VLOOKUP($B152,DD_Info!$A$1:$E$216,5,0))</f>
        <v>1</v>
      </c>
      <c r="D152" t="str">
        <f>IF(ISNA(VLOOKUP($B152,DD_Info!$A$1:$E$216,2,0)),0,VLOOKUP($B152,DD_Info!$A$1:$E$216,2,0))</f>
        <v>James A Kocurek</v>
      </c>
      <c r="E152" t="str">
        <f>IF(ISNA(VLOOKUP($B152,DD_Info!$A$1:$E$216,3,0)),0,VLOOKUP($B152,DD_Info!$A$1:$E$216,3,0))</f>
        <v>Victoria</v>
      </c>
      <c r="F152">
        <f>ROUND(SUMIF(Councils!$C$6:$C$809,$B152,Councils!$E$6:$E$809),0)</f>
        <v>1069</v>
      </c>
      <c r="G152">
        <f>ROUND(SUMIF(Councils!$C$6:$C$809,$B152,Councils!$O$6:$O$809)*0.7,0)</f>
        <v>0</v>
      </c>
      <c r="H152">
        <f>ROUND(SUMIF(Councils!$C$6:$C$809,$B152,Councils!$P$6:$P$809)*0.7,0)</f>
        <v>0</v>
      </c>
      <c r="I152">
        <f>ROUND(SUMIF(Councils!$C$6:$C$809,$B152,Councils!$Q$6:$Q$809)*0.7,0)</f>
        <v>4</v>
      </c>
      <c r="J152">
        <f>ROUND(SUMIF(Councils!$C$6:$C$809,$B152,Councils!$R$6:$R$809)*0.7,0)</f>
        <v>-4</v>
      </c>
      <c r="K152">
        <f>ROUND(SUMIF(Councils!$C$6:$C$809,$B152,Councils!$S$6:$S$809)*0.7,0)</f>
        <v>2</v>
      </c>
      <c r="L152">
        <f>ROUND(SUMIF(Councils!$C$6:$C$809,$B152,Councils!$T$6:$T$809)*0.7,0)</f>
        <v>5</v>
      </c>
      <c r="M152">
        <f>ROUND(SUMIF(Councils!$C$6:$C$809,$B152,Councils!$U$6:$U$809)*0.7,0)</f>
        <v>-3</v>
      </c>
      <c r="N152" s="63">
        <f t="shared" si="5"/>
        <v>0</v>
      </c>
    </row>
    <row r="153" spans="1:14">
      <c r="A153">
        <f t="shared" si="6"/>
        <v>1</v>
      </c>
      <c r="B153" s="67">
        <v>189</v>
      </c>
      <c r="C153" s="80">
        <f>IF(ISNA(VLOOKUP($B153,DD_Info!$A$1:$E$216,5,0)),0,VLOOKUP($B153,DD_Info!$A$1:$E$216,5,0))</f>
        <v>1</v>
      </c>
      <c r="D153" t="str">
        <f>IF(ISNA(VLOOKUP($B153,DD_Info!$A$1:$E$216,2,0)),0,VLOOKUP($B153,DD_Info!$A$1:$E$216,2,0))</f>
        <v>Jeff  Popp</v>
      </c>
      <c r="E153" t="str">
        <f>IF(ISNA(VLOOKUP($B153,DD_Info!$A$1:$E$216,3,0)),0,VLOOKUP($B153,DD_Info!$A$1:$E$216,3,0))</f>
        <v>Victoria</v>
      </c>
      <c r="F153">
        <f>ROUND(SUMIF(Councils!$C$6:$C$809,$B153,Councils!$E$6:$E$809),0)</f>
        <v>796</v>
      </c>
      <c r="G153">
        <f>ROUND(SUMIF(Councils!$C$6:$C$809,$B153,Councils!$O$6:$O$809)*0.7,0)</f>
        <v>0</v>
      </c>
      <c r="H153">
        <f>ROUND(SUMIF(Councils!$C$6:$C$809,$B153,Councils!$P$6:$P$809)*0.7,0)</f>
        <v>1</v>
      </c>
      <c r="I153">
        <f>ROUND(SUMIF(Councils!$C$6:$C$809,$B153,Councils!$Q$6:$Q$809)*0.7,0)</f>
        <v>1</v>
      </c>
      <c r="J153">
        <f>ROUND(SUMIF(Councils!$C$6:$C$809,$B153,Councils!$R$6:$R$809)*0.7,0)</f>
        <v>-1</v>
      </c>
      <c r="K153">
        <f>ROUND(SUMIF(Councils!$C$6:$C$809,$B153,Councils!$S$6:$S$809)*0.7,0)</f>
        <v>2</v>
      </c>
      <c r="L153">
        <f>ROUND(SUMIF(Councils!$C$6:$C$809,$B153,Councils!$T$6:$T$809)*0.7,0)</f>
        <v>4</v>
      </c>
      <c r="M153">
        <f>ROUND(SUMIF(Councils!$C$6:$C$809,$B153,Councils!$U$6:$U$809)*0.7,0)</f>
        <v>-1</v>
      </c>
      <c r="N153" s="63">
        <f t="shared" si="5"/>
        <v>0</v>
      </c>
    </row>
    <row r="154" spans="1:14">
      <c r="A154">
        <f t="shared" si="6"/>
        <v>1</v>
      </c>
      <c r="B154" s="67">
        <v>190</v>
      </c>
      <c r="C154" s="80">
        <f>IF(ISNA(VLOOKUP($B154,DD_Info!$A$1:$E$216,5,0)),0,VLOOKUP($B154,DD_Info!$A$1:$E$216,5,0))</f>
        <v>1</v>
      </c>
      <c r="D154" t="str">
        <f>IF(ISNA(VLOOKUP($B154,DD_Info!$A$1:$E$216,2,0)),0,VLOOKUP($B154,DD_Info!$A$1:$E$216,2,0))</f>
        <v>William  Schuette</v>
      </c>
      <c r="E154" t="str">
        <f>IF(ISNA(VLOOKUP($B154,DD_Info!$A$1:$E$216,3,0)),0,VLOOKUP($B154,DD_Info!$A$1:$E$216,3,0))</f>
        <v>Victoria</v>
      </c>
      <c r="F154">
        <f>ROUND(SUMIF(Councils!$C$6:$C$809,$B154,Councils!$E$6:$E$809),0)</f>
        <v>841</v>
      </c>
      <c r="G154">
        <f>ROUND(SUMIF(Councils!$C$6:$C$809,$B154,Councils!$O$6:$O$809)*0.7,0)</f>
        <v>0</v>
      </c>
      <c r="H154">
        <f>ROUND(SUMIF(Councils!$C$6:$C$809,$B154,Councils!$P$6:$P$809)*0.7,0)</f>
        <v>1</v>
      </c>
      <c r="I154">
        <f>ROUND(SUMIF(Councils!$C$6:$C$809,$B154,Councils!$Q$6:$Q$809)*0.7,0)</f>
        <v>1</v>
      </c>
      <c r="J154">
        <f>ROUND(SUMIF(Councils!$C$6:$C$809,$B154,Councils!$R$6:$R$809)*0.7,0)</f>
        <v>0</v>
      </c>
      <c r="K154">
        <f>ROUND(SUMIF(Councils!$C$6:$C$809,$B154,Councils!$S$6:$S$809)*0.7,0)</f>
        <v>4</v>
      </c>
      <c r="L154">
        <f>ROUND(SUMIF(Councils!$C$6:$C$809,$B154,Councils!$T$6:$T$809)*0.7,0)</f>
        <v>2</v>
      </c>
      <c r="M154">
        <f>ROUND(SUMIF(Councils!$C$6:$C$809,$B154,Councils!$U$6:$U$809)*0.7,0)</f>
        <v>1</v>
      </c>
      <c r="N154" s="63">
        <f t="shared" si="5"/>
        <v>0</v>
      </c>
    </row>
    <row r="155" spans="1:14">
      <c r="A155">
        <f t="shared" si="6"/>
        <v>1</v>
      </c>
      <c r="B155" s="67">
        <v>193</v>
      </c>
      <c r="C155" s="80">
        <f>IF(ISNA(VLOOKUP($B155,DD_Info!$A$1:$E$216,5,0)),0,VLOOKUP($B155,DD_Info!$A$1:$E$216,5,0))</f>
        <v>1</v>
      </c>
      <c r="D155" t="str">
        <f>IF(ISNA(VLOOKUP($B155,DD_Info!$A$1:$E$216,2,0)),0,VLOOKUP($B155,DD_Info!$A$1:$E$216,2,0))</f>
        <v>Manuel  Gonzales III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1215</v>
      </c>
      <c r="G155">
        <f>ROUND(SUMIF(Councils!$C$6:$C$809,$B155,Councils!$O$6:$O$809)*0.7,0)</f>
        <v>0</v>
      </c>
      <c r="H155">
        <f>ROUND(SUMIF(Councils!$C$6:$C$809,$B155,Councils!$P$6:$P$809)*0.7,0)</f>
        <v>0</v>
      </c>
      <c r="I155">
        <f>ROUND(SUMIF(Councils!$C$6:$C$809,$B155,Councils!$Q$6:$Q$809)*0.7,0)</f>
        <v>2</v>
      </c>
      <c r="J155">
        <f>ROUND(SUMIF(Councils!$C$6:$C$809,$B155,Councils!$R$6:$R$809)*0.7,0)</f>
        <v>-2</v>
      </c>
      <c r="K155">
        <f>ROUND(SUMIF(Councils!$C$6:$C$809,$B155,Councils!$S$6:$S$809)*0.7,0)</f>
        <v>4</v>
      </c>
      <c r="L155">
        <f>ROUND(SUMIF(Councils!$C$6:$C$809,$B155,Councils!$T$6:$T$809)*0.7,0)</f>
        <v>6</v>
      </c>
      <c r="M155">
        <f>ROUND(SUMIF(Councils!$C$6:$C$809,$B155,Councils!$U$6:$U$809)*0.7,0)</f>
        <v>-2</v>
      </c>
      <c r="N155" s="63">
        <f t="shared" si="5"/>
        <v>0</v>
      </c>
    </row>
    <row r="156" spans="1:14">
      <c r="A156">
        <f t="shared" si="6"/>
        <v>1</v>
      </c>
      <c r="B156" s="67">
        <v>196</v>
      </c>
      <c r="C156" s="80">
        <f>IF(ISNA(VLOOKUP($B156,DD_Info!$A$1:$E$216,5,0)),0,VLOOKUP($B156,DD_Info!$A$1:$E$216,5,0))</f>
        <v>1</v>
      </c>
      <c r="D156" t="str">
        <f>IF(ISNA(VLOOKUP($B156,DD_Info!$A$1:$E$216,2,0)),0,VLOOKUP($B156,DD_Info!$A$1:$E$216,2,0))</f>
        <v>Ron  Railsback</v>
      </c>
      <c r="E156" t="str">
        <f>IF(ISNA(VLOOKUP($B156,DD_Info!$A$1:$E$216,3,0)),0,VLOOKUP($B156,DD_Info!$A$1:$E$216,3,0))</f>
        <v>Amarillo</v>
      </c>
      <c r="F156">
        <f>ROUND(SUMIF(Councils!$C$6:$C$809,$B156,Councils!$E$6:$E$809),0)</f>
        <v>585</v>
      </c>
      <c r="G156">
        <f>ROUND(SUMIF(Councils!$C$6:$C$809,$B156,Councils!$O$6:$O$809)*0.7,0)</f>
        <v>0</v>
      </c>
      <c r="H156">
        <f>ROUND(SUMIF(Councils!$C$6:$C$809,$B156,Councils!$P$6:$P$809)*0.7,0)</f>
        <v>0</v>
      </c>
      <c r="I156">
        <f>ROUND(SUMIF(Councils!$C$6:$C$809,$B156,Councils!$Q$6:$Q$809)*0.7,0)</f>
        <v>1</v>
      </c>
      <c r="J156">
        <f>ROUND(SUMIF(Councils!$C$6:$C$809,$B156,Councils!$R$6:$R$809)*0.7,0)</f>
        <v>-1</v>
      </c>
      <c r="K156">
        <f>ROUND(SUMIF(Councils!$C$6:$C$809,$B156,Councils!$S$6:$S$809)*0.7,0)</f>
        <v>1</v>
      </c>
      <c r="L156">
        <f>ROUND(SUMIF(Councils!$C$6:$C$809,$B156,Councils!$T$6:$T$809)*0.7,0)</f>
        <v>2</v>
      </c>
      <c r="M156">
        <f>ROUND(SUMIF(Councils!$C$6:$C$809,$B156,Councils!$U$6:$U$809)*0.7,0)</f>
        <v>-1</v>
      </c>
      <c r="N156" s="63">
        <f t="shared" si="5"/>
        <v>0</v>
      </c>
    </row>
    <row r="157" spans="1:14">
      <c r="A157">
        <f t="shared" si="6"/>
        <v>1</v>
      </c>
      <c r="B157" s="67">
        <v>199</v>
      </c>
      <c r="C157" s="80">
        <f>IF(ISNA(VLOOKUP($B157,DD_Info!$A$1:$E$216,5,0)),0,VLOOKUP($B157,DD_Info!$A$1:$E$216,5,0))</f>
        <v>2</v>
      </c>
      <c r="D157" t="str">
        <f>IF(ISNA(VLOOKUP($B157,DD_Info!$A$1:$E$216,2,0)),0,VLOOKUP($B157,DD_Info!$A$1:$E$216,2,0))</f>
        <v>Ray G Sistos</v>
      </c>
      <c r="E157" t="str">
        <f>IF(ISNA(VLOOKUP($B157,DD_Info!$A$1:$E$216,3,0)),0,VLOOKUP($B157,DD_Info!$A$1:$E$216,3,0))</f>
        <v>Amarillo</v>
      </c>
      <c r="F157">
        <f>ROUND(SUMIF(Councils!$C$6:$C$809,$B157,Councils!$E$6:$E$809),0)</f>
        <v>356</v>
      </c>
      <c r="G157">
        <f>ROUND(SUMIF(Councils!$C$6:$C$809,$B157,Councils!$O$6:$O$809)*0.7,0)</f>
        <v>0</v>
      </c>
      <c r="H157">
        <f>ROUND(SUMIF(Councils!$C$6:$C$809,$B157,Councils!$P$6:$P$809)*0.7,0)</f>
        <v>0</v>
      </c>
      <c r="I157">
        <f>ROUND(SUMIF(Councils!$C$6:$C$809,$B157,Councils!$Q$6:$Q$809)*0.7,0)</f>
        <v>0</v>
      </c>
      <c r="J157">
        <f>ROUND(SUMIF(Councils!$C$6:$C$809,$B157,Councils!$R$6:$R$809)*0.7,0)</f>
        <v>0</v>
      </c>
      <c r="K157">
        <f>ROUND(SUMIF(Councils!$C$6:$C$809,$B157,Councils!$S$6:$S$809)*0.7,0)</f>
        <v>1</v>
      </c>
      <c r="L157">
        <f>ROUND(SUMIF(Councils!$C$6:$C$809,$B157,Councils!$T$6:$T$809)*0.7,0)</f>
        <v>4</v>
      </c>
      <c r="M157">
        <f>ROUND(SUMIF(Councils!$C$6:$C$809,$B157,Councils!$U$6:$U$809)*0.7,0)</f>
        <v>-2</v>
      </c>
      <c r="N157" s="63">
        <f t="shared" si="5"/>
        <v>0</v>
      </c>
    </row>
    <row r="158" spans="1:14">
      <c r="A158">
        <f t="shared" si="6"/>
        <v>1</v>
      </c>
      <c r="B158" s="67">
        <v>200</v>
      </c>
      <c r="C158" s="80">
        <f>IF(ISNA(VLOOKUP($B158,DD_Info!$A$1:$E$216,5,0)),0,VLOOKUP($B158,DD_Info!$A$1:$E$216,5,0))</f>
        <v>2</v>
      </c>
      <c r="D158" t="str">
        <f>IF(ISNA(VLOOKUP($B158,DD_Info!$A$1:$E$216,2,0)),0,VLOOKUP($B158,DD_Info!$A$1:$E$216,2,0))</f>
        <v>Heath  Henderson</v>
      </c>
      <c r="E158" t="str">
        <f>IF(ISNA(VLOOKUP($B158,DD_Info!$A$1:$E$216,3,0)),0,VLOOKUP($B158,DD_Info!$A$1:$E$216,3,0))</f>
        <v>Amarillo</v>
      </c>
      <c r="F158">
        <f>ROUND(SUMIF(Councils!$C$6:$C$809,$B158,Councils!$E$6:$E$809),0)</f>
        <v>324</v>
      </c>
      <c r="G158">
        <f>ROUND(SUMIF(Councils!$C$6:$C$809,$B158,Councils!$O$6:$O$809)*0.7,0)</f>
        <v>0</v>
      </c>
      <c r="H158">
        <f>ROUND(SUMIF(Councils!$C$6:$C$809,$B158,Councils!$P$6:$P$809)*0.7,0)</f>
        <v>1</v>
      </c>
      <c r="I158">
        <f>ROUND(SUMIF(Councils!$C$6:$C$809,$B158,Councils!$Q$6:$Q$809)*0.7,0)</f>
        <v>0</v>
      </c>
      <c r="J158">
        <f>ROUND(SUMIF(Councils!$C$6:$C$809,$B158,Councils!$R$6:$R$809)*0.7,0)</f>
        <v>1</v>
      </c>
      <c r="K158">
        <f>ROUND(SUMIF(Councils!$C$6:$C$809,$B158,Councils!$S$6:$S$809)*0.7,0)</f>
        <v>1</v>
      </c>
      <c r="L158">
        <f>ROUND(SUMIF(Councils!$C$6:$C$809,$B158,Councils!$T$6:$T$809)*0.7,0)</f>
        <v>0</v>
      </c>
      <c r="M158">
        <f>ROUND(SUMIF(Councils!$C$6:$C$809,$B158,Councils!$U$6:$U$809)*0.7,0)</f>
        <v>1</v>
      </c>
      <c r="N158" s="63">
        <f t="shared" si="5"/>
        <v>0</v>
      </c>
    </row>
    <row r="159" spans="1:14">
      <c r="A159">
        <f t="shared" si="6"/>
        <v>1</v>
      </c>
      <c r="B159" s="67">
        <v>201</v>
      </c>
      <c r="C159" s="80">
        <f>IF(ISNA(VLOOKUP($B159,DD_Info!$A$1:$E$216,5,0)),0,VLOOKUP($B159,DD_Info!$A$1:$E$216,5,0))</f>
        <v>3</v>
      </c>
      <c r="D159" t="str">
        <f>IF(ISNA(VLOOKUP($B159,DD_Info!$A$1:$E$216,2,0)),0,VLOOKUP($B159,DD_Info!$A$1:$E$216,2,0))</f>
        <v>TO BE APPOINTED</v>
      </c>
      <c r="E159" t="str">
        <f>IF(ISNA(VLOOKUP($B159,DD_Info!$A$1:$E$216,3,0)),0,VLOOKUP($B159,DD_Info!$A$1:$E$216,3,0))</f>
        <v>Amarillo</v>
      </c>
      <c r="F159">
        <f>ROUND(SUMIF(Councils!$C$6:$C$809,$B159,Councils!$E$6:$E$809),0)</f>
        <v>289</v>
      </c>
      <c r="G159">
        <f>ROUND(SUMIF(Councils!$C$6:$C$809,$B159,Councils!$O$6:$O$809)*0.7,0)</f>
        <v>0</v>
      </c>
      <c r="H159">
        <f>ROUND(SUMIF(Councils!$C$6:$C$809,$B159,Councils!$P$6:$P$809)*0.7,0)</f>
        <v>0</v>
      </c>
      <c r="I159">
        <f>ROUND(SUMIF(Councils!$C$6:$C$809,$B159,Councils!$Q$6:$Q$809)*0.7,0)</f>
        <v>0</v>
      </c>
      <c r="J159">
        <f>ROUND(SUMIF(Councils!$C$6:$C$809,$B159,Councils!$R$6:$R$809)*0.7,0)</f>
        <v>0</v>
      </c>
      <c r="K159">
        <f>ROUND(SUMIF(Councils!$C$6:$C$809,$B159,Councils!$S$6:$S$809)*0.7,0)</f>
        <v>0</v>
      </c>
      <c r="L159">
        <f>ROUND(SUMIF(Councils!$C$6:$C$809,$B159,Councils!$T$6:$T$809)*0.7,0)</f>
        <v>1</v>
      </c>
      <c r="M159">
        <f>ROUND(SUMIF(Councils!$C$6:$C$809,$B159,Councils!$U$6:$U$809)*0.7,0)</f>
        <v>-1</v>
      </c>
      <c r="N159" s="63">
        <f t="shared" si="5"/>
        <v>0</v>
      </c>
    </row>
    <row r="160" spans="1:14">
      <c r="A160">
        <f t="shared" si="6"/>
        <v>1</v>
      </c>
      <c r="B160" s="67">
        <v>211</v>
      </c>
      <c r="C160" s="80">
        <f>IF(ISNA(VLOOKUP($B160,DD_Info!$A$1:$E$216,5,0)),0,VLOOKUP($B160,DD_Info!$A$1:$E$216,5,0))</f>
        <v>3</v>
      </c>
      <c r="D160" t="str">
        <f>IF(ISNA(VLOOKUP($B160,DD_Info!$A$1:$E$216,2,0)),0,VLOOKUP($B160,DD_Info!$A$1:$E$216,2,0))</f>
        <v>Martin  Rivas</v>
      </c>
      <c r="E160" t="str">
        <f>IF(ISNA(VLOOKUP($B160,DD_Info!$A$1:$E$216,3,0)),0,VLOOKUP($B160,DD_Info!$A$1:$E$216,3,0))</f>
        <v>Brownsville</v>
      </c>
      <c r="F160">
        <f>ROUND(SUMIF(Councils!$C$6:$C$809,$B160,Councils!$E$6:$E$809),0)</f>
        <v>129</v>
      </c>
      <c r="G160">
        <f>ROUND(SUMIF(Councils!$C$6:$C$809,$B160,Councils!$O$6:$O$809)*0.7,0)</f>
        <v>0</v>
      </c>
      <c r="H160">
        <f>ROUND(SUMIF(Councils!$C$6:$C$809,$B160,Councils!$P$6:$P$809)*0.7,0)</f>
        <v>0</v>
      </c>
      <c r="I160">
        <f>ROUND(SUMIF(Councils!$C$6:$C$809,$B160,Councils!$Q$6:$Q$809)*0.7,0)</f>
        <v>0</v>
      </c>
      <c r="J160">
        <f>ROUND(SUMIF(Councils!$C$6:$C$809,$B160,Councils!$R$6:$R$809)*0.7,0)</f>
        <v>0</v>
      </c>
      <c r="K160">
        <f>ROUND(SUMIF(Councils!$C$6:$C$809,$B160,Councils!$S$6:$S$809)*0.7,0)</f>
        <v>1</v>
      </c>
      <c r="L160">
        <f>ROUND(SUMIF(Councils!$C$6:$C$809,$B160,Councils!$T$6:$T$809)*0.7,0)</f>
        <v>1</v>
      </c>
      <c r="M160">
        <f>ROUND(SUMIF(Councils!$C$6:$C$809,$B160,Councils!$U$6:$U$809)*0.7,0)</f>
        <v>0</v>
      </c>
      <c r="N160" s="63">
        <f t="shared" si="5"/>
        <v>0</v>
      </c>
    </row>
    <row r="161" spans="1:14">
      <c r="A161">
        <f t="shared" si="6"/>
        <v>1</v>
      </c>
      <c r="B161" s="67">
        <v>215</v>
      </c>
      <c r="C161" s="80">
        <f>IF(ISNA(VLOOKUP($B161,DD_Info!$A$1:$E$216,5,0)),0,VLOOKUP($B161,DD_Info!$A$1:$E$216,5,0))</f>
        <v>2</v>
      </c>
      <c r="D161" t="str">
        <f>IF(ISNA(VLOOKUP($B161,DD_Info!$A$1:$E$216,2,0)),0,VLOOKUP($B161,DD_Info!$A$1:$E$216,2,0))</f>
        <v>Arnulfo  Esqueda</v>
      </c>
      <c r="E161" t="str">
        <f>IF(ISNA(VLOOKUP($B161,DD_Info!$A$1:$E$216,3,0)),0,VLOOKUP($B161,DD_Info!$A$1:$E$216,3,0))</f>
        <v>Brownsville</v>
      </c>
      <c r="F161">
        <f>ROUND(SUMIF(Councils!$C$6:$C$809,$B161,Councils!$E$6:$E$809),0)</f>
        <v>367</v>
      </c>
      <c r="G161">
        <f>ROUND(SUMIF(Councils!$C$6:$C$809,$B161,Councils!$O$6:$O$809)*0.7,0)</f>
        <v>0</v>
      </c>
      <c r="H161">
        <f>ROUND(SUMIF(Councils!$C$6:$C$809,$B161,Councils!$P$6:$P$809)*0.7,0)</f>
        <v>0</v>
      </c>
      <c r="I161">
        <f>ROUND(SUMIF(Councils!$C$6:$C$809,$B161,Councils!$Q$6:$Q$809)*0.7,0)</f>
        <v>1</v>
      </c>
      <c r="J161">
        <f>ROUND(SUMIF(Councils!$C$6:$C$809,$B161,Councils!$R$6:$R$809)*0.7,0)</f>
        <v>-1</v>
      </c>
      <c r="K161">
        <f>ROUND(SUMIF(Councils!$C$6:$C$809,$B161,Councils!$S$6:$S$809)*0.7,0)</f>
        <v>1</v>
      </c>
      <c r="L161">
        <f>ROUND(SUMIF(Councils!$C$6:$C$809,$B161,Councils!$T$6:$T$809)*0.7,0)</f>
        <v>2</v>
      </c>
      <c r="M161">
        <f>ROUND(SUMIF(Councils!$C$6:$C$809,$B161,Councils!$U$6:$U$809)*0.7,0)</f>
        <v>-1</v>
      </c>
      <c r="N161" s="63">
        <f t="shared" si="5"/>
        <v>0</v>
      </c>
    </row>
    <row r="162" spans="1:14">
      <c r="A162">
        <f t="shared" si="6"/>
        <v>1</v>
      </c>
      <c r="B162" s="67">
        <v>216</v>
      </c>
      <c r="C162" s="80">
        <f>IF(ISNA(VLOOKUP($B162,DD_Info!$A$1:$E$216,5,0)),0,VLOOKUP($B162,DD_Info!$A$1:$E$216,5,0))</f>
        <v>3</v>
      </c>
      <c r="D162" t="str">
        <f>IF(ISNA(VLOOKUP($B162,DD_Info!$A$1:$E$216,2,0)),0,VLOOKUP($B162,DD_Info!$A$1:$E$216,2,0))</f>
        <v>Carlos  Perez</v>
      </c>
      <c r="E162" t="str">
        <f>IF(ISNA(VLOOKUP($B162,DD_Info!$A$1:$E$216,3,0)),0,VLOOKUP($B162,DD_Info!$A$1:$E$216,3,0))</f>
        <v>Brownsville</v>
      </c>
      <c r="F162">
        <f>ROUND(SUMIF(Councils!$C$6:$C$809,$B162,Councils!$E$6:$E$809),0)</f>
        <v>282</v>
      </c>
      <c r="G162">
        <f>ROUND(SUMIF(Councils!$C$6:$C$809,$B162,Councils!$O$6:$O$809)*0.7,0)</f>
        <v>0</v>
      </c>
      <c r="H162">
        <f>ROUND(SUMIF(Councils!$C$6:$C$809,$B162,Councils!$P$6:$P$809)*0.7,0)</f>
        <v>0</v>
      </c>
      <c r="I162">
        <f>ROUND(SUMIF(Councils!$C$6:$C$809,$B162,Councils!$Q$6:$Q$809)*0.7,0)</f>
        <v>0</v>
      </c>
      <c r="J162">
        <f>ROUND(SUMIF(Councils!$C$6:$C$809,$B162,Councils!$R$6:$R$809)*0.7,0)</f>
        <v>0</v>
      </c>
      <c r="K162">
        <f>ROUND(SUMIF(Councils!$C$6:$C$809,$B162,Councils!$S$6:$S$809)*0.7,0)</f>
        <v>4</v>
      </c>
      <c r="L162">
        <f>ROUND(SUMIF(Councils!$C$6:$C$809,$B162,Councils!$T$6:$T$809)*0.7,0)</f>
        <v>1</v>
      </c>
      <c r="M162">
        <f>ROUND(SUMIF(Councils!$C$6:$C$809,$B162,Councils!$U$6:$U$809)*0.7,0)</f>
        <v>3</v>
      </c>
      <c r="N162" s="63">
        <f t="shared" si="5"/>
        <v>0</v>
      </c>
    </row>
    <row r="163" spans="1:14">
      <c r="A163">
        <f t="shared" si="6"/>
        <v>1</v>
      </c>
      <c r="B163" s="67">
        <v>221</v>
      </c>
      <c r="C163" s="80">
        <f>IF(ISNA(VLOOKUP($B163,DD_Info!$A$1:$E$216,5,0)),0,VLOOKUP($B163,DD_Info!$A$1:$E$216,5,0))</f>
        <v>2</v>
      </c>
      <c r="D163" t="str">
        <f>IF(ISNA(VLOOKUP($B163,DD_Info!$A$1:$E$216,2,0)),0,VLOOKUP($B163,DD_Info!$A$1:$E$216,2,0))</f>
        <v>Roman M Estrada</v>
      </c>
      <c r="E163" t="str">
        <f>IF(ISNA(VLOOKUP($B163,DD_Info!$A$1:$E$216,3,0)),0,VLOOKUP($B163,DD_Info!$A$1:$E$216,3,0))</f>
        <v>San Angelo</v>
      </c>
      <c r="F163">
        <f>ROUND(SUMIF(Councils!$C$6:$C$809,$B163,Councils!$E$6:$E$809),0)</f>
        <v>314</v>
      </c>
      <c r="G163">
        <f>ROUND(SUMIF(Councils!$C$6:$C$809,$B163,Councils!$O$6:$O$809)*0.7,0)</f>
        <v>0</v>
      </c>
      <c r="H163">
        <f>ROUND(SUMIF(Councils!$C$6:$C$809,$B163,Councils!$P$6:$P$809)*0.7,0)</f>
        <v>0</v>
      </c>
      <c r="I163">
        <f>ROUND(SUMIF(Councils!$C$6:$C$809,$B163,Councils!$Q$6:$Q$809)*0.7,0)</f>
        <v>0</v>
      </c>
      <c r="J163">
        <f>ROUND(SUMIF(Councils!$C$6:$C$809,$B163,Councils!$R$6:$R$809)*0.7,0)</f>
        <v>0</v>
      </c>
      <c r="K163">
        <f>ROUND(SUMIF(Councils!$C$6:$C$809,$B163,Councils!$S$6:$S$809)*0.7,0)</f>
        <v>1</v>
      </c>
      <c r="L163">
        <f>ROUND(SUMIF(Councils!$C$6:$C$809,$B163,Councils!$T$6:$T$809)*0.7,0)</f>
        <v>2</v>
      </c>
      <c r="M163">
        <f>ROUND(SUMIF(Councils!$C$6:$C$809,$B163,Councils!$U$6:$U$809)*0.7,0)</f>
        <v>-1</v>
      </c>
      <c r="N163" s="63">
        <f t="shared" si="5"/>
        <v>0</v>
      </c>
    </row>
    <row r="164" spans="1:14">
      <c r="A164">
        <f t="shared" si="6"/>
        <v>1</v>
      </c>
      <c r="B164" s="67">
        <v>222</v>
      </c>
      <c r="C164" s="80">
        <f>IF(ISNA(VLOOKUP($B164,DD_Info!$A$1:$E$216,5,0)),0,VLOOKUP($B164,DD_Info!$A$1:$E$216,5,0))</f>
        <v>2</v>
      </c>
      <c r="D164" t="str">
        <f>IF(ISNA(VLOOKUP($B164,DD_Info!$A$1:$E$216,2,0)),0,VLOOKUP($B164,DD_Info!$A$1:$E$216,2,0))</f>
        <v>Gregory J Dutchover</v>
      </c>
      <c r="E164" t="str">
        <f>IF(ISNA(VLOOKUP($B164,DD_Info!$A$1:$E$216,3,0)),0,VLOOKUP($B164,DD_Info!$A$1:$E$216,3,0))</f>
        <v>San Angelo</v>
      </c>
      <c r="F164">
        <f>ROUND(SUMIF(Councils!$C$6:$C$809,$B164,Councils!$E$6:$E$809),0)</f>
        <v>339</v>
      </c>
      <c r="G164">
        <f>ROUND(SUMIF(Councils!$C$6:$C$809,$B164,Councils!$O$6:$O$809)*0.7,0)</f>
        <v>0</v>
      </c>
      <c r="H164">
        <f>ROUND(SUMIF(Councils!$C$6:$C$809,$B164,Councils!$P$6:$P$809)*0.7,0)</f>
        <v>0</v>
      </c>
      <c r="I164">
        <f>ROUND(SUMIF(Councils!$C$6:$C$809,$B164,Councils!$Q$6:$Q$809)*0.7,0)</f>
        <v>0</v>
      </c>
      <c r="J164">
        <f>ROUND(SUMIF(Councils!$C$6:$C$809,$B164,Councils!$R$6:$R$809)*0.7,0)</f>
        <v>0</v>
      </c>
      <c r="K164">
        <f>ROUND(SUMIF(Councils!$C$6:$C$809,$B164,Councils!$S$6:$S$809)*0.7,0)</f>
        <v>0</v>
      </c>
      <c r="L164">
        <f>ROUND(SUMIF(Councils!$C$6:$C$809,$B164,Councils!$T$6:$T$809)*0.7,0)</f>
        <v>1</v>
      </c>
      <c r="M164">
        <f>ROUND(SUMIF(Councils!$C$6:$C$809,$B164,Councils!$U$6:$U$809)*0.7,0)</f>
        <v>-1</v>
      </c>
      <c r="N164" s="63">
        <f t="shared" si="5"/>
        <v>0</v>
      </c>
    </row>
    <row r="165" spans="1:14">
      <c r="A165">
        <f t="shared" si="6"/>
        <v>1</v>
      </c>
      <c r="B165" s="67">
        <v>223</v>
      </c>
      <c r="C165" s="80">
        <f>IF(ISNA(VLOOKUP($B165,DD_Info!$A$1:$E$216,5,0)),0,VLOOKUP($B165,DD_Info!$A$1:$E$216,5,0))</f>
        <v>1</v>
      </c>
      <c r="D165" t="str">
        <f>IF(ISNA(VLOOKUP($B165,DD_Info!$A$1:$E$216,2,0)),0,VLOOKUP($B165,DD_Info!$A$1:$E$216,2,0))</f>
        <v>Aloysius "Al" E NovoGradac Jr</v>
      </c>
      <c r="E165" t="str">
        <f>IF(ISNA(VLOOKUP($B165,DD_Info!$A$1:$E$216,3,0)),0,VLOOKUP($B165,DD_Info!$A$1:$E$216,3,0))</f>
        <v>San Angelo</v>
      </c>
      <c r="F165">
        <f>ROUND(SUMIF(Councils!$C$6:$C$809,$B165,Councils!$E$6:$E$809),0)</f>
        <v>732</v>
      </c>
      <c r="G165">
        <f>ROUND(SUMIF(Councils!$C$6:$C$809,$B165,Councils!$O$6:$O$809)*0.7,0)</f>
        <v>0</v>
      </c>
      <c r="H165">
        <f>ROUND(SUMIF(Councils!$C$6:$C$809,$B165,Councils!$P$6:$P$809)*0.7,0)</f>
        <v>0</v>
      </c>
      <c r="I165">
        <f>ROUND(SUMIF(Councils!$C$6:$C$809,$B165,Councils!$Q$6:$Q$809)*0.7,0)</f>
        <v>2</v>
      </c>
      <c r="J165">
        <f>ROUND(SUMIF(Councils!$C$6:$C$809,$B165,Councils!$R$6:$R$809)*0.7,0)</f>
        <v>-2</v>
      </c>
      <c r="K165">
        <f>ROUND(SUMIF(Councils!$C$6:$C$809,$B165,Councils!$S$6:$S$809)*0.7,0)</f>
        <v>1</v>
      </c>
      <c r="L165">
        <f>ROUND(SUMIF(Councils!$C$6:$C$809,$B165,Councils!$T$6:$T$809)*0.7,0)</f>
        <v>6</v>
      </c>
      <c r="M165">
        <f>ROUND(SUMIF(Councils!$C$6:$C$809,$B165,Councils!$U$6:$U$809)*0.7,0)</f>
        <v>-5</v>
      </c>
      <c r="N165" s="63">
        <f t="shared" si="5"/>
        <v>0</v>
      </c>
    </row>
    <row r="166" spans="1:14">
      <c r="A166">
        <f t="shared" si="6"/>
        <v>1</v>
      </c>
      <c r="B166" s="67">
        <v>225</v>
      </c>
      <c r="C166" s="80">
        <f>IF(ISNA(VLOOKUP($B166,DD_Info!$A$1:$E$216,5,0)),0,VLOOKUP($B166,DD_Info!$A$1:$E$216,5,0))</f>
        <v>3</v>
      </c>
      <c r="D166" t="str">
        <f>IF(ISNA(VLOOKUP($B166,DD_Info!$A$1:$E$216,2,0)),0,VLOOKUP($B166,DD_Info!$A$1:$E$216,2,0))</f>
        <v>Frank  Casares</v>
      </c>
      <c r="E166" t="str">
        <f>IF(ISNA(VLOOKUP($B166,DD_Info!$A$1:$E$216,3,0)),0,VLOOKUP($B166,DD_Info!$A$1:$E$216,3,0))</f>
        <v>San Angelo</v>
      </c>
      <c r="F166">
        <f>ROUND(SUMIF(Councils!$C$6:$C$809,$B166,Councils!$E$6:$E$809),0)</f>
        <v>211</v>
      </c>
      <c r="G166">
        <f>ROUND(SUMIF(Councils!$C$6:$C$809,$B166,Councils!$O$6:$O$809)*0.7,0)</f>
        <v>0</v>
      </c>
      <c r="H166">
        <f>ROUND(SUMIF(Councils!$C$6:$C$809,$B166,Councils!$P$6:$P$809)*0.7,0)</f>
        <v>0</v>
      </c>
      <c r="I166">
        <f>ROUND(SUMIF(Councils!$C$6:$C$809,$B166,Councils!$Q$6:$Q$809)*0.7,0)</f>
        <v>0</v>
      </c>
      <c r="J166">
        <f>ROUND(SUMIF(Councils!$C$6:$C$809,$B166,Councils!$R$6:$R$809)*0.7,0)</f>
        <v>0</v>
      </c>
      <c r="K166">
        <f>ROUND(SUMIF(Councils!$C$6:$C$809,$B166,Councils!$S$6:$S$809)*0.7,0)</f>
        <v>0</v>
      </c>
      <c r="L166">
        <f>ROUND(SUMIF(Councils!$C$6:$C$809,$B166,Councils!$T$6:$T$809)*0.7,0)</f>
        <v>0</v>
      </c>
      <c r="M166">
        <f>ROUND(SUMIF(Councils!$C$6:$C$809,$B166,Councils!$U$6:$U$809)*0.7,0)</f>
        <v>0</v>
      </c>
      <c r="N166" s="63">
        <f t="shared" si="5"/>
        <v>0</v>
      </c>
    </row>
    <row r="167" spans="1:14">
      <c r="A167">
        <f t="shared" si="6"/>
        <v>1</v>
      </c>
      <c r="B167" s="67">
        <v>226</v>
      </c>
      <c r="C167" s="80">
        <f>IF(ISNA(VLOOKUP($B167,DD_Info!$A$1:$E$216,5,0)),0,VLOOKUP($B167,DD_Info!$A$1:$E$216,5,0))</f>
        <v>3</v>
      </c>
      <c r="D167" t="str">
        <f>IF(ISNA(VLOOKUP($B167,DD_Info!$A$1:$E$216,2,0)),0,VLOOKUP($B167,DD_Info!$A$1:$E$216,2,0))</f>
        <v>Deacon Frankie D Aguirre</v>
      </c>
      <c r="E167" t="str">
        <f>IF(ISNA(VLOOKUP($B167,DD_Info!$A$1:$E$216,3,0)),0,VLOOKUP($B167,DD_Info!$A$1:$E$216,3,0))</f>
        <v>San Angelo</v>
      </c>
      <c r="F167">
        <f>ROUND(SUMIF(Councils!$C$6:$C$809,$B167,Councils!$E$6:$E$809),0)</f>
        <v>281</v>
      </c>
      <c r="G167">
        <f>ROUND(SUMIF(Councils!$C$6:$C$809,$B167,Councils!$O$6:$O$809)*0.7,0)</f>
        <v>0</v>
      </c>
      <c r="H167">
        <f>ROUND(SUMIF(Councils!$C$6:$C$809,$B167,Councils!$P$6:$P$809)*0.7,0)</f>
        <v>0</v>
      </c>
      <c r="I167">
        <f>ROUND(SUMIF(Councils!$C$6:$C$809,$B167,Councils!$Q$6:$Q$809)*0.7,0)</f>
        <v>0</v>
      </c>
      <c r="J167">
        <f>ROUND(SUMIF(Councils!$C$6:$C$809,$B167,Councils!$R$6:$R$809)*0.7,0)</f>
        <v>0</v>
      </c>
      <c r="K167">
        <f>ROUND(SUMIF(Councils!$C$6:$C$809,$B167,Councils!$S$6:$S$809)*0.7,0)</f>
        <v>0</v>
      </c>
      <c r="L167">
        <f>ROUND(SUMIF(Councils!$C$6:$C$809,$B167,Councils!$T$6:$T$809)*0.7,0)</f>
        <v>0</v>
      </c>
      <c r="M167">
        <f>ROUND(SUMIF(Councils!$C$6:$C$809,$B167,Councils!$U$6:$U$809)*0.7,0)</f>
        <v>0</v>
      </c>
      <c r="N167" s="63">
        <f t="shared" si="5"/>
        <v>0</v>
      </c>
    </row>
    <row r="168" spans="1:14">
      <c r="A168">
        <f t="shared" si="6"/>
        <v>1</v>
      </c>
      <c r="B168" s="67">
        <v>228</v>
      </c>
      <c r="C168" s="80">
        <f>IF(ISNA(VLOOKUP($B168,DD_Info!$A$1:$E$216,5,0)),0,VLOOKUP($B168,DD_Info!$A$1:$E$216,5,0))</f>
        <v>2</v>
      </c>
      <c r="D168" t="str">
        <f>IF(ISNA(VLOOKUP($B168,DD_Info!$A$1:$E$216,2,0)),0,VLOOKUP($B168,DD_Info!$A$1:$E$216,2,0))</f>
        <v>Steven  Knight</v>
      </c>
      <c r="E168" t="str">
        <f>IF(ISNA(VLOOKUP($B168,DD_Info!$A$1:$E$216,3,0)),0,VLOOKUP($B168,DD_Info!$A$1:$E$216,3,0))</f>
        <v>San Angelo</v>
      </c>
      <c r="F168">
        <f>ROUND(SUMIF(Councils!$C$6:$C$809,$B168,Councils!$E$6:$E$809),0)</f>
        <v>473</v>
      </c>
      <c r="G168">
        <f>ROUND(SUMIF(Councils!$C$6:$C$809,$B168,Councils!$O$6:$O$809)*0.7,0)</f>
        <v>0</v>
      </c>
      <c r="H168">
        <f>ROUND(SUMIF(Councils!$C$6:$C$809,$B168,Councils!$P$6:$P$809)*0.7,0)</f>
        <v>0</v>
      </c>
      <c r="I168">
        <f>ROUND(SUMIF(Councils!$C$6:$C$809,$B168,Councils!$Q$6:$Q$809)*0.7,0)</f>
        <v>0</v>
      </c>
      <c r="J168">
        <f>ROUND(SUMIF(Councils!$C$6:$C$809,$B168,Councils!$R$6:$R$809)*0.7,0)</f>
        <v>0</v>
      </c>
      <c r="K168">
        <f>ROUND(SUMIF(Councils!$C$6:$C$809,$B168,Councils!$S$6:$S$809)*0.7,0)</f>
        <v>0</v>
      </c>
      <c r="L168">
        <f>ROUND(SUMIF(Councils!$C$6:$C$809,$B168,Councils!$T$6:$T$809)*0.7,0)</f>
        <v>0</v>
      </c>
      <c r="M168">
        <f>ROUND(SUMIF(Councils!$C$6:$C$809,$B168,Councils!$U$6:$U$809)*0.7,0)</f>
        <v>0</v>
      </c>
      <c r="N168" s="63">
        <f t="shared" si="5"/>
        <v>0</v>
      </c>
    </row>
    <row r="169" spans="1:14">
      <c r="A169">
        <f t="shared" si="6"/>
        <v>1</v>
      </c>
      <c r="B169" s="67">
        <v>229</v>
      </c>
      <c r="C169" s="80">
        <f>IF(ISNA(VLOOKUP($B169,DD_Info!$A$1:$E$216,5,0)),0,VLOOKUP($B169,DD_Info!$A$1:$E$216,5,0))</f>
        <v>2</v>
      </c>
      <c r="D169" t="str">
        <f>IF(ISNA(VLOOKUP($B169,DD_Info!$A$1:$E$216,2,0)),0,VLOOKUP($B169,DD_Info!$A$1:$E$216,2,0))</f>
        <v>Gregory  Huffman</v>
      </c>
      <c r="E169" t="str">
        <f>IF(ISNA(VLOOKUP($B169,DD_Info!$A$1:$E$216,3,0)),0,VLOOKUP($B169,DD_Info!$A$1:$E$216,3,0))</f>
        <v>San Angelo</v>
      </c>
      <c r="F169">
        <f>ROUND(SUMIF(Councils!$C$6:$C$809,$B169,Councils!$E$6:$E$809),0)</f>
        <v>363</v>
      </c>
      <c r="G169">
        <f>ROUND(SUMIF(Councils!$C$6:$C$809,$B169,Councils!$O$6:$O$809)*0.7,0)</f>
        <v>0</v>
      </c>
      <c r="H169">
        <f>ROUND(SUMIF(Councils!$C$6:$C$809,$B169,Councils!$P$6:$P$809)*0.7,0)</f>
        <v>0</v>
      </c>
      <c r="I169">
        <f>ROUND(SUMIF(Councils!$C$6:$C$809,$B169,Councils!$Q$6:$Q$809)*0.7,0)</f>
        <v>0</v>
      </c>
      <c r="J169">
        <f>ROUND(SUMIF(Councils!$C$6:$C$809,$B169,Councils!$R$6:$R$809)*0.7,0)</f>
        <v>0</v>
      </c>
      <c r="K169">
        <f>ROUND(SUMIF(Councils!$C$6:$C$809,$B169,Councils!$S$6:$S$809)*0.7,0)</f>
        <v>1</v>
      </c>
      <c r="L169">
        <f>ROUND(SUMIF(Councils!$C$6:$C$809,$B169,Councils!$T$6:$T$809)*0.7,0)</f>
        <v>1</v>
      </c>
      <c r="M169">
        <f>ROUND(SUMIF(Councils!$C$6:$C$809,$B169,Councils!$U$6:$U$809)*0.7,0)</f>
        <v>1</v>
      </c>
      <c r="N169" s="63">
        <f t="shared" si="5"/>
        <v>0</v>
      </c>
    </row>
    <row r="170" spans="1:14">
      <c r="A170">
        <f t="shared" si="6"/>
        <v>1</v>
      </c>
      <c r="B170" s="67">
        <v>230</v>
      </c>
      <c r="C170" s="80">
        <f>IF(ISNA(VLOOKUP($B170,DD_Info!$A$1:$E$216,5,0)),0,VLOOKUP($B170,DD_Info!$A$1:$E$216,5,0))</f>
        <v>3</v>
      </c>
      <c r="D170" t="str">
        <f>IF(ISNA(VLOOKUP($B170,DD_Info!$A$1:$E$216,2,0)),0,VLOOKUP($B170,DD_Info!$A$1:$E$216,2,0))</f>
        <v>Joe  Jacobo</v>
      </c>
      <c r="E170" t="str">
        <f>IF(ISNA(VLOOKUP($B170,DD_Info!$A$1:$E$216,3,0)),0,VLOOKUP($B170,DD_Info!$A$1:$E$216,3,0))</f>
        <v>San Angelo</v>
      </c>
      <c r="F170">
        <f>ROUND(SUMIF(Councils!$C$6:$C$809,$B170,Councils!$E$6:$E$809),0)</f>
        <v>14</v>
      </c>
      <c r="G170">
        <f>ROUND(SUMIF(Councils!$C$6:$C$809,$B170,Councils!$O$6:$O$809)*0.7,0)</f>
        <v>0</v>
      </c>
      <c r="H170">
        <f>ROUND(SUMIF(Councils!$C$6:$C$809,$B170,Councils!$P$6:$P$809)*0.7,0)</f>
        <v>0</v>
      </c>
      <c r="I170">
        <f>ROUND(SUMIF(Councils!$C$6:$C$809,$B170,Councils!$Q$6:$Q$809)*0.7,0)</f>
        <v>0</v>
      </c>
      <c r="J170">
        <f>ROUND(SUMIF(Councils!$C$6:$C$809,$B170,Councils!$R$6:$R$809)*0.7,0)</f>
        <v>0</v>
      </c>
      <c r="K170">
        <f>ROUND(SUMIF(Councils!$C$6:$C$809,$B170,Councils!$S$6:$S$809)*0.7,0)</f>
        <v>0</v>
      </c>
      <c r="L170">
        <f>ROUND(SUMIF(Councils!$C$6:$C$809,$B170,Councils!$T$6:$T$809)*0.7,0)</f>
        <v>0</v>
      </c>
      <c r="M170">
        <f>ROUND(SUMIF(Councils!$C$6:$C$809,$B170,Councils!$U$6:$U$809)*0.7,0)</f>
        <v>0</v>
      </c>
      <c r="N170" s="63">
        <f t="shared" si="5"/>
        <v>0</v>
      </c>
    </row>
    <row r="171" spans="1:14">
      <c r="A171">
        <f t="shared" si="6"/>
        <v>1</v>
      </c>
      <c r="B171" s="67">
        <v>231</v>
      </c>
      <c r="C171" s="80">
        <f>IF(ISNA(VLOOKUP($B171,DD_Info!$A$1:$E$216,5,0)),0,VLOOKUP($B171,DD_Info!$A$1:$E$216,5,0))</f>
        <v>2</v>
      </c>
      <c r="D171" t="str">
        <f>IF(ISNA(VLOOKUP($B171,DD_Info!$A$1:$E$216,2,0)),0,VLOOKUP($B171,DD_Info!$A$1:$E$216,2,0))</f>
        <v>Isaac A Gonzalez</v>
      </c>
      <c r="E171" t="str">
        <f>IF(ISNA(VLOOKUP($B171,DD_Info!$A$1:$E$216,3,0)),0,VLOOKUP($B171,DD_Info!$A$1:$E$216,3,0))</f>
        <v>Laredo</v>
      </c>
      <c r="F171">
        <f>ROUND(SUMIF(Councils!$C$6:$C$809,$B171,Councils!$E$6:$E$809),0)</f>
        <v>354</v>
      </c>
      <c r="G171">
        <f>ROUND(SUMIF(Councils!$C$6:$C$809,$B171,Councils!$O$6:$O$809)*0.7,0)</f>
        <v>0</v>
      </c>
      <c r="H171">
        <f>ROUND(SUMIF(Councils!$C$6:$C$809,$B171,Councils!$P$6:$P$809)*0.7,0)</f>
        <v>0</v>
      </c>
      <c r="I171">
        <f>ROUND(SUMIF(Councils!$C$6:$C$809,$B171,Councils!$Q$6:$Q$809)*0.7,0)</f>
        <v>0</v>
      </c>
      <c r="J171">
        <f>ROUND(SUMIF(Councils!$C$6:$C$809,$B171,Councils!$R$6:$R$809)*0.7,0)</f>
        <v>0</v>
      </c>
      <c r="K171">
        <f>ROUND(SUMIF(Councils!$C$6:$C$809,$B171,Councils!$S$6:$S$809)*0.7,0)</f>
        <v>0</v>
      </c>
      <c r="L171">
        <f>ROUND(SUMIF(Councils!$C$6:$C$809,$B171,Councils!$T$6:$T$809)*0.7,0)</f>
        <v>1</v>
      </c>
      <c r="M171">
        <f>ROUND(SUMIF(Councils!$C$6:$C$809,$B171,Councils!$U$6:$U$809)*0.7,0)</f>
        <v>-1</v>
      </c>
      <c r="N171" s="63">
        <f t="shared" si="5"/>
        <v>0</v>
      </c>
    </row>
    <row r="172" spans="1:14">
      <c r="A172">
        <f t="shared" si="6"/>
        <v>1</v>
      </c>
      <c r="B172" s="67">
        <v>232</v>
      </c>
      <c r="C172" s="80">
        <f>IF(ISNA(VLOOKUP($B172,DD_Info!$A$1:$E$216,5,0)),0,VLOOKUP($B172,DD_Info!$A$1:$E$216,5,0))</f>
        <v>3</v>
      </c>
      <c r="D172" t="str">
        <f>IF(ISNA(VLOOKUP($B172,DD_Info!$A$1:$E$216,2,0)),0,VLOOKUP($B172,DD_Info!$A$1:$E$216,2,0))</f>
        <v>Jose Luis  Rodriguez</v>
      </c>
      <c r="E172" t="str">
        <f>IF(ISNA(VLOOKUP($B172,DD_Info!$A$1:$E$216,3,0)),0,VLOOKUP($B172,DD_Info!$A$1:$E$216,3,0))</f>
        <v>Laredo</v>
      </c>
      <c r="F172">
        <f>ROUND(SUMIF(Councils!$C$6:$C$809,$B172,Councils!$E$6:$E$809),0)</f>
        <v>189</v>
      </c>
      <c r="G172">
        <f>ROUND(SUMIF(Councils!$C$6:$C$809,$B172,Councils!$O$6:$O$809)*0.7,0)</f>
        <v>0</v>
      </c>
      <c r="H172">
        <f>ROUND(SUMIF(Councils!$C$6:$C$809,$B172,Councils!$P$6:$P$809)*0.7,0)</f>
        <v>0</v>
      </c>
      <c r="I172">
        <f>ROUND(SUMIF(Councils!$C$6:$C$809,$B172,Councils!$Q$6:$Q$809)*0.7,0)</f>
        <v>0</v>
      </c>
      <c r="J172">
        <f>ROUND(SUMIF(Councils!$C$6:$C$809,$B172,Councils!$R$6:$R$809)*0.7,0)</f>
        <v>0</v>
      </c>
      <c r="K172">
        <f>ROUND(SUMIF(Councils!$C$6:$C$809,$B172,Councils!$S$6:$S$809)*0.7,0)</f>
        <v>0</v>
      </c>
      <c r="L172">
        <f>ROUND(SUMIF(Councils!$C$6:$C$809,$B172,Councils!$T$6:$T$809)*0.7,0)</f>
        <v>0</v>
      </c>
      <c r="M172">
        <f>ROUND(SUMIF(Councils!$C$6:$C$809,$B172,Councils!$U$6:$U$809)*0.7,0)</f>
        <v>0</v>
      </c>
      <c r="N172" s="63">
        <f t="shared" si="5"/>
        <v>0</v>
      </c>
    </row>
    <row r="173" spans="1:14">
      <c r="A173">
        <f t="shared" si="6"/>
        <v>1</v>
      </c>
      <c r="B173" s="67">
        <v>233</v>
      </c>
      <c r="C173" s="80">
        <f>IF(ISNA(VLOOKUP($B173,DD_Info!$A$1:$E$216,5,0)),0,VLOOKUP($B173,DD_Info!$A$1:$E$216,5,0))</f>
        <v>3</v>
      </c>
      <c r="D173" t="str">
        <f>IF(ISNA(VLOOKUP($B173,DD_Info!$A$1:$E$216,2,0)),0,VLOOKUP($B173,DD_Info!$A$1:$E$216,2,0))</f>
        <v>Luis J Collazo</v>
      </c>
      <c r="E173" t="str">
        <f>IF(ISNA(VLOOKUP($B173,DD_Info!$A$1:$E$216,3,0)),0,VLOOKUP($B173,DD_Info!$A$1:$E$216,3,0))</f>
        <v>Laredo</v>
      </c>
      <c r="F173">
        <f>ROUND(SUMIF(Councils!$C$6:$C$809,$B173,Councils!$E$6:$E$809),0)</f>
        <v>135</v>
      </c>
      <c r="G173">
        <f>ROUND(SUMIF(Councils!$C$6:$C$809,$B173,Councils!$O$6:$O$809)*0.7,0)</f>
        <v>0</v>
      </c>
      <c r="H173">
        <f>ROUND(SUMIF(Councils!$C$6:$C$809,$B173,Councils!$P$6:$P$809)*0.7,0)</f>
        <v>0</v>
      </c>
      <c r="I173">
        <f>ROUND(SUMIF(Councils!$C$6:$C$809,$B173,Councils!$Q$6:$Q$809)*0.7,0)</f>
        <v>0</v>
      </c>
      <c r="J173">
        <f>ROUND(SUMIF(Councils!$C$6:$C$809,$B173,Councils!$R$6:$R$809)*0.7,0)</f>
        <v>0</v>
      </c>
      <c r="K173">
        <f>ROUND(SUMIF(Councils!$C$6:$C$809,$B173,Councils!$S$6:$S$809)*0.7,0)</f>
        <v>0</v>
      </c>
      <c r="L173">
        <f>ROUND(SUMIF(Councils!$C$6:$C$809,$B173,Councils!$T$6:$T$809)*0.7,0)</f>
        <v>0</v>
      </c>
      <c r="M173">
        <f>ROUND(SUMIF(Councils!$C$6:$C$809,$B173,Councils!$U$6:$U$809)*0.7,0)</f>
        <v>0</v>
      </c>
      <c r="N173" s="63">
        <f t="shared" si="5"/>
        <v>0</v>
      </c>
    </row>
    <row r="174" spans="1:14">
      <c r="A174">
        <f t="shared" si="6"/>
        <v>1</v>
      </c>
      <c r="B174" s="67">
        <v>234</v>
      </c>
      <c r="C174" s="80">
        <f>IF(ISNA(VLOOKUP($B174,DD_Info!$A$1:$E$216,5,0)),0,VLOOKUP($B174,DD_Info!$A$1:$E$216,5,0))</f>
        <v>2</v>
      </c>
      <c r="D174" t="str">
        <f>IF(ISNA(VLOOKUP($B174,DD_Info!$A$1:$E$216,2,0)),0,VLOOKUP($B174,DD_Info!$A$1:$E$216,2,0))</f>
        <v>Jose A Ramos</v>
      </c>
      <c r="E174" t="str">
        <f>IF(ISNA(VLOOKUP($B174,DD_Info!$A$1:$E$216,3,0)),0,VLOOKUP($B174,DD_Info!$A$1:$E$216,3,0))</f>
        <v>Laredo</v>
      </c>
      <c r="F174">
        <f>ROUND(SUMIF(Councils!$C$6:$C$809,$B174,Councils!$E$6:$E$809),0)</f>
        <v>332</v>
      </c>
      <c r="G174">
        <f>ROUND(SUMIF(Councils!$C$6:$C$809,$B174,Councils!$O$6:$O$809)*0.7,0)</f>
        <v>0</v>
      </c>
      <c r="H174">
        <f>ROUND(SUMIF(Councils!$C$6:$C$809,$B174,Councils!$P$6:$P$809)*0.7,0)</f>
        <v>0</v>
      </c>
      <c r="I174">
        <f>ROUND(SUMIF(Councils!$C$6:$C$809,$B174,Councils!$Q$6:$Q$809)*0.7,0)</f>
        <v>0</v>
      </c>
      <c r="J174">
        <f>ROUND(SUMIF(Councils!$C$6:$C$809,$B174,Councils!$R$6:$R$809)*0.7,0)</f>
        <v>0</v>
      </c>
      <c r="K174">
        <f>ROUND(SUMIF(Councils!$C$6:$C$809,$B174,Councils!$S$6:$S$809)*0.7,0)</f>
        <v>1</v>
      </c>
      <c r="L174">
        <f>ROUND(SUMIF(Councils!$C$6:$C$809,$B174,Councils!$T$6:$T$809)*0.7,0)</f>
        <v>0</v>
      </c>
      <c r="M174">
        <f>ROUND(SUMIF(Councils!$C$6:$C$809,$B174,Councils!$U$6:$U$809)*0.7,0)</f>
        <v>1</v>
      </c>
      <c r="N174" s="63">
        <f t="shared" si="5"/>
        <v>0</v>
      </c>
    </row>
    <row r="175" spans="1:14">
      <c r="A175">
        <f t="shared" si="6"/>
        <v>1</v>
      </c>
      <c r="B175" s="67">
        <v>235</v>
      </c>
      <c r="C175" s="80">
        <f>IF(ISNA(VLOOKUP($B175,DD_Info!$A$1:$E$216,5,0)),0,VLOOKUP($B175,DD_Info!$A$1:$E$216,5,0))</f>
        <v>2</v>
      </c>
      <c r="D175" t="str">
        <f>IF(ISNA(VLOOKUP($B175,DD_Info!$A$1:$E$216,2,0)),0,VLOOKUP($B175,DD_Info!$A$1:$E$216,2,0))</f>
        <v>Luciano V Vargas</v>
      </c>
      <c r="E175" t="str">
        <f>IF(ISNA(VLOOKUP($B175,DD_Info!$A$1:$E$216,3,0)),0,VLOOKUP($B175,DD_Info!$A$1:$E$216,3,0))</f>
        <v>Laredo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ROUND(SUMIF(Councils!$C$6:$C$809,$B175,Councils!$P$6:$P$809)*0.7,0)</f>
        <v>0</v>
      </c>
      <c r="I175">
        <f>ROUND(SUMIF(Councils!$C$6:$C$809,$B175,Councils!$Q$6:$Q$809)*0.7,0)</f>
        <v>0</v>
      </c>
      <c r="J175">
        <f>ROUND(SUMIF(Councils!$C$6:$C$809,$B175,Councils!$R$6:$R$809)*0.7,0)</f>
        <v>0</v>
      </c>
      <c r="K175">
        <f>ROUND(SUMIF(Councils!$C$6:$C$809,$B175,Councils!$S$6:$S$809)*0.7,0)</f>
        <v>0</v>
      </c>
      <c r="L175">
        <f>ROUND(SUMIF(Councils!$C$6:$C$809,$B175,Councils!$T$6:$T$809)*0.7,0)</f>
        <v>1</v>
      </c>
      <c r="M175">
        <f>ROUND(SUMIF(Councils!$C$6:$C$809,$B175,Councils!$U$6:$U$809)*0.7,0)</f>
        <v>-1</v>
      </c>
      <c r="N175" s="63">
        <f t="shared" si="5"/>
        <v>0</v>
      </c>
    </row>
    <row r="176" spans="1:14">
      <c r="A176">
        <f t="shared" si="6"/>
        <v>1</v>
      </c>
      <c r="B176" s="67">
        <v>236</v>
      </c>
      <c r="C176" s="80">
        <f>IF(ISNA(VLOOKUP($B176,DD_Info!$A$1:$E$216,5,0)),0,VLOOKUP($B176,DD_Info!$A$1:$E$216,5,0))</f>
        <v>3</v>
      </c>
      <c r="D176" t="str">
        <f>IF(ISNA(VLOOKUP($B176,DD_Info!$A$1:$E$216,2,0)),0,VLOOKUP($B176,DD_Info!$A$1:$E$216,2,0))</f>
        <v>Enrique  Adriano</v>
      </c>
      <c r="E176" t="str">
        <f>IF(ISNA(VLOOKUP($B176,DD_Info!$A$1:$E$216,3,0)),0,VLOOKUP($B176,DD_Info!$A$1:$E$216,3,0))</f>
        <v>Laredo</v>
      </c>
      <c r="F176">
        <f>ROUND(SUMIF(Councils!$C$6:$C$809,$B176,Councils!$E$6:$E$809),0)</f>
        <v>193</v>
      </c>
      <c r="G176">
        <f>ROUND(SUMIF(Councils!$C$6:$C$809,$B176,Councils!$O$6:$O$809)*0.7,0)</f>
        <v>0</v>
      </c>
      <c r="H176">
        <f>ROUND(SUMIF(Councils!$C$6:$C$809,$B176,Councils!$P$6:$P$809)*0.7,0)</f>
        <v>0</v>
      </c>
      <c r="I176">
        <f>ROUND(SUMIF(Councils!$C$6:$C$809,$B176,Councils!$Q$6:$Q$809)*0.7,0)</f>
        <v>0</v>
      </c>
      <c r="J176">
        <f>ROUND(SUMIF(Councils!$C$6:$C$809,$B176,Councils!$R$6:$R$809)*0.7,0)</f>
        <v>0</v>
      </c>
      <c r="K176">
        <f>ROUND(SUMIF(Councils!$C$6:$C$809,$B176,Councils!$S$6:$S$809)*0.7,0)</f>
        <v>1</v>
      </c>
      <c r="L176">
        <f>ROUND(SUMIF(Councils!$C$6:$C$809,$B176,Councils!$T$6:$T$809)*0.7,0)</f>
        <v>1</v>
      </c>
      <c r="M176">
        <f>ROUND(SUMIF(Councils!$C$6:$C$809,$B176,Councils!$U$6:$U$809)*0.7,0)</f>
        <v>0</v>
      </c>
      <c r="N176" s="63">
        <f t="shared" si="5"/>
        <v>0</v>
      </c>
    </row>
    <row r="177" spans="1:14">
      <c r="A177">
        <f t="shared" si="6"/>
        <v>1</v>
      </c>
      <c r="B177" s="67">
        <v>237</v>
      </c>
      <c r="C177" s="80">
        <f>IF(ISNA(VLOOKUP($B177,DD_Info!$A$1:$E$216,5,0)),0,VLOOKUP($B177,DD_Info!$A$1:$E$216,5,0))</f>
        <v>3</v>
      </c>
      <c r="D177" t="str">
        <f>IF(ISNA(VLOOKUP($B177,DD_Info!$A$1:$E$216,2,0)),0,VLOOKUP($B177,DD_Info!$A$1:$E$216,2,0))</f>
        <v>Eduardo  Benavidez</v>
      </c>
      <c r="E177" t="str">
        <f>IF(ISNA(VLOOKUP($B177,DD_Info!$A$1:$E$216,3,0)),0,VLOOKUP($B177,DD_Info!$A$1:$E$216,3,0))</f>
        <v>Laredo</v>
      </c>
      <c r="F177">
        <f>ROUND(SUMIF(Councils!$C$6:$C$809,$B177,Councils!$E$6:$E$809),0)</f>
        <v>155</v>
      </c>
      <c r="G177">
        <f>ROUND(SUMIF(Councils!$C$6:$C$809,$B177,Councils!$O$6:$O$809)*0.7,0)</f>
        <v>0</v>
      </c>
      <c r="H177">
        <f>ROUND(SUMIF(Councils!$C$6:$C$809,$B177,Councils!$P$6:$P$809)*0.7,0)</f>
        <v>0</v>
      </c>
      <c r="I177">
        <f>ROUND(SUMIF(Councils!$C$6:$C$809,$B177,Councils!$Q$6:$Q$809)*0.7,0)</f>
        <v>0</v>
      </c>
      <c r="J177">
        <f>ROUND(SUMIF(Councils!$C$6:$C$809,$B177,Councils!$R$6:$R$809)*0.7,0)</f>
        <v>0</v>
      </c>
      <c r="K177">
        <f>ROUND(SUMIF(Councils!$C$6:$C$809,$B177,Councils!$S$6:$S$809)*0.7,0)</f>
        <v>0</v>
      </c>
      <c r="L177">
        <f>ROUND(SUMIF(Councils!$C$6:$C$809,$B177,Councils!$T$6:$T$809)*0.7,0)</f>
        <v>1</v>
      </c>
      <c r="M177">
        <f>ROUND(SUMIF(Councils!$C$6:$C$809,$B177,Councils!$U$6:$U$809)*0.7,0)</f>
        <v>-1</v>
      </c>
      <c r="N177" s="63">
        <f t="shared" si="5"/>
        <v>0</v>
      </c>
    </row>
    <row r="178" spans="1:14">
      <c r="A178">
        <f t="shared" si="6"/>
        <v>1</v>
      </c>
      <c r="B178" s="67">
        <v>238</v>
      </c>
      <c r="C178" s="80">
        <f>IF(ISNA(VLOOKUP($B178,DD_Info!$A$1:$E$216,5,0)),0,VLOOKUP($B178,DD_Info!$A$1:$E$216,5,0))</f>
        <v>3</v>
      </c>
      <c r="D178" t="str">
        <f>IF(ISNA(VLOOKUP($B178,DD_Info!$A$1:$E$216,2,0)),0,VLOOKUP($B178,DD_Info!$A$1:$E$216,2,0))</f>
        <v>Adan  Gonzalez</v>
      </c>
      <c r="E178" t="str">
        <f>IF(ISNA(VLOOKUP($B178,DD_Info!$A$1:$E$216,3,0)),0,VLOOKUP($B178,DD_Info!$A$1:$E$216,3,0))</f>
        <v>Laredo</v>
      </c>
      <c r="F178">
        <f>ROUND(SUMIF(Councils!$C$6:$C$809,$B178,Councils!$E$6:$E$809),0)</f>
        <v>176</v>
      </c>
      <c r="G178">
        <f>ROUND(SUMIF(Councils!$C$6:$C$809,$B178,Councils!$O$6:$O$809)*0.7,0)</f>
        <v>0</v>
      </c>
      <c r="H178">
        <f>ROUND(SUMIF(Councils!$C$6:$C$809,$B178,Councils!$P$6:$P$809)*0.7,0)</f>
        <v>0</v>
      </c>
      <c r="I178">
        <f>ROUND(SUMIF(Councils!$C$6:$C$809,$B178,Councils!$Q$6:$Q$809)*0.7,0)</f>
        <v>0</v>
      </c>
      <c r="J178">
        <f>ROUND(SUMIF(Councils!$C$6:$C$809,$B178,Councils!$R$6:$R$809)*0.7,0)</f>
        <v>0</v>
      </c>
      <c r="K178">
        <f>ROUND(SUMIF(Councils!$C$6:$C$809,$B178,Councils!$S$6:$S$809)*0.7,0)</f>
        <v>0</v>
      </c>
      <c r="L178">
        <f>ROUND(SUMIF(Councils!$C$6:$C$809,$B178,Councils!$T$6:$T$809)*0.7,0)</f>
        <v>0</v>
      </c>
      <c r="M178">
        <f>ROUND(SUMIF(Councils!$C$6:$C$809,$B178,Councils!$U$6:$U$809)*0.7,0)</f>
        <v>0</v>
      </c>
      <c r="N178" s="63">
        <f t="shared" si="5"/>
        <v>0</v>
      </c>
    </row>
    <row r="179" spans="1:14">
      <c r="A179">
        <f t="shared" si="6"/>
        <v>1</v>
      </c>
      <c r="B179" s="67">
        <v>241</v>
      </c>
      <c r="C179" s="80">
        <f>IF(ISNA(VLOOKUP($B179,DD_Info!$A$1:$E$216,5,0)),0,VLOOKUP($B179,DD_Info!$A$1:$E$216,5,0))</f>
        <v>3</v>
      </c>
      <c r="D179" t="str">
        <f>IF(ISNA(VLOOKUP($B179,DD_Info!$A$1:$E$216,2,0)),0,VLOOKUP($B179,DD_Info!$A$1:$E$216,2,0))</f>
        <v>Arlie E Markusen</v>
      </c>
      <c r="E179" t="str">
        <f>IF(ISNA(VLOOKUP($B179,DD_Info!$A$1:$E$216,3,0)),0,VLOOKUP($B179,DD_Info!$A$1:$E$216,3,0))</f>
        <v>Lubbock</v>
      </c>
      <c r="F179">
        <f>ROUND(SUMIF(Councils!$C$6:$C$809,$B179,Councils!$E$6:$E$809),0)</f>
        <v>93</v>
      </c>
      <c r="G179">
        <f>ROUND(SUMIF(Councils!$C$6:$C$809,$B179,Councils!$O$6:$O$809)*0.7,0)</f>
        <v>0</v>
      </c>
      <c r="H179">
        <f>ROUND(SUMIF(Councils!$C$6:$C$809,$B179,Councils!$P$6:$P$809)*0.7,0)</f>
        <v>0</v>
      </c>
      <c r="I179">
        <f>ROUND(SUMIF(Councils!$C$6:$C$809,$B179,Councils!$Q$6:$Q$809)*0.7,0)</f>
        <v>0</v>
      </c>
      <c r="J179">
        <f>ROUND(SUMIF(Councils!$C$6:$C$809,$B179,Councils!$R$6:$R$809)*0.7,0)</f>
        <v>0</v>
      </c>
      <c r="K179">
        <f>ROUND(SUMIF(Councils!$C$6:$C$809,$B179,Councils!$S$6:$S$809)*0.7,0)</f>
        <v>0</v>
      </c>
      <c r="L179">
        <f>ROUND(SUMIF(Councils!$C$6:$C$809,$B179,Councils!$T$6:$T$809)*0.7,0)</f>
        <v>0</v>
      </c>
      <c r="M179">
        <f>ROUND(SUMIF(Councils!$C$6:$C$809,$B179,Councils!$U$6:$U$809)*0.7,0)</f>
        <v>0</v>
      </c>
      <c r="N179" s="63">
        <f t="shared" si="5"/>
        <v>0</v>
      </c>
    </row>
    <row r="180" spans="1:14">
      <c r="A180">
        <f t="shared" si="6"/>
        <v>1</v>
      </c>
      <c r="B180" s="67">
        <v>242</v>
      </c>
      <c r="C180" s="80">
        <f>IF(ISNA(VLOOKUP($B180,DD_Info!$A$1:$E$216,5,0)),0,VLOOKUP($B180,DD_Info!$A$1:$E$216,5,0))</f>
        <v>3</v>
      </c>
      <c r="D180" t="str">
        <f>IF(ISNA(VLOOKUP($B180,DD_Info!$A$1:$E$216,2,0)),0,VLOOKUP($B180,DD_Info!$A$1:$E$216,2,0))</f>
        <v>TO BE APPOINTED</v>
      </c>
      <c r="E180" t="str">
        <f>IF(ISNA(VLOOKUP($B180,DD_Info!$A$1:$E$216,3,0)),0,VLOOKUP($B180,DD_Info!$A$1:$E$216,3,0))</f>
        <v>Lubbock</v>
      </c>
      <c r="F180">
        <f>ROUND(SUMIF(Councils!$C$6:$C$809,$B180,Councils!$E$6:$E$809),0)</f>
        <v>114</v>
      </c>
      <c r="G180">
        <f>ROUND(SUMIF(Councils!$C$6:$C$809,$B180,Councils!$O$6:$O$809)*0.7,0)</f>
        <v>0</v>
      </c>
      <c r="H180">
        <f>ROUND(SUMIF(Councils!$C$6:$C$809,$B180,Councils!$P$6:$P$809)*0.7,0)</f>
        <v>0</v>
      </c>
      <c r="I180">
        <f>ROUND(SUMIF(Councils!$C$6:$C$809,$B180,Councils!$Q$6:$Q$809)*0.7,0)</f>
        <v>0</v>
      </c>
      <c r="J180">
        <f>ROUND(SUMIF(Councils!$C$6:$C$809,$B180,Councils!$R$6:$R$809)*0.7,0)</f>
        <v>0</v>
      </c>
      <c r="K180">
        <f>ROUND(SUMIF(Councils!$C$6:$C$809,$B180,Councils!$S$6:$S$809)*0.7,0)</f>
        <v>0</v>
      </c>
      <c r="L180">
        <f>ROUND(SUMIF(Councils!$C$6:$C$809,$B180,Councils!$T$6:$T$809)*0.7,0)</f>
        <v>1</v>
      </c>
      <c r="M180">
        <f>ROUND(SUMIF(Councils!$C$6:$C$809,$B180,Councils!$U$6:$U$809)*0.7,0)</f>
        <v>-1</v>
      </c>
      <c r="N180" s="63">
        <f t="shared" si="5"/>
        <v>0</v>
      </c>
    </row>
    <row r="181" spans="1:14">
      <c r="A181">
        <f t="shared" si="6"/>
        <v>1</v>
      </c>
      <c r="B181" s="67">
        <v>243</v>
      </c>
      <c r="C181" s="80">
        <f>IF(ISNA(VLOOKUP($B181,DD_Info!$A$1:$E$216,5,0)),0,VLOOKUP($B181,DD_Info!$A$1:$E$216,5,0))</f>
        <v>0</v>
      </c>
      <c r="D181">
        <f>IF(ISNA(VLOOKUP($B181,DD_Info!$A$1:$E$216,2,0)),0,VLOOKUP($B181,DD_Info!$A$1:$E$216,2,0))</f>
        <v>0</v>
      </c>
      <c r="E181">
        <f>IF(ISNA(VLOOKUP($B181,DD_Info!$A$1:$E$216,3,0)),0,VLOOKUP($B181,DD_Info!$A$1:$E$216,3,0))</f>
        <v>0</v>
      </c>
      <c r="F181">
        <f>ROUND(SUMIF(Councils!$C$6:$C$809,$B181,Councils!$E$6:$E$809),0)</f>
        <v>455</v>
      </c>
      <c r="G181">
        <f>ROUND(SUMIF(Councils!$C$6:$C$809,$B181,Councils!$O$6:$O$809)*0.7,0)</f>
        <v>0</v>
      </c>
      <c r="H181">
        <f>ROUND(SUMIF(Councils!$C$6:$C$809,$B181,Councils!$P$6:$P$809)*0.7,0)</f>
        <v>0</v>
      </c>
      <c r="I181">
        <f>ROUND(SUMIF(Councils!$C$6:$C$809,$B181,Councils!$Q$6:$Q$809)*0.7,0)</f>
        <v>1</v>
      </c>
      <c r="J181">
        <f>ROUND(SUMIF(Councils!$C$6:$C$809,$B181,Councils!$R$6:$R$809)*0.7,0)</f>
        <v>-1</v>
      </c>
      <c r="K181">
        <f>ROUND(SUMIF(Councils!$C$6:$C$809,$B181,Councils!$S$6:$S$809)*0.7,0)</f>
        <v>1</v>
      </c>
      <c r="L181">
        <f>ROUND(SUMIF(Councils!$C$6:$C$809,$B181,Councils!$T$6:$T$809)*0.7,0)</f>
        <v>2</v>
      </c>
      <c r="M181">
        <f>ROUND(SUMIF(Councils!$C$6:$C$809,$B181,Councils!$U$6:$U$809)*0.7,0)</f>
        <v>-1</v>
      </c>
      <c r="N181" s="63">
        <f t="shared" si="5"/>
        <v>0</v>
      </c>
    </row>
    <row r="182" spans="1:14">
      <c r="A182">
        <f t="shared" si="6"/>
        <v>1</v>
      </c>
      <c r="B182" s="67">
        <v>244</v>
      </c>
      <c r="C182" s="80">
        <f>IF(ISNA(VLOOKUP($B182,DD_Info!$A$1:$E$216,5,0)),0,VLOOKUP($B182,DD_Info!$A$1:$E$216,5,0))</f>
        <v>0</v>
      </c>
      <c r="D182">
        <f>IF(ISNA(VLOOKUP($B182,DD_Info!$A$1:$E$216,2,0)),0,VLOOKUP($B182,DD_Info!$A$1:$E$216,2,0))</f>
        <v>0</v>
      </c>
      <c r="E182">
        <f>IF(ISNA(VLOOKUP($B182,DD_Info!$A$1:$E$216,3,0)),0,VLOOKUP($B182,DD_Info!$A$1:$E$216,3,0))</f>
        <v>0</v>
      </c>
      <c r="F182">
        <f>ROUND(SUMIF(Councils!$C$6:$C$809,$B182,Councils!$E$6:$E$809),0)</f>
        <v>308</v>
      </c>
      <c r="G182">
        <f>ROUND(SUMIF(Councils!$C$6:$C$809,$B182,Councils!$O$6:$O$809)*0.7,0)</f>
        <v>0</v>
      </c>
      <c r="H182">
        <f>ROUND(SUMIF(Councils!$C$6:$C$809,$B182,Councils!$P$6:$P$809)*0.7,0)</f>
        <v>1</v>
      </c>
      <c r="I182">
        <f>ROUND(SUMIF(Councils!$C$6:$C$809,$B182,Councils!$Q$6:$Q$809)*0.7,0)</f>
        <v>1</v>
      </c>
      <c r="J182">
        <f>ROUND(SUMIF(Councils!$C$6:$C$809,$B182,Councils!$R$6:$R$809)*0.7,0)</f>
        <v>0</v>
      </c>
      <c r="K182">
        <f>ROUND(SUMIF(Councils!$C$6:$C$809,$B182,Councils!$S$6:$S$809)*0.7,0)</f>
        <v>2</v>
      </c>
      <c r="L182">
        <f>ROUND(SUMIF(Councils!$C$6:$C$809,$B182,Councils!$T$6:$T$809)*0.7,0)</f>
        <v>2</v>
      </c>
      <c r="M182">
        <f>ROUND(SUMIF(Councils!$C$6:$C$809,$B182,Councils!$U$6:$U$809)*0.7,0)</f>
        <v>0</v>
      </c>
      <c r="N182" s="63">
        <f t="shared" si="5"/>
        <v>0</v>
      </c>
    </row>
    <row r="183" spans="1:14">
      <c r="A183">
        <f t="shared" si="6"/>
        <v>1</v>
      </c>
      <c r="B183" s="67">
        <v>245</v>
      </c>
      <c r="C183" s="80">
        <f>IF(ISNA(VLOOKUP($B183,DD_Info!$A$1:$E$216,5,0)),0,VLOOKUP($B183,DD_Info!$A$1:$E$216,5,0))</f>
        <v>0</v>
      </c>
      <c r="D183">
        <f>IF(ISNA(VLOOKUP($B183,DD_Info!$A$1:$E$216,2,0)),0,VLOOKUP($B183,DD_Info!$A$1:$E$216,2,0))</f>
        <v>0</v>
      </c>
      <c r="E183">
        <f>IF(ISNA(VLOOKUP($B183,DD_Info!$A$1:$E$216,3,0)),0,VLOOKUP($B183,DD_Info!$A$1:$E$216,3,0))</f>
        <v>0</v>
      </c>
      <c r="F183">
        <f>ROUND(SUMIF(Councils!$C$6:$C$809,$B183,Councils!$E$6:$E$809),0)</f>
        <v>284</v>
      </c>
      <c r="G183">
        <f>ROUND(SUMIF(Councils!$C$6:$C$809,$B183,Councils!$O$6:$O$809)*0.7,0)</f>
        <v>0</v>
      </c>
      <c r="H183">
        <f>ROUND(SUMIF(Councils!$C$6:$C$809,$B183,Councils!$P$6:$P$809)*0.7,0)</f>
        <v>0</v>
      </c>
      <c r="I183">
        <f>ROUND(SUMIF(Councils!$C$6:$C$809,$B183,Councils!$Q$6:$Q$809)*0.7,0)</f>
        <v>1</v>
      </c>
      <c r="J183">
        <f>ROUND(SUMIF(Councils!$C$6:$C$809,$B183,Councils!$R$6:$R$809)*0.7,0)</f>
        <v>-1</v>
      </c>
      <c r="K183">
        <f>ROUND(SUMIF(Councils!$C$6:$C$809,$B183,Councils!$S$6:$S$809)*0.7,0)</f>
        <v>1</v>
      </c>
      <c r="L183">
        <f>ROUND(SUMIF(Councils!$C$6:$C$809,$B183,Councils!$T$6:$T$809)*0.7,0)</f>
        <v>2</v>
      </c>
      <c r="M183">
        <f>ROUND(SUMIF(Councils!$C$6:$C$809,$B183,Councils!$U$6:$U$809)*0.7,0)</f>
        <v>-1</v>
      </c>
      <c r="N183" s="63">
        <f t="shared" si="5"/>
        <v>0</v>
      </c>
    </row>
    <row r="184" spans="1:14">
      <c r="A184">
        <f t="shared" si="6"/>
        <v>1</v>
      </c>
      <c r="B184" s="67">
        <v>246</v>
      </c>
      <c r="C184" s="80">
        <f>IF(ISNA(VLOOKUP($B184,DD_Info!$A$1:$E$216,5,0)),0,VLOOKUP($B184,DD_Info!$A$1:$E$216,5,0))</f>
        <v>0</v>
      </c>
      <c r="D184">
        <f>IF(ISNA(VLOOKUP($B184,DD_Info!$A$1:$E$216,2,0)),0,VLOOKUP($B184,DD_Info!$A$1:$E$216,2,0))</f>
        <v>0</v>
      </c>
      <c r="E184">
        <f>IF(ISNA(VLOOKUP($B184,DD_Info!$A$1:$E$216,3,0)),0,VLOOKUP($B184,DD_Info!$A$1:$E$216,3,0))</f>
        <v>0</v>
      </c>
      <c r="F184">
        <f>ROUND(SUMIF(Councils!$C$6:$C$809,$B184,Councils!$E$6:$E$809),0)</f>
        <v>750</v>
      </c>
      <c r="G184">
        <f>ROUND(SUMIF(Councils!$C$6:$C$809,$B184,Councils!$O$6:$O$809)*0.7,0)</f>
        <v>0</v>
      </c>
      <c r="H184">
        <f>ROUND(SUMIF(Councils!$C$6:$C$809,$B184,Councils!$P$6:$P$809)*0.7,0)</f>
        <v>1</v>
      </c>
      <c r="I184">
        <f>ROUND(SUMIF(Councils!$C$6:$C$809,$B184,Councils!$Q$6:$Q$809)*0.7,0)</f>
        <v>0</v>
      </c>
      <c r="J184">
        <f>ROUND(SUMIF(Councils!$C$6:$C$809,$B184,Councils!$R$6:$R$809)*0.7,0)</f>
        <v>1</v>
      </c>
      <c r="K184">
        <f>ROUND(SUMIF(Councils!$C$6:$C$809,$B184,Councils!$S$6:$S$809)*0.7,0)</f>
        <v>6</v>
      </c>
      <c r="L184">
        <f>ROUND(SUMIF(Councils!$C$6:$C$809,$B184,Councils!$T$6:$T$809)*0.7,0)</f>
        <v>2</v>
      </c>
      <c r="M184">
        <f>ROUND(SUMIF(Councils!$C$6:$C$809,$B184,Councils!$U$6:$U$809)*0.7,0)</f>
        <v>4</v>
      </c>
      <c r="N184" s="63">
        <f t="shared" si="5"/>
        <v>0</v>
      </c>
    </row>
    <row r="185" spans="1:14">
      <c r="A185">
        <f t="shared" si="6"/>
        <v>1</v>
      </c>
      <c r="B185" t="s">
        <v>93</v>
      </c>
      <c r="C185" s="80">
        <f>IF(ISNA(VLOOKUP($B185,DD_Info!$A$1:$E$216,5,0)),0,VLOOKUP($B185,DD_Info!$A$1:$E$216,5,0))</f>
        <v>0</v>
      </c>
      <c r="F185">
        <f>ROUND(SUMIF(Councils!$C$6:$C$809,$B185,Councils!$E$6:$E$809),0)</f>
        <v>122</v>
      </c>
      <c r="G185">
        <f>ROUND(SUMIF(Councils!$C$6:$C$809,$B185,Councils!$O$6:$O$809)*0.7,0)</f>
        <v>0</v>
      </c>
      <c r="H185">
        <f>ROUND(SUMIF(Councils!$C$6:$C$809,$B185,Councils!$P$6:$P$809)*0.7,0)</f>
        <v>0</v>
      </c>
      <c r="I185">
        <f>ROUND(SUMIF(Councils!$C$6:$C$809,$B185,Councils!$Q$6:$Q$809)*0.7,0)</f>
        <v>0</v>
      </c>
      <c r="J185">
        <f>ROUND(SUMIF(Councils!$C$6:$C$809,$B185,Councils!$R$6:$R$809)*0.7,0)</f>
        <v>0</v>
      </c>
      <c r="K185">
        <f>ROUND(SUMIF(Councils!$C$6:$C$809,$B185,Councils!$S$6:$S$809)*0.7,0)</f>
        <v>0</v>
      </c>
      <c r="L185">
        <f>ROUND(SUMIF(Councils!$C$6:$C$809,$B185,Councils!$T$6:$T$809)*0.7,0)</f>
        <v>1</v>
      </c>
      <c r="M185">
        <f>ROUND(SUMIF(Councils!$C$6:$C$809,$B185,Councils!$U$6:$U$809)*0.7,0)</f>
        <v>-1</v>
      </c>
      <c r="N185" s="63">
        <f t="shared" si="5"/>
        <v>0</v>
      </c>
    </row>
    <row r="186" spans="1:14">
      <c r="A186">
        <f t="shared" si="6"/>
        <v>1</v>
      </c>
      <c r="B186" s="67">
        <v>206</v>
      </c>
      <c r="C186" s="80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 Garza Jr</v>
      </c>
      <c r="E186" t="str">
        <f>IF(ISNA(VLOOKUP($B186,DD_Info!$A$1:$E$216,3,0)),0,VLOOKUP($B186,DD_Info!$A$1:$E$216,3,0))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ROUND(SUMIF(Councils!$C$6:$C$809,$B186,Councils!$P$6:$P$809)*0.7,0)</f>
        <v>0</v>
      </c>
      <c r="I186">
        <f>ROUND(SUMIF(Councils!$C$6:$C$809,$B186,Councils!$Q$6:$Q$809)*0.7,0)</f>
        <v>0</v>
      </c>
      <c r="J186">
        <f>ROUND(SUMIF(Councils!$C$6:$C$809,$B186,Councils!$R$6:$R$809)*0.7,0)</f>
        <v>0</v>
      </c>
      <c r="K186">
        <f>ROUND(SUMIF(Councils!$C$6:$C$809,$B186,Councils!$S$6:$S$809)*0.7,0)</f>
        <v>0</v>
      </c>
      <c r="L186">
        <f>ROUND(SUMIF(Councils!$C$6:$C$809,$B186,Councils!$T$6:$T$809)*0.7,0)</f>
        <v>1</v>
      </c>
      <c r="M186">
        <f>ROUND(SUMIF(Councils!$C$6:$C$809,$B186,Councils!$U$6:$U$809)*0.7,0)</f>
        <v>-1</v>
      </c>
      <c r="N186" s="63">
        <f t="shared" si="5"/>
        <v>0</v>
      </c>
    </row>
    <row r="187" spans="1:14">
      <c r="A187">
        <f t="shared" si="6"/>
        <v>1</v>
      </c>
      <c r="B187" s="67">
        <v>111</v>
      </c>
      <c r="C187" s="80">
        <f>IF(ISNA(VLOOKUP($B187,DD_Info!$A$1:$E$216,5,0)),0,VLOOKUP($B187,DD_Info!$A$1:$E$216,5,0))</f>
        <v>1</v>
      </c>
      <c r="D187" t="str">
        <f>IF(ISNA(VLOOKUP($B187,DD_Info!$A$1:$E$216,2,0)),0,VLOOKUP($B187,DD_Info!$A$1:$E$216,2,0))</f>
        <v>Edward J Stankunas</v>
      </c>
      <c r="E187" t="str">
        <f>IF(ISNA(VLOOKUP($B187,DD_Info!$A$1:$E$216,3,0)),0,VLOOKUP($B187,DD_Info!$A$1:$E$216,3,0))</f>
        <v>Dallas</v>
      </c>
      <c r="F187">
        <f>ROUND(SUMIF(Councils!$C$6:$C$809,$B187,Councils!$E$6:$E$809),0)</f>
        <v>1531</v>
      </c>
      <c r="G187">
        <f>ROUND(SUMIF(Councils!$C$6:$C$809,$B187,Councils!$O$6:$O$809)*0.7,0)</f>
        <v>0</v>
      </c>
      <c r="H187">
        <f>ROUND(SUMIF(Councils!$C$6:$C$809,$B187,Councils!$P$6:$P$809)*0.7,0)</f>
        <v>1</v>
      </c>
      <c r="I187">
        <f>ROUND(SUMIF(Councils!$C$6:$C$809,$B187,Councils!$Q$6:$Q$809)*0.7,0)</f>
        <v>4</v>
      </c>
      <c r="J187">
        <f>ROUND(SUMIF(Councils!$C$6:$C$809,$B187,Councils!$R$6:$R$809)*0.7,0)</f>
        <v>-2</v>
      </c>
      <c r="K187">
        <f>ROUND(SUMIF(Councils!$C$6:$C$809,$B187,Councils!$S$6:$S$809)*0.7,0)</f>
        <v>6</v>
      </c>
      <c r="L187">
        <f>ROUND(SUMIF(Councils!$C$6:$C$809,$B187,Councils!$T$6:$T$809)*0.7,0)</f>
        <v>13</v>
      </c>
      <c r="M187">
        <f>ROUND(SUMIF(Councils!$C$6:$C$809,$B187,Councils!$U$6:$U$809)*0.7,0)</f>
        <v>-6</v>
      </c>
      <c r="N187" s="63">
        <f t="shared" si="5"/>
        <v>0</v>
      </c>
    </row>
    <row r="188" spans="1:14">
      <c r="A188">
        <f t="shared" si="6"/>
        <v>1</v>
      </c>
      <c r="B188" s="67">
        <v>92</v>
      </c>
      <c r="C188" s="80">
        <f>IF(ISNA(VLOOKUP($B188,DD_Info!$A$1:$E$216,5,0)),0,VLOOKUP($B188,DD_Info!$A$1:$E$216,5,0))</f>
        <v>1</v>
      </c>
      <c r="D188" t="str">
        <f>IF(ISNA(VLOOKUP($B188,DD_Info!$A$1:$E$216,2,0)),0,VLOOKUP($B188,DD_Info!$A$1:$E$216,2,0))</f>
        <v>Robert "Bob" H Schmidt</v>
      </c>
      <c r="E188" t="str">
        <f>IF(ISNA(VLOOKUP($B188,DD_Info!$A$1:$E$216,3,0)),0,VLOOKUP($B188,DD_Info!$A$1:$E$216,3,0))</f>
        <v>Galv/Hous</v>
      </c>
      <c r="F188">
        <f>ROUND(SUMIF(Councils!$C$6:$C$809,$B188,Councils!$E$6:$E$809),0)</f>
        <v>1159</v>
      </c>
      <c r="G188">
        <f>ROUND(SUMIF(Councils!$C$6:$C$809,$B188,Councils!$O$6:$O$809)*0.7,0)</f>
        <v>0</v>
      </c>
      <c r="H188">
        <f>ROUND(SUMIF(Councils!$C$6:$C$809,$B188,Councils!$P$6:$P$809)*0.7,0)</f>
        <v>1</v>
      </c>
      <c r="I188">
        <f>ROUND(SUMIF(Councils!$C$6:$C$809,$B188,Councils!$Q$6:$Q$809)*0.7,0)</f>
        <v>2</v>
      </c>
      <c r="J188">
        <f>ROUND(SUMIF(Councils!$C$6:$C$809,$B188,Councils!$R$6:$R$809)*0.7,0)</f>
        <v>-1</v>
      </c>
      <c r="K188">
        <f>ROUND(SUMIF(Councils!$C$6:$C$809,$B188,Councils!$S$6:$S$809)*0.7,0)</f>
        <v>3</v>
      </c>
      <c r="L188">
        <f>ROUND(SUMIF(Councils!$C$6:$C$809,$B188,Councils!$T$6:$T$809)*0.7,0)</f>
        <v>4</v>
      </c>
      <c r="M188">
        <f>ROUND(SUMIF(Councils!$C$6:$C$809,$B188,Councils!$U$6:$U$809)*0.7,0)</f>
        <v>-1</v>
      </c>
      <c r="N188" s="63">
        <f t="shared" si="5"/>
        <v>0</v>
      </c>
    </row>
    <row r="189" spans="1:14">
      <c r="A189">
        <f t="shared" si="6"/>
        <v>1</v>
      </c>
      <c r="B189" s="67">
        <v>27</v>
      </c>
      <c r="C189" s="80">
        <f>IF(ISNA(VLOOKUP($B189,DD_Info!$A$1:$E$216,5,0)),0,VLOOKUP($B189,DD_Info!$A$1:$E$216,5,0))</f>
        <v>1</v>
      </c>
      <c r="D189" t="str">
        <f>IF(ISNA(VLOOKUP($B189,DD_Info!$A$1:$E$216,2,0)),0,VLOOKUP($B189,DD_Info!$A$1:$E$216,2,0))</f>
        <v>Archie  Wright II</v>
      </c>
      <c r="E189" t="str">
        <f>IF(ISNA(VLOOKUP($B189,DD_Info!$A$1:$E$216,3,0)),0,VLOOKUP($B189,DD_Info!$A$1:$E$216,3,0))</f>
        <v>Fort Worth</v>
      </c>
      <c r="F189">
        <f>ROUND(SUMIF(Councils!$C$6:$C$809,$B189,Councils!$E$6:$E$809),0)</f>
        <v>814</v>
      </c>
      <c r="G189">
        <f>ROUND(SUMIF(Councils!$C$6:$C$809,$B189,Councils!$O$6:$O$809)*0.7,0)</f>
        <v>0</v>
      </c>
      <c r="H189">
        <f>ROUND(SUMIF(Councils!$C$6:$C$809,$B189,Councils!$P$6:$P$809)*0.7,0)</f>
        <v>1</v>
      </c>
      <c r="I189">
        <f>ROUND(SUMIF(Councils!$C$6:$C$809,$B189,Councils!$Q$6:$Q$809)*0.7,0)</f>
        <v>1</v>
      </c>
      <c r="J189">
        <f>ROUND(SUMIF(Councils!$C$6:$C$809,$B189,Councils!$R$6:$R$809)*0.7,0)</f>
        <v>0</v>
      </c>
      <c r="K189">
        <f>ROUND(SUMIF(Councils!$C$6:$C$809,$B189,Councils!$S$6:$S$809)*0.7,0)</f>
        <v>7</v>
      </c>
      <c r="L189">
        <f>ROUND(SUMIF(Councils!$C$6:$C$809,$B189,Councils!$T$6:$T$809)*0.7,0)</f>
        <v>2</v>
      </c>
      <c r="M189">
        <f>ROUND(SUMIF(Councils!$C$6:$C$809,$B189,Councils!$U$6:$U$809)*0.7,0)</f>
        <v>5</v>
      </c>
      <c r="N189" s="63">
        <f t="shared" si="5"/>
        <v>0</v>
      </c>
    </row>
    <row r="190" spans="1:14">
      <c r="A190">
        <f t="shared" si="6"/>
        <v>1</v>
      </c>
      <c r="B190" s="67">
        <v>40</v>
      </c>
      <c r="C190" s="80">
        <f>IF(ISNA(VLOOKUP($B190,DD_Info!$A$1:$E$216,5,0)),0,VLOOKUP($B190,DD_Info!$A$1:$E$216,5,0))</f>
        <v>1</v>
      </c>
      <c r="D190" t="str">
        <f>IF(ISNA(VLOOKUP($B190,DD_Info!$A$1:$E$216,2,0)),0,VLOOKUP($B190,DD_Info!$A$1:$E$216,2,0))</f>
        <v>Dan  Rangel</v>
      </c>
      <c r="E190" t="str">
        <f>IF(ISNA(VLOOKUP($B190,DD_Info!$A$1:$E$216,3,0)),0,VLOOKUP($B190,DD_Info!$A$1:$E$216,3,0))</f>
        <v>San Antonio</v>
      </c>
      <c r="F190">
        <f>ROUND(SUMIF(Councils!$C$6:$C$809,$B190,Councils!$E$6:$E$809),0)</f>
        <v>1035</v>
      </c>
      <c r="G190">
        <f>ROUND(SUMIF(Councils!$C$6:$C$809,$B190,Councils!$O$6:$O$809)*0.7,0)</f>
        <v>0</v>
      </c>
      <c r="H190">
        <f>ROUND(SUMIF(Councils!$C$6:$C$809,$B190,Councils!$P$6:$P$809)*0.7,0)</f>
        <v>0</v>
      </c>
      <c r="I190">
        <f>ROUND(SUMIF(Councils!$C$6:$C$809,$B190,Councils!$Q$6:$Q$809)*0.7,0)</f>
        <v>0</v>
      </c>
      <c r="J190">
        <f>ROUND(SUMIF(Councils!$C$6:$C$809,$B190,Councils!$R$6:$R$809)*0.7,0)</f>
        <v>0</v>
      </c>
      <c r="K190">
        <f>ROUND(SUMIF(Councils!$C$6:$C$809,$B190,Councils!$S$6:$S$809)*0.7,0)</f>
        <v>5</v>
      </c>
      <c r="L190">
        <f>ROUND(SUMIF(Councils!$C$6:$C$809,$B190,Councils!$T$6:$T$809)*0.7,0)</f>
        <v>8</v>
      </c>
      <c r="M190">
        <f>ROUND(SUMIF(Councils!$C$6:$C$809,$B190,Councils!$U$6:$U$809)*0.7,0)</f>
        <v>-4</v>
      </c>
      <c r="N190" s="63">
        <f t="shared" si="5"/>
        <v>0</v>
      </c>
    </row>
    <row r="191" spans="1:14">
      <c r="A191">
        <f t="shared" si="6"/>
        <v>1</v>
      </c>
      <c r="B191" s="67">
        <v>68</v>
      </c>
      <c r="C191" s="80">
        <f>IF(ISNA(VLOOKUP($B191,DD_Info!$A$1:$E$216,5,0)),0,VLOOKUP($B191,DD_Info!$A$1:$E$216,5,0))</f>
        <v>1</v>
      </c>
      <c r="D191" t="str">
        <f>IF(ISNA(VLOOKUP($B191,DD_Info!$A$1:$E$216,2,0)),0,VLOOKUP($B191,DD_Info!$A$1:$E$216,2,0))</f>
        <v>Dennis J Doherty</v>
      </c>
      <c r="E191" t="str">
        <f>IF(ISNA(VLOOKUP($B191,DD_Info!$A$1:$E$216,3,0)),0,VLOOKUP($B191,DD_Info!$A$1:$E$216,3,0))</f>
        <v>Galv/Hous</v>
      </c>
      <c r="F191">
        <f>ROUND(SUMIF(Councils!$C$6:$C$809,$B191,Councils!$E$6:$E$809),0)</f>
        <v>949</v>
      </c>
      <c r="G191">
        <f>ROUND(SUMIF(Councils!$C$6:$C$809,$B191,Councils!$O$6:$O$809)*0.7,0)</f>
        <v>0</v>
      </c>
      <c r="H191">
        <f>ROUND(SUMIF(Councils!$C$6:$C$809,$B191,Councils!$P$6:$P$809)*0.7,0)</f>
        <v>1</v>
      </c>
      <c r="I191">
        <f>ROUND(SUMIF(Councils!$C$6:$C$809,$B191,Councils!$Q$6:$Q$809)*0.7,0)</f>
        <v>0</v>
      </c>
      <c r="J191">
        <f>ROUND(SUMIF(Councils!$C$6:$C$809,$B191,Councils!$R$6:$R$809)*0.7,0)</f>
        <v>1</v>
      </c>
      <c r="K191">
        <f>ROUND(SUMIF(Councils!$C$6:$C$809,$B191,Councils!$S$6:$S$809)*0.7,0)</f>
        <v>2</v>
      </c>
      <c r="L191">
        <f>ROUND(SUMIF(Councils!$C$6:$C$809,$B191,Councils!$T$6:$T$809)*0.7,0)</f>
        <v>1</v>
      </c>
      <c r="M191">
        <f>ROUND(SUMIF(Councils!$C$6:$C$809,$B191,Councils!$U$6:$U$809)*0.7,0)</f>
        <v>1</v>
      </c>
      <c r="N191" s="63">
        <f t="shared" si="5"/>
        <v>0</v>
      </c>
    </row>
    <row r="192" spans="1:14">
      <c r="A192">
        <f t="shared" si="6"/>
        <v>1</v>
      </c>
      <c r="B192" s="67">
        <v>141</v>
      </c>
      <c r="C192" s="80">
        <f>IF(ISNA(VLOOKUP($B192,DD_Info!$A$1:$E$216,5,0)),0,VLOOKUP($B192,DD_Info!$A$1:$E$216,5,0))</f>
        <v>1</v>
      </c>
      <c r="D192" t="str">
        <f>IF(ISNA(VLOOKUP($B192,DD_Info!$A$1:$E$216,2,0)),0,VLOOKUP($B192,DD_Info!$A$1:$E$216,2,0))</f>
        <v>Kenneth  Ratajczak</v>
      </c>
      <c r="E192" t="str">
        <f>IF(ISNA(VLOOKUP($B192,DD_Info!$A$1:$E$216,3,0)),0,VLOOKUP($B192,DD_Info!$A$1:$E$216,3,0))</f>
        <v>Austin</v>
      </c>
      <c r="F192">
        <f>ROUND(SUMIF(Councils!$C$6:$C$809,$B192,Councils!$E$6:$E$809),0)</f>
        <v>1017</v>
      </c>
      <c r="G192">
        <f>ROUND(SUMIF(Councils!$C$6:$C$809,$B192,Councils!$O$6:$O$809)*0.7,0)</f>
        <v>0</v>
      </c>
      <c r="H192">
        <f>ROUND(SUMIF(Councils!$C$6:$C$809,$B192,Councils!$P$6:$P$809)*0.7,0)</f>
        <v>0</v>
      </c>
      <c r="I192">
        <f>ROUND(SUMIF(Councils!$C$6:$C$809,$B192,Councils!$Q$6:$Q$809)*0.7,0)</f>
        <v>1</v>
      </c>
      <c r="J192">
        <f>ROUND(SUMIF(Councils!$C$6:$C$809,$B192,Councils!$R$6:$R$809)*0.7,0)</f>
        <v>-1</v>
      </c>
      <c r="K192">
        <f>ROUND(SUMIF(Councils!$C$6:$C$809,$B192,Councils!$S$6:$S$809)*0.7,0)</f>
        <v>3</v>
      </c>
      <c r="L192">
        <f>ROUND(SUMIF(Councils!$C$6:$C$809,$B192,Councils!$T$6:$T$809)*0.7,0)</f>
        <v>1</v>
      </c>
      <c r="M192">
        <f>ROUND(SUMIF(Councils!$C$6:$C$809,$B192,Councils!$U$6:$U$809)*0.7,0)</f>
        <v>2</v>
      </c>
      <c r="N192" s="63">
        <f t="shared" si="5"/>
        <v>0</v>
      </c>
    </row>
    <row r="193" spans="1:14">
      <c r="A193">
        <f t="shared" si="6"/>
        <v>1</v>
      </c>
      <c r="B193" s="67">
        <v>24</v>
      </c>
      <c r="C193" s="80">
        <f>IF(ISNA(VLOOKUP($B193,DD_Info!$A$1:$E$216,5,0)),0,VLOOKUP($B193,DD_Info!$A$1:$E$216,5,0))</f>
        <v>1</v>
      </c>
      <c r="D193" t="str">
        <f>IF(ISNA(VLOOKUP($B193,DD_Info!$A$1:$E$216,2,0)),0,VLOOKUP($B193,DD_Info!$A$1:$E$216,2,0))</f>
        <v>Ruben  Cisneros</v>
      </c>
      <c r="E193" t="str">
        <f>IF(ISNA(VLOOKUP($B193,DD_Info!$A$1:$E$216,3,0)),0,VLOOKUP($B193,DD_Info!$A$1:$E$216,3,0))</f>
        <v>Fort Worth</v>
      </c>
      <c r="F193">
        <f>ROUND(SUMIF(Councils!$C$6:$C$809,$B193,Councils!$E$6:$E$809),0)</f>
        <v>831</v>
      </c>
      <c r="G193">
        <f>ROUND(SUMIF(Councils!$C$6:$C$809,$B193,Councils!$O$6:$O$809)*0.7,0)</f>
        <v>0</v>
      </c>
      <c r="H193">
        <f>ROUND(SUMIF(Councils!$C$6:$C$809,$B193,Councils!$P$6:$P$809)*0.7,0)</f>
        <v>0</v>
      </c>
      <c r="I193">
        <f>ROUND(SUMIF(Councils!$C$6:$C$809,$B193,Councils!$Q$6:$Q$809)*0.7,0)</f>
        <v>1</v>
      </c>
      <c r="J193">
        <f>ROUND(SUMIF(Councils!$C$6:$C$809,$B193,Councils!$R$6:$R$809)*0.7,0)</f>
        <v>-1</v>
      </c>
      <c r="K193">
        <f>ROUND(SUMIF(Councils!$C$6:$C$809,$B193,Councils!$S$6:$S$809)*0.7,0)</f>
        <v>5</v>
      </c>
      <c r="L193">
        <f>ROUND(SUMIF(Councils!$C$6:$C$809,$B193,Councils!$T$6:$T$809)*0.7,0)</f>
        <v>6</v>
      </c>
      <c r="M193">
        <f>ROUND(SUMIF(Councils!$C$6:$C$809,$B193,Councils!$U$6:$U$809)*0.7,0)</f>
        <v>-1</v>
      </c>
      <c r="N193" s="63">
        <f t="shared" si="5"/>
        <v>0</v>
      </c>
    </row>
    <row r="194" spans="1:14">
      <c r="A194">
        <f t="shared" si="6"/>
        <v>1</v>
      </c>
      <c r="B194" s="67">
        <v>75</v>
      </c>
      <c r="C194" s="80">
        <f>IF(ISNA(VLOOKUP($B194,DD_Info!$A$1:$E$216,5,0)),0,VLOOKUP($B194,DD_Info!$A$1:$E$216,5,0))</f>
        <v>1</v>
      </c>
      <c r="D194" t="str">
        <f>IF(ISNA(VLOOKUP($B194,DD_Info!$A$1:$E$216,2,0)),0,VLOOKUP($B194,DD_Info!$A$1:$E$216,2,0))</f>
        <v>Michael  Appling</v>
      </c>
      <c r="E194" t="str">
        <f>IF(ISNA(VLOOKUP($B194,DD_Info!$A$1:$E$216,3,0)),0,VLOOKUP($B194,DD_Info!$A$1:$E$216,3,0))</f>
        <v>Galv/Hous</v>
      </c>
      <c r="F194">
        <f>ROUND(SUMIF(Councils!$C$6:$C$809,$B194,Councils!$E$6:$E$809),0)</f>
        <v>1120</v>
      </c>
      <c r="G194">
        <f>ROUND(SUMIF(Councils!$C$6:$C$809,$B194,Councils!$O$6:$O$809)*0.7,0)</f>
        <v>0</v>
      </c>
      <c r="H194">
        <f>ROUND(SUMIF(Councils!$C$6:$C$809,$B194,Councils!$P$6:$P$809)*0.7,0)</f>
        <v>1</v>
      </c>
      <c r="I194">
        <f>ROUND(SUMIF(Councils!$C$6:$C$809,$B194,Councils!$Q$6:$Q$809)*0.7,0)</f>
        <v>5</v>
      </c>
      <c r="J194">
        <f>ROUND(SUMIF(Councils!$C$6:$C$809,$B194,Councils!$R$6:$R$809)*0.7,0)</f>
        <v>-4</v>
      </c>
      <c r="K194">
        <f>ROUND(SUMIF(Councils!$C$6:$C$809,$B194,Councils!$S$6:$S$809)*0.7,0)</f>
        <v>2</v>
      </c>
      <c r="L194">
        <f>ROUND(SUMIF(Councils!$C$6:$C$809,$B194,Councils!$T$6:$T$809)*0.7,0)</f>
        <v>8</v>
      </c>
      <c r="M194">
        <f>ROUND(SUMIF(Councils!$C$6:$C$809,$B194,Councils!$U$6:$U$809)*0.7,0)</f>
        <v>-6</v>
      </c>
      <c r="N194" s="63">
        <f t="shared" ref="N194:N208" si="7">IFERROR(M194/G194,0)</f>
        <v>0</v>
      </c>
    </row>
    <row r="195" spans="1:14">
      <c r="A195">
        <f t="shared" ref="A195:A208" si="8">RANK(N195,$N$2:$N$208,0)</f>
        <v>1</v>
      </c>
      <c r="B195" s="67">
        <v>125</v>
      </c>
      <c r="C195" s="80">
        <f>IF(ISNA(VLOOKUP($B195,DD_Info!$A$1:$E$216,5,0)),0,VLOOKUP($B195,DD_Info!$A$1:$E$216,5,0))</f>
        <v>1</v>
      </c>
      <c r="D195" t="str">
        <f>IF(ISNA(VLOOKUP($B195,DD_Info!$A$1:$E$216,2,0)),0,VLOOKUP($B195,DD_Info!$A$1:$E$216,2,0))</f>
        <v>Marcus A James</v>
      </c>
      <c r="E195" t="str">
        <f>IF(ISNA(VLOOKUP($B195,DD_Info!$A$1:$E$216,3,0)),0,VLOOKUP($B195,DD_Info!$A$1:$E$216,3,0))</f>
        <v>Beaumont</v>
      </c>
      <c r="F195">
        <f>ROUND(SUMIF(Councils!$C$6:$C$809,$B195,Councils!$E$6:$E$809),0)</f>
        <v>595</v>
      </c>
      <c r="G195">
        <f>ROUND(SUMIF(Councils!$C$6:$C$809,$B195,Councils!$O$6:$O$809)*0.7,0)</f>
        <v>0</v>
      </c>
      <c r="H195">
        <f>ROUND(SUMIF(Councils!$C$6:$C$809,$B195,Councils!$P$6:$P$809)*0.7,0)</f>
        <v>0</v>
      </c>
      <c r="I195">
        <f>ROUND(SUMIF(Councils!$C$6:$C$809,$B195,Councils!$Q$6:$Q$809)*0.7,0)</f>
        <v>1</v>
      </c>
      <c r="J195">
        <f>ROUND(SUMIF(Councils!$C$6:$C$809,$B195,Councils!$R$6:$R$809)*0.7,0)</f>
        <v>-1</v>
      </c>
      <c r="K195">
        <f>ROUND(SUMIF(Councils!$C$6:$C$809,$B195,Councils!$S$6:$S$809)*0.7,0)</f>
        <v>1</v>
      </c>
      <c r="L195">
        <f>ROUND(SUMIF(Councils!$C$6:$C$809,$B195,Councils!$T$6:$T$809)*0.7,0)</f>
        <v>2</v>
      </c>
      <c r="M195">
        <f>ROUND(SUMIF(Councils!$C$6:$C$809,$B195,Councils!$U$6:$U$809)*0.7,0)</f>
        <v>-1</v>
      </c>
      <c r="N195" s="63">
        <f t="shared" si="7"/>
        <v>0</v>
      </c>
    </row>
    <row r="196" spans="1:14">
      <c r="A196">
        <f t="shared" si="8"/>
        <v>1</v>
      </c>
      <c r="B196" s="67">
        <v>121</v>
      </c>
      <c r="C196" s="80">
        <f>IF(ISNA(VLOOKUP($B196,DD_Info!$A$1:$E$216,5,0)),0,VLOOKUP($B196,DD_Info!$A$1:$E$216,5,0))</f>
        <v>2</v>
      </c>
      <c r="D196" t="str">
        <f>IF(ISNA(VLOOKUP($B196,DD_Info!$A$1:$E$216,2,0)),0,VLOOKUP($B196,DD_Info!$A$1:$E$216,2,0))</f>
        <v>Philip  Chauvin</v>
      </c>
      <c r="E196" t="str">
        <f>IF(ISNA(VLOOKUP($B196,DD_Info!$A$1:$E$216,3,0)),0,VLOOKUP($B196,DD_Info!$A$1:$E$216,3,0))</f>
        <v>Beaumont</v>
      </c>
      <c r="F196">
        <f>ROUND(SUMIF(Councils!$C$6:$C$809,$B196,Councils!$E$6:$E$809),0)</f>
        <v>418</v>
      </c>
      <c r="G196">
        <f>ROUND(SUMIF(Councils!$C$6:$C$809,$B196,Councils!$O$6:$O$809)*0.7,0)</f>
        <v>0</v>
      </c>
      <c r="H196">
        <f>ROUND(SUMIF(Councils!$C$6:$C$809,$B196,Councils!$P$6:$P$809)*0.7,0)</f>
        <v>0</v>
      </c>
      <c r="I196">
        <f>ROUND(SUMIF(Councils!$C$6:$C$809,$B196,Councils!$Q$6:$Q$809)*0.7,0)</f>
        <v>1</v>
      </c>
      <c r="J196">
        <f>ROUND(SUMIF(Councils!$C$6:$C$809,$B196,Councils!$R$6:$R$809)*0.7,0)</f>
        <v>-1</v>
      </c>
      <c r="K196">
        <f>ROUND(SUMIF(Councils!$C$6:$C$809,$B196,Councils!$S$6:$S$809)*0.7,0)</f>
        <v>0</v>
      </c>
      <c r="L196">
        <f>ROUND(SUMIF(Councils!$C$6:$C$809,$B196,Councils!$T$6:$T$809)*0.7,0)</f>
        <v>4</v>
      </c>
      <c r="M196">
        <f>ROUND(SUMIF(Councils!$C$6:$C$809,$B196,Councils!$U$6:$U$809)*0.7,0)</f>
        <v>-4</v>
      </c>
      <c r="N196" s="63">
        <f t="shared" si="7"/>
        <v>0</v>
      </c>
    </row>
    <row r="197" spans="1:14">
      <c r="A197">
        <f t="shared" si="8"/>
        <v>1</v>
      </c>
      <c r="B197" s="67">
        <v>180</v>
      </c>
      <c r="C197" s="80">
        <f>IF(ISNA(VLOOKUP($B197,DD_Info!$A$1:$E$216,5,0)),0,VLOOKUP($B197,DD_Info!$A$1:$E$216,5,0))</f>
        <v>3</v>
      </c>
      <c r="D197" t="str">
        <f>IF(ISNA(VLOOKUP($B197,DD_Info!$A$1:$E$216,2,0)),0,VLOOKUP($B197,DD_Info!$A$1:$E$216,2,0))</f>
        <v>Rudy  Ortiz</v>
      </c>
      <c r="E197" t="str">
        <f>IF(ISNA(VLOOKUP($B197,DD_Info!$A$1:$E$216,3,0)),0,VLOOKUP($B197,DD_Info!$A$1:$E$216,3,0))</f>
        <v>Corpus Christi</v>
      </c>
      <c r="F197">
        <f>ROUND(SUMIF(Councils!$C$6:$C$809,$B197,Councils!$E$6:$E$809),0)</f>
        <v>170</v>
      </c>
      <c r="G197">
        <f>ROUND(SUMIF(Councils!$C$6:$C$809,$B197,Councils!$O$6:$O$809)*0.7,0)</f>
        <v>0</v>
      </c>
      <c r="H197">
        <f>ROUND(SUMIF(Councils!$C$6:$C$809,$B197,Councils!$P$6:$P$809)*0.7,0)</f>
        <v>0</v>
      </c>
      <c r="I197">
        <f>ROUND(SUMIF(Councils!$C$6:$C$809,$B197,Councils!$Q$6:$Q$809)*0.7,0)</f>
        <v>0</v>
      </c>
      <c r="J197">
        <f>ROUND(SUMIF(Councils!$C$6:$C$809,$B197,Councils!$R$6:$R$809)*0.7,0)</f>
        <v>0</v>
      </c>
      <c r="K197">
        <f>ROUND(SUMIF(Councils!$C$6:$C$809,$B197,Councils!$S$6:$S$809)*0.7,0)</f>
        <v>0</v>
      </c>
      <c r="L197">
        <f>ROUND(SUMIF(Councils!$C$6:$C$809,$B197,Councils!$T$6:$T$809)*0.7,0)</f>
        <v>0</v>
      </c>
      <c r="M197">
        <f>ROUND(SUMIF(Councils!$C$6:$C$809,$B197,Councils!$U$6:$U$809)*0.7,0)</f>
        <v>0</v>
      </c>
      <c r="N197" s="63">
        <f t="shared" si="7"/>
        <v>0</v>
      </c>
    </row>
    <row r="198" spans="1:14">
      <c r="A198">
        <f t="shared" si="8"/>
        <v>1</v>
      </c>
      <c r="B198" s="67">
        <v>186</v>
      </c>
      <c r="C198" s="80">
        <f>IF(ISNA(VLOOKUP($B198,DD_Info!$A$1:$E$216,5,0)),0,VLOOKUP($B198,DD_Info!$A$1:$E$216,5,0))</f>
        <v>2</v>
      </c>
      <c r="D198" t="str">
        <f>IF(ISNA(VLOOKUP($B198,DD_Info!$A$1:$E$216,2,0)),0,VLOOKUP($B198,DD_Info!$A$1:$E$216,2,0))</f>
        <v>Robert  Landry</v>
      </c>
      <c r="E198" t="str">
        <f>IF(ISNA(VLOOKUP($B198,DD_Info!$A$1:$E$216,3,0)),0,VLOOKUP($B198,DD_Info!$A$1:$E$216,3,0))</f>
        <v>Victoria</v>
      </c>
      <c r="F198">
        <f>ROUND(SUMIF(Councils!$C$6:$C$809,$B198,Councils!$E$6:$E$809),0)</f>
        <v>510</v>
      </c>
      <c r="G198">
        <f>ROUND(SUMIF(Councils!$C$6:$C$809,$B198,Councils!$O$6:$O$809)*0.7,0)</f>
        <v>0</v>
      </c>
      <c r="H198">
        <f>ROUND(SUMIF(Councils!$C$6:$C$809,$B198,Councils!$P$6:$P$809)*0.7,0)</f>
        <v>0</v>
      </c>
      <c r="I198">
        <f>ROUND(SUMIF(Councils!$C$6:$C$809,$B198,Councils!$Q$6:$Q$809)*0.7,0)</f>
        <v>1</v>
      </c>
      <c r="J198">
        <f>ROUND(SUMIF(Councils!$C$6:$C$809,$B198,Councils!$R$6:$R$809)*0.7,0)</f>
        <v>-1</v>
      </c>
      <c r="K198">
        <f>ROUND(SUMIF(Councils!$C$6:$C$809,$B198,Councils!$S$6:$S$809)*0.7,0)</f>
        <v>3</v>
      </c>
      <c r="L198">
        <f>ROUND(SUMIF(Councils!$C$6:$C$809,$B198,Councils!$T$6:$T$809)*0.7,0)</f>
        <v>2</v>
      </c>
      <c r="M198">
        <f>ROUND(SUMIF(Councils!$C$6:$C$809,$B198,Councils!$U$6:$U$809)*0.7,0)</f>
        <v>1</v>
      </c>
      <c r="N198" s="63">
        <f t="shared" si="7"/>
        <v>0</v>
      </c>
    </row>
    <row r="199" spans="1:14">
      <c r="A199">
        <f t="shared" si="8"/>
        <v>1</v>
      </c>
      <c r="B199" s="67">
        <v>208</v>
      </c>
      <c r="C199" s="80">
        <f>IF(ISNA(VLOOKUP($B199,DD_Info!$A$1:$E$216,5,0)),0,VLOOKUP($B199,DD_Info!$A$1:$E$216,5,0))</f>
        <v>2</v>
      </c>
      <c r="D199" t="str">
        <f>IF(ISNA(VLOOKUP($B199,DD_Info!$A$1:$E$216,2,0)),0,VLOOKUP($B199,DD_Info!$A$1:$E$216,2,0))</f>
        <v>Albert  Esparza</v>
      </c>
      <c r="E199" t="str">
        <f>IF(ISNA(VLOOKUP($B199,DD_Info!$A$1:$E$216,3,0)),0,VLOOKUP($B199,DD_Info!$A$1:$E$216,3,0))</f>
        <v>Brownsville</v>
      </c>
      <c r="F199">
        <f>ROUND(SUMIF(Councils!$C$6:$C$809,$B199,Councils!$E$6:$E$809),0)</f>
        <v>512</v>
      </c>
      <c r="G199">
        <f>ROUND(SUMIF(Councils!$C$6:$C$809,$B199,Councils!$O$6:$O$809)*0.7,0)</f>
        <v>0</v>
      </c>
      <c r="H199">
        <f>ROUND(SUMIF(Councils!$C$6:$C$809,$B199,Councils!$P$6:$P$809)*0.7,0)</f>
        <v>0</v>
      </c>
      <c r="I199">
        <f>ROUND(SUMIF(Councils!$C$6:$C$809,$B199,Councils!$Q$6:$Q$809)*0.7,0)</f>
        <v>1</v>
      </c>
      <c r="J199">
        <f>ROUND(SUMIF(Councils!$C$6:$C$809,$B199,Councils!$R$6:$R$809)*0.7,0)</f>
        <v>-1</v>
      </c>
      <c r="K199">
        <f>ROUND(SUMIF(Councils!$C$6:$C$809,$B199,Councils!$S$6:$S$809)*0.7,0)</f>
        <v>1</v>
      </c>
      <c r="L199">
        <f>ROUND(SUMIF(Councils!$C$6:$C$809,$B199,Councils!$T$6:$T$809)*0.7,0)</f>
        <v>1</v>
      </c>
      <c r="M199">
        <f>ROUND(SUMIF(Councils!$C$6:$C$809,$B199,Councils!$U$6:$U$809)*0.7,0)</f>
        <v>0</v>
      </c>
      <c r="N199" s="63">
        <f t="shared" si="7"/>
        <v>0</v>
      </c>
    </row>
    <row r="200" spans="1:14">
      <c r="A200">
        <f t="shared" si="8"/>
        <v>1</v>
      </c>
      <c r="B200" s="67">
        <v>112</v>
      </c>
      <c r="C200" s="80">
        <f>IF(ISNA(VLOOKUP($B200,DD_Info!$A$1:$E$216,5,0)),0,VLOOKUP($B200,DD_Info!$A$1:$E$216,5,0))</f>
        <v>3</v>
      </c>
      <c r="D200" t="str">
        <f>IF(ISNA(VLOOKUP($B200,DD_Info!$A$1:$E$216,2,0)),0,VLOOKUP($B200,DD_Info!$A$1:$E$216,2,0))</f>
        <v>Alberto  Castro</v>
      </c>
      <c r="E200" t="str">
        <f>IF(ISNA(VLOOKUP($B200,DD_Info!$A$1:$E$216,3,0)),0,VLOOKUP($B200,DD_Info!$A$1:$E$216,3,0))</f>
        <v>Dallas</v>
      </c>
      <c r="F200">
        <f>ROUND(SUMIF(Councils!$C$6:$C$809,$B200,Councils!$E$6:$E$809),0)</f>
        <v>224</v>
      </c>
      <c r="G200">
        <f>ROUND(SUMIF(Councils!$C$6:$C$809,$B200,Councils!$O$6:$O$809)*0.7,0)</f>
        <v>0</v>
      </c>
      <c r="H200">
        <f>ROUND(SUMIF(Councils!$C$6:$C$809,$B200,Councils!$P$6:$P$809)*0.7,0)</f>
        <v>0</v>
      </c>
      <c r="I200">
        <f>ROUND(SUMIF(Councils!$C$6:$C$809,$B200,Councils!$Q$6:$Q$809)*0.7,0)</f>
        <v>0</v>
      </c>
      <c r="J200">
        <f>ROUND(SUMIF(Councils!$C$6:$C$809,$B200,Councils!$R$6:$R$809)*0.7,0)</f>
        <v>0</v>
      </c>
      <c r="K200">
        <f>ROUND(SUMIF(Councils!$C$6:$C$809,$B200,Councils!$S$6:$S$809)*0.7,0)</f>
        <v>1</v>
      </c>
      <c r="L200">
        <f>ROUND(SUMIF(Councils!$C$6:$C$809,$B200,Councils!$T$6:$T$809)*0.7,0)</f>
        <v>0</v>
      </c>
      <c r="M200">
        <f>ROUND(SUMIF(Councils!$C$6:$C$809,$B200,Councils!$U$6:$U$809)*0.7,0)</f>
        <v>1</v>
      </c>
      <c r="N200" s="63">
        <f t="shared" si="7"/>
        <v>0</v>
      </c>
    </row>
    <row r="201" spans="1:14">
      <c r="A201">
        <f t="shared" si="8"/>
        <v>1</v>
      </c>
      <c r="B201" s="67">
        <v>2</v>
      </c>
      <c r="C201" s="80">
        <f>IF(ISNA(VLOOKUP($B201,DD_Info!$A$1:$E$216,5,0)),0,VLOOKUP($B201,DD_Info!$A$1:$E$216,5,0))</f>
        <v>2</v>
      </c>
      <c r="D201" t="str">
        <f>IF(ISNA(VLOOKUP($B201,DD_Info!$A$1:$E$216,2,0)),0,VLOOKUP($B201,DD_Info!$A$1:$E$216,2,0))</f>
        <v>Fernando T Silva</v>
      </c>
      <c r="E201" t="str">
        <f>IF(ISNA(VLOOKUP($B201,DD_Info!$A$1:$E$216,3,0)),0,VLOOKUP($B201,DD_Info!$A$1:$E$216,3,0))</f>
        <v>El Paso</v>
      </c>
      <c r="F201">
        <f>ROUND(SUMIF(Councils!$C$6:$C$809,$B201,Councils!$E$6:$E$809),0)</f>
        <v>574</v>
      </c>
      <c r="G201">
        <f>ROUND(SUMIF(Councils!$C$6:$C$809,$B201,Councils!$O$6:$O$809)*0.7,0)</f>
        <v>0</v>
      </c>
      <c r="H201">
        <f>ROUND(SUMIF(Councils!$C$6:$C$809,$B201,Councils!$P$6:$P$809)*0.7,0)</f>
        <v>0</v>
      </c>
      <c r="I201">
        <f>ROUND(SUMIF(Councils!$C$6:$C$809,$B201,Councils!$Q$6:$Q$809)*0.7,0)</f>
        <v>0</v>
      </c>
      <c r="J201">
        <f>ROUND(SUMIF(Councils!$C$6:$C$809,$B201,Councils!$R$6:$R$809)*0.7,0)</f>
        <v>0</v>
      </c>
      <c r="K201">
        <f>ROUND(SUMIF(Councils!$C$6:$C$809,$B201,Councils!$S$6:$S$809)*0.7,0)</f>
        <v>0</v>
      </c>
      <c r="L201">
        <f>ROUND(SUMIF(Councils!$C$6:$C$809,$B201,Councils!$T$6:$T$809)*0.7,0)</f>
        <v>1</v>
      </c>
      <c r="M201">
        <f>ROUND(SUMIF(Councils!$C$6:$C$809,$B201,Councils!$U$6:$U$809)*0.7,0)</f>
        <v>-1</v>
      </c>
      <c r="N201" s="63">
        <f t="shared" si="7"/>
        <v>0</v>
      </c>
    </row>
    <row r="202" spans="1:14">
      <c r="A202">
        <f t="shared" si="8"/>
        <v>1</v>
      </c>
      <c r="B202" s="67">
        <v>58</v>
      </c>
      <c r="C202" s="80">
        <f>IF(ISNA(VLOOKUP($B202,DD_Info!$A$1:$E$216,5,0)),0,VLOOKUP($B202,DD_Info!$A$1:$E$216,5,0))</f>
        <v>2</v>
      </c>
      <c r="D202" t="str">
        <f>IF(ISNA(VLOOKUP($B202,DD_Info!$A$1:$E$216,2,0)),0,VLOOKUP($B202,DD_Info!$A$1:$E$216,2,0))</f>
        <v>Louis C Soriano</v>
      </c>
      <c r="E202" t="str">
        <f>IF(ISNA(VLOOKUP($B202,DD_Info!$A$1:$E$216,3,0)),0,VLOOKUP($B202,DD_Info!$A$1:$E$216,3,0))</f>
        <v>San Antonio</v>
      </c>
      <c r="F202">
        <f>ROUND(SUMIF(Councils!$C$6:$C$809,$B202,Councils!$E$6:$E$809),0)</f>
        <v>334</v>
      </c>
      <c r="G202">
        <f>ROUND(SUMIF(Councils!$C$6:$C$809,$B202,Councils!$O$6:$O$809)*0.7,0)</f>
        <v>0</v>
      </c>
      <c r="H202">
        <f>ROUND(SUMIF(Councils!$C$6:$C$809,$B202,Councils!$P$6:$P$809)*0.7,0)</f>
        <v>1</v>
      </c>
      <c r="I202">
        <f>ROUND(SUMIF(Councils!$C$6:$C$809,$B202,Councils!$Q$6:$Q$809)*0.7,0)</f>
        <v>0</v>
      </c>
      <c r="J202">
        <f>ROUND(SUMIF(Councils!$C$6:$C$809,$B202,Councils!$R$6:$R$809)*0.7,0)</f>
        <v>1</v>
      </c>
      <c r="K202">
        <f>ROUND(SUMIF(Councils!$C$6:$C$809,$B202,Councils!$S$6:$S$809)*0.7,0)</f>
        <v>1</v>
      </c>
      <c r="L202">
        <f>ROUND(SUMIF(Councils!$C$6:$C$809,$B202,Councils!$T$6:$T$809)*0.7,0)</f>
        <v>0</v>
      </c>
      <c r="M202">
        <f>ROUND(SUMIF(Councils!$C$6:$C$809,$B202,Councils!$U$6:$U$809)*0.7,0)</f>
        <v>1</v>
      </c>
      <c r="N202" s="63">
        <f t="shared" si="7"/>
        <v>0</v>
      </c>
    </row>
    <row r="203" spans="1:14">
      <c r="A203">
        <f t="shared" si="8"/>
        <v>1</v>
      </c>
      <c r="B203" s="67">
        <v>160</v>
      </c>
      <c r="C203" s="80">
        <f>IF(ISNA(VLOOKUP($B203,DD_Info!$A$1:$E$216,5,0)),0,VLOOKUP($B203,DD_Info!$A$1:$E$216,5,0))</f>
        <v>2</v>
      </c>
      <c r="D203" t="str">
        <f>IF(ISNA(VLOOKUP($B203,DD_Info!$A$1:$E$216,2,0)),0,VLOOKUP($B203,DD_Info!$A$1:$E$216,2,0))</f>
        <v>Patrick J Quinlan</v>
      </c>
      <c r="E203" t="str">
        <f>IF(ISNA(VLOOKUP($B203,DD_Info!$A$1:$E$216,3,0)),0,VLOOKUP($B203,DD_Info!$A$1:$E$216,3,0))</f>
        <v>Austin</v>
      </c>
      <c r="F203">
        <f>ROUND(SUMIF(Councils!$C$6:$C$809,$B203,Councils!$E$6:$E$809),0)</f>
        <v>274</v>
      </c>
      <c r="G203">
        <f>ROUND(SUMIF(Councils!$C$6:$C$809,$B203,Councils!$O$6:$O$809)*0.7,0)</f>
        <v>0</v>
      </c>
      <c r="H203">
        <f>ROUND(SUMIF(Councils!$C$6:$C$809,$B203,Councils!$P$6:$P$809)*0.7,0)</f>
        <v>0</v>
      </c>
      <c r="I203">
        <f>ROUND(SUMIF(Councils!$C$6:$C$809,$B203,Councils!$Q$6:$Q$809)*0.7,0)</f>
        <v>1</v>
      </c>
      <c r="J203">
        <f>ROUND(SUMIF(Councils!$C$6:$C$809,$B203,Councils!$R$6:$R$809)*0.7,0)</f>
        <v>-1</v>
      </c>
      <c r="K203">
        <f>ROUND(SUMIF(Councils!$C$6:$C$809,$B203,Councils!$S$6:$S$809)*0.7,0)</f>
        <v>1</v>
      </c>
      <c r="L203">
        <f>ROUND(SUMIF(Councils!$C$6:$C$809,$B203,Councils!$T$6:$T$809)*0.7,0)</f>
        <v>1</v>
      </c>
      <c r="M203">
        <f>ROUND(SUMIF(Councils!$C$6:$C$809,$B203,Councils!$U$6:$U$809)*0.7,0)</f>
        <v>-1</v>
      </c>
      <c r="N203" s="63">
        <f t="shared" si="7"/>
        <v>0</v>
      </c>
    </row>
    <row r="204" spans="1:14">
      <c r="A204">
        <f t="shared" si="8"/>
        <v>1</v>
      </c>
      <c r="B204" s="67">
        <v>169</v>
      </c>
      <c r="C204" s="80">
        <f>IF(ISNA(VLOOKUP($B204,DD_Info!$A$1:$E$216,5,0)),0,VLOOKUP($B204,DD_Info!$A$1:$E$216,5,0))</f>
        <v>3</v>
      </c>
      <c r="D204" t="str">
        <f>IF(ISNA(VLOOKUP($B204,DD_Info!$A$1:$E$216,2,0)),0,VLOOKUP($B204,DD_Info!$A$1:$E$216,2,0))</f>
        <v>Luis M Cadena</v>
      </c>
      <c r="E204" t="str">
        <f>IF(ISNA(VLOOKUP($B204,DD_Info!$A$1:$E$216,3,0)),0,VLOOKUP($B204,DD_Info!$A$1:$E$216,3,0))</f>
        <v>Corpus Christi</v>
      </c>
      <c r="F204">
        <f>ROUND(SUMIF(Councils!$C$6:$C$809,$B204,Councils!$E$6:$E$809),0)</f>
        <v>235</v>
      </c>
      <c r="G204">
        <f>ROUND(SUMIF(Councils!$C$6:$C$809,$B204,Councils!$O$6:$O$809)*0.7,0)</f>
        <v>0</v>
      </c>
      <c r="H204">
        <f>ROUND(SUMIF(Councils!$C$6:$C$809,$B204,Councils!$P$6:$P$809)*0.7,0)</f>
        <v>0</v>
      </c>
      <c r="I204">
        <f>ROUND(SUMIF(Councils!$C$6:$C$809,$B204,Councils!$Q$6:$Q$809)*0.7,0)</f>
        <v>1</v>
      </c>
      <c r="J204">
        <f>ROUND(SUMIF(Councils!$C$6:$C$809,$B204,Councils!$R$6:$R$809)*0.7,0)</f>
        <v>-1</v>
      </c>
      <c r="K204">
        <f>ROUND(SUMIF(Councils!$C$6:$C$809,$B204,Councils!$S$6:$S$809)*0.7,0)</f>
        <v>0</v>
      </c>
      <c r="L204">
        <f>ROUND(SUMIF(Councils!$C$6:$C$809,$B204,Councils!$T$6:$T$809)*0.7,0)</f>
        <v>1</v>
      </c>
      <c r="M204">
        <f>ROUND(SUMIF(Councils!$C$6:$C$809,$B204,Councils!$U$6:$U$809)*0.7,0)</f>
        <v>-1</v>
      </c>
      <c r="N204" s="63">
        <f t="shared" si="7"/>
        <v>0</v>
      </c>
    </row>
    <row r="205" spans="1:14">
      <c r="A205">
        <f t="shared" si="8"/>
        <v>1</v>
      </c>
      <c r="B205" s="67">
        <v>198</v>
      </c>
      <c r="C205" s="80">
        <f>IF(ISNA(VLOOKUP($B205,DD_Info!$A$1:$E$216,5,0)),0,VLOOKUP($B205,DD_Info!$A$1:$E$216,5,0))</f>
        <v>2</v>
      </c>
      <c r="D205" t="str">
        <f>IF(ISNA(VLOOKUP($B205,DD_Info!$A$1:$E$216,2,0)),0,VLOOKUP($B205,DD_Info!$A$1:$E$216,2,0))</f>
        <v>Ignacio "Richard"  Romero</v>
      </c>
      <c r="E205" t="str">
        <f>IF(ISNA(VLOOKUP($B205,DD_Info!$A$1:$E$216,3,0)),0,VLOOKUP($B205,DD_Info!$A$1:$E$216,3,0))</f>
        <v>Amarillo</v>
      </c>
      <c r="F205">
        <f>ROUND(SUMIF(Councils!$C$6:$C$809,$B205,Councils!$E$6:$E$809),0)</f>
        <v>330</v>
      </c>
      <c r="G205">
        <f>ROUND(SUMIF(Councils!$C$6:$C$809,$B205,Councils!$O$6:$O$809)*0.7,0)</f>
        <v>0</v>
      </c>
      <c r="H205">
        <f>ROUND(SUMIF(Councils!$C$6:$C$809,$B205,Councils!$P$6:$P$809)*0.7,0)</f>
        <v>0</v>
      </c>
      <c r="I205">
        <f>ROUND(SUMIF(Councils!$C$6:$C$809,$B205,Councils!$Q$6:$Q$809)*0.7,0)</f>
        <v>0</v>
      </c>
      <c r="J205">
        <f>ROUND(SUMIF(Councils!$C$6:$C$809,$B205,Councils!$R$6:$R$809)*0.7,0)</f>
        <v>0</v>
      </c>
      <c r="K205">
        <f>ROUND(SUMIF(Councils!$C$6:$C$809,$B205,Councils!$S$6:$S$809)*0.7,0)</f>
        <v>1</v>
      </c>
      <c r="L205">
        <f>ROUND(SUMIF(Councils!$C$6:$C$809,$B205,Councils!$T$6:$T$809)*0.7,0)</f>
        <v>4</v>
      </c>
      <c r="M205">
        <f>ROUND(SUMIF(Councils!$C$6:$C$809,$B205,Councils!$U$6:$U$809)*0.7,0)</f>
        <v>-3</v>
      </c>
      <c r="N205" s="63">
        <f t="shared" si="7"/>
        <v>0</v>
      </c>
    </row>
    <row r="206" spans="1:14">
      <c r="A206">
        <f t="shared" si="8"/>
        <v>1</v>
      </c>
      <c r="B206" s="67">
        <v>28</v>
      </c>
      <c r="C206" s="80">
        <f>IF(ISNA(VLOOKUP($B206,DD_Info!$A$1:$E$216,5,0)),0,VLOOKUP($B206,DD_Info!$A$1:$E$216,5,0))</f>
        <v>1</v>
      </c>
      <c r="D206" t="str">
        <f>IF(ISNA(VLOOKUP($B206,DD_Info!$A$1:$E$216,2,0)),0,VLOOKUP($B206,DD_Info!$A$1:$E$216,2,0))</f>
        <v>Anson  Geisel</v>
      </c>
      <c r="E206" t="str">
        <f>IF(ISNA(VLOOKUP($B206,DD_Info!$A$1:$E$216,3,0)),0,VLOOKUP($B206,DD_Info!$A$1:$E$216,3,0))</f>
        <v>Fort Worth</v>
      </c>
      <c r="F206">
        <f>ROUND(SUMIF(Councils!$C$6:$C$809,$B206,Councils!$E$6:$E$809),0)</f>
        <v>601</v>
      </c>
      <c r="G206">
        <f>ROUND(SUMIF(Councils!$C$6:$C$809,$B206,Councils!$O$6:$O$809)*0.7,0)</f>
        <v>0</v>
      </c>
      <c r="H206">
        <f>ROUND(SUMIF(Councils!$C$6:$C$809,$B206,Councils!$P$6:$P$809)*0.7,0)</f>
        <v>0</v>
      </c>
      <c r="I206">
        <f>ROUND(SUMIF(Councils!$C$6:$C$809,$B206,Councils!$Q$6:$Q$809)*0.7,0)</f>
        <v>1</v>
      </c>
      <c r="J206">
        <f>ROUND(SUMIF(Councils!$C$6:$C$809,$B206,Councils!$R$6:$R$809)*0.7,0)</f>
        <v>-1</v>
      </c>
      <c r="K206">
        <f>ROUND(SUMIF(Councils!$C$6:$C$809,$B206,Councils!$S$6:$S$809)*0.7,0)</f>
        <v>1</v>
      </c>
      <c r="L206">
        <f>ROUND(SUMIF(Councils!$C$6:$C$809,$B206,Councils!$T$6:$T$809)*0.7,0)</f>
        <v>1</v>
      </c>
      <c r="M206">
        <f>ROUND(SUMIF(Councils!$C$6:$C$809,$B206,Councils!$U$6:$U$809)*0.7,0)</f>
        <v>0</v>
      </c>
      <c r="N206" s="63">
        <f t="shared" si="7"/>
        <v>0</v>
      </c>
    </row>
    <row r="207" spans="1:14">
      <c r="A207">
        <f t="shared" si="8"/>
        <v>1</v>
      </c>
      <c r="B207" s="67">
        <v>123</v>
      </c>
      <c r="C207" s="80">
        <f>IF(ISNA(VLOOKUP($B207,DD_Info!$A$1:$E$216,5,0)),0,VLOOKUP($B207,DD_Info!$A$1:$E$216,5,0))</f>
        <v>3</v>
      </c>
      <c r="D207" t="str">
        <f>IF(ISNA(VLOOKUP($B207,DD_Info!$A$1:$E$216,2,0)),0,VLOOKUP($B207,DD_Info!$A$1:$E$216,2,0))</f>
        <v>Robert "Bobby"  Wilson</v>
      </c>
      <c r="E207" t="str">
        <f>IF(ISNA(VLOOKUP($B207,DD_Info!$A$1:$E$216,3,0)),0,VLOOKUP($B207,DD_Info!$A$1:$E$216,3,0))</f>
        <v>Beaumont</v>
      </c>
      <c r="F207">
        <f>ROUND(SUMIF(Councils!$C$6:$C$809,$B207,Councils!$E$6:$E$809),0)</f>
        <v>260</v>
      </c>
      <c r="G207">
        <f>ROUND(SUMIF(Councils!$C$6:$C$809,$B207,Councils!$O$6:$O$809)*0.7,0)</f>
        <v>0</v>
      </c>
      <c r="H207">
        <f>ROUND(SUMIF(Councils!$C$6:$C$809,$B207,Councils!$P$6:$P$809)*0.7,0)</f>
        <v>0</v>
      </c>
      <c r="I207">
        <f>ROUND(SUMIF(Councils!$C$6:$C$809,$B207,Councils!$Q$6:$Q$809)*0.7,0)</f>
        <v>0</v>
      </c>
      <c r="J207">
        <f>ROUND(SUMIF(Councils!$C$6:$C$809,$B207,Councils!$R$6:$R$809)*0.7,0)</f>
        <v>0</v>
      </c>
      <c r="K207">
        <f>ROUND(SUMIF(Councils!$C$6:$C$809,$B207,Councils!$S$6:$S$809)*0.7,0)</f>
        <v>0</v>
      </c>
      <c r="L207">
        <f>ROUND(SUMIF(Councils!$C$6:$C$809,$B207,Councils!$T$6:$T$809)*0.7,0)</f>
        <v>0</v>
      </c>
      <c r="M207">
        <f>ROUND(SUMIF(Councils!$C$6:$C$809,$B207,Councils!$U$6:$U$809)*0.7,0)</f>
        <v>0</v>
      </c>
      <c r="N207" s="63">
        <f t="shared" si="7"/>
        <v>0</v>
      </c>
    </row>
    <row r="208" spans="1:14">
      <c r="A208">
        <f t="shared" si="8"/>
        <v>1</v>
      </c>
      <c r="B208" s="67">
        <v>197</v>
      </c>
      <c r="C208" s="80">
        <f>IF(ISNA(VLOOKUP($B208,DD_Info!$A$1:$E$216,5,0)),0,VLOOKUP($B208,DD_Info!$A$1:$E$216,5,0))</f>
        <v>3</v>
      </c>
      <c r="D208" t="str">
        <f>IF(ISNA(VLOOKUP($B208,DD_Info!$A$1:$E$216,2,0)),0,VLOOKUP($B208,DD_Info!$A$1:$E$216,2,0))</f>
        <v>James C Stark II</v>
      </c>
      <c r="E208" t="str">
        <f>IF(ISNA(VLOOKUP($B208,DD_Info!$A$1:$E$216,3,0)),0,VLOOKUP($B208,DD_Info!$A$1:$E$216,3,0))</f>
        <v>Amarillo</v>
      </c>
      <c r="F208">
        <f>ROUND(SUMIF(Councils!$C$6:$C$809,$B208,Councils!$E$6:$E$809),0)</f>
        <v>292</v>
      </c>
      <c r="G208">
        <f>ROUND(SUMIF(Councils!$C$6:$C$809,$B208,Councils!$O$6:$O$809)*0.7,0)</f>
        <v>0</v>
      </c>
      <c r="H208">
        <f>ROUND(SUMIF(Councils!$C$6:$C$809,$B208,Councils!$P$6:$P$809)*0.7,0)</f>
        <v>0</v>
      </c>
      <c r="I208">
        <f>ROUND(SUMIF(Councils!$C$6:$C$809,$B208,Councils!$Q$6:$Q$809)*0.7,0)</f>
        <v>0</v>
      </c>
      <c r="J208">
        <f>ROUND(SUMIF(Councils!$C$6:$C$809,$B208,Councils!$R$6:$R$809)*0.7,0)</f>
        <v>0</v>
      </c>
      <c r="K208">
        <f>ROUND(SUMIF(Councils!$C$6:$C$809,$B208,Councils!$S$6:$S$809)*0.7,0)</f>
        <v>0</v>
      </c>
      <c r="L208">
        <f>ROUND(SUMIF(Councils!$C$6:$C$809,$B208,Councils!$T$6:$T$809)*0.7,0)</f>
        <v>1</v>
      </c>
      <c r="M208">
        <f>ROUND(SUMIF(Councils!$C$6:$C$809,$B208,Councils!$U$6:$U$809)*0.7,0)</f>
        <v>-1</v>
      </c>
      <c r="N208" s="63">
        <f t="shared" si="7"/>
        <v>0</v>
      </c>
    </row>
  </sheetData>
  <sortState xmlns:xlrd2="http://schemas.microsoft.com/office/spreadsheetml/2017/richdata2" ref="A2:O208">
    <sortCondition descending="1" ref="N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1422</v>
      </c>
      <c r="B3" t="str">
        <f>IF(ISNA(VLOOKUP($A3,Councils!$B$6:$AE$841,3,0)),0,VLOOKUP($A3,Councils!$B$6:$AE$841,3,0))</f>
        <v>Marshall</v>
      </c>
      <c r="C3">
        <f>IF(ISNA(VLOOKUP($A3,Councils!$B$6:$AE$841,4,0)),0,VLOOKUP($A3,Councils!$B$6:$AE$841,4,0))</f>
        <v>196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2771</v>
      </c>
      <c r="B4" t="str">
        <f>IF(ISNA(VLOOKUP($A4,Councils!$B$6:$AE$841,3,0)),0,VLOOKUP($A4,Councils!$B$6:$AE$841,3,0))</f>
        <v>Longview</v>
      </c>
      <c r="C4">
        <f>IF(ISNA(VLOOKUP($A4,Councils!$B$6:$AE$841,4,0)),0,VLOOKUP($A4,Councils!$B$6:$AE$841,4,0))</f>
        <v>166</v>
      </c>
      <c r="D4">
        <f>IF(ISNA(VLOOKUP($A4,Councils!$B$6:$AE$841,5,0)),0,VLOOKUP($A4,Councils!$B$6:$AE$841,5,0))</f>
        <v>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9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9</v>
      </c>
      <c r="K4" s="63">
        <f>IFERROR(J4/D4,0)</f>
        <v>1.125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3952</v>
      </c>
      <c r="B5" t="str">
        <f>IF(ISNA(VLOOKUP($A5,Councils!$B$6:$AE$841,3,0)),0,VLOOKUP($A5,Councils!$B$6:$AE$841,3,0))</f>
        <v>Kilgore</v>
      </c>
      <c r="C5">
        <f>IF(ISNA(VLOOKUP($A5,Councils!$B$6:$AE$841,4,0)),0,VLOOKUP($A5,Councils!$B$6:$AE$841,4,0))</f>
        <v>42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11026</v>
      </c>
      <c r="B6" t="str">
        <f>IF(ISNA(VLOOKUP($A6,Councils!$B$6:$AE$841,3,0)),0,VLOOKUP($A6,Councils!$B$6:$AE$841,3,0))</f>
        <v>Carthage</v>
      </c>
      <c r="C6">
        <f>IF(ISNA(VLOOKUP($A6,Councils!$B$6:$AE$841,4,0)),0,VLOOKUP($A6,Councils!$B$6:$AE$841,4,0))</f>
        <v>76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  <row r="7" spans="1:22">
      <c r="A7" s="50">
        <v>11093</v>
      </c>
      <c r="B7" t="str">
        <f>IF(ISNA(VLOOKUP($A7,Councils!$B$6:$AE$841,3,0)),0,VLOOKUP($A7,Councils!$B$6:$AE$841,3,0))</f>
        <v>Longview</v>
      </c>
      <c r="C7">
        <f>IF(ISNA(VLOOKUP($A7,Councils!$B$6:$AE$841,4,0)),0,VLOOKUP($A7,Councils!$B$6:$AE$841,4,0))</f>
        <v>175</v>
      </c>
      <c r="D7">
        <f>IF(ISNA(VLOOKUP($A7,Councils!$B$6:$AE$841,5,0)),0,VLOOKUP($A7,Councils!$B$6:$AE$841,5,0))</f>
        <v>8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1</v>
      </c>
      <c r="G7">
        <f>IF(ISNA(VLOOKUP($A7,Councils!$B$6:$AE$81023,0)),0,VLOOKUP($A7,Councils!$B$6:$AE$841,8,0))</f>
        <v>-1</v>
      </c>
      <c r="H7">
        <f>IF(ISNA(VLOOKUP($A7,Councils!$B$6:$AE$841,9,0)),0,VLOOKUP($A7,Councils!$B$6:$AE$841,9,0))</f>
        <v>3</v>
      </c>
      <c r="I7">
        <f>IF(ISNA(VLOOKUP($A7,Councils!$B$6:$AE$841,10,0)),0,VLOOKUP($A7,Councils!$B$6:$AE$841,10,0))</f>
        <v>1</v>
      </c>
      <c r="J7">
        <f>IF(ISNA(VLOOKUP($A7,Councils!$B$6:$AE$841,11,0)),0,VLOOKUP($A7,Councils!$B$6:$AE$841,11,0))</f>
        <v>2</v>
      </c>
      <c r="K7" s="63">
        <f>IFERROR(J7/D7,0)</f>
        <v>0.25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1</v>
      </c>
      <c r="P7">
        <f>IF(ISNA(VLOOKUP($A7,Councils!$B$6:$AE$841,17,0)),0,VLOOKUP($A7,Councils!$B$6:$AE$841,17,0))</f>
        <v>-1</v>
      </c>
      <c r="Q7">
        <f>IF(ISNA(VLOOKUP($A7,Councils!$B$6:$AE$841,18,0)),0,VLOOKUP($A7,Councils!$B$6:$AE$841,18,0))</f>
        <v>1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Regan</v>
      </c>
      <c r="V7">
        <f>IF(ISNA(VLOOKUP($A7,Council_Data!$A$3:$Z$837,23,0)),0,VLOOKUP($A7,Council_Data!$A$3:$Z$837,23,0))</f>
        <v>1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3404</v>
      </c>
      <c r="B3" t="str">
        <f>IF(ISNA(VLOOKUP($A3,Councils!$B$6:$AE$841,3,0)),0,VLOOKUP($A3,Councils!$B$6:$AE$841,3,0))</f>
        <v>Lufkin</v>
      </c>
      <c r="C3">
        <f>IF(ISNA(VLOOKUP($A3,Councils!$B$6:$AE$841,4,0)),0,VLOOKUP($A3,Councils!$B$6:$AE$841,4,0))</f>
        <v>190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42</v>
      </c>
      <c r="J3">
        <f>IF(ISNA(VLOOKUP($A3,Councils!$B$6:$AE$841,11,0)),0,VLOOKUP($A3,Councils!$B$6:$AE$841,11,0))</f>
        <v>-42</v>
      </c>
      <c r="K3" s="63">
        <f>IFERROR(J3/D3,0)</f>
        <v>-4.666666666666667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7553</v>
      </c>
      <c r="B4" t="str">
        <f>IF(ISNA(VLOOKUP($A4,Councils!$B$6:$AE$841,3,0)),0,VLOOKUP($A4,Councils!$B$6:$AE$841,3,0))</f>
        <v>Nacogdoches</v>
      </c>
      <c r="C4">
        <f>IF(ISNA(VLOOKUP($A4,Councils!$B$6:$AE$841,4,0)),0,VLOOKUP($A4,Councils!$B$6:$AE$841,4,0))</f>
        <v>97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10790</v>
      </c>
      <c r="B5" t="str">
        <f>IF(ISNA(VLOOKUP($A5,Councils!$B$6:$AE$841,3,0)),0,VLOOKUP($A5,Councils!$B$6:$AE$841,3,0))</f>
        <v>Nacogdoches</v>
      </c>
      <c r="C5">
        <f>IF(ISNA(VLOOKUP($A5,Councils!$B$6:$AE$841,4,0)),0,VLOOKUP($A5,Councils!$B$6:$AE$841,4,0))</f>
        <v>43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8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8</v>
      </c>
      <c r="K5" s="63">
        <f>IFERROR(J5/D5,0)</f>
        <v>2.6666666666666665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10875</v>
      </c>
      <c r="B6" t="str">
        <f>IF(ISNA(VLOOKUP($A6,Councils!$B$6:$AE$841,3,0)),0,VLOOKUP($A6,Councils!$B$6:$AE$841,3,0))</f>
        <v>San Augustine</v>
      </c>
      <c r="C6">
        <f>IF(ISNA(VLOOKUP($A6,Councils!$B$6:$AE$841,4,0)),0,VLOOKUP($A6,Councils!$B$6:$AE$841,4,0))</f>
        <v>56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  <row r="7" spans="1:22">
      <c r="A7" s="50">
        <v>12122</v>
      </c>
      <c r="B7" t="str">
        <f>IF(ISNA(VLOOKUP($A7,Councils!$B$6:$AE$841,3,0)),0,VLOOKUP($A7,Councils!$B$6:$AE$841,3,0))</f>
        <v>Diboll</v>
      </c>
      <c r="C7">
        <f>IF(ISNA(VLOOKUP($A7,Councils!$B$6:$AE$841,4,0)),0,VLOOKUP($A7,Councils!$B$6:$AE$841,4,0))</f>
        <v>47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Regan</v>
      </c>
      <c r="V7">
        <f>IF(ISNA(VLOOKUP($A7,Council_Data!$A$3:$Z$837,23,0)),0,VLOOKUP($A7,Council_Data!$A$3:$Z$837,23,0))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11462</v>
      </c>
      <c r="B3" t="str">
        <f>IF(ISNA(VLOOKUP($A3,Councils!$B$6:$AE$841,3,0)),0,VLOOKUP($A3,Councils!$B$6:$AE$841,3,0))</f>
        <v>Henderson</v>
      </c>
      <c r="C3">
        <f>IF(ISNA(VLOOKUP($A3,Councils!$B$6:$AE$841,4,0)),0,VLOOKUP($A3,Councils!$B$6:$AE$841,4,0))</f>
        <v>46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3</v>
      </c>
    </row>
    <row r="4" spans="1:22">
      <c r="A4" s="50">
        <v>11530</v>
      </c>
      <c r="B4" t="str">
        <f>IF(ISNA(VLOOKUP($A4,Councils!$B$6:$AE$841,3,0)),0,VLOOKUP($A4,Councils!$B$6:$AE$841,3,0))</f>
        <v>Jacksonville</v>
      </c>
      <c r="C4">
        <f>IF(ISNA(VLOOKUP($A4,Councils!$B$6:$AE$841,4,0)),0,VLOOKUP($A4,Councils!$B$6:$AE$841,4,0))</f>
        <v>74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3</v>
      </c>
      <c r="G4">
        <f>IF(ISNA(VLOOKUP($A4,Councils!$B$6:$AE$81023,0)),0,VLOOKUP($A4,Councils!$B$6:$AE$841,8,0))</f>
        <v>-3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21</v>
      </c>
      <c r="J4">
        <f>IF(ISNA(VLOOKUP($A4,Councils!$B$6:$AE$841,11,0)),0,VLOOKUP($A4,Councils!$B$6:$AE$841,11,0))</f>
        <v>-21</v>
      </c>
      <c r="K4" s="63">
        <f>IFERROR(J4/D4,0)</f>
        <v>-5.25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11865</v>
      </c>
      <c r="B5" t="str">
        <f>IF(ISNA(VLOOKUP($A5,Councils!$B$6:$AE$841,3,0)),0,VLOOKUP($A5,Councils!$B$6:$AE$841,3,0))</f>
        <v>Whitehouse</v>
      </c>
      <c r="C5">
        <f>IF(ISNA(VLOOKUP($A5,Councils!$B$6:$AE$841,4,0)),0,VLOOKUP($A5,Councils!$B$6:$AE$841,4,0))</f>
        <v>53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ref="K5:K6" si="0"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 t="shared" ref="T5:T6" si="1"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14636</v>
      </c>
      <c r="B6" t="str">
        <f>IF(ISNA(VLOOKUP($A6,Councils!$B$6:$AE$841,3,0)),0,VLOOKUP($A6,Councils!$B$6:$AE$841,3,0))</f>
        <v>Flint</v>
      </c>
      <c r="C6">
        <f>IF(ISNA(VLOOKUP($A6,Councils!$B$6:$AE$841,4,0)),0,VLOOKUP($A6,Councils!$B$6:$AE$841,4,0))</f>
        <v>119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 t="shared" si="1"/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1003</v>
      </c>
      <c r="B3" t="str">
        <f>IF(ISNA(VLOOKUP($A3,Councils!$B$6:$AE$841,3,0)),0,VLOOKUP($A3,Councils!$B$6:$AE$841,3,0))</f>
        <v>Texarkana</v>
      </c>
      <c r="C3">
        <f>IF(ISNA(VLOOKUP($A3,Councils!$B$6:$AE$841,4,0)),0,VLOOKUP($A3,Councils!$B$6:$AE$841,4,0))</f>
        <v>193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6699</v>
      </c>
      <c r="B4" t="str">
        <f>IF(ISNA(VLOOKUP($A4,Councils!$B$6:$AE$841,3,0)),0,VLOOKUP($A4,Councils!$B$6:$AE$841,3,0))</f>
        <v>Dangfld-Mtplesnt-Pitsbg-Mtvern</v>
      </c>
      <c r="C4">
        <f>IF(ISNA(VLOOKUP($A4,Councils!$B$6:$AE$841,4,0)),0,VLOOKUP($A4,Councils!$B$6:$AE$841,4,0))</f>
        <v>57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10660</v>
      </c>
      <c r="B5" t="str">
        <f>IF(ISNA(VLOOKUP($A5,Councils!$B$6:$AE$841,3,0)),0,VLOOKUP($A5,Councils!$B$6:$AE$841,3,0))</f>
        <v>Atlanta</v>
      </c>
      <c r="C5">
        <f>IF(ISNA(VLOOKUP($A5,Councils!$B$6:$AE$841,4,0)),0,VLOOKUP($A5,Councils!$B$6:$AE$841,4,0))</f>
        <v>38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1502</v>
      </c>
      <c r="B3" t="str">
        <f>IF(ISNA(VLOOKUP($A3,Councils!$B$6:$AE$841,3,0)),0,VLOOKUP($A3,Councils!$B$6:$AE$841,3,0))</f>
        <v>Tyler</v>
      </c>
      <c r="C3">
        <f>IF(ISNA(VLOOKUP($A3,Councils!$B$6:$AE$841,4,0)),0,VLOOKUP($A3,Councils!$B$6:$AE$841,4,0))</f>
        <v>203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7</v>
      </c>
      <c r="G3">
        <f>IF(ISNA(VLOOKUP($A3,Councils!$B$6:$AE$81023,0)),0,VLOOKUP($A3,Councils!$B$6:$AE$841,8,0))</f>
        <v>-7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7</v>
      </c>
      <c r="J3">
        <f>IF(ISNA(VLOOKUP($A3,Councils!$B$6:$AE$841,11,0)),0,VLOOKUP($A3,Councils!$B$6:$AE$841,11,0))</f>
        <v>-1</v>
      </c>
      <c r="K3" s="63">
        <f>IFERROR(J3/D3,0)</f>
        <v>-0.1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11933</v>
      </c>
      <c r="B4" t="str">
        <f>IF(ISNA(VLOOKUP($A4,Councils!$B$6:$AE$841,3,0)),0,VLOOKUP($A4,Councils!$B$6:$AE$841,3,0))</f>
        <v>Mineola</v>
      </c>
      <c r="C4">
        <f>IF(ISNA(VLOOKUP($A4,Councils!$B$6:$AE$841,4,0)),0,VLOOKUP($A4,Councils!$B$6:$AE$841,4,0))</f>
        <v>44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12711</v>
      </c>
      <c r="B5" t="str">
        <f>IF(ISNA(VLOOKUP($A5,Councils!$B$6:$AE$841,3,0)),0,VLOOKUP($A5,Councils!$B$6:$AE$841,3,0))</f>
        <v>Lindale</v>
      </c>
      <c r="C5">
        <f>IF(ISNA(VLOOKUP($A5,Councils!$B$6:$AE$841,4,0)),0,VLOOKUP($A5,Councils!$B$6:$AE$841,4,0))</f>
        <v>67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1323</v>
      </c>
      <c r="B3" t="str">
        <f>IF(ISNA(VLOOKUP($A3,Councils!$B$6:$AE$841,3,0)),0,VLOOKUP($A3,Councils!$B$6:$AE$841,3,0))</f>
        <v>Palestine</v>
      </c>
      <c r="C3">
        <f>IF(ISNA(VLOOKUP($A3,Councils!$B$6:$AE$841,4,0)),0,VLOOKUP($A3,Councils!$B$6:$AE$841,4,0))</f>
        <v>99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3</v>
      </c>
      <c r="J3">
        <f>IF(ISNA(VLOOKUP($A3,Councils!$B$6:$AE$841,11,0)),0,VLOOKUP($A3,Councils!$B$6:$AE$841,11,0))</f>
        <v>-2</v>
      </c>
      <c r="K3" s="63">
        <f>IFERROR(J3/D3,0)</f>
        <v>-0.4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13136</v>
      </c>
      <c r="B4" t="str">
        <f>IF(ISNA(VLOOKUP($A4,Councils!$B$6:$AE$841,3,0)),0,VLOOKUP($A4,Councils!$B$6:$AE$841,3,0))</f>
        <v>Trinity</v>
      </c>
      <c r="C4">
        <f>IF(ISNA(VLOOKUP($A4,Councils!$B$6:$AE$841,4,0)),0,VLOOKUP($A4,Councils!$B$6:$AE$841,4,0))</f>
        <v>36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17154</v>
      </c>
      <c r="B5" t="str">
        <f>IF(ISNA(VLOOKUP($A5,Councils!$B$6:$AE$841,3,0)),0,VLOOKUP($A5,Councils!$B$6:$AE$841,3,0))</f>
        <v>Madisonville</v>
      </c>
      <c r="C5">
        <f>IF(ISNA(VLOOKUP($A5,Councils!$B$6:$AE$841,4,0)),0,VLOOKUP($A5,Councils!$B$6:$AE$841,4,0))</f>
        <v>24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7" spans="1:22">
      <c r="K7" s="63"/>
      <c r="T7" s="63"/>
    </row>
  </sheetData>
  <conditionalFormatting sqref="A3:A5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8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1358</v>
      </c>
      <c r="B3" t="str">
        <f>IF(ISNA(VLOOKUP($A3,Councils!$B$6:$AE$841,3,0)),0,VLOOKUP($A3,Councils!$B$6:$AE$841,3,0))</f>
        <v>Waco</v>
      </c>
      <c r="C3">
        <f>IF(ISNA(VLOOKUP($A3,Councils!$B$6:$AE$841,4,0)),0,VLOOKUP($A3,Councils!$B$6:$AE$841,4,0))</f>
        <v>125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 t="shared" ref="K3:K8" si="0"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 t="shared" ref="T3:T8" si="1"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2305</v>
      </c>
      <c r="B4" t="str">
        <f>IF(ISNA(VLOOKUP($A4,Councils!$B$6:$AE$841,3,0)),0,VLOOKUP($A4,Councils!$B$6:$AE$841,3,0))</f>
        <v>West</v>
      </c>
      <c r="C4">
        <f>IF(ISNA(VLOOKUP($A4,Councils!$B$6:$AE$841,4,0)),0,VLOOKUP($A4,Councils!$B$6:$AE$841,4,0))</f>
        <v>506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 t="shared" si="0"/>
        <v>0.1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 t="shared" si="1"/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7202</v>
      </c>
      <c r="B5" t="str">
        <f>IF(ISNA(VLOOKUP($A5,Councils!$B$6:$AE$841,3,0)),0,VLOOKUP($A5,Councils!$B$6:$AE$841,3,0))</f>
        <v>Bellmead</v>
      </c>
      <c r="C5">
        <f>IF(ISNA(VLOOKUP($A5,Councils!$B$6:$AE$841,4,0)),0,VLOOKUP($A5,Councils!$B$6:$AE$841,4,0))</f>
        <v>67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 t="shared" si="0"/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 t="shared" si="1"/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11230</v>
      </c>
      <c r="B6" t="str">
        <f>IF(ISNA(VLOOKUP($A6,Councils!$B$6:$AE$841,3,0)),0,VLOOKUP($A6,Councils!$B$6:$AE$841,3,0))</f>
        <v>Abbott</v>
      </c>
      <c r="C6">
        <f>IF(ISNA(VLOOKUP($A6,Councils!$B$6:$AE$841,4,0)),0,VLOOKUP($A6,Councils!$B$6:$AE$841,4,0))</f>
        <v>85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 t="shared" si="1"/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2</v>
      </c>
    </row>
    <row r="7" spans="1:22">
      <c r="A7" s="50">
        <v>11502</v>
      </c>
      <c r="B7" t="str">
        <f>IF(ISNA(VLOOKUP($A7,Councils!$B$6:$AE$841,3,0)),0,VLOOKUP($A7,Councils!$B$6:$AE$841,3,0))</f>
        <v>Mexia</v>
      </c>
      <c r="C7">
        <f>IF(ISNA(VLOOKUP($A7,Councils!$B$6:$AE$841,4,0)),0,VLOOKUP($A7,Councils!$B$6:$AE$841,4,0))</f>
        <v>47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 t="shared" si="0"/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 t="shared" si="1"/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  <row r="8" spans="1:22">
      <c r="A8" s="298">
        <v>13005</v>
      </c>
      <c r="B8" t="str">
        <f>IF(ISNA(VLOOKUP($A8,Councils!$B$6:$AE$841,3,0)),0,VLOOKUP($A8,Councils!$B$6:$AE$841,3,0))</f>
        <v>Waco</v>
      </c>
      <c r="C8">
        <f>IF(ISNA(VLOOKUP($A8,Councils!$B$6:$AE$841,4,0)),0,VLOOKUP($A8,Councils!$B$6:$AE$841,4,0))</f>
        <v>187</v>
      </c>
      <c r="D8">
        <f>IF(ISNA(VLOOKUP($A8,Councils!$B$6:$AE$841,5,0)),0,VLOOKUP($A8,Councils!$B$6:$AE$841,5,0))</f>
        <v>9</v>
      </c>
      <c r="E8">
        <f>IF(ISNA(VLOOKUP($A8,Councils!$B$6:$AE$841,6,0)),0,VLOOKUP($A8,Councils!$B$6:$AE$841,6,0))</f>
        <v>0</v>
      </c>
      <c r="F8">
        <f>IF(ISNA(VLOOKUP($A8,Councils!$B$6:$AE$841,7,0)),0,VLOOKUP($A8,Councils!$B$6:$AE$841,7,0))</f>
        <v>0</v>
      </c>
      <c r="G8">
        <f>IF(ISNA(VLOOKUP($A8,Councils!$B$6:$AE$81023,0)),0,VLOOKUP($A8,Councils!$B$6:$AE$841,8,0))</f>
        <v>0</v>
      </c>
      <c r="H8">
        <f>IF(ISNA(VLOOKUP($A8,Councils!$B$6:$AE$841,9,0)),0,VLOOKUP($A8,Councils!$B$6:$AE$841,9,0))</f>
        <v>1</v>
      </c>
      <c r="I8">
        <f>IF(ISNA(VLOOKUP($A8,Councils!$B$6:$AE$841,10,0)),0,VLOOKUP($A8,Councils!$B$6:$AE$841,10,0))</f>
        <v>1</v>
      </c>
      <c r="J8">
        <f>IF(ISNA(VLOOKUP($A8,Councils!$B$6:$AE$841,11,0)),0,VLOOKUP($A8,Councils!$B$6:$AE$841,11,0))</f>
        <v>0</v>
      </c>
      <c r="K8" s="63">
        <f t="shared" si="0"/>
        <v>0</v>
      </c>
      <c r="M8">
        <f>IF(ISNA(VLOOKUP($A8,Councils!$B$6:$AE$841,14,0)),0,VLOOKUP($A8,Councils!$B$6:$AE$841,14,0))</f>
        <v>0</v>
      </c>
      <c r="N8">
        <f>IF(ISNA(VLOOKUP($A8,Councils!$B$6:$AE$841,15,0)),0,VLOOKUP($A8,Councils!$B$6:$AE$841,15,0))</f>
        <v>0</v>
      </c>
      <c r="O8">
        <f>IF(ISNA(VLOOKUP($A8,Councils!$B$6:$AE$841,16,0)),0,VLOOKUP($A8,Councils!$B$6:$AE$841,16,0))</f>
        <v>0</v>
      </c>
      <c r="P8">
        <f>IF(ISNA(VLOOKUP($A8,Councils!$B$6:$AE$841,17,0)),0,VLOOKUP($A8,Councils!$B$6:$AE$841,17,0))</f>
        <v>0</v>
      </c>
      <c r="Q8">
        <f>IF(ISNA(VLOOKUP($A8,Councils!$B$6:$AE$841,18,0)),0,VLOOKUP($A8,Councils!$B$6:$AE$841,18,0))</f>
        <v>2</v>
      </c>
      <c r="R8">
        <f>IF(ISNA(VLOOKUP($A8,Councils!$B$6:$AE$841,19,0)),0,VLOOKUP($A8,Councils!$B$6:$AE$841,19,0))</f>
        <v>0</v>
      </c>
      <c r="S8">
        <f>IF(ISNA(VLOOKUP($A8,Councils!$B$6:$AE$841,20,0)),0,VLOOKUP($A8,Councils!$B$6:$AE$841,20,0))</f>
        <v>2</v>
      </c>
      <c r="T8" s="63">
        <f t="shared" si="1"/>
        <v>0</v>
      </c>
      <c r="U8" t="str">
        <f>IF(ISNA(VLOOKUP($A8,Council_Data!$A$3:$Z$837,24,0)),0,VLOOKUP($A8,Council_Data!$A$3:$Z$837,24,0))</f>
        <v>Rangel</v>
      </c>
      <c r="V8">
        <f>IF(ISNA(VLOOKUP($A8,Council_Data!$A$3:$Z$837,23,0)),0,VLOOKUP($A8,Council_Data!$A$3:$Z$837,23,0))</f>
        <v>1</v>
      </c>
    </row>
  </sheetData>
  <conditionalFormatting sqref="A3">
    <cfRule type="expression" dxfId="81" priority="2">
      <formula>IF(AND($H3="*"),($R3="*"))</formula>
    </cfRule>
  </conditionalFormatting>
  <conditionalFormatting sqref="A4">
    <cfRule type="expression" dxfId="80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6"/>
  <sheetViews>
    <sheetView workbookViewId="0">
      <selection activeCell="A7" sqref="A7:XFD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8135</v>
      </c>
      <c r="B3" t="str">
        <f>IF(ISNA(VLOOKUP($A3,Councils!$B$6:$AE$841,3,0)),0,VLOOKUP($A3,Councils!$B$6:$AE$841,3,0))</f>
        <v>Waco</v>
      </c>
      <c r="C3">
        <f>IF(ISNA(VLOOKUP($A3,Councils!$B$6:$AE$841,4,0)),0,VLOOKUP($A3,Councils!$B$6:$AE$841,4,0))</f>
        <v>157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11015</v>
      </c>
      <c r="B4" t="str">
        <f>IF(ISNA(VLOOKUP($A4,Councils!$B$6:$AE$841,3,0)),0,VLOOKUP($A4,Councils!$B$6:$AE$841,3,0))</f>
        <v>Waco</v>
      </c>
      <c r="C4">
        <f>IF(ISNA(VLOOKUP($A4,Councils!$B$6:$AE$841,4,0)),0,VLOOKUP($A4,Councils!$B$6:$AE$841,4,0))</f>
        <v>92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13577</v>
      </c>
      <c r="B5" t="str">
        <f>IF(ISNA(VLOOKUP($A5,Councils!$B$6:$AE$841,3,0)),0,VLOOKUP($A5,Councils!$B$6:$AE$841,3,0))</f>
        <v>Waco</v>
      </c>
      <c r="C5">
        <f>IF(ISNA(VLOOKUP($A5,Councils!$B$6:$AE$841,4,0)),0,VLOOKUP($A5,Councils!$B$6:$AE$841,4,0))</f>
        <v>80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7</v>
      </c>
      <c r="I5">
        <f>IF(ISNA(VLOOKUP($A5,Councils!$B$6:$AE$841,10,0)),0,VLOOKUP($A5,Councils!$B$6:$AE$841,10,0))</f>
        <v>4</v>
      </c>
      <c r="J5">
        <f>IF(ISNA(VLOOKUP($A5,Councils!$B$6:$AE$841,11,0)),0,VLOOKUP($A5,Councils!$B$6:$AE$841,11,0))</f>
        <v>3</v>
      </c>
      <c r="K5" s="63">
        <f>IFERROR(J5/D5,0)</f>
        <v>0.75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5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5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17224</v>
      </c>
      <c r="B6" t="str">
        <f>IF(ISNA(VLOOKUP($A6,Councils!$B$6:$AE$841,3,0)),0,VLOOKUP($A6,Councils!$B$6:$AE$841,3,0))</f>
        <v>China Spring</v>
      </c>
      <c r="C6">
        <f>IF(ISNA(VLOOKUP($A6,Councils!$B$6:$AE$841,4,0)),0,VLOOKUP($A6,Councils!$B$6:$AE$841,4,0))</f>
        <v>39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79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3444</v>
      </c>
      <c r="B3" t="str">
        <f>IF(ISNA(VLOOKUP($A3,Councils!$B$6:$AE$841,3,0)),0,VLOOKUP($A3,Councils!$B$6:$AE$841,3,0))</f>
        <v>Temple</v>
      </c>
      <c r="C3">
        <f>IF(ISNA(VLOOKUP($A3,Councils!$B$6:$AE$841,4,0)),0,VLOOKUP($A3,Councils!$B$6:$AE$841,4,0))</f>
        <v>283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0.23076923076923078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7196</v>
      </c>
      <c r="B4" t="str">
        <f>IF(ISNA(VLOOKUP($A4,Councils!$B$6:$AE$841,3,0)),0,VLOOKUP($A4,Councils!$B$6:$AE$841,3,0))</f>
        <v>Belton</v>
      </c>
      <c r="C4">
        <f>IF(ISNA(VLOOKUP($A4,Councils!$B$6:$AE$841,4,0)),0,VLOOKUP($A4,Councils!$B$6:$AE$841,4,0))</f>
        <v>208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7197</v>
      </c>
      <c r="B5" t="str">
        <f>IF(ISNA(VLOOKUP($A5,Councils!$B$6:$AE$841,3,0)),0,VLOOKUP($A5,Councils!$B$6:$AE$841,3,0))</f>
        <v>Temple</v>
      </c>
      <c r="C5">
        <f>IF(ISNA(VLOOKUP($A5,Councils!$B$6:$AE$841,4,0)),0,VLOOKUP($A5,Councils!$B$6:$AE$841,4,0))</f>
        <v>214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0.4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13198</v>
      </c>
      <c r="B6" t="str">
        <f>IF(ISNA(VLOOKUP($A6,Councils!$B$6:$AE$841,3,0)),0,VLOOKUP($A6,Councils!$B$6:$AE$841,3,0))</f>
        <v>Salado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7014</v>
      </c>
      <c r="B3" t="str">
        <f>IF(ISNA(VLOOKUP($A3,Councils!$B$6:$AE$841,3,0)),0,VLOOKUP($A3,Councils!$B$6:$AE$841,3,0))</f>
        <v>Rockdale</v>
      </c>
      <c r="C3">
        <f>IF(ISNA(VLOOKUP($A3,Councils!$B$6:$AE$841,4,0)),0,VLOOKUP($A3,Councils!$B$6:$AE$841,4,0))</f>
        <v>133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9743</v>
      </c>
      <c r="B4" t="str">
        <f>IF(ISNA(VLOOKUP($A4,Councils!$B$6:$AE$841,3,0)),0,VLOOKUP($A4,Councils!$B$6:$AE$841,3,0))</f>
        <v>Rosebud</v>
      </c>
      <c r="C4">
        <f>IF(ISNA(VLOOKUP($A4,Councils!$B$6:$AE$841,4,0)),0,VLOOKUP($A4,Councils!$B$6:$AE$841,4,0))</f>
        <v>33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10555</v>
      </c>
      <c r="B5" t="str">
        <f>IF(ISNA(VLOOKUP($A5,Councils!$B$6:$AE$841,3,0)),0,VLOOKUP($A5,Councils!$B$6:$AE$841,3,0))</f>
        <v>Hearne</v>
      </c>
      <c r="C5">
        <f>IF(ISNA(VLOOKUP($A5,Councils!$B$6:$AE$841,4,0)),0,VLOOKUP($A5,Councils!$B$6:$AE$841,4,0))</f>
        <v>66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2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2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0.66666666666666663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12601</v>
      </c>
      <c r="B6" t="str">
        <f>IF(ISNA(VLOOKUP($A6,Councils!$B$6:$AE$841,3,0)),0,VLOOKUP($A6,Councils!$B$6:$AE$841,3,0))</f>
        <v>Cameron</v>
      </c>
      <c r="C6">
        <f>IF(ISNA(VLOOKUP($A6,Councils!$B$6:$AE$841,4,0)),0,VLOOKUP($A6,Councils!$B$6:$AE$841,4,0))</f>
        <v>67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2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34" t="s">
        <v>624</v>
      </c>
      <c r="B1" s="434"/>
      <c r="C1" s="434"/>
      <c r="D1" s="434"/>
      <c r="E1" s="434"/>
      <c r="F1" s="434"/>
      <c r="G1" s="6">
        <v>44013</v>
      </c>
      <c r="H1" s="7"/>
    </row>
    <row r="2" spans="1:8" ht="23.25" thickBot="1">
      <c r="A2" s="435"/>
      <c r="B2" s="435"/>
      <c r="C2" s="435"/>
      <c r="D2" s="435"/>
      <c r="E2" s="435"/>
      <c r="F2" s="435"/>
      <c r="G2" s="1"/>
      <c r="H2" s="7"/>
    </row>
    <row r="3" spans="1:8" s="11" customFormat="1" ht="31.5">
      <c r="A3" s="16" t="s">
        <v>601</v>
      </c>
      <c r="B3" s="9" t="s">
        <v>625</v>
      </c>
      <c r="C3" s="9" t="s">
        <v>621</v>
      </c>
      <c r="D3" s="9" t="s">
        <v>600</v>
      </c>
      <c r="E3" s="9" t="s">
        <v>626</v>
      </c>
      <c r="F3" s="10" t="s">
        <v>627</v>
      </c>
      <c r="G3" s="9" t="s">
        <v>628</v>
      </c>
      <c r="H3" s="9" t="s">
        <v>629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IF(ISNA(VLOOKUP($A4,Council_Data!$A4:$Z818,4,0)),0,VLOOKUP($A4,Council_Data!$A4:$Z818,4,0))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82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IF(ISNA(VLOOKUP($A5,Council_Data!$A4:$Z818,4,0)),0,VLOOKUP($A5,Council_Data!$A4:$Z818,4,0))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71</v>
      </c>
      <c r="F5" s="382">
        <v>43383</v>
      </c>
      <c r="G5" s="14">
        <f>VLOOKUP($A5,Councils!$B$6:$AE$837,9,0)</f>
        <v>0</v>
      </c>
      <c r="H5" s="13" t="str">
        <f t="shared" si="0"/>
        <v>No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IF(ISNA(VLOOKUP($A6,Council_Data!$A4:$Z818,4,0)),0,VLOOKUP($A6,Council_Data!$A4:$Z818,4,0))</f>
        <v>Dallas</v>
      </c>
      <c r="D6" s="13" t="str">
        <f>IF(ISNA(VLOOKUP($A6,Councils!$B$6:$AE$837,2,0)),0,VLOOKUP($A6,Councils!$B$6:$AE$837,2,0))</f>
        <v>116</v>
      </c>
      <c r="E6" s="13">
        <f>IF(ISNA(VLOOKUP($A6,Councils!$B$6:$AE$837,4,0)),0,VLOOKUP($A6,Councils!$B$6:$AE$837,4,0))</f>
        <v>78</v>
      </c>
      <c r="F6" s="382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IF(ISNA(VLOOKUP($A7,Council_Data!$A4:$Z818,4,0)),0,VLOOKUP($A7,Council_Data!$A4:$Z818,4,0))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28</v>
      </c>
      <c r="F7" s="382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IF(ISNA(VLOOKUP($A8,Council_Data!$A4:$Z818,4,0)),0,VLOOKUP($A8,Council_Data!$A4:$Z818,4,0))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80</v>
      </c>
      <c r="F8" s="382">
        <v>43383</v>
      </c>
      <c r="G8" s="14">
        <f>VLOOKUP($A8,Councils!$B$6:$AE$837,9,0)</f>
        <v>1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IF(ISNA(VLOOKUP($A9,Council_Data!$A4:$Z818,4,0)),0,VLOOKUP($A9,Council_Data!$A4:$Z818,4,0))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31</v>
      </c>
      <c r="F9" s="382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IF(ISNA(VLOOKUP($A10,Council_Data!$A4:$Z818,4,0)),0,VLOOKUP($A10,Council_Data!$A4:$Z818,4,0))</f>
        <v>Austin</v>
      </c>
      <c r="D10" s="13" t="str">
        <f>IF(ISNA(VLOOKUP($A10,Councils!$B$6:$AE$837,2,0)),0,VLOOKUP($A10,Councils!$B$6:$AE$837,2,0))</f>
        <v>163</v>
      </c>
      <c r="E10" s="13">
        <f>IF(ISNA(VLOOKUP($A10,Councils!$B$6:$AE$837,4,0)),0,VLOOKUP($A10,Councils!$B$6:$AE$837,4,0))</f>
        <v>101</v>
      </c>
      <c r="F10" s="382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IF(ISNA(VLOOKUP($A11,Council_Data!$A4:$Z818,4,0)),0,VLOOKUP($A11,Council_Data!$A4:$Z818,4,0))</f>
        <v>Corpus Christi</v>
      </c>
      <c r="D11" s="13" t="str">
        <f>IF(ISNA(VLOOKUP($A11,Councils!$B$6:$AE$837,2,0)),0,VLOOKUP($A11,Councils!$B$6:$AE$837,2,0))</f>
        <v>179</v>
      </c>
      <c r="E11" s="13">
        <f>IF(ISNA(VLOOKUP($A11,Councils!$B$6:$AE$837,4,0)),0,VLOOKUP($A11,Councils!$B$6:$AE$837,4,0))</f>
        <v>47</v>
      </c>
      <c r="F11" s="382">
        <v>39548</v>
      </c>
      <c r="G11" s="14">
        <f>VLOOKUP($A11,Councils!$B$6:$AE$837,9,0)</f>
        <v>15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IF(ISNA(VLOOKUP($A12,Council_Data!$A4:$Z818,4,0)),0,VLOOKUP($A12,Council_Data!$A4:$Z818,4,0))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68</v>
      </c>
      <c r="F12" s="382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IF(ISNA(VLOOKUP($A13,Council_Data!$A4:$Z818,4,0)),0,VLOOKUP($A13,Council_Data!$A4:$Z818,4,0))</f>
        <v>San Angelo</v>
      </c>
      <c r="D13" s="13" t="str">
        <f>IF(ISNA(VLOOKUP($A13,Councils!$B$6:$AE$837,2,0)),0,VLOOKUP($A13,Councils!$B$6:$AE$837,2,0))</f>
        <v>228</v>
      </c>
      <c r="E13" s="13">
        <f>IF(ISNA(VLOOKUP($A13,Councils!$B$6:$AE$837,4,0)),0,VLOOKUP($A13,Councils!$B$6:$AE$837,4,0))</f>
        <v>72</v>
      </c>
      <c r="F13" s="382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IF(ISNA(VLOOKUP($A14,Council_Data!$A4:$Z818,4,0)),0,VLOOKUP($A14,Council_Data!$A4:$Z818,4,0))</f>
        <v>Galv/Hous</v>
      </c>
      <c r="D14" s="13" t="str">
        <f>IF(ISNA(VLOOKUP($A14,Councils!$B$6:$AE$837,2,0)),0,VLOOKUP($A14,Councils!$B$6:$AE$837,2,0))</f>
        <v>098</v>
      </c>
      <c r="E14" s="13">
        <f>IF(ISNA(VLOOKUP($A14,Councils!$B$6:$AE$837,4,0)),0,VLOOKUP($A14,Councils!$B$6:$AE$837,4,0))</f>
        <v>93</v>
      </c>
      <c r="F14" s="382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IF(ISNA(VLOOKUP($A15,Council_Data!$A4:$Z818,4,0)),0,VLOOKUP($A15,Council_Data!$A4:$Z818,4,0))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42</v>
      </c>
      <c r="F15" s="382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IF(ISNA(VLOOKUP($A16,Council_Data!$A4:$Z818,4,0)),0,VLOOKUP($A16,Council_Data!$A4:$Z818,4,0))</f>
        <v>Corpus Christi</v>
      </c>
      <c r="D16" s="13" t="str">
        <f>IF(ISNA(VLOOKUP($A16,Councils!$B$6:$AE$837,2,0)),0,VLOOKUP($A16,Councils!$B$6:$AE$837,2,0))</f>
        <v>168</v>
      </c>
      <c r="E16" s="13">
        <f>IF(ISNA(VLOOKUP($A16,Councils!$B$6:$AE$837,4,0)),0,VLOOKUP($A16,Councils!$B$6:$AE$837,4,0))</f>
        <v>60</v>
      </c>
      <c r="F16" s="382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IF(ISNA(VLOOKUP($A17,Council_Data!$A4:$Z818,4,0)),0,VLOOKUP($A17,Council_Data!$A4:$Z818,4,0))</f>
        <v>Corpus Christi</v>
      </c>
      <c r="D17" s="13" t="str">
        <f>IF(ISNA(VLOOKUP($A17,Councils!$B$6:$AE$837,2,0)),0,VLOOKUP($A17,Councils!$B$6:$AE$837,2,0))</f>
        <v>180</v>
      </c>
      <c r="E17" s="13">
        <f>IF(ISNA(VLOOKUP($A17,Councils!$B$6:$AE$837,4,0)),0,VLOOKUP($A17,Councils!$B$6:$AE$837,4,0))</f>
        <v>41</v>
      </c>
      <c r="F17" s="382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IF(ISNA(VLOOKUP($A18,Council_Data!$A4:$Z818,4,0)),0,VLOOKUP($A18,Council_Data!$A4:$Z818,4,0))</f>
        <v>Galv/Hous</v>
      </c>
      <c r="D18" s="13" t="str">
        <f>IF(ISNA(VLOOKUP($A18,Councils!$B$6:$AE$837,2,0)),0,VLOOKUP($A18,Councils!$B$6:$AE$837,2,0))</f>
        <v>065</v>
      </c>
      <c r="E18" s="13">
        <f>IF(ISNA(VLOOKUP($A18,Councils!$B$6:$AE$837,4,0)),0,VLOOKUP($A18,Councils!$B$6:$AE$837,4,0))</f>
        <v>37</v>
      </c>
      <c r="F18" s="382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IF(ISNA(VLOOKUP($A19,Council_Data!$A4:$Z818,4,0)),0,VLOOKUP($A19,Council_Data!$A4:$Z818,4,0))</f>
        <v>Galv/Hous</v>
      </c>
      <c r="D19" s="13" t="str">
        <f>IF(ISNA(VLOOKUP($A19,Councils!$B$6:$AE$837,2,0)),0,VLOOKUP($A19,Councils!$B$6:$AE$837,2,0))</f>
        <v>081</v>
      </c>
      <c r="E19" s="13">
        <f>IF(ISNA(VLOOKUP($A19,Councils!$B$6:$AE$837,4,0)),0,VLOOKUP($A19,Councils!$B$6:$AE$837,4,0))</f>
        <v>60</v>
      </c>
      <c r="F19" s="382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IF(ISNA(VLOOKUP($A20,Council_Data!$A4:$Z818,4,0)),0,VLOOKUP($A20,Council_Data!$A4:$Z818,4,0))</f>
        <v>Laredo</v>
      </c>
      <c r="D20" s="13" t="str">
        <f>IF(ISNA(VLOOKUP($A20,Councils!$B$6:$AE$837,2,0)),0,VLOOKUP($A20,Councils!$B$6:$AE$837,2,0))</f>
        <v>233</v>
      </c>
      <c r="E20" s="13">
        <f>IF(ISNA(VLOOKUP($A20,Councils!$B$6:$AE$837,4,0)),0,VLOOKUP($A20,Councils!$B$6:$AE$837,4,0))</f>
        <v>58</v>
      </c>
      <c r="F20" s="382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IF(ISNA(VLOOKUP($A21,Council_Data!$A4:$Z818,4,0)),0,VLOOKUP($A21,Council_Data!$A4:$Z818,4,0))</f>
        <v>El Paso</v>
      </c>
      <c r="D21" s="13" t="str">
        <f>IF(ISNA(VLOOKUP($A21,Councils!$B$6:$AE$837,2,0)),0,VLOOKUP($A21,Councils!$B$6:$AE$837,2,0))</f>
        <v>013</v>
      </c>
      <c r="E21" s="13">
        <f>IF(ISNA(VLOOKUP($A21,Councils!$B$6:$AE$837,4,0)),0,VLOOKUP($A21,Councils!$B$6:$AE$837,4,0))</f>
        <v>22</v>
      </c>
      <c r="F21" s="382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IF(ISNA(VLOOKUP($A22,Council_Data!$A4:$Z818,4,0)),0,VLOOKUP($A22,Council_Data!$A4:$Z818,4,0))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16</v>
      </c>
      <c r="F22" s="382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IF(ISNA(VLOOKUP($A23,Council_Data!$A4:$Z818,4,0)),0,VLOOKUP($A23,Council_Data!$A4:$Z818,4,0))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82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IF(ISNA(VLOOKUP($A24,Council_Data!$A4:$Z818,4,0)),0,VLOOKUP($A24,Council_Data!$A4:$Z818,4,0))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53</v>
      </c>
      <c r="F24" s="382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IF(ISNA(VLOOKUP($A25,Council_Data!$A4:$Z818,4,0)),0,VLOOKUP($A25,Council_Data!$A4:$Z818,4,0))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74</v>
      </c>
      <c r="F25" s="382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IF(ISNA(VLOOKUP($A26,Council_Data!$A4:$Z818,4,0)),0,VLOOKUP($A26,Council_Data!$A4:$Z818,4,0))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82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 t="str">
        <f>IF(ISNA(VLOOKUP($A27,Council_Data!$A4:$Z818,4,0)),0,VLOOKUP($A27,Council_Data!$A4:$Z818,4,0))</f>
        <v>San Angelo</v>
      </c>
      <c r="D27" s="13" t="str">
        <f>IF(ISNA(VLOOKUP($A27,Councils!$B$6:$AE$837,2,0)),0,VLOOKUP($A27,Councils!$B$6:$AE$837,2,0))</f>
        <v>227</v>
      </c>
      <c r="E27" s="13">
        <f>IF(ISNA(VLOOKUP($A27,Councils!$B$6:$AE$837,4,0)),0,VLOOKUP($A27,Councils!$B$6:$AE$837,4,0))</f>
        <v>20</v>
      </c>
      <c r="F27" s="382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IF(ISNA(VLOOKUP($A28,Council_Data!$A4:$Z818,4,0)),0,VLOOKUP($A28,Council_Data!$A4:$Z818,4,0))</f>
        <v>Corpus Christi</v>
      </c>
      <c r="D28" s="13" t="str">
        <f>IF(ISNA(VLOOKUP($A28,Councils!$B$6:$AE$837,2,0)),0,VLOOKUP($A28,Councils!$B$6:$AE$837,2,0))</f>
        <v>178</v>
      </c>
      <c r="E28" s="13">
        <f>IF(ISNA(VLOOKUP($A28,Councils!$B$6:$AE$837,4,0)),0,VLOOKUP($A28,Councils!$B$6:$AE$837,4,0))</f>
        <v>107</v>
      </c>
      <c r="F28" s="382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IF(ISNA(VLOOKUP($A29,Council_Data!$A4:$Z818,4,0)),0,VLOOKUP($A29,Council_Data!$A4:$Z818,4,0))</f>
        <v>Dallas</v>
      </c>
      <c r="D29" s="13" t="str">
        <f>IF(ISNA(VLOOKUP($A29,Councils!$B$6:$AE$837,2,0)),0,VLOOKUP($A29,Councils!$B$6:$AE$837,2,0))</f>
        <v>116</v>
      </c>
      <c r="E29" s="13">
        <f>IF(ISNA(VLOOKUP($A29,Councils!$B$6:$AE$837,4,0)),0,VLOOKUP($A29,Councils!$B$6:$AE$837,4,0))</f>
        <v>32</v>
      </c>
      <c r="F29" s="382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IF(ISNA(VLOOKUP($A30,Council_Data!$A4:$Z818,4,0)),0,VLOOKUP($A30,Council_Data!$A4:$Z818,4,0))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36</v>
      </c>
      <c r="F30" s="382">
        <v>41192</v>
      </c>
      <c r="G30" s="14">
        <f>VLOOKUP($A30,Councils!$B$6:$AE$837,9,0)</f>
        <v>1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IF(ISNA(VLOOKUP($A31,Council_Data!$A4:$Z818,4,0)),0,VLOOKUP($A31,Council_Data!$A4:$Z818,4,0))</f>
        <v>El Paso</v>
      </c>
      <c r="D31" s="13" t="str">
        <f>IF(ISNA(VLOOKUP($A31,Councils!$B$6:$AE$837,2,0)),0,VLOOKUP($A31,Councils!$B$6:$AE$837,2,0))</f>
        <v>013</v>
      </c>
      <c r="E31" s="13">
        <f>IF(ISNA(VLOOKUP($A31,Councils!$B$6:$AE$837,4,0)),0,VLOOKUP($A31,Councils!$B$6:$AE$837,4,0))</f>
        <v>19</v>
      </c>
      <c r="F31" s="382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IF(ISNA(VLOOKUP($A32,Council_Data!$A4:$Z818,4,0)),0,VLOOKUP($A32,Council_Data!$A4:$Z818,4,0))</f>
        <v>Amarillo</v>
      </c>
      <c r="D32" s="13" t="str">
        <f>IF(ISNA(VLOOKUP($A32,Councils!$B$6:$AE$837,2,0)),0,VLOOKUP($A32,Councils!$B$6:$AE$837,2,0))</f>
        <v>202</v>
      </c>
      <c r="E32" s="13">
        <f>IF(ISNA(VLOOKUP($A32,Councils!$B$6:$AE$837,4,0)),0,VLOOKUP($A32,Councils!$B$6:$AE$837,4,0))</f>
        <v>84</v>
      </c>
      <c r="F32" s="382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 t="str">
        <f>IF(ISNA(VLOOKUP($A33,Council_Data!$A4:$Z818,4,0)),0,VLOOKUP($A33,Council_Data!$A4:$Z818,4,0))</f>
        <v>San Antonio</v>
      </c>
      <c r="D33" s="13" t="str">
        <f>IF(ISNA(VLOOKUP($A33,Councils!$B$6:$AE$837,2,0)),0,VLOOKUP($A33,Councils!$B$6:$AE$837,2,0))</f>
        <v>062</v>
      </c>
      <c r="E33" s="13">
        <f>IF(ISNA(VLOOKUP($A33,Councils!$B$6:$AE$837,4,0)),0,VLOOKUP($A33,Councils!$B$6:$AE$837,4,0))</f>
        <v>26</v>
      </c>
      <c r="F33" s="382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IF(ISNA(VLOOKUP($A34,Council_Data!$A4:$Z818,4,0)),0,VLOOKUP($A34,Council_Data!$A4:$Z818,4,0))</f>
        <v>Laredo</v>
      </c>
      <c r="D34" s="13" t="str">
        <f>IF(ISNA(VLOOKUP($A34,Councils!$B$6:$AE$837,2,0)),0,VLOOKUP($A34,Councils!$B$6:$AE$837,2,0))</f>
        <v>234</v>
      </c>
      <c r="E34" s="13">
        <f>IF(ISNA(VLOOKUP($A34,Councils!$B$6:$AE$837,4,0)),0,VLOOKUP($A34,Councils!$B$6:$AE$837,4,0))</f>
        <v>139</v>
      </c>
      <c r="F34" s="382">
        <v>42835</v>
      </c>
      <c r="G34" s="14">
        <f>VLOOKUP($A34,Councils!$B$6:$AE$837,9,0)</f>
        <v>0</v>
      </c>
      <c r="H34" s="13" t="str">
        <f t="shared" si="1"/>
        <v>No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IF(ISNA(VLOOKUP($A35,Council_Data!$A4:$Z818,4,0)),0,VLOOKUP($A35,Council_Data!$A4:$Z818,4,0))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73</v>
      </c>
      <c r="F35" s="382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IF(ISNA(VLOOKUP($A36,Council_Data!$A4:$Z818,4,0)),0,VLOOKUP($A36,Council_Data!$A4:$Z818,4,0))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35</v>
      </c>
      <c r="F36" s="382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IF(ISNA(VLOOKUP($A37,Council_Data!$A4:$Z818,4,0)),0,VLOOKUP($A37,Council_Data!$A4:$Z818,4,0))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33</v>
      </c>
      <c r="F37" s="382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IF(ISNA(VLOOKUP($A38,Council_Data!$A4:$Z818,4,0)),0,VLOOKUP($A38,Council_Data!$A4:$Z818,4,0))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82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IF(ISNA(VLOOKUP($A39,Council_Data!$A4:$Z818,4,0)),0,VLOOKUP($A39,Council_Data!$A4:$Z818,4,0))</f>
        <v>El Paso</v>
      </c>
      <c r="D39" s="13" t="str">
        <f>IF(ISNA(VLOOKUP($A39,Councils!$B$6:$AE$837,2,0)),0,VLOOKUP($A39,Councils!$B$6:$AE$837,2,0))</f>
        <v>012</v>
      </c>
      <c r="E39" s="13">
        <f>IF(ISNA(VLOOKUP($A39,Councils!$B$6:$AE$837,4,0)),0,VLOOKUP($A39,Councils!$B$6:$AE$837,4,0))</f>
        <v>41</v>
      </c>
      <c r="F39" s="382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IF(ISNA(VLOOKUP($A40,Council_Data!$A4:$Z818,4,0)),0,VLOOKUP($A40,Council_Data!$A4:$Z818,4,0))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62</v>
      </c>
      <c r="F40" s="382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IF(ISNA(VLOOKUP($A41,Council_Data!$A4:$Z818,4,0)),0,VLOOKUP($A41,Council_Data!$A4:$Z818,4,0))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55</v>
      </c>
      <c r="F41" s="382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IF(ISNA(VLOOKUP($A42,Council_Data!$A4:$Z818,4,0)),0,VLOOKUP($A42,Council_Data!$A4:$Z818,4,0))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49</v>
      </c>
      <c r="F42" s="382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IF(ISNA(VLOOKUP($A43,Council_Data!$A4:$Z818,4,0)),0,VLOOKUP($A43,Council_Data!$A4:$Z818,4,0))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82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IF(ISNA(VLOOKUP($A44,Council_Data!$A4:$Z818,4,0)),0,VLOOKUP($A44,Council_Data!$A4:$Z818,4,0))</f>
        <v>Austin</v>
      </c>
      <c r="D44" s="13" t="str">
        <f>IF(ISNA(VLOOKUP($A44,Councils!$B$6:$AE$837,2,0)),0,VLOOKUP($A44,Councils!$B$6:$AE$837,2,0))</f>
        <v>145</v>
      </c>
      <c r="E44" s="13">
        <f>IF(ISNA(VLOOKUP($A44,Councils!$B$6:$AE$837,4,0)),0,VLOOKUP($A44,Councils!$B$6:$AE$837,4,0))</f>
        <v>35</v>
      </c>
      <c r="F44" s="382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IF(ISNA(VLOOKUP($A45,Council_Data!$A4:$Z818,4,0)),0,VLOOKUP($A45,Council_Data!$A4:$Z818,4,0))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94</v>
      </c>
      <c r="F45" s="382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IF(ISNA(VLOOKUP($A46,Council_Data!$A4:$Z818,4,0)),0,VLOOKUP($A46,Council_Data!$A4:$Z818,4,0))</f>
        <v>San Antonio</v>
      </c>
      <c r="D46" s="13" t="str">
        <f>IF(ISNA(VLOOKUP($A46,Councils!$B$6:$AE$837,2,0)),0,VLOOKUP($A46,Councils!$B$6:$AE$837,2,0))</f>
        <v>034</v>
      </c>
      <c r="E46" s="13">
        <f>IF(ISNA(VLOOKUP($A46,Councils!$B$6:$AE$837,4,0)),0,VLOOKUP($A46,Councils!$B$6:$AE$837,4,0))</f>
        <v>11</v>
      </c>
      <c r="F46" s="382">
        <v>36443</v>
      </c>
      <c r="G46" s="14">
        <f>VLOOKUP($A46,Councils!$B$6:$AE$837,9,0)</f>
        <v>0</v>
      </c>
      <c r="H46" s="13" t="str">
        <f t="shared" si="1"/>
        <v>No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IF(ISNA(VLOOKUP($A47,Council_Data!$A4:$Z818,4,0)),0,VLOOKUP($A47,Council_Data!$A4:$Z818,4,0))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56</v>
      </c>
      <c r="F47" s="382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IF(ISNA(VLOOKUP($A48,Council_Data!$A4:$Z818,4,0)),0,VLOOKUP($A48,Council_Data!$A4:$Z818,4,0))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82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IF(ISNA(VLOOKUP($A49,Council_Data!$A4:$Z818,4,0)),0,VLOOKUP($A49,Council_Data!$A4:$Z818,4,0))</f>
        <v>Galv/Hous</v>
      </c>
      <c r="D49" s="13" t="str">
        <f>IF(ISNA(VLOOKUP($A49,Councils!$B$6:$AE$837,2,0)),0,VLOOKUP($A49,Councils!$B$6:$AE$837,2,0))</f>
        <v>065</v>
      </c>
      <c r="E49" s="13">
        <f>IF(ISNA(VLOOKUP($A49,Councils!$B$6:$AE$837,4,0)),0,VLOOKUP($A49,Councils!$B$6:$AE$837,4,0))</f>
        <v>44</v>
      </c>
      <c r="F49" s="382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IF(ISNA(VLOOKUP($A50,Council_Data!$A4:$Z818,4,0)),0,VLOOKUP($A50,Council_Data!$A4:$Z818,4,0))</f>
        <v>San Angelo</v>
      </c>
      <c r="D50" s="13" t="str">
        <f>IF(ISNA(VLOOKUP($A50,Councils!$B$6:$AE$837,2,0)),0,VLOOKUP($A50,Councils!$B$6:$AE$837,2,0))</f>
        <v>230</v>
      </c>
      <c r="E50" s="17">
        <f>IF(ISNA(VLOOKUP($A50,Councils!$B$6:$AE$837,4,0)),0,VLOOKUP($A50,Councils!$B$6:$AE$837,4,0))</f>
        <v>14</v>
      </c>
      <c r="F50" s="383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IF(ISNA(VLOOKUP($A51,Council_Data!$A4:$Z818,4,0)),0,VLOOKUP($A51,Council_Data!$A4:$Z818,4,0))</f>
        <v>Corpus Christi</v>
      </c>
      <c r="D51" s="13" t="str">
        <f>IF(ISNA(VLOOKUP($A51,Councils!$B$6:$AE$837,2,0)),0,VLOOKUP($A51,Councils!$B$6:$AE$837,2,0))</f>
        <v>180</v>
      </c>
      <c r="E51" s="17">
        <f>IF(ISNA(VLOOKUP($A51,Councils!$B$6:$AE$837,4,0)),0,VLOOKUP($A51,Councils!$B$6:$AE$837,4,0))</f>
        <v>56</v>
      </c>
      <c r="F51" s="383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IF(ISNA(VLOOKUP($A52,Council_Data!$A4:$Z818,4,0)),0,VLOOKUP($A52,Council_Data!$A4:$Z818,4,0))</f>
        <v>El Paso</v>
      </c>
      <c r="D52" s="13" t="str">
        <f>IF(ISNA(VLOOKUP($A52,Councils!$B$6:$AE$837,2,0)),0,VLOOKUP($A52,Councils!$B$6:$AE$837,2,0))</f>
        <v>013</v>
      </c>
      <c r="E52" s="13">
        <f>IF(ISNA(VLOOKUP($A52,Councils!$B$6:$AE$837,4,0)),0,VLOOKUP($A52,Councils!$B$6:$AE$837,4,0))</f>
        <v>50</v>
      </c>
      <c r="F52" s="382">
        <v>43383</v>
      </c>
      <c r="G52" s="14">
        <f>VLOOKUP($A52,Councils!$B$6:$AE$837,9,0)</f>
        <v>0</v>
      </c>
      <c r="H52" s="13" t="str">
        <f t="shared" si="1"/>
        <v>No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>
        <f>IF(ISNA(VLOOKUP($A53,Council_Data!$A4:$Z818,4,0)),0,VLOOKUP($A53,Council_Data!$A4:$Z818,4,0))</f>
        <v>0</v>
      </c>
      <c r="D53" s="13" t="str">
        <f>IF(ISNA(VLOOKUP($A53,Councils!$B$6:$AE$837,2,0)),0,VLOOKUP($A53,Councils!$B$6:$AE$837,2,0))</f>
        <v>Unassigned</v>
      </c>
      <c r="E53" s="17">
        <f>IF(ISNA(VLOOKUP($A53,Councils!$B$6:$AE$837,4,0)),0,VLOOKUP($A53,Councils!$B$6:$AE$837,4,0))</f>
        <v>54</v>
      </c>
      <c r="F53" s="383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IF(ISNA(VLOOKUP($A54,Council_Data!$A4:$Z818,4,0)),0,VLOOKUP($A54,Council_Data!$A4:$Z818,4,0))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51</v>
      </c>
      <c r="F54" s="383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IF(ISNA(VLOOKUP($A55,Council_Data!$A4:$Z818,4,0)),0,VLOOKUP($A55,Council_Data!$A4:$Z818,4,0))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41</v>
      </c>
      <c r="F55" s="382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IF(ISNA(VLOOKUP($A56,Council_Data!$A4:$Z818,4,0)),0,VLOOKUP($A56,Council_Data!$A4:$Z818,4,0))</f>
        <v>El Paso</v>
      </c>
      <c r="D56" s="13" t="str">
        <f>IF(ISNA(VLOOKUP($A56,Councils!$B$6:$AE$837,2,0)),0,VLOOKUP($A56,Councils!$B$6:$AE$837,2,0))</f>
        <v>012</v>
      </c>
      <c r="E56" s="13">
        <f>IF(ISNA(VLOOKUP($A56,Councils!$B$6:$AE$837,4,0)),0,VLOOKUP($A56,Councils!$B$6:$AE$837,4,0))</f>
        <v>62</v>
      </c>
      <c r="F56" s="382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IF(ISNA(VLOOKUP($A57,Council_Data!$A4:$Z818,4,0)),0,VLOOKUP($A57,Council_Data!$A4:$Z818,4,0))</f>
        <v>Corpus Christi</v>
      </c>
      <c r="D57" s="13" t="str">
        <f>IF(ISNA(VLOOKUP($A57,Councils!$B$6:$AE$837,2,0)),0,VLOOKUP($A57,Councils!$B$6:$AE$837,2,0))</f>
        <v>179</v>
      </c>
      <c r="E57" s="13">
        <f>IF(ISNA(VLOOKUP($A57,Councils!$B$6:$AE$837,4,0)),0,VLOOKUP($A57,Councils!$B$6:$AE$837,4,0))</f>
        <v>58</v>
      </c>
      <c r="F57" s="382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IF(ISNA(VLOOKUP($A58,Council_Data!$A4:$Z818,4,0)),0,VLOOKUP($A58,Council_Data!$A4:$Z818,4,0))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132</v>
      </c>
      <c r="F58" s="382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IF(ISNA(VLOOKUP($A59,Council_Data!$A4:$Z818,4,0)),0,VLOOKUP($A59,Council_Data!$A4:$Z818,4,0))</f>
        <v>Galv/Hous</v>
      </c>
      <c r="D59" s="13" t="str">
        <f>IF(ISNA(VLOOKUP($A59,Councils!$B$6:$AE$837,2,0)),0,VLOOKUP($A59,Councils!$B$6:$AE$837,2,0))</f>
        <v>065</v>
      </c>
      <c r="E59" s="13">
        <f>IF(ISNA(VLOOKUP($A59,Councils!$B$6:$AE$837,4,0)),0,VLOOKUP($A59,Councils!$B$6:$AE$837,4,0))</f>
        <v>47</v>
      </c>
      <c r="F59" s="382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IF(ISNA(VLOOKUP($A60,Council_Data!$A4:$Z818,4,0)),0,VLOOKUP($A60,Council_Data!$A4:$Z818,4,0))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82</v>
      </c>
      <c r="F60" s="382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IF(ISNA(VLOOKUP($A61,Council_Data!$A4:$Z818,4,0)),0,VLOOKUP($A61,Council_Data!$A4:$Z818,4,0))</f>
        <v>Dallas</v>
      </c>
      <c r="D61" s="13" t="str">
        <f>IF(ISNA(VLOOKUP($A61,Councils!$B$6:$AE$837,2,0)),0,VLOOKUP($A61,Councils!$B$6:$AE$837,2,0))</f>
        <v>116</v>
      </c>
      <c r="E61" s="13">
        <f>IF(ISNA(VLOOKUP($A61,Councils!$B$6:$AE$837,4,0)),0,VLOOKUP($A61,Councils!$B$6:$AE$837,4,0))</f>
        <v>22</v>
      </c>
      <c r="F61" s="382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IF(ISNA(VLOOKUP($A62,Council_Data!$A4:$Z818,4,0)),0,VLOOKUP($A62,Council_Data!$A4:$Z818,4,0))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82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IF(ISNA(VLOOKUP($A63,Council_Data!$A4:$Z818,4,0)),0,VLOOKUP($A63,Council_Data!$A4:$Z818,4,0))</f>
        <v>Corpus Christi</v>
      </c>
      <c r="D63" s="13" t="str">
        <f>IF(ISNA(VLOOKUP($A63,Councils!$B$6:$AE$837,2,0)),0,VLOOKUP($A63,Councils!$B$6:$AE$837,2,0))</f>
        <v>180</v>
      </c>
      <c r="E63" s="13">
        <f>IF(ISNA(VLOOKUP($A63,Councils!$B$6:$AE$837,4,0)),0,VLOOKUP($A63,Councils!$B$6:$AE$837,4,0))</f>
        <v>40</v>
      </c>
      <c r="F63" s="382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IF(ISNA(VLOOKUP($A64,Council_Data!$A4:$Z818,4,0)),0,VLOOKUP($A64,Council_Data!$A4:$Z818,4,0))</f>
        <v>Tyler</v>
      </c>
      <c r="D64" s="13" t="str">
        <f>IF(ISNA(VLOOKUP($A64,Councils!$B$6:$AE$837,2,0)),0,VLOOKUP($A64,Councils!$B$6:$AE$837,2,0))</f>
        <v>134</v>
      </c>
      <c r="E64" s="13">
        <f>IF(ISNA(VLOOKUP($A64,Councils!$B$6:$AE$837,4,0)),0,VLOOKUP($A64,Councils!$B$6:$AE$837,4,0))</f>
        <v>47</v>
      </c>
      <c r="F64" s="382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IF(ISNA(VLOOKUP($A65,Council_Data!$A4:$Z818,4,0)),0,VLOOKUP($A65,Council_Data!$A4:$Z818,4,0))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73</v>
      </c>
      <c r="F65" s="382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IF(ISNA(VLOOKUP($A66,Council_Data!$A4:$Z818,4,0)),0,VLOOKUP($A66,Council_Data!$A4:$Z818,4,0))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82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IF(ISNA(VLOOKUP($A67,Council_Data!$A4:$Z818,4,0)),0,VLOOKUP($A67,Council_Data!$A4:$Z818,4,0))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82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IF(ISNA(VLOOKUP($A68,Council_Data!$A4:$Z818,4,0)),0,VLOOKUP($A68,Council_Data!$A4:$Z818,4,0))</f>
        <v>Galv/Hous</v>
      </c>
      <c r="D68" s="13" t="str">
        <f>IF(ISNA(VLOOKUP($A68,Councils!$B$6:$AE$837,2,0)),0,VLOOKUP($A68,Councils!$B$6:$AE$837,2,0))</f>
        <v>099</v>
      </c>
      <c r="E68" s="17">
        <f>IF(ISNA(VLOOKUP($A68,Councils!$B$6:$AE$837,4,0)),0,VLOOKUP($A68,Councils!$B$6:$AE$837,4,0))</f>
        <v>51</v>
      </c>
      <c r="F68" s="383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IF(ISNA(VLOOKUP($A69,Council_Data!$A4:$Z818,4,0)),0,VLOOKUP($A69,Council_Data!$A4:$Z818,4,0))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61</v>
      </c>
      <c r="F69" s="383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IF(ISNA(VLOOKUP($A70,Council_Data!$A4:$Z818,4,0)),0,VLOOKUP($A70,Council_Data!$A4:$Z818,4,0))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21</v>
      </c>
      <c r="F70" s="382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IF(ISNA(VLOOKUP($A71,Council_Data!$A4:$Z818,4,0)),0,VLOOKUP($A71,Council_Data!$A4:$Z818,4,0))</f>
        <v>Galv/Hous</v>
      </c>
      <c r="D71" s="13" t="str">
        <f>IF(ISNA(VLOOKUP($A71,Councils!$B$6:$AE$837,2,0)),0,VLOOKUP($A71,Councils!$B$6:$AE$837,2,0))</f>
        <v>098</v>
      </c>
      <c r="E71" s="13">
        <f>IF(ISNA(VLOOKUP($A71,Councils!$B$6:$AE$837,4,0)),0,VLOOKUP($A71,Councils!$B$6:$AE$837,4,0))</f>
        <v>32</v>
      </c>
      <c r="F71" s="382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IF(ISNA(VLOOKUP($A72,Council_Data!$A4:$Z818,4,0)),0,VLOOKUP($A72,Council_Data!$A4:$Z818,4,0))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129</v>
      </c>
      <c r="F72" s="382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IF(ISNA(VLOOKUP($A73,Council_Data!$A4:$Z818,4,0)),0,VLOOKUP($A73,Council_Data!$A4:$Z818,4,0))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20</v>
      </c>
      <c r="F73" s="382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IF(ISNA(VLOOKUP($A74,Council_Data!$A4:$Z818,4,0)),0,VLOOKUP($A74,Council_Data!$A4:$Z818,4,0))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83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IF(ISNA(VLOOKUP($A75,Council_Data!$A4:$Z818,4,0)),0,VLOOKUP($A75,Council_Data!$A4:$Z818,4,0))</f>
        <v>Galv/Hous</v>
      </c>
      <c r="D75" s="13" t="str">
        <f>IF(ISNA(VLOOKUP($A75,Councils!$B$6:$AE$837,2,0)),0,VLOOKUP($A75,Councils!$B$6:$AE$837,2,0))</f>
        <v>064</v>
      </c>
      <c r="E75" s="13">
        <f>IF(ISNA(VLOOKUP($A75,Councils!$B$6:$AE$837,4,0)),0,VLOOKUP($A75,Councils!$B$6:$AE$837,4,0))</f>
        <v>59</v>
      </c>
      <c r="F75" s="382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IF(ISNA(VLOOKUP($A76,Council_Data!$A4:$Z818,4,0)),0,VLOOKUP($A76,Council_Data!$A4:$Z818,4,0))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82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IF(ISNA(VLOOKUP($A77,Council_Data!$A4:$Z818,4,0)),0,VLOOKUP($A77,Council_Data!$A4:$Z818,4,0))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28</v>
      </c>
      <c r="F77" s="382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IF(ISNA(VLOOKUP($A78,Council_Data!$A4:$Z818,4,0)),0,VLOOKUP($A78,Council_Data!$A4:$Z818,4,0))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82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IF(ISNA(VLOOKUP($A79,Council_Data!$A4:$Z818,4,0)),0,VLOOKUP($A79,Council_Data!$A4:$Z818,4,0))</f>
        <v>Corpus Christi</v>
      </c>
      <c r="D79" s="13" t="str">
        <f>IF(ISNA(VLOOKUP($A79,Councils!$B$6:$AE$837,2,0)),0,VLOOKUP($A79,Councils!$B$6:$AE$837,2,0))</f>
        <v>177</v>
      </c>
      <c r="E79" s="13">
        <f>IF(ISNA(VLOOKUP($A79,Councils!$B$6:$AE$837,4,0)),0,VLOOKUP($A79,Councils!$B$6:$AE$837,4,0))</f>
        <v>66</v>
      </c>
      <c r="F79" s="382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IF(ISNA(VLOOKUP($A80,Council_Data!$A4:$Z818,4,0)),0,VLOOKUP($A80,Council_Data!$A4:$Z818,4,0))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82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IF(ISNA(VLOOKUP($A81,Council_Data!$A4:$Z818,4,0)),0,VLOOKUP($A81,Council_Data!$A4:$Z818,4,0))</f>
        <v>Fort Worth</v>
      </c>
      <c r="D81" s="13" t="str">
        <f>IF(ISNA(VLOOKUP($A81,Councils!$B$6:$AE$837,2,0)),0,VLOOKUP($A81,Councils!$B$6:$AE$837,2,0))</f>
        <v>031</v>
      </c>
      <c r="E81" s="13">
        <f>IF(ISNA(VLOOKUP($A81,Councils!$B$6:$AE$837,4,0)),0,VLOOKUP($A81,Councils!$B$6:$AE$837,4,0))</f>
        <v>21</v>
      </c>
      <c r="F81" s="382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IF(ISNA(VLOOKUP($A82,Council_Data!$A4:$Z818,4,0)),0,VLOOKUP($A82,Council_Data!$A4:$Z818,4,0))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56</v>
      </c>
      <c r="F82" s="382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IF(ISNA(VLOOKUP($A83,Council_Data!$A4:$Z818,4,0)),0,VLOOKUP($A83,Council_Data!$A4:$Z818,4,0))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82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IF(ISNA(VLOOKUP($A84,Council_Data!$A4:$Z818,4,0)),0,VLOOKUP($A84,Council_Data!$A4:$Z818,4,0))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55</v>
      </c>
      <c r="F84" s="383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IF(ISNA(VLOOKUP($A85,Council_Data!$A4:$Z818,4,0)),0,VLOOKUP($A85,Council_Data!$A4:$Z818,4,0))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34</v>
      </c>
      <c r="F85" s="382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IF(ISNA(VLOOKUP($A86,Council_Data!$A4:$Z818,4,0)),0,VLOOKUP($A86,Council_Data!$A4:$Z818,4,0))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77</v>
      </c>
      <c r="F86" s="383">
        <v>42653</v>
      </c>
      <c r="G86" s="14">
        <f>VLOOKUP($A86,Councils!$B$6:$AE$837,9,0)</f>
        <v>0</v>
      </c>
      <c r="H86" s="17" t="str">
        <f t="shared" si="2"/>
        <v>No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IF(ISNA(VLOOKUP($A87,Council_Data!$A4:$Z818,4,0)),0,VLOOKUP($A87,Council_Data!$A4:$Z818,4,0))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36</v>
      </c>
      <c r="F87" s="383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IF(ISNA(VLOOKUP($A88,Council_Data!$A4:$Z818,4,0)),0,VLOOKUP($A88,Council_Data!$A4:$Z818,4,0))</f>
        <v>Galv/Hous</v>
      </c>
      <c r="D88" s="13" t="str">
        <f>IF(ISNA(VLOOKUP($A88,Councils!$B$6:$AE$837,2,0)),0,VLOOKUP($A88,Councils!$B$6:$AE$837,2,0))</f>
        <v>096</v>
      </c>
      <c r="E88" s="17">
        <f>IF(ISNA(VLOOKUP($A88,Councils!$B$6:$AE$837,4,0)),0,VLOOKUP($A88,Councils!$B$6:$AE$837,4,0))</f>
        <v>172</v>
      </c>
      <c r="F88" s="383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IF(ISNA(VLOOKUP($A89,Council_Data!$A4:$Z818,4,0)),0,VLOOKUP($A89,Council_Data!$A4:$Z818,4,0))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51</v>
      </c>
      <c r="F89" s="383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IF(ISNA(VLOOKUP($A90,Council_Data!$A4:$Z818,4,0)),0,VLOOKUP($A90,Council_Data!$A4:$Z818,4,0))</f>
        <v>San Antonio</v>
      </c>
      <c r="D90" s="13" t="str">
        <f>IF(ISNA(VLOOKUP($A90,Councils!$B$6:$AE$837,2,0)),0,VLOOKUP($A90,Councils!$B$6:$AE$837,2,0))</f>
        <v>057</v>
      </c>
      <c r="E90" s="17">
        <f>IF(ISNA(VLOOKUP($A90,Councils!$B$6:$AE$837,4,0)),0,VLOOKUP($A90,Councils!$B$6:$AE$837,4,0))</f>
        <v>35</v>
      </c>
      <c r="F90" s="383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IF(ISNA(VLOOKUP($A91,Council_Data!$A4:$Z818,4,0)),0,VLOOKUP($A91,Council_Data!$A4:$Z818,4,0))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28</v>
      </c>
      <c r="F91" s="383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IF(ISNA(VLOOKUP($A92,Council_Data!$A4:$Z818,4,0)),0,VLOOKUP($A92,Council_Data!$A4:$Z818,4,0))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106</v>
      </c>
      <c r="F92" s="383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IF(ISNA(VLOOKUP($A93,Council_Data!$A4:$Z818,4,0)),0,VLOOKUP($A93,Council_Data!$A4:$Z818,4,0))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54</v>
      </c>
      <c r="F93" s="383">
        <v>43383</v>
      </c>
      <c r="G93" s="14">
        <f>VLOOKUP($A93,Councils!$B$6:$AE$837,9,0)</f>
        <v>1</v>
      </c>
      <c r="H93" s="17" t="str">
        <f>IF(AND($G$1&gt;F93+365,G93&gt;0),"Yes","No")</f>
        <v>Yes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IF(ISNA(VLOOKUP($A94,Council_Data!$A4:$Z818,4,0)),0,VLOOKUP($A94,Council_Data!$A4:$Z818,4,0))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83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IF(ISNA(VLOOKUP($A95,Council_Data!$A4:$Z818,4,0)),0,VLOOKUP($A95,Council_Data!$A4:$Z818,4,0))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36</v>
      </c>
      <c r="F95" s="383">
        <v>40278</v>
      </c>
      <c r="G95" s="14">
        <f>VLOOKUP($A95,Councils!$B$6:$AE$837,9,0)</f>
        <v>8</v>
      </c>
      <c r="H95" s="17" t="str">
        <f>IF(AND($G$1&gt;F95+365,G95&gt;0),"Yes","No")</f>
        <v>Yes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IF(ISNA(VLOOKUP($A96,Council_Data!$A5:$Z819,4,0)),0,VLOOKUP($A96,Council_Data!$A5:$Z819,4,0))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34</v>
      </c>
      <c r="F96" s="383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IF(ISNA(VLOOKUP($A97,Council_Data!$A6:$Z820,4,0)),0,VLOOKUP($A97,Council_Data!$A6:$Z820,4,0))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35</v>
      </c>
      <c r="F97" s="383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IF(ISNA(VLOOKUP($A98,Council_Data!$A7:$Z821,4,0)),0,VLOOKUP($A98,Council_Data!$A7:$Z821,4,0))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32</v>
      </c>
      <c r="F98" s="383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IF(ISNA(VLOOKUP($A99,Council_Data!$A8:$Z822,4,0)),0,VLOOKUP($A99,Council_Data!$A8:$Z822,4,0))</f>
        <v>Dallas</v>
      </c>
      <c r="D99" s="13" t="str">
        <f>IF(ISNA(VLOOKUP($A99,Councils!$B$6:$AE$837,2,0)),0,VLOOKUP($A99,Councils!$B$6:$AE$837,2,0))</f>
        <v>116</v>
      </c>
      <c r="E99" s="17">
        <f>IF(ISNA(VLOOKUP($A99,Councils!$B$6:$AE$837,4,0)),0,VLOOKUP($A99,Councils!$B$6:$AE$837,4,0))</f>
        <v>39</v>
      </c>
      <c r="F99" s="383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IF(ISNA(VLOOKUP($A100,Council_Data!$A9:$Z823,4,0)),0,VLOOKUP($A100,Council_Data!$A9:$Z823,4,0))</f>
        <v>Corpus Christi</v>
      </c>
      <c r="D100" s="13" t="str">
        <f>IF(ISNA(VLOOKUP($A100,Councils!$B$6:$AE$837,2,0)),0,VLOOKUP($A100,Councils!$B$6:$AE$837,2,0))</f>
        <v>180</v>
      </c>
      <c r="E100" s="17">
        <f>IF(ISNA(VLOOKUP($A100,Councils!$B$6:$AE$837,4,0)),0,VLOOKUP($A100,Councils!$B$6:$AE$837,4,0))</f>
        <v>33</v>
      </c>
      <c r="F100" s="383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IF(ISNA(VLOOKUP($A101,Council_Data!$A10:$Z824,4,0)),0,VLOOKUP($A101,Council_Data!$A10:$Z824,4,0))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83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IF(ISNA(VLOOKUP($A102,Council_Data!$A11:$Z825,4,0)),0,VLOOKUP($A102,Council_Data!$A11:$Z825,4,0))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39</v>
      </c>
      <c r="F102" s="383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IF(ISNA(VLOOKUP($A103,Council_Data!$A12:$Z826,4,0)),0,VLOOKUP($A103,Council_Data!$A12:$Z826,4,0))</f>
        <v>El Paso</v>
      </c>
      <c r="D103" s="13" t="str">
        <f>IF(ISNA(VLOOKUP($A103,Councils!$B$6:$AE$837,2,0)),0,VLOOKUP($A103,Councils!$B$6:$AE$837,2,0))</f>
        <v>001</v>
      </c>
      <c r="E103" s="17">
        <f>IF(ISNA(VLOOKUP($A103,Councils!$B$6:$AE$837,4,0)),0,VLOOKUP($A103,Councils!$B$6:$AE$837,4,0))</f>
        <v>36</v>
      </c>
      <c r="F103" s="383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IF(ISNA(VLOOKUP($A104,Council_Data!$A13:$Z827,4,0)),0,VLOOKUP($A104,Council_Data!$A13:$Z827,4,0))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29</v>
      </c>
      <c r="F104" s="383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IF(ISNA(VLOOKUP($A105,Council_Data!$A14:$Z828,4,0)),0,VLOOKUP($A105,Council_Data!$A14:$Z828,4,0))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83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IF(ISNA(VLOOKUP($A106,Council_Data!$A15:$Z829,4,0)),0,VLOOKUP($A106,Council_Data!$A15:$Z829,4,0))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83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IF(ISNA(VLOOKUP($A107,Council_Data!$A16:$Z830,4,0)),0,VLOOKUP($A107,Council_Data!$A16:$Z830,4,0))</f>
        <v>Galv/Hous</v>
      </c>
      <c r="D107" s="13" t="str">
        <f>IF(ISNA(VLOOKUP($A107,Councils!$B$6:$AE$837,2,0)),0,VLOOKUP($A107,Councils!$B$6:$AE$837,2,0))</f>
        <v>099</v>
      </c>
      <c r="E107" s="17">
        <f>IF(ISNA(VLOOKUP($A107,Councils!$B$6:$AE$837,4,0)),0,VLOOKUP($A107,Councils!$B$6:$AE$837,4,0))</f>
        <v>38</v>
      </c>
      <c r="F107" s="383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IF(ISNA(VLOOKUP($A108,Council_Data!$A17:$Z831,4,0)),0,VLOOKUP($A108,Council_Data!$A17:$Z831,4,0))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21</v>
      </c>
      <c r="F108" s="383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5288</v>
      </c>
    </row>
    <row r="117" spans="1:8">
      <c r="A117" s="21"/>
      <c r="B117" s="18" t="s">
        <v>630</v>
      </c>
    </row>
    <row r="119" spans="1:8">
      <c r="A119" s="22"/>
      <c r="B119" s="18" t="s">
        <v>631</v>
      </c>
    </row>
  </sheetData>
  <mergeCells count="2">
    <mergeCell ref="A1:F1"/>
    <mergeCell ref="A2:F2"/>
  </mergeCells>
  <conditionalFormatting sqref="F4 F9:F17 F19:F23 F25:F27 F29:F34 F38:F42 F44:F108">
    <cfRule type="expression" dxfId="296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5" priority="176">
      <formula>$G10&gt;"0"</formula>
    </cfRule>
    <cfRule type="expression" dxfId="294" priority="178">
      <formula>$H10="Yes"</formula>
    </cfRule>
  </conditionalFormatting>
  <conditionalFormatting sqref="B11:F11 H11">
    <cfRule type="expression" dxfId="293" priority="172">
      <formula>$G11&gt;"0"</formula>
    </cfRule>
    <cfRule type="expression" dxfId="292" priority="173">
      <formula>$H11="Yes"</formula>
    </cfRule>
  </conditionalFormatting>
  <conditionalFormatting sqref="B12:F12 H12">
    <cfRule type="expression" dxfId="291" priority="169">
      <formula>$G12&gt;"0"</formula>
    </cfRule>
    <cfRule type="expression" dxfId="290" priority="170">
      <formula>$H12="Yes"</formula>
    </cfRule>
  </conditionalFormatting>
  <conditionalFormatting sqref="B21:F21 H21">
    <cfRule type="expression" dxfId="289" priority="166">
      <formula>$G21&gt;"0"</formula>
    </cfRule>
    <cfRule type="expression" dxfId="288" priority="167">
      <formula>$H21="Yes"</formula>
    </cfRule>
  </conditionalFormatting>
  <conditionalFormatting sqref="B59:F59 H59">
    <cfRule type="expression" dxfId="287" priority="157">
      <formula>$G59&gt;"0"</formula>
    </cfRule>
    <cfRule type="expression" dxfId="286" priority="158">
      <formula>$H59="Yes"</formula>
    </cfRule>
  </conditionalFormatting>
  <conditionalFormatting sqref="B64:F64 H64">
    <cfRule type="expression" dxfId="285" priority="154">
      <formula>$G64&gt;"0"</formula>
    </cfRule>
    <cfRule type="expression" dxfId="284" priority="155">
      <formula>$H64="Yes"</formula>
    </cfRule>
  </conditionalFormatting>
  <conditionalFormatting sqref="B69:F69 H69">
    <cfRule type="expression" dxfId="283" priority="148">
      <formula>$G69&gt;"0"</formula>
    </cfRule>
    <cfRule type="expression" dxfId="282" priority="149">
      <formula>$H69="Yes"</formula>
    </cfRule>
  </conditionalFormatting>
  <conditionalFormatting sqref="B39:F39 H39">
    <cfRule type="expression" dxfId="281" priority="127">
      <formula>$G39&gt;"0"</formula>
    </cfRule>
    <cfRule type="expression" dxfId="280" priority="128">
      <formula>$H39="Yes"</formula>
    </cfRule>
  </conditionalFormatting>
  <conditionalFormatting sqref="B49:F49 H49">
    <cfRule type="expression" dxfId="279" priority="124">
      <formula>$G49&gt;"0"</formula>
    </cfRule>
    <cfRule type="expression" dxfId="278" priority="125">
      <formula>$H49="Yes"</formula>
    </cfRule>
  </conditionalFormatting>
  <conditionalFormatting sqref="B80:F80 H80">
    <cfRule type="expression" dxfId="277" priority="121">
      <formula>$G80&gt;"0"</formula>
    </cfRule>
    <cfRule type="expression" dxfId="276" priority="122">
      <formula>$H80="Yes"</formula>
    </cfRule>
  </conditionalFormatting>
  <conditionalFormatting sqref="B89:F89 H89">
    <cfRule type="expression" dxfId="275" priority="115">
      <formula>$G89&gt;"0"</formula>
    </cfRule>
    <cfRule type="expression" dxfId="274" priority="116">
      <formula>$H89="Yes"</formula>
    </cfRule>
  </conditionalFormatting>
  <conditionalFormatting sqref="B4:H4 G5:G108">
    <cfRule type="expression" dxfId="273" priority="112">
      <formula>$G4&gt;"0"</formula>
    </cfRule>
    <cfRule type="expression" dxfId="272" priority="113">
      <formula>$H4="Yes"</formula>
    </cfRule>
  </conditionalFormatting>
  <conditionalFormatting sqref="B9:F9 H9">
    <cfRule type="expression" dxfId="271" priority="106">
      <formula>$G9&gt;"0"</formula>
    </cfRule>
    <cfRule type="expression" dxfId="270" priority="107">
      <formula>$H9="Yes"</formula>
    </cfRule>
  </conditionalFormatting>
  <conditionalFormatting sqref="B42:F42 H42">
    <cfRule type="expression" dxfId="269" priority="85">
      <formula>$G42&gt;"0"</formula>
    </cfRule>
    <cfRule type="expression" dxfId="268" priority="86">
      <formula>$H42="Yes"</formula>
    </cfRule>
  </conditionalFormatting>
  <conditionalFormatting sqref="B51:F51 H51">
    <cfRule type="expression" dxfId="267" priority="79">
      <formula>$G51&gt;"0"</formula>
    </cfRule>
    <cfRule type="expression" dxfId="266" priority="80">
      <formula>$H51="Yes"</formula>
    </cfRule>
  </conditionalFormatting>
  <conditionalFormatting sqref="B66:F66 H66">
    <cfRule type="expression" dxfId="265" priority="73">
      <formula>$G66&gt;"0"</formula>
    </cfRule>
    <cfRule type="expression" dxfId="264" priority="74">
      <formula>$H66="Yes"</formula>
    </cfRule>
  </conditionalFormatting>
  <conditionalFormatting sqref="C93:F93 H93">
    <cfRule type="expression" dxfId="263" priority="61">
      <formula>$G93&gt;"0"</formula>
    </cfRule>
    <cfRule type="expression" dxfId="262" priority="62">
      <formula>$H93="Yes"</formula>
    </cfRule>
  </conditionalFormatting>
  <conditionalFormatting sqref="B26:F26 H26">
    <cfRule type="expression" dxfId="261" priority="58">
      <formula>$G26&gt;"0"</formula>
    </cfRule>
    <cfRule type="expression" dxfId="260" priority="59">
      <formula>$H26="Yes"</formula>
    </cfRule>
  </conditionalFormatting>
  <conditionalFormatting sqref="F5">
    <cfRule type="expression" dxfId="259" priority="57">
      <formula>($G$1-$F5)&lt;365</formula>
    </cfRule>
  </conditionalFormatting>
  <conditionalFormatting sqref="B5:F5 H5">
    <cfRule type="expression" dxfId="258" priority="55">
      <formula>$G5&gt;"0"</formula>
    </cfRule>
    <cfRule type="expression" dxfId="257" priority="56">
      <formula>$H5="Yes"</formula>
    </cfRule>
  </conditionalFormatting>
  <conditionalFormatting sqref="F6">
    <cfRule type="expression" dxfId="256" priority="54">
      <formula>($G$1-$F6)&lt;365</formula>
    </cfRule>
  </conditionalFormatting>
  <conditionalFormatting sqref="B6:F6 H6">
    <cfRule type="expression" dxfId="255" priority="52">
      <formula>$G6&gt;"0"</formula>
    </cfRule>
    <cfRule type="expression" dxfId="254" priority="53">
      <formula>$H6="Yes"</formula>
    </cfRule>
  </conditionalFormatting>
  <conditionalFormatting sqref="F7">
    <cfRule type="expression" dxfId="253" priority="51">
      <formula>($G$1-$F7)&lt;365</formula>
    </cfRule>
  </conditionalFormatting>
  <conditionalFormatting sqref="B7:F7 H7">
    <cfRule type="expression" dxfId="252" priority="49">
      <formula>$G7&gt;"0"</formula>
    </cfRule>
    <cfRule type="expression" dxfId="251" priority="50">
      <formula>$H7="Yes"</formula>
    </cfRule>
  </conditionalFormatting>
  <conditionalFormatting sqref="F8">
    <cfRule type="expression" dxfId="250" priority="48">
      <formula>($G$1-$F8)&lt;365</formula>
    </cfRule>
  </conditionalFormatting>
  <conditionalFormatting sqref="B8:F8 H8">
    <cfRule type="expression" dxfId="249" priority="46">
      <formula>$G8&gt;"0"</formula>
    </cfRule>
    <cfRule type="expression" dxfId="248" priority="47">
      <formula>$H8="Yes"</formula>
    </cfRule>
  </conditionalFormatting>
  <conditionalFormatting sqref="F18">
    <cfRule type="expression" dxfId="247" priority="45">
      <formula>($G$1-$F18)&lt;365</formula>
    </cfRule>
  </conditionalFormatting>
  <conditionalFormatting sqref="B18:F18 H18">
    <cfRule type="expression" dxfId="246" priority="43">
      <formula>$G18&gt;"0"</formula>
    </cfRule>
    <cfRule type="expression" dxfId="245" priority="44">
      <formula>$H18="Yes"</formula>
    </cfRule>
  </conditionalFormatting>
  <conditionalFormatting sqref="F24">
    <cfRule type="expression" dxfId="244" priority="42">
      <formula>($G$1-$F24)&lt;365</formula>
    </cfRule>
  </conditionalFormatting>
  <conditionalFormatting sqref="B24:F24 H24">
    <cfRule type="expression" dxfId="243" priority="40">
      <formula>$G24&gt;"0"</formula>
    </cfRule>
    <cfRule type="expression" dxfId="242" priority="41">
      <formula>$H24="Yes"</formula>
    </cfRule>
  </conditionalFormatting>
  <conditionalFormatting sqref="F28">
    <cfRule type="expression" dxfId="241" priority="39">
      <formula>($G$1-$F28)&lt;365</formula>
    </cfRule>
  </conditionalFormatting>
  <conditionalFormatting sqref="B28:F28 H28">
    <cfRule type="expression" dxfId="240" priority="37">
      <formula>$G28&gt;"0"</formula>
    </cfRule>
    <cfRule type="expression" dxfId="239" priority="38">
      <formula>$H28="Yes"</formula>
    </cfRule>
  </conditionalFormatting>
  <conditionalFormatting sqref="F37">
    <cfRule type="expression" dxfId="238" priority="36">
      <formula>($G$1-$F37)&lt;365</formula>
    </cfRule>
  </conditionalFormatting>
  <conditionalFormatting sqref="B37:F37 H37">
    <cfRule type="expression" dxfId="237" priority="34">
      <formula>$G37&gt;"0"</formula>
    </cfRule>
    <cfRule type="expression" dxfId="236" priority="35">
      <formula>$H37="Yes"</formula>
    </cfRule>
  </conditionalFormatting>
  <conditionalFormatting sqref="F35">
    <cfRule type="expression" dxfId="235" priority="33">
      <formula>($G$1-$F35)&lt;365</formula>
    </cfRule>
  </conditionalFormatting>
  <conditionalFormatting sqref="B35:F35 H35">
    <cfRule type="expression" dxfId="234" priority="31">
      <formula>$G35&gt;"0"</formula>
    </cfRule>
    <cfRule type="expression" dxfId="233" priority="32">
      <formula>$H35="Yes"</formula>
    </cfRule>
  </conditionalFormatting>
  <conditionalFormatting sqref="F36">
    <cfRule type="expression" dxfId="232" priority="30">
      <formula>($G$1-$F36)&lt;365</formula>
    </cfRule>
  </conditionalFormatting>
  <conditionalFormatting sqref="B36:F36 H36">
    <cfRule type="expression" dxfId="231" priority="28">
      <formula>$G36&gt;"0"</formula>
    </cfRule>
    <cfRule type="expression" dxfId="230" priority="29">
      <formula>$H36="Yes"</formula>
    </cfRule>
  </conditionalFormatting>
  <conditionalFormatting sqref="B82:F82 H82">
    <cfRule type="expression" dxfId="229" priority="22">
      <formula>$G82&gt;"0"</formula>
    </cfRule>
    <cfRule type="expression" dxfId="228" priority="23">
      <formula>$H82="Yes"</formula>
    </cfRule>
  </conditionalFormatting>
  <conditionalFormatting sqref="B83:F83 H83">
    <cfRule type="expression" dxfId="227" priority="19">
      <formula>$G83&gt;"0"</formula>
    </cfRule>
    <cfRule type="expression" dxfId="226" priority="20">
      <formula>$H83="Yes"</formula>
    </cfRule>
  </conditionalFormatting>
  <conditionalFormatting sqref="B92:F92 H92">
    <cfRule type="expression" dxfId="225" priority="16">
      <formula>$G92&gt;"0"</formula>
    </cfRule>
    <cfRule type="expression" dxfId="224" priority="17">
      <formula>$H92="Yes"</formula>
    </cfRule>
  </conditionalFormatting>
  <conditionalFormatting sqref="B94">
    <cfRule type="expression" dxfId="223" priority="13">
      <formula>$G94&gt;"0"</formula>
    </cfRule>
    <cfRule type="expression" dxfId="222" priority="14">
      <formula>$H94="Yes"</formula>
    </cfRule>
  </conditionalFormatting>
  <conditionalFormatting sqref="C94:F94 H94">
    <cfRule type="expression" dxfId="221" priority="11">
      <formula>$G94&gt;"0"</formula>
    </cfRule>
    <cfRule type="expression" dxfId="220" priority="12">
      <formula>$H94="Yes"</formula>
    </cfRule>
  </conditionalFormatting>
  <conditionalFormatting sqref="B95:B108">
    <cfRule type="expression" dxfId="219" priority="8">
      <formula>$G95&gt;"0"</formula>
    </cfRule>
    <cfRule type="expression" dxfId="218" priority="9">
      <formula>$H95="Yes"</formula>
    </cfRule>
  </conditionalFormatting>
  <conditionalFormatting sqref="C95:F108 H95:H108">
    <cfRule type="expression" dxfId="217" priority="6">
      <formula>$G95&gt;"0"</formula>
    </cfRule>
    <cfRule type="expression" dxfId="216" priority="7">
      <formula>$H95="Yes"</formula>
    </cfRule>
  </conditionalFormatting>
  <conditionalFormatting sqref="F43">
    <cfRule type="expression" dxfId="215" priority="5">
      <formula>($G$1-$F43)&lt;365</formula>
    </cfRule>
  </conditionalFormatting>
  <conditionalFormatting sqref="B43:F43 H43">
    <cfRule type="expression" dxfId="214" priority="3">
      <formula>$G43&gt;"0"</formula>
    </cfRule>
    <cfRule type="expression" dxfId="213" priority="4">
      <formula>$H43="Yes"</formula>
    </cfRule>
  </conditionalFormatting>
  <conditionalFormatting sqref="A3:A108">
    <cfRule type="expression" dxfId="212" priority="1">
      <formula>$G3&gt;"0"</formula>
    </cfRule>
    <cfRule type="expression" dxfId="211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4"/>
  <sheetViews>
    <sheetView topLeftCell="A2" workbookViewId="0">
      <selection activeCell="A4" sqref="A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4329</v>
      </c>
      <c r="B3" t="str">
        <f>IF(ISNA(VLOOKUP($A3,Councils!$B$6:$AE$841,3,0)),0,VLOOKUP($A3,Councils!$B$6:$AE$841,3,0))</f>
        <v>Marlin</v>
      </c>
      <c r="C3">
        <f>IF(ISNA(VLOOKUP($A3,Councils!$B$6:$AE$841,4,0)),0,VLOOKUP($A3,Councils!$B$6:$AE$841,4,0))</f>
        <v>45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3</v>
      </c>
    </row>
    <row r="4" spans="1:22">
      <c r="A4" s="298">
        <v>10391</v>
      </c>
      <c r="B4" t="str">
        <f>IF(ISNA(VLOOKUP($A4,Councils!$B$6:$AE$841,3,0)),0,VLOOKUP($A4,Councils!$B$6:$AE$841,3,0))</f>
        <v>Waco</v>
      </c>
      <c r="C4">
        <f>IF(ISNA(VLOOKUP($A4,Councils!$B$6:$AE$841,4,0)),0,VLOOKUP($A4,Councils!$B$6:$AE$841,4,0))</f>
        <v>35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1834</v>
      </c>
      <c r="B3" t="str">
        <f>IF(ISNA(VLOOKUP($A3,Councils!$B$6:$AE$841,3,0)),0,VLOOKUP($A3,Councils!$B$6:$AE$841,3,0))</f>
        <v>Bryan</v>
      </c>
      <c r="C3">
        <f>IF(ISNA(VLOOKUP($A3,Councils!$B$6:$AE$841,4,0)),0,VLOOKUP($A3,Councils!$B$6:$AE$841,4,0))</f>
        <v>265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3205</v>
      </c>
      <c r="B4" t="str">
        <f>IF(ISNA(VLOOKUP($A4,Councils!$B$6:$AE$841,3,0)),0,VLOOKUP($A4,Councils!$B$6:$AE$841,3,0))</f>
        <v>College Station</v>
      </c>
      <c r="C4">
        <f>IF(ISNA(VLOOKUP($A4,Councils!$B$6:$AE$841,4,0)),0,VLOOKUP($A4,Councils!$B$6:$AE$841,4,0))</f>
        <v>336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10624</v>
      </c>
      <c r="B5" t="str">
        <f>IF(ISNA(VLOOKUP($A5,Councils!$B$6:$AE$841,3,0)),0,VLOOKUP($A5,Councils!$B$6:$AE$841,3,0))</f>
        <v>College Station</v>
      </c>
      <c r="C5">
        <f>IF(ISNA(VLOOKUP($A5,Councils!$B$6:$AE$841,4,0)),0,VLOOKUP($A5,Councils!$B$6:$AE$841,4,0))</f>
        <v>267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33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32</v>
      </c>
      <c r="K5" s="63">
        <f>IFERROR(J5/D5,0)</f>
        <v>2.4615384615384617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11759</v>
      </c>
      <c r="B6" t="str">
        <f>IF(ISNA(VLOOKUP($A6,Councils!$B$6:$AE$841,3,0)),0,VLOOKUP($A6,Councils!$B$6:$AE$841,3,0))</f>
        <v>Bryan</v>
      </c>
      <c r="C6">
        <f>IF(ISNA(VLOOKUP($A6,Councils!$B$6:$AE$841,4,0)),0,VLOOKUP($A6,Councils!$B$6:$AE$841,4,0))</f>
        <v>280</v>
      </c>
      <c r="D6">
        <f>IF(ISNA(VLOOKUP($A6,Councils!$B$6:$AE$841,5,0)),0,VLOOKUP($A6,Councils!$B$6:$AE$841,5,0))</f>
        <v>14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1</v>
      </c>
      <c r="K6" s="63">
        <f>IFERROR(J6/D6,0)</f>
        <v>7.1428571428571425E-2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4724</v>
      </c>
      <c r="B3" t="str">
        <f>IF(ISNA(VLOOKUP($A3,Councils!$B$6:$AE$841,3,0)),0,VLOOKUP($A3,Councils!$B$6:$AE$841,3,0))</f>
        <v>Killeen</v>
      </c>
      <c r="C3">
        <f>IF(ISNA(VLOOKUP($A3,Councils!$B$6:$AE$841,4,0)),0,VLOOKUP($A3,Councils!$B$6:$AE$841,4,0))</f>
        <v>153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6658</v>
      </c>
      <c r="B4" t="str">
        <f>IF(ISNA(VLOOKUP($A4,Councils!$B$6:$AE$841,3,0)),0,VLOOKUP($A4,Councils!$B$6:$AE$841,3,0))</f>
        <v>Copperas Cove</v>
      </c>
      <c r="C4">
        <f>IF(ISNA(VLOOKUP($A4,Councils!$B$6:$AE$841,4,0)),0,VLOOKUP($A4,Councils!$B$6:$AE$841,4,0))</f>
        <v>154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9930</v>
      </c>
      <c r="B5" t="str">
        <f>IF(ISNA(VLOOKUP($A5,Councils!$B$6:$AE$841,3,0)),0,VLOOKUP($A5,Councils!$B$6:$AE$841,3,0))</f>
        <v>Harker Heights</v>
      </c>
      <c r="C5">
        <f>IF(ISNA(VLOOKUP($A5,Councils!$B$6:$AE$841,4,0)),0,VLOOKUP($A5,Councils!$B$6:$AE$841,4,0))</f>
        <v>313</v>
      </c>
      <c r="D5">
        <f>IF(ISNA(VLOOKUP($A5,Councils!$B$6:$AE$841,5,0)),0,VLOOKUP($A5,Councils!$B$6:$AE$841,5,0))</f>
        <v>15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8</v>
      </c>
      <c r="J5">
        <f>IF(ISNA(VLOOKUP($A5,Councils!$B$6:$AE$841,11,0)),0,VLOOKUP($A5,Councils!$B$6:$AE$841,11,0))</f>
        <v>-7</v>
      </c>
      <c r="K5" s="63">
        <f>IFERROR(J5/D5,0)</f>
        <v>-0.46666666666666667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5</v>
      </c>
      <c r="S5">
        <f>IF(ISNA(VLOOKUP($A5,Councils!$B$6:$AE$841,20,0)),0,VLOOKUP($A5,Councils!$B$6:$AE$841,20,0))</f>
        <v>-5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13534</v>
      </c>
      <c r="B6" t="str">
        <f>IF(ISNA(VLOOKUP($A6,Councils!$B$6:$AE$841,3,0)),0,VLOOKUP($A6,Councils!$B$6:$AE$841,3,0))</f>
        <v>Fort Hood</v>
      </c>
      <c r="C6">
        <f>IF(ISNA(VLOOKUP($A6,Councils!$B$6:$AE$841,4,0)),0,VLOOKUP($A6,Councils!$B$6:$AE$841,4,0))</f>
        <v>80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3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6">
    <cfRule type="expression" dxfId="75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3287</v>
      </c>
      <c r="B3" t="str">
        <f>IF(ISNA(VLOOKUP($A3,Councils!$B$6:$AE$841,3,0)),0,VLOOKUP($A3,Councils!$B$6:$AE$841,3,0))</f>
        <v>Brenham</v>
      </c>
      <c r="C3">
        <f>IF(ISNA(VLOOKUP($A3,Councils!$B$6:$AE$841,4,0)),0,VLOOKUP($A3,Councils!$B$6:$AE$841,4,0))</f>
        <v>211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6366</v>
      </c>
      <c r="B4" t="str">
        <f>IF(ISNA(VLOOKUP($A4,Councils!$B$6:$AE$841,3,0)),0,VLOOKUP($A4,Councils!$B$6:$AE$841,3,0))</f>
        <v>Caldwell</v>
      </c>
      <c r="C4">
        <f>IF(ISNA(VLOOKUP($A4,Councils!$B$6:$AE$841,4,0)),0,VLOOKUP($A4,Councils!$B$6:$AE$841,4,0))</f>
        <v>240</v>
      </c>
      <c r="D4">
        <f>IF(ISNA(VLOOKUP($A4,Councils!$B$6:$AE$841,5,0)),0,VLOOKUP($A4,Councils!$B$6:$AE$841,5,0))</f>
        <v>11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10309</v>
      </c>
      <c r="B5" t="str">
        <f>IF(ISNA(VLOOKUP($A5,Councils!$B$6:$AE$841,3,0)),0,VLOOKUP($A5,Councils!$B$6:$AE$841,3,0))</f>
        <v>Somerville</v>
      </c>
      <c r="C5">
        <f>IF(ISNA(VLOOKUP($A5,Councils!$B$6:$AE$841,4,0)),0,VLOOKUP($A5,Councils!$B$6:$AE$841,4,0))</f>
        <v>49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11277</v>
      </c>
      <c r="B6" t="str">
        <f>IF(ISNA(VLOOKUP($A6,Councils!$B$6:$AE$841,3,0)),0,VLOOKUP($A6,Councils!$B$6:$AE$841,3,0))</f>
        <v>Chappell Hill</v>
      </c>
      <c r="C6">
        <f>IF(ISNA(VLOOKUP($A6,Councils!$B$6:$AE$841,4,0)),0,VLOOKUP($A6,Councils!$B$6:$AE$841,4,0))</f>
        <v>75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5">
    <cfRule type="expression" dxfId="74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4457</v>
      </c>
      <c r="B3" t="str">
        <f>IF(ISNA(VLOOKUP($A3,Councils!$B$6:$AE$841,3,0)),0,VLOOKUP($A3,Councils!$B$6:$AE$841,3,0))</f>
        <v>Granger</v>
      </c>
      <c r="C3">
        <f>IF(ISNA(VLOOKUP($A3,Councils!$B$6:$AE$841,4,0)),0,VLOOKUP($A3,Councils!$B$6:$AE$841,4,0))</f>
        <v>164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6453</v>
      </c>
      <c r="B4" t="str">
        <f>IF(ISNA(VLOOKUP($A4,Councils!$B$6:$AE$841,3,0)),0,VLOOKUP($A4,Councils!$B$6:$AE$841,3,0))</f>
        <v>Georgetown</v>
      </c>
      <c r="C4">
        <f>IF(ISNA(VLOOKUP($A4,Councils!$B$6:$AE$841,4,0)),0,VLOOKUP($A4,Councils!$B$6:$AE$841,4,0))</f>
        <v>206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10012</v>
      </c>
      <c r="B5" t="str">
        <f>IF(ISNA(VLOOKUP($A5,Councils!$B$6:$AE$841,3,0)),0,VLOOKUP($A5,Councils!$B$6:$AE$841,3,0))</f>
        <v>Taylor</v>
      </c>
      <c r="C5">
        <f>IF(ISNA(VLOOKUP($A5,Councils!$B$6:$AE$841,4,0)),0,VLOOKUP($A5,Councils!$B$6:$AE$841,4,0))</f>
        <v>75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12148</v>
      </c>
      <c r="B6" t="str">
        <f>IF(ISNA(VLOOKUP($A6,Councils!$B$6:$AE$841,3,0)),0,VLOOKUP($A6,Councils!$B$6:$AE$841,3,0))</f>
        <v>Round Rock</v>
      </c>
      <c r="C6">
        <f>IF(ISNA(VLOOKUP($A6,Councils!$B$6:$AE$841,4,0)),0,VLOOKUP($A6,Councils!$B$6:$AE$841,4,0))</f>
        <v>214</v>
      </c>
      <c r="D6">
        <f>IF(ISNA(VLOOKUP($A6,Councils!$B$6:$AE$841,5,0)),0,VLOOKUP($A6,Councils!$B$6:$AE$841,5,0))</f>
        <v>10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0.2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  <row r="7" spans="1:22">
      <c r="A7" s="298">
        <v>17470</v>
      </c>
      <c r="B7" t="str">
        <f>IF(ISNA(VLOOKUP($A7,Councils!$B$6:$AE$841,3,0)),0,VLOOKUP($A7,Councils!$B$6:$AE$841,3,0))</f>
        <v>Jarrell</v>
      </c>
      <c r="C7">
        <f>IF(ISNA(VLOOKUP($A7,Councils!$B$6:$AE$841,4,0)),0,VLOOKUP($A7,Councils!$B$6:$AE$841,4,0))</f>
        <v>24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Britten</v>
      </c>
      <c r="V7">
        <f>IF(ISNA(VLOOKUP($A7,Council_Data!$A$3:$Z$837,23,0)),0,VLOOKUP($A7,Council_Data!$A$3:$Z$837,23,0))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1235</v>
      </c>
      <c r="B3" t="str">
        <f>IF(ISNA(VLOOKUP($A3,Councils!$B$6:$AE$841,3,0)),0,VLOOKUP($A3,Councils!$B$6:$AE$841,3,0))</f>
        <v>Taylor</v>
      </c>
      <c r="C3">
        <f>IF(ISNA(VLOOKUP($A3,Councils!$B$6:$AE$841,4,0)),0,VLOOKUP($A3,Councils!$B$6:$AE$841,4,0))</f>
        <v>127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9368</v>
      </c>
      <c r="B4" t="str">
        <f>IF(ISNA(VLOOKUP($A4,Councils!$B$6:$AE$841,3,0)),0,VLOOKUP($A4,Councils!$B$6:$AE$841,3,0))</f>
        <v>Round Rock</v>
      </c>
      <c r="C4">
        <f>IF(ISNA(VLOOKUP($A4,Councils!$B$6:$AE$841,4,0)),0,VLOOKUP($A4,Councils!$B$6:$AE$841,4,0))</f>
        <v>360</v>
      </c>
      <c r="D4">
        <f>IF(ISNA(VLOOKUP($A4,Councils!$B$6:$AE$841,5,0)),0,VLOOKUP($A4,Councils!$B$6:$AE$841,5,0))</f>
        <v>18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0.16666666666666666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10373</v>
      </c>
      <c r="B5" t="str">
        <f>IF(ISNA(VLOOKUP($A5,Councils!$B$6:$AE$841,3,0)),0,VLOOKUP($A5,Councils!$B$6:$AE$841,3,0))</f>
        <v>Pflugerville</v>
      </c>
      <c r="C5">
        <f>IF(ISNA(VLOOKUP($A5,Councils!$B$6:$AE$841,4,0)),0,VLOOKUP($A5,Councils!$B$6:$AE$841,4,0))</f>
        <v>208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5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12927</v>
      </c>
      <c r="B6" t="str">
        <f>IF(ISNA(VLOOKUP($A6,Councils!$B$6:$AE$841,3,0)),0,VLOOKUP($A6,Councils!$B$6:$AE$841,3,0))</f>
        <v>Hutto</v>
      </c>
      <c r="C6">
        <f>IF(ISNA(VLOOKUP($A6,Councils!$B$6:$AE$841,4,0)),0,VLOOKUP($A6,Councils!$B$6:$AE$841,4,0))</f>
        <v>84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14674</v>
      </c>
      <c r="B7" t="str">
        <f>IF(ISNA(VLOOKUP($A7,Councils!$B$6:$AE$841,3,0)),0,VLOOKUP($A7,Councils!$B$6:$AE$841,3,0))</f>
        <v>Manor</v>
      </c>
      <c r="C7">
        <f>IF(ISNA(VLOOKUP($A7,Councils!$B$6:$AE$841,4,0)),0,VLOOKUP($A7,Councils!$B$6:$AE$841,4,0))</f>
        <v>58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1</v>
      </c>
      <c r="P7">
        <f>IF(ISNA(VLOOKUP($A7,Councils!$B$6:$AE$841,17,0)),0,VLOOKUP($A7,Councils!$B$6:$AE$841,17,0))</f>
        <v>-1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-1</v>
      </c>
      <c r="T7" s="63">
        <f>IFERROR(S7/M7,0)</f>
        <v>0</v>
      </c>
      <c r="U7" t="str">
        <f>IF(ISNA(VLOOKUP($A7,Council_Data!$A$3:$Z$837,24,0)),0,VLOOKUP($A7,Council_Data!$A$3:$Z$837,24,0))</f>
        <v>Britten</v>
      </c>
      <c r="V7">
        <f>IF(ISNA(VLOOKUP($A7,Council_Data!$A$3:$Z$837,23,0)),0,VLOOKUP($A7,Council_Data!$A$3:$Z$837,23,0))</f>
        <v>3</v>
      </c>
    </row>
  </sheetData>
  <conditionalFormatting sqref="A4">
    <cfRule type="expression" dxfId="72" priority="2">
      <formula>IF(AND($H4="*"),($R4="*"))</formula>
    </cfRule>
  </conditionalFormatting>
  <conditionalFormatting sqref="A3">
    <cfRule type="expression" dxfId="71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7600</v>
      </c>
      <c r="B3" t="str">
        <f>IF(ISNA(VLOOKUP($A3,Councils!$B$6:$AE$841,3,0)),0,VLOOKUP($A3,Councils!$B$6:$AE$841,3,0))</f>
        <v>Cedar Park</v>
      </c>
      <c r="C3">
        <f>IF(ISNA(VLOOKUP($A3,Councils!$B$6:$AE$841,4,0)),0,VLOOKUP($A3,Councils!$B$6:$AE$841,4,0))</f>
        <v>264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7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7</v>
      </c>
      <c r="K3" s="63">
        <f>IFERROR(J3/D3,0)</f>
        <v>0.53846153846153844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4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9997</v>
      </c>
      <c r="B4" t="str">
        <f>IF(ISNA(VLOOKUP($A4,Councils!$B$6:$AE$841,3,0)),0,VLOOKUP($A4,Councils!$B$6:$AE$841,3,0))</f>
        <v>Austin</v>
      </c>
      <c r="C4">
        <f>IF(ISNA(VLOOKUP($A4,Councils!$B$6:$AE$841,4,0)),0,VLOOKUP($A4,Councils!$B$6:$AE$841,4,0))</f>
        <v>191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3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10463</v>
      </c>
      <c r="B5" t="str">
        <f>IF(ISNA(VLOOKUP($A5,Councils!$B$6:$AE$841,3,0)),0,VLOOKUP($A5,Councils!$B$6:$AE$841,3,0))</f>
        <v>Lago Vista</v>
      </c>
      <c r="C5">
        <f>IF(ISNA(VLOOKUP($A5,Councils!$B$6:$AE$841,4,0)),0,VLOOKUP($A5,Councils!$B$6:$AE$841,4,0))</f>
        <v>99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13927</v>
      </c>
      <c r="B6" t="str">
        <f>IF(ISNA(VLOOKUP($A6,Councils!$B$6:$AE$841,3,0)),0,VLOOKUP($A6,Councils!$B$6:$AE$841,3,0))</f>
        <v>Austin</v>
      </c>
      <c r="C6">
        <f>IF(ISNA(VLOOKUP($A6,Councils!$B$6:$AE$841,4,0)),0,VLOOKUP($A6,Councils!$B$6:$AE$841,4,0))</f>
        <v>119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4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4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1019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4868</v>
      </c>
      <c r="B3" t="str">
        <f>IF(ISNA(VLOOKUP($A3,Councils!$B$6:$AE$841,3,0)),0,VLOOKUP($A3,Councils!$B$6:$AE$841,3,0))</f>
        <v>Smithville</v>
      </c>
      <c r="C3">
        <f>IF(ISNA(VLOOKUP($A3,Councils!$B$6:$AE$841,4,0)),0,VLOOKUP($A3,Councils!$B$6:$AE$841,4,0))</f>
        <v>145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0.42857142857142855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8225</v>
      </c>
      <c r="B4" t="str">
        <f>IF(ISNA(VLOOKUP($A4,Councils!$B$6:$AE$841,3,0)),0,VLOOKUP($A4,Councils!$B$6:$AE$841,3,0))</f>
        <v>Elgin</v>
      </c>
      <c r="C4">
        <f>IF(ISNA(VLOOKUP($A4,Councils!$B$6:$AE$841,4,0)),0,VLOOKUP($A4,Councils!$B$6:$AE$841,4,0))</f>
        <v>68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2</v>
      </c>
    </row>
    <row r="5" spans="1:22">
      <c r="A5" s="50">
        <v>12642</v>
      </c>
      <c r="B5" t="str">
        <f>IF(ISNA(VLOOKUP($A5,Councils!$B$6:$AE$841,3,0)),0,VLOOKUP($A5,Councils!$B$6:$AE$841,3,0))</f>
        <v>Rockne</v>
      </c>
      <c r="C5">
        <f>IF(ISNA(VLOOKUP($A5,Councils!$B$6:$AE$841,4,0)),0,VLOOKUP($A5,Councils!$B$6:$AE$841,4,0))</f>
        <v>150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14943</v>
      </c>
      <c r="B6" t="str">
        <f>IF(ISNA(VLOOKUP($A6,Councils!$B$6:$AE$841,3,0)),0,VLOOKUP($A6,Councils!$B$6:$AE$841,3,0))</f>
        <v>Bastrop</v>
      </c>
      <c r="C6">
        <f>IF(ISNA(VLOOKUP($A6,Councils!$B$6:$AE$841,4,0)),0,VLOOKUP($A6,Councils!$B$6:$AE$841,4,0))</f>
        <v>123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0.16666666666666666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1017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94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8131</v>
      </c>
      <c r="B4" t="str">
        <f>IF(ISNA(VLOOKUP($A4,Councils!$B$6:$AE$841,3,0)),0,VLOOKUP($A4,Councils!$B$6:$AE$841,3,0))</f>
        <v>Lockhart</v>
      </c>
      <c r="C4">
        <f>IF(ISNA(VLOOKUP($A4,Councils!$B$6:$AE$841,4,0)),0,VLOOKUP($A4,Councils!$B$6:$AE$841,4,0))</f>
        <v>94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1.25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8190</v>
      </c>
      <c r="B5" t="str">
        <f>IF(ISNA(VLOOKUP($A5,Councils!$B$6:$AE$841,3,0)),0,VLOOKUP($A5,Councils!$B$6:$AE$841,3,0))</f>
        <v>Luling</v>
      </c>
      <c r="C5">
        <f>IF(ISNA(VLOOKUP($A5,Councils!$B$6:$AE$841,4,0)),0,VLOOKUP($A5,Councils!$B$6:$AE$841,4,0))</f>
        <v>95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13460</v>
      </c>
      <c r="B6" t="str">
        <f>IF(ISNA(VLOOKUP($A6,Councils!$B$6:$AE$841,3,0)),0,VLOOKUP($A6,Councils!$B$6:$AE$841,3,0))</f>
        <v>Creedmoor</v>
      </c>
      <c r="C6">
        <f>IF(ISNA(VLOOKUP($A6,Councils!$B$6:$AE$841,4,0)),0,VLOOKUP($A6,Councils!$B$6:$AE$841,4,0))</f>
        <v>42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2574</v>
      </c>
      <c r="B3" t="str">
        <f>IF(ISNA(VLOOKUP($A3,Councils!$B$6:$AE$841,3,0)),0,VLOOKUP($A3,Councils!$B$6:$AE$841,3,0))</f>
        <v>La Grange</v>
      </c>
      <c r="C3">
        <f>IF(ISNA(VLOOKUP($A3,Councils!$B$6:$AE$841,4,0)),0,VLOOKUP($A3,Councils!$B$6:$AE$841,4,0))</f>
        <v>604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7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7</v>
      </c>
      <c r="K3" s="63">
        <f>IFERROR(J3/D3,0)</f>
        <v>0.35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7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5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3168</v>
      </c>
      <c r="B4" t="str">
        <f>IF(ISNA(VLOOKUP($A4,Councils!$B$6:$AE$841,3,0)),0,VLOOKUP($A4,Councils!$B$6:$AE$841,3,0))</f>
        <v>Fayetteville</v>
      </c>
      <c r="C4">
        <f>IF(ISNA(VLOOKUP($A4,Councils!$B$6:$AE$841,4,0)),0,VLOOKUP($A4,Councils!$B$6:$AE$841,4,0))</f>
        <v>150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0.5714285714285714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8085</v>
      </c>
      <c r="B5" t="str">
        <f>IF(ISNA(VLOOKUP($A5,Councils!$B$6:$AE$841,3,0)),0,VLOOKUP($A5,Councils!$B$6:$AE$841,3,0))</f>
        <v>Giddings</v>
      </c>
      <c r="C5">
        <f>IF(ISNA(VLOOKUP($A5,Councils!$B$6:$AE$841,4,0)),0,VLOOKUP($A5,Councils!$B$6:$AE$841,4,0))</f>
        <v>101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2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2" sqref="A2"/>
    </sheetView>
  </sheetViews>
  <sheetFormatPr defaultColWidth="9.140625" defaultRowHeight="12.75"/>
  <cols>
    <col min="1" max="16384" width="9.140625" style="302"/>
  </cols>
  <sheetData>
    <row r="1" spans="1:1" ht="15">
      <c r="A1" s="263" t="s">
        <v>1064</v>
      </c>
    </row>
    <row r="3" spans="1:1" ht="15">
      <c r="A3" s="301" t="s">
        <v>979</v>
      </c>
    </row>
    <row r="5" spans="1:1" ht="12.75" customHeight="1">
      <c r="A5" s="301" t="str">
        <f>_xlfn.CONCAT(COUNTIF('State Summary'!E6:E22,"&gt;0")," out of fifteen Dioceses are recruitment active for the month of ",Actuals!A25,".")</f>
        <v>14 out of fifteen Dioceses are recruitment active for the month of January.</v>
      </c>
    </row>
    <row r="6" spans="1:1" ht="15">
      <c r="A6" s="301" t="str">
        <f>_xlfn.CONCAT("There are ",COUNTIF(Councils!G6:G842,"&gt;0")," Councils across ",COUNTIF(Districts!E3:E217,"&gt;0")," Districts that have recruited ",'State Summary'!E4," members for the month of ",Actuals!A25," against a goal of ",'State Summary'!D4,".")</f>
        <v>There are 73 Councils across 58 Districts that have recruited 116 members for the month of January against a goal of 315.</v>
      </c>
    </row>
    <row r="7" spans="1:1" ht="15">
      <c r="A7" s="301" t="str">
        <f>_xlfn.CONCAT("So far this year ",COUNTIF(Councils!J6:J842,"&gt;0")," Councils across ",COUNTIF(Districts!H3:H217,"&gt;0")," Districts have recruited ",'State Summary'!I4," members for the year against a Texas State goal of ",'State Summary'!H4,".")</f>
        <v>So far this year 346 Councils across 163 Districts have recruited 1143 members for the year against a Texas State goal of 2636.</v>
      </c>
    </row>
    <row r="8" spans="1:1" ht="15">
      <c r="A8" s="301" t="str">
        <f>_xlfn.CONCAT(COUNTIF('State Summary'!X6:X22,"=Y")," Diocesan Deputies have met or exceeded their recruitment quota for the month of ",Actuals!A25,".")</f>
        <v>2 Diocesan Deputies have met or exceeded their recruitment quota for the month of January.</v>
      </c>
    </row>
    <row r="9" spans="1:1" ht="15.75">
      <c r="A9" s="324" t="s">
        <v>1512</v>
      </c>
    </row>
    <row r="10" spans="1:1" ht="15.75">
      <c r="A10" s="324"/>
    </row>
    <row r="11" spans="1:1" ht="15.75">
      <c r="A11" s="324"/>
    </row>
    <row r="12" spans="1:1" ht="15.75">
      <c r="A12" s="324" t="s">
        <v>1513</v>
      </c>
    </row>
    <row r="13" spans="1:1" ht="15">
      <c r="A13" s="301" t="str">
        <f>_xlfn.CONCAT("We have ",Council_Data!M841," Councils that have met or exceeded their recruitment goal for the year; ",Council_Data!U841," councils have met or exceeded their insurance quota.")</f>
        <v>We have 32 Councils that have met or exceeded their recruitment goal for the year; 0 councils have met or exceeded their insurance quota.</v>
      </c>
    </row>
    <row r="14" spans="1:1" ht="15">
      <c r="A14" s="301" t="str">
        <f>_xlfn.CONCAT("We have ",Districts!J227," Districts that have met or exceeded their recruitment goal for the year; ",Districts!R227," Districts have met or exceeded their insurance quota.")</f>
        <v>We have 6 Districts that have met or exceeded their recruitment goal for the year; 0 Districts have met or exceeded their insurance quota.</v>
      </c>
    </row>
    <row r="15" spans="1:1" ht="15">
      <c r="A15" s="301"/>
    </row>
    <row r="16" spans="1:1">
      <c r="A16" s="302" t="s">
        <v>980</v>
      </c>
    </row>
    <row r="17" spans="1:10">
      <c r="A17" s="302" t="s">
        <v>981</v>
      </c>
    </row>
    <row r="19" spans="1:10">
      <c r="A19" s="302" t="s">
        <v>977</v>
      </c>
    </row>
    <row r="20" spans="1:10">
      <c r="E20" s="391" t="s">
        <v>978</v>
      </c>
      <c r="F20" s="391"/>
      <c r="I20" s="391" t="s">
        <v>982</v>
      </c>
      <c r="J20" s="391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0"/>
  <sheetViews>
    <sheetView topLeftCell="A54" zoomScaleNormal="100" workbookViewId="0">
      <selection activeCell="B71" sqref="B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665</v>
      </c>
      <c r="C1" s="52">
        <f>RptDate</f>
        <v>44227</v>
      </c>
    </row>
    <row r="3" spans="1:16" ht="15.75">
      <c r="A3" s="33" t="s">
        <v>666</v>
      </c>
    </row>
    <row r="5" spans="1:16" ht="31.5">
      <c r="A5" s="35" t="s">
        <v>667</v>
      </c>
      <c r="B5" s="38" t="s">
        <v>668</v>
      </c>
      <c r="C5" s="38" t="s">
        <v>669</v>
      </c>
      <c r="D5" s="35" t="s">
        <v>642</v>
      </c>
      <c r="E5" s="35" t="s">
        <v>643</v>
      </c>
      <c r="F5" s="35" t="s">
        <v>644</v>
      </c>
      <c r="G5" s="35" t="s">
        <v>645</v>
      </c>
      <c r="H5" s="35" t="s">
        <v>646</v>
      </c>
      <c r="I5" s="35" t="s">
        <v>647</v>
      </c>
      <c r="J5" s="35" t="s">
        <v>648</v>
      </c>
      <c r="K5" s="35" t="s">
        <v>649</v>
      </c>
      <c r="L5" s="35" t="s">
        <v>650</v>
      </c>
      <c r="M5" s="35" t="s">
        <v>651</v>
      </c>
      <c r="N5" s="35" t="s">
        <v>652</v>
      </c>
      <c r="O5" s="35" t="s">
        <v>653</v>
      </c>
      <c r="P5" s="38" t="s">
        <v>654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670</v>
      </c>
      <c r="B8" s="40" t="s">
        <v>671</v>
      </c>
      <c r="C8" s="40" t="s">
        <v>672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673</v>
      </c>
      <c r="B9" s="40" t="s">
        <v>671</v>
      </c>
      <c r="C9" s="40" t="s">
        <v>672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674</v>
      </c>
      <c r="B10" s="40" t="s">
        <v>675</v>
      </c>
      <c r="C10" s="40" t="s">
        <v>676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677</v>
      </c>
      <c r="B11" s="40" t="s">
        <v>675</v>
      </c>
      <c r="C11" s="40" t="s">
        <v>676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678</v>
      </c>
      <c r="B12" s="40" t="s">
        <v>679</v>
      </c>
      <c r="C12" s="40" t="s">
        <v>680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681</v>
      </c>
      <c r="B13" s="39" t="s">
        <v>679</v>
      </c>
      <c r="C13" s="39" t="s">
        <v>680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682</v>
      </c>
      <c r="B14" s="39" t="s">
        <v>683</v>
      </c>
      <c r="C14" s="39" t="s">
        <v>684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685</v>
      </c>
      <c r="B15" s="39" t="s">
        <v>683</v>
      </c>
      <c r="C15" s="39" t="s">
        <v>684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686</v>
      </c>
      <c r="B16" s="39" t="s">
        <v>676</v>
      </c>
      <c r="C16" s="39" t="s">
        <v>687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688</v>
      </c>
      <c r="B17" s="39" t="s">
        <v>676</v>
      </c>
      <c r="C17" s="39" t="s">
        <v>687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689</v>
      </c>
      <c r="B18" s="39" t="s">
        <v>680</v>
      </c>
      <c r="C18" s="39" t="s">
        <v>690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691</v>
      </c>
      <c r="B19" s="39" t="s">
        <v>680</v>
      </c>
      <c r="C19" s="39" t="s">
        <v>690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692</v>
      </c>
      <c r="B20" s="39" t="s">
        <v>684</v>
      </c>
      <c r="C20" s="39" t="s">
        <v>693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694</v>
      </c>
      <c r="B21" s="39" t="s">
        <v>684</v>
      </c>
      <c r="C21" s="39" t="s">
        <v>693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695</v>
      </c>
      <c r="B23" s="39" t="s">
        <v>687</v>
      </c>
      <c r="C23" s="39" t="s">
        <v>696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697</v>
      </c>
      <c r="B24" s="39" t="s">
        <v>687</v>
      </c>
      <c r="C24" s="39" t="s">
        <v>696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698</v>
      </c>
      <c r="B25" s="39" t="s">
        <v>690</v>
      </c>
      <c r="C25" s="39" t="s">
        <v>699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700</v>
      </c>
      <c r="B26" s="39" t="s">
        <v>690</v>
      </c>
      <c r="C26" s="39" t="s">
        <v>699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4" si="1">SUM(D26:O26)</f>
        <v>4600</v>
      </c>
    </row>
    <row r="27" spans="1:16">
      <c r="A27" s="39" t="s">
        <v>710</v>
      </c>
      <c r="B27" s="39" t="s">
        <v>693</v>
      </c>
      <c r="C27" s="39" t="s">
        <v>711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719</v>
      </c>
      <c r="B28" s="39" t="s">
        <v>693</v>
      </c>
      <c r="C28" s="39" t="s">
        <v>711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864</v>
      </c>
      <c r="B29" s="39" t="s">
        <v>865</v>
      </c>
      <c r="C29" s="39" t="s">
        <v>866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1025</v>
      </c>
      <c r="B30" s="39" t="s">
        <v>865</v>
      </c>
      <c r="C30" s="39" t="s">
        <v>866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1035</v>
      </c>
      <c r="B31" s="39" t="s">
        <v>1037</v>
      </c>
      <c r="C31" s="39" t="s">
        <v>672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1055</v>
      </c>
      <c r="B32" s="39" t="s">
        <v>1037</v>
      </c>
      <c r="C32" s="39" t="s">
        <v>672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63" t="s">
        <v>1277</v>
      </c>
      <c r="B33" s="363" t="s">
        <v>711</v>
      </c>
      <c r="C33" s="363" t="s">
        <v>1278</v>
      </c>
      <c r="D33" s="364">
        <f>'Goals-1'!B19</f>
        <v>230</v>
      </c>
      <c r="E33" s="364">
        <f>'Goals-1'!C19</f>
        <v>340</v>
      </c>
      <c r="F33" s="364">
        <f>'Goals-1'!D19</f>
        <v>437</v>
      </c>
      <c r="G33" s="364">
        <f>'Goals-1'!F19</f>
        <v>473</v>
      </c>
      <c r="H33" s="364">
        <f>'Goals-1'!G19</f>
        <v>452</v>
      </c>
      <c r="I33" s="364">
        <f>'Goals-1'!H19</f>
        <v>389</v>
      </c>
      <c r="J33" s="364">
        <f>'Goals-1'!J19</f>
        <v>315</v>
      </c>
      <c r="K33" s="364">
        <f>'Goals-1'!K19</f>
        <v>494</v>
      </c>
      <c r="L33" s="364">
        <f>'Goals-1'!L19</f>
        <v>476</v>
      </c>
      <c r="M33" s="364">
        <f>'Goals-1'!N19</f>
        <v>476</v>
      </c>
      <c r="N33" s="364">
        <f>'Goals-1'!O19</f>
        <v>455</v>
      </c>
      <c r="O33" s="364">
        <f>'Goals-1'!P19</f>
        <v>463</v>
      </c>
      <c r="P33" s="363">
        <f t="shared" si="1"/>
        <v>5000</v>
      </c>
    </row>
    <row r="34" spans="1:16">
      <c r="A34" s="42" t="s">
        <v>1277</v>
      </c>
      <c r="B34" s="42" t="s">
        <v>701</v>
      </c>
      <c r="C34" s="42" t="s">
        <v>701</v>
      </c>
      <c r="D34" s="43">
        <f>Actuals!B23</f>
        <v>118</v>
      </c>
      <c r="E34" s="43">
        <f>Actuals!C23</f>
        <v>164</v>
      </c>
      <c r="F34" s="43">
        <f>Actuals!D23</f>
        <v>188</v>
      </c>
      <c r="G34" s="43">
        <f>Actuals!E23</f>
        <v>179</v>
      </c>
      <c r="H34" s="43">
        <f>Actuals!F23</f>
        <v>211</v>
      </c>
      <c r="I34" s="43">
        <f>Actuals!G23</f>
        <v>167</v>
      </c>
      <c r="J34" s="43">
        <f>Actuals!H23</f>
        <v>116</v>
      </c>
      <c r="K34" s="43" t="str">
        <f>Actuals!I23</f>
        <v/>
      </c>
      <c r="L34" s="43" t="str">
        <f>Actuals!J23</f>
        <v/>
      </c>
      <c r="M34" s="43" t="str">
        <f>Actuals!K23</f>
        <v/>
      </c>
      <c r="N34" s="43" t="str">
        <f>Actuals!L23</f>
        <v/>
      </c>
      <c r="O34" s="43" t="str">
        <f>Actuals!M23</f>
        <v/>
      </c>
      <c r="P34" s="39">
        <f t="shared" si="1"/>
        <v>1143</v>
      </c>
    </row>
    <row r="35" spans="1:16">
      <c r="A35" s="39" t="s">
        <v>661</v>
      </c>
      <c r="B35" s="39"/>
      <c r="C35" s="39" t="s">
        <v>1029</v>
      </c>
      <c r="D35" s="41">
        <f>AVERAGE(D23:D32)</f>
        <v>240.3</v>
      </c>
      <c r="E35" s="41">
        <f t="shared" ref="E35:O35" si="2">AVERAGE(E23:E32)</f>
        <v>325.3</v>
      </c>
      <c r="F35" s="41">
        <f t="shared" si="2"/>
        <v>379.5</v>
      </c>
      <c r="G35" s="41">
        <f t="shared" si="2"/>
        <v>422.7</v>
      </c>
      <c r="H35" s="41">
        <f t="shared" si="2"/>
        <v>364.9</v>
      </c>
      <c r="I35" s="41">
        <f t="shared" si="2"/>
        <v>317.89999999999998</v>
      </c>
      <c r="J35" s="41">
        <f t="shared" si="2"/>
        <v>305.3</v>
      </c>
      <c r="K35" s="41">
        <f t="shared" si="2"/>
        <v>392.7</v>
      </c>
      <c r="L35" s="41">
        <f t="shared" si="2"/>
        <v>404.3</v>
      </c>
      <c r="M35" s="41">
        <f t="shared" si="2"/>
        <v>375.4</v>
      </c>
      <c r="N35" s="41">
        <f t="shared" si="2"/>
        <v>413.9</v>
      </c>
      <c r="O35" s="41">
        <f t="shared" si="2"/>
        <v>492.3</v>
      </c>
      <c r="P35" s="41">
        <f>AVERAGE(P23:P32)</f>
        <v>4434.5</v>
      </c>
    </row>
    <row r="51" spans="1:16" ht="15.75">
      <c r="A51" s="37"/>
      <c r="P51" s="34"/>
    </row>
    <row r="53" spans="1:16" ht="15.75">
      <c r="A53" s="37"/>
      <c r="P53" s="34"/>
    </row>
    <row r="57" spans="1:16" ht="15.75">
      <c r="A57" s="33" t="s">
        <v>1280</v>
      </c>
    </row>
    <row r="59" spans="1:16" ht="31.5">
      <c r="A59" s="35" t="s">
        <v>667</v>
      </c>
      <c r="B59" s="38" t="s">
        <v>668</v>
      </c>
      <c r="C59" s="38" t="s">
        <v>669</v>
      </c>
      <c r="D59" s="35" t="s">
        <v>642</v>
      </c>
      <c r="E59" s="35" t="s">
        <v>643</v>
      </c>
      <c r="F59" s="35" t="s">
        <v>644</v>
      </c>
      <c r="G59" s="35" t="s">
        <v>645</v>
      </c>
      <c r="H59" s="35" t="s">
        <v>646</v>
      </c>
      <c r="I59" s="35" t="s">
        <v>647</v>
      </c>
      <c r="J59" s="35" t="s">
        <v>648</v>
      </c>
      <c r="K59" s="35" t="s">
        <v>649</v>
      </c>
      <c r="L59" s="35" t="s">
        <v>650</v>
      </c>
      <c r="M59" s="35" t="s">
        <v>651</v>
      </c>
      <c r="N59" s="35" t="s">
        <v>652</v>
      </c>
      <c r="O59" s="35" t="s">
        <v>653</v>
      </c>
      <c r="P59" s="38" t="s">
        <v>654</v>
      </c>
    </row>
    <row r="60" spans="1:16">
      <c r="A60" s="223" t="s">
        <v>695</v>
      </c>
      <c r="B60" s="223" t="s">
        <v>687</v>
      </c>
      <c r="C60" s="223" t="s">
        <v>696</v>
      </c>
      <c r="D60" s="235">
        <v>112</v>
      </c>
      <c r="E60" s="261">
        <v>69</v>
      </c>
      <c r="F60" s="261">
        <v>73</v>
      </c>
      <c r="G60" s="261">
        <v>43</v>
      </c>
      <c r="H60" s="261">
        <v>57</v>
      </c>
      <c r="I60" s="261">
        <v>90</v>
      </c>
      <c r="J60" s="261">
        <v>77</v>
      </c>
      <c r="K60" s="261">
        <v>191</v>
      </c>
      <c r="L60" s="261">
        <v>126</v>
      </c>
      <c r="M60" s="261">
        <v>87</v>
      </c>
      <c r="N60" s="261">
        <v>191</v>
      </c>
      <c r="O60" s="261">
        <v>305</v>
      </c>
      <c r="P60" s="224">
        <f t="shared" ref="P60:P65" si="3">SUM(D60:O60)</f>
        <v>1421</v>
      </c>
    </row>
    <row r="61" spans="1:16" ht="15.75" thickBot="1">
      <c r="A61" s="225" t="s">
        <v>697</v>
      </c>
      <c r="B61" s="225" t="s">
        <v>687</v>
      </c>
      <c r="C61" s="225" t="s">
        <v>696</v>
      </c>
      <c r="D61" s="237">
        <v>169</v>
      </c>
      <c r="E61" s="259">
        <v>115</v>
      </c>
      <c r="F61" s="259">
        <v>106</v>
      </c>
      <c r="G61" s="259">
        <v>74</v>
      </c>
      <c r="H61" s="259">
        <v>55</v>
      </c>
      <c r="I61" s="259">
        <v>83</v>
      </c>
      <c r="J61" s="259">
        <v>87</v>
      </c>
      <c r="K61" s="259">
        <v>110</v>
      </c>
      <c r="L61" s="259">
        <v>85</v>
      </c>
      <c r="M61" s="259">
        <v>104</v>
      </c>
      <c r="N61" s="259">
        <v>84</v>
      </c>
      <c r="O61" s="259">
        <v>230</v>
      </c>
      <c r="P61" s="224">
        <f t="shared" si="3"/>
        <v>1302</v>
      </c>
    </row>
    <row r="62" spans="1:16">
      <c r="A62" s="255" t="s">
        <v>698</v>
      </c>
      <c r="B62" s="255" t="s">
        <v>690</v>
      </c>
      <c r="C62" s="255" t="s">
        <v>699</v>
      </c>
      <c r="D62" s="258">
        <v>204</v>
      </c>
      <c r="E62" s="260">
        <v>100</v>
      </c>
      <c r="F62" s="260">
        <v>84</v>
      </c>
      <c r="G62" s="260">
        <v>131</v>
      </c>
      <c r="H62" s="260">
        <v>115</v>
      </c>
      <c r="I62" s="260">
        <v>70</v>
      </c>
      <c r="J62" s="260">
        <v>127</v>
      </c>
      <c r="K62" s="260">
        <v>130</v>
      </c>
      <c r="L62" s="260">
        <v>114</v>
      </c>
      <c r="M62" s="260">
        <v>104</v>
      </c>
      <c r="N62" s="260">
        <v>146</v>
      </c>
      <c r="O62" s="260">
        <v>157</v>
      </c>
      <c r="P62" s="224">
        <f t="shared" si="3"/>
        <v>1482</v>
      </c>
    </row>
    <row r="63" spans="1:16" ht="15.75" thickBot="1">
      <c r="A63" s="225" t="s">
        <v>700</v>
      </c>
      <c r="B63" s="225" t="s">
        <v>690</v>
      </c>
      <c r="C63" s="225" t="s">
        <v>699</v>
      </c>
      <c r="D63" s="237">
        <v>171</v>
      </c>
      <c r="E63" s="259">
        <v>119</v>
      </c>
      <c r="F63" s="259">
        <v>141</v>
      </c>
      <c r="G63" s="259">
        <v>58</v>
      </c>
      <c r="H63" s="259">
        <v>77</v>
      </c>
      <c r="I63" s="259">
        <v>88</v>
      </c>
      <c r="J63" s="259">
        <v>103</v>
      </c>
      <c r="K63" s="259">
        <v>132</v>
      </c>
      <c r="L63" s="259">
        <v>100</v>
      </c>
      <c r="M63" s="259">
        <v>101</v>
      </c>
      <c r="N63" s="259">
        <v>140</v>
      </c>
      <c r="O63" s="259">
        <v>249</v>
      </c>
      <c r="P63" s="224">
        <f t="shared" si="3"/>
        <v>1479</v>
      </c>
    </row>
    <row r="64" spans="1:16">
      <c r="A64" s="223" t="s">
        <v>710</v>
      </c>
      <c r="B64" s="223" t="s">
        <v>693</v>
      </c>
      <c r="C64" s="223" t="s">
        <v>711</v>
      </c>
      <c r="D64" s="235">
        <v>190</v>
      </c>
      <c r="E64" s="261">
        <v>94</v>
      </c>
      <c r="F64" s="261">
        <v>144</v>
      </c>
      <c r="G64" s="261">
        <v>98</v>
      </c>
      <c r="H64" s="261">
        <v>116</v>
      </c>
      <c r="I64" s="261">
        <v>90</v>
      </c>
      <c r="J64" s="261">
        <v>116</v>
      </c>
      <c r="K64" s="261">
        <v>135</v>
      </c>
      <c r="L64" s="261">
        <v>150</v>
      </c>
      <c r="M64" s="261">
        <v>133</v>
      </c>
      <c r="N64" s="261">
        <v>143</v>
      </c>
      <c r="O64" s="261">
        <v>260</v>
      </c>
      <c r="P64" s="224">
        <f t="shared" si="3"/>
        <v>1669</v>
      </c>
    </row>
    <row r="65" spans="1:16" ht="15.75" thickBot="1">
      <c r="A65" s="225" t="s">
        <v>719</v>
      </c>
      <c r="B65" s="225" t="s">
        <v>693</v>
      </c>
      <c r="C65" s="225" t="s">
        <v>711</v>
      </c>
      <c r="D65" s="237">
        <v>81</v>
      </c>
      <c r="E65" s="259">
        <v>37</v>
      </c>
      <c r="F65" s="259">
        <v>95</v>
      </c>
      <c r="G65" s="259">
        <v>57</v>
      </c>
      <c r="H65" s="259">
        <v>32</v>
      </c>
      <c r="I65" s="259">
        <v>70</v>
      </c>
      <c r="J65" s="259">
        <v>20</v>
      </c>
      <c r="K65" s="259">
        <v>81</v>
      </c>
      <c r="L65" s="259">
        <v>88</v>
      </c>
      <c r="M65" s="259">
        <v>145</v>
      </c>
      <c r="N65" s="259">
        <v>107</v>
      </c>
      <c r="O65" s="259">
        <v>321</v>
      </c>
      <c r="P65" s="224">
        <f t="shared" si="3"/>
        <v>1134</v>
      </c>
    </row>
    <row r="66" spans="1:16">
      <c r="A66" s="223" t="s">
        <v>864</v>
      </c>
      <c r="B66" s="223" t="s">
        <v>865</v>
      </c>
      <c r="C66" s="223" t="s">
        <v>866</v>
      </c>
      <c r="D66" s="235">
        <v>234</v>
      </c>
      <c r="E66" s="235">
        <v>131</v>
      </c>
      <c r="F66" s="235">
        <v>92</v>
      </c>
      <c r="G66" s="235">
        <v>63</v>
      </c>
      <c r="H66" s="235">
        <v>82</v>
      </c>
      <c r="I66" s="235">
        <v>76</v>
      </c>
      <c r="J66" s="235">
        <v>58</v>
      </c>
      <c r="K66" s="235">
        <v>31</v>
      </c>
      <c r="L66" s="235">
        <v>54</v>
      </c>
      <c r="M66" s="235">
        <v>90</v>
      </c>
      <c r="N66" s="235">
        <v>180</v>
      </c>
      <c r="O66" s="235">
        <v>381</v>
      </c>
      <c r="P66" s="224">
        <v>1472</v>
      </c>
    </row>
    <row r="67" spans="1:16" ht="15.75" thickBot="1">
      <c r="A67" s="225" t="s">
        <v>1025</v>
      </c>
      <c r="B67" s="225" t="s">
        <v>865</v>
      </c>
      <c r="C67" s="334" t="s">
        <v>866</v>
      </c>
      <c r="D67" s="336">
        <v>74</v>
      </c>
      <c r="E67" s="336">
        <v>133</v>
      </c>
      <c r="F67" s="336">
        <v>56</v>
      </c>
      <c r="G67" s="336">
        <v>237</v>
      </c>
      <c r="H67" s="336">
        <v>130</v>
      </c>
      <c r="I67" s="336">
        <v>33</v>
      </c>
      <c r="J67" s="336">
        <v>115</v>
      </c>
      <c r="K67" s="336">
        <v>20</v>
      </c>
      <c r="L67" s="336">
        <v>49</v>
      </c>
      <c r="M67" s="336">
        <v>185</v>
      </c>
      <c r="N67" s="336">
        <v>163</v>
      </c>
      <c r="O67" s="336">
        <v>435</v>
      </c>
      <c r="P67" s="227">
        <v>1630</v>
      </c>
    </row>
    <row r="68" spans="1:16">
      <c r="A68" s="223" t="s">
        <v>1035</v>
      </c>
      <c r="B68" s="223" t="s">
        <v>1037</v>
      </c>
      <c r="C68" s="255" t="s">
        <v>672</v>
      </c>
      <c r="D68" s="339">
        <v>198</v>
      </c>
      <c r="E68" s="339">
        <v>123</v>
      </c>
      <c r="F68" s="339">
        <v>113</v>
      </c>
      <c r="G68" s="339">
        <v>135</v>
      </c>
      <c r="H68" s="339">
        <v>70</v>
      </c>
      <c r="I68" s="339">
        <v>210</v>
      </c>
      <c r="J68" s="339">
        <v>127</v>
      </c>
      <c r="K68" s="339">
        <v>86</v>
      </c>
      <c r="L68" s="339">
        <v>84</v>
      </c>
      <c r="M68" s="339">
        <v>151</v>
      </c>
      <c r="N68" s="339">
        <v>121</v>
      </c>
      <c r="O68" s="339">
        <v>518</v>
      </c>
      <c r="P68" s="340">
        <v>1936</v>
      </c>
    </row>
    <row r="69" spans="1:16" ht="15.75" thickBot="1">
      <c r="A69" s="335" t="s">
        <v>1055</v>
      </c>
      <c r="B69" s="335" t="s">
        <v>1037</v>
      </c>
      <c r="C69" s="335" t="s">
        <v>672</v>
      </c>
      <c r="D69" s="237">
        <v>37</v>
      </c>
      <c r="E69" s="237">
        <v>120</v>
      </c>
      <c r="F69" s="237">
        <v>137</v>
      </c>
      <c r="G69" s="237">
        <v>211</v>
      </c>
      <c r="H69" s="237">
        <v>34</v>
      </c>
      <c r="I69" s="237">
        <v>62</v>
      </c>
      <c r="J69" s="237">
        <v>74</v>
      </c>
      <c r="K69" s="237">
        <v>133</v>
      </c>
      <c r="L69" s="237">
        <v>317</v>
      </c>
      <c r="M69" s="237">
        <v>107</v>
      </c>
      <c r="N69" s="237">
        <v>69</v>
      </c>
      <c r="O69" s="237">
        <v>542</v>
      </c>
      <c r="P69" s="341">
        <v>1843</v>
      </c>
    </row>
    <row r="70" spans="1:16">
      <c r="A70" s="36" t="s">
        <v>661</v>
      </c>
      <c r="C70" s="36" t="s">
        <v>1029</v>
      </c>
      <c r="D70" s="370">
        <f>AVERAGE(D60:D69)</f>
        <v>147</v>
      </c>
      <c r="E70" s="370">
        <f t="shared" ref="E70:P70" si="4">AVERAGE(E60:E69)</f>
        <v>104.1</v>
      </c>
      <c r="F70" s="370">
        <f t="shared" si="4"/>
        <v>104.1</v>
      </c>
      <c r="G70" s="370">
        <f t="shared" si="4"/>
        <v>110.7</v>
      </c>
      <c r="H70" s="370">
        <f t="shared" si="4"/>
        <v>76.8</v>
      </c>
      <c r="I70" s="370">
        <f t="shared" si="4"/>
        <v>87.2</v>
      </c>
      <c r="J70" s="370">
        <f t="shared" si="4"/>
        <v>90.4</v>
      </c>
      <c r="K70" s="370">
        <f t="shared" si="4"/>
        <v>104.9</v>
      </c>
      <c r="L70" s="370">
        <f t="shared" si="4"/>
        <v>116.7</v>
      </c>
      <c r="M70" s="370">
        <f t="shared" si="4"/>
        <v>120.7</v>
      </c>
      <c r="N70" s="370">
        <f t="shared" si="4"/>
        <v>134.4</v>
      </c>
      <c r="O70" s="370">
        <f t="shared" si="4"/>
        <v>339.8</v>
      </c>
      <c r="P70" s="369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10131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153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10776</v>
      </c>
      <c r="B4" t="str">
        <f>IF(ISNA(VLOOKUP($A4,Councils!$B$6:$AE$841,3,0)),0,VLOOKUP($A4,Councils!$B$6:$AE$841,3,0))</f>
        <v>Austin</v>
      </c>
      <c r="C4">
        <f>IF(ISNA(VLOOKUP($A4,Councils!$B$6:$AE$841,4,0)),0,VLOOKUP($A4,Councils!$B$6:$AE$841,4,0))</f>
        <v>82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10836</v>
      </c>
      <c r="B5" t="str">
        <f>IF(ISNA(VLOOKUP($A5,Councils!$B$6:$AE$841,3,0)),0,VLOOKUP($A5,Councils!$B$6:$AE$841,3,0))</f>
        <v>Austin</v>
      </c>
      <c r="C5">
        <f>IF(ISNA(VLOOKUP($A5,Councils!$B$6:$AE$841,4,0)),0,VLOOKUP($A5,Councils!$B$6:$AE$841,4,0))</f>
        <v>256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7.6923076923076927E-2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12409</v>
      </c>
      <c r="B6" t="str">
        <f>IF(ISNA(VLOOKUP($A6,Councils!$B$6:$AE$841,3,0)),0,VLOOKUP($A6,Councils!$B$6:$AE$841,3,0))</f>
        <v>Austin</v>
      </c>
      <c r="C6">
        <f>IF(ISNA(VLOOKUP($A6,Councils!$B$6:$AE$841,4,0)),0,VLOOKUP($A6,Councils!$B$6:$AE$841,4,0))</f>
        <v>29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3</v>
      </c>
    </row>
    <row r="7" spans="1:22">
      <c r="A7" s="50">
        <v>14055</v>
      </c>
      <c r="B7" t="str">
        <f>IF(ISNA(VLOOKUP($A7,Councils!$B$6:$AE$841,3,0)),0,VLOOKUP($A7,Councils!$B$6:$AE$841,3,0))</f>
        <v>Austin</v>
      </c>
      <c r="C7">
        <f>IF(ISNA(VLOOKUP($A7,Councils!$B$6:$AE$841,4,0)),0,VLOOKUP($A7,Councils!$B$6:$AE$841,4,0))</f>
        <v>157</v>
      </c>
      <c r="D7">
        <f>IF(ISNA(VLOOKUP($A7,Councils!$B$6:$AE$841,5,0)),0,VLOOKUP($A7,Councils!$B$6:$AE$841,5,0))</f>
        <v>8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2</v>
      </c>
      <c r="S7">
        <f>IF(ISNA(VLOOKUP($A7,Councils!$B$6:$AE$841,20,0)),0,VLOOKUP($A7,Councils!$B$6:$AE$841,20,0))</f>
        <v>-2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1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5967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248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2</v>
      </c>
      <c r="K3" s="63">
        <f>IFERROR(J3/D3,0)</f>
        <v>0.16666666666666666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9796</v>
      </c>
      <c r="B4" t="str">
        <f>IF(ISNA(VLOOKUP($A4,Councils!$B$6:$AE$841,3,0)),0,VLOOKUP($A4,Councils!$B$6:$AE$841,3,0))</f>
        <v>Austin</v>
      </c>
      <c r="C4">
        <f>IF(ISNA(VLOOKUP($A4,Councils!$B$6:$AE$841,4,0)),0,VLOOKUP($A4,Councils!$B$6:$AE$841,4,0))</f>
        <v>108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7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7</v>
      </c>
      <c r="K4" s="63">
        <f>IFERROR(J4/D4,0)</f>
        <v>1.4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10333</v>
      </c>
      <c r="B5" t="str">
        <f>IF(ISNA(VLOOKUP($A5,Councils!$B$6:$AE$841,3,0)),0,VLOOKUP($A5,Councils!$B$6:$AE$841,3,0))</f>
        <v>Austin</v>
      </c>
      <c r="C5">
        <f>IF(ISNA(VLOOKUP($A5,Councils!$B$6:$AE$841,4,0)),0,VLOOKUP($A5,Councils!$B$6:$AE$841,4,0))</f>
        <v>187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3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3</v>
      </c>
      <c r="H5">
        <f>IF(ISNA(VLOOKUP($A5,Councils!$B$6:$AE$841,9,0)),0,VLOOKUP($A5,Councils!$B$6:$AE$841,9,0))</f>
        <v>6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5</v>
      </c>
      <c r="K5" s="63">
        <f>IFERROR(J5/D5,0)</f>
        <v>0.55555555555555558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14025</v>
      </c>
      <c r="B6" t="str">
        <f>IF(ISNA(VLOOKUP($A6,Councils!$B$6:$AE$841,3,0)),0,VLOOKUP($A6,Councils!$B$6:$AE$841,3,0))</f>
        <v>Lakeway</v>
      </c>
      <c r="C6">
        <f>IF(ISNA(VLOOKUP($A6,Councils!$B$6:$AE$841,4,0)),0,VLOOKUP($A6,Councils!$B$6:$AE$841,4,0))</f>
        <v>119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4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4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7</v>
      </c>
      <c r="K6" s="63">
        <f>IFERROR(J6/D6,0)</f>
        <v>1.1666666666666667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8141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64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10148</v>
      </c>
      <c r="B4" t="str">
        <f>IF(ISNA(VLOOKUP($A4,Councils!$B$6:$AE$841,3,0)),0,VLOOKUP($A4,Councils!$B$6:$AE$841,3,0))</f>
        <v>Austin</v>
      </c>
      <c r="C4">
        <f>IF(ISNA(VLOOKUP($A4,Councils!$B$6:$AE$841,4,0)),0,VLOOKUP($A4,Councils!$B$6:$AE$841,4,0))</f>
        <v>107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2</v>
      </c>
    </row>
    <row r="5" spans="1:22">
      <c r="A5" s="50">
        <v>10426</v>
      </c>
      <c r="B5" t="str">
        <f>IF(ISNA(VLOOKUP($A5,Councils!$B$6:$AE$841,3,0)),0,VLOOKUP($A5,Councils!$B$6:$AE$841,3,0))</f>
        <v>Austin</v>
      </c>
      <c r="C5">
        <f>IF(ISNA(VLOOKUP($A5,Councils!$B$6:$AE$841,4,0)),0,VLOOKUP($A5,Councils!$B$6:$AE$841,4,0))</f>
        <v>62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10659</v>
      </c>
      <c r="B6" t="str">
        <f>IF(ISNA(VLOOKUP($A6,Councils!$B$6:$AE$841,3,0)),0,VLOOKUP($A6,Councils!$B$6:$AE$841,3,0))</f>
        <v>Austin</v>
      </c>
      <c r="C6">
        <f>IF(ISNA(VLOOKUP($A6,Councils!$B$6:$AE$841,4,0)),0,VLOOKUP($A6,Councils!$B$6:$AE$841,4,0))</f>
        <v>66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14166</v>
      </c>
      <c r="B7" t="str">
        <f>IF(ISNA(VLOOKUP($A7,Councils!$B$6:$AE$841,3,0)),0,VLOOKUP($A7,Councils!$B$6:$AE$841,3,0))</f>
        <v>Austin</v>
      </c>
      <c r="C7">
        <f>IF(ISNA(VLOOKUP($A7,Councils!$B$6:$AE$841,4,0)),0,VLOOKUP($A7,Councils!$B$6:$AE$841,4,0))</f>
        <v>82</v>
      </c>
      <c r="D7">
        <f>IF(ISNA(VLOOKUP($A7,Councils!$B$6:$AE$841,5,0)),0,VLOOKUP($A7,Councils!$B$6:$AE$841,5,0))</f>
        <v>4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Britten</v>
      </c>
      <c r="V7">
        <f>IF(ISNA(VLOOKUP($A7,Council_Data!$A$3:$Z$837,23,0)),0,VLOOKUP($A7,Council_Data!$A$3:$Z$837,23,0))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8156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329</v>
      </c>
      <c r="D3">
        <f>IF(ISNA(VLOOKUP($A3,Councils!$B$6:$AE$841,5,0)),0,VLOOKUP($A3,Councils!$B$6:$AE$841,5,0))</f>
        <v>15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-6.6666666666666666E-2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5</v>
      </c>
      <c r="S3">
        <f>IF(ISNA(VLOOKUP($A3,Councils!$B$6:$AE$841,20,0)),0,VLOOKUP($A3,Councils!$B$6:$AE$841,20,0))</f>
        <v>-5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9151</v>
      </c>
      <c r="B4" t="str">
        <f>IF(ISNA(VLOOKUP($A4,Councils!$B$6:$AE$841,3,0)),0,VLOOKUP($A4,Councils!$B$6:$AE$841,3,0))</f>
        <v>Wimberley</v>
      </c>
      <c r="C4">
        <f>IF(ISNA(VLOOKUP($A4,Councils!$B$6:$AE$841,4,0)),0,VLOOKUP($A4,Councils!$B$6:$AE$841,4,0))</f>
        <v>139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10209</v>
      </c>
      <c r="B5" t="str">
        <f>IF(ISNA(VLOOKUP($A5,Councils!$B$6:$AE$841,3,0)),0,VLOOKUP($A5,Councils!$B$6:$AE$841,3,0))</f>
        <v>Austin</v>
      </c>
      <c r="C5">
        <f>IF(ISNA(VLOOKUP($A5,Councils!$B$6:$AE$841,4,0)),0,VLOOKUP($A5,Councils!$B$6:$AE$841,4,0))</f>
        <v>105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11695</v>
      </c>
      <c r="B6" t="str">
        <f>IF(ISNA(VLOOKUP($A6,Councils!$B$6:$AE$841,3,0)),0,VLOOKUP($A6,Councils!$B$6:$AE$841,3,0))</f>
        <v>Dripping Springs</v>
      </c>
      <c r="C6">
        <f>IF(ISNA(VLOOKUP($A6,Councils!$B$6:$AE$841,4,0)),0,VLOOKUP($A6,Councils!$B$6:$AE$841,4,0))</f>
        <v>194</v>
      </c>
      <c r="D6">
        <f>IF(ISNA(VLOOKUP($A6,Councils!$B$6:$AE$841,5,0)),0,VLOOKUP($A6,Councils!$B$6:$AE$841,5,0))</f>
        <v>10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3458</v>
      </c>
      <c r="B3" t="str">
        <f>IF(ISNA(VLOOKUP($A3,Councils!$B$6:$AE$841,3,0)),0,VLOOKUP($A3,Councils!$B$6:$AE$841,3,0))</f>
        <v>San Marcos</v>
      </c>
      <c r="C3">
        <f>IF(ISNA(VLOOKUP($A3,Councils!$B$6:$AE$841,4,0)),0,VLOOKUP($A3,Councils!$B$6:$AE$841,4,0))</f>
        <v>134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7975</v>
      </c>
      <c r="B4" t="str">
        <f>IF(ISNA(VLOOKUP($A4,Councils!$B$6:$AE$841,3,0)),0,VLOOKUP($A4,Councils!$B$6:$AE$841,3,0))</f>
        <v>Kyle</v>
      </c>
      <c r="C4">
        <f>IF(ISNA(VLOOKUP($A4,Councils!$B$6:$AE$841,4,0)),0,VLOOKUP($A4,Councils!$B$6:$AE$841,4,0))</f>
        <v>252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0.16666666666666666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9038</v>
      </c>
      <c r="B5" t="str">
        <f>IF(ISNA(VLOOKUP($A5,Councils!$B$6:$AE$841,3,0)),0,VLOOKUP($A5,Councils!$B$6:$AE$841,3,0))</f>
        <v>Buda</v>
      </c>
      <c r="C5">
        <f>IF(ISNA(VLOOKUP($A5,Councils!$B$6:$AE$841,4,0)),0,VLOOKUP($A5,Councils!$B$6:$AE$841,4,0))</f>
        <v>152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3</v>
      </c>
      <c r="J5">
        <f>IF(ISNA(VLOOKUP($A5,Councils!$B$6:$AE$841,11,0)),0,VLOOKUP($A5,Councils!$B$6:$AE$841,11,0))</f>
        <v>-3</v>
      </c>
      <c r="K5" s="63">
        <f>IFERROR(J5/D5,0)</f>
        <v>-0.375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14741</v>
      </c>
      <c r="B6" t="str">
        <f>IF(ISNA(VLOOKUP($A6,Councils!$B$6:$AE$841,3,0)),0,VLOOKUP($A6,Councils!$B$6:$AE$841,3,0))</f>
        <v>Uhland</v>
      </c>
      <c r="C6">
        <f>IF(ISNA(VLOOKUP($A6,Councils!$B$6:$AE$841,4,0)),0,VLOOKUP($A6,Councils!$B$6:$AE$841,4,0))</f>
        <v>35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8935</v>
      </c>
      <c r="B3" t="str">
        <f>IF(ISNA(VLOOKUP($A3,Councils!$B$6:$AE$841,3,0)),0,VLOOKUP($A3,Councils!$B$6:$AE$841,3,0))</f>
        <v>Burnet</v>
      </c>
      <c r="C3">
        <f>IF(ISNA(VLOOKUP($A3,Councils!$B$6:$AE$841,4,0)),0,VLOOKUP($A3,Councils!$B$6:$AE$841,4,0))</f>
        <v>69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13245</v>
      </c>
      <c r="B4" t="str">
        <f>IF(ISNA(VLOOKUP($A4,Councils!$B$6:$AE$841,3,0)),0,VLOOKUP($A4,Councils!$B$6:$AE$841,3,0))</f>
        <v>Kingsland</v>
      </c>
      <c r="C4">
        <f>IF(ISNA(VLOOKUP($A4,Councils!$B$6:$AE$841,4,0)),0,VLOOKUP($A4,Councils!$B$6:$AE$841,4,0))</f>
        <v>26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13255</v>
      </c>
      <c r="B5" t="str">
        <f>IF(ISNA(VLOOKUP($A5,Councils!$B$6:$AE$841,3,0)),0,VLOOKUP($A5,Councils!$B$6:$AE$841,3,0))</f>
        <v>Marble Falls</v>
      </c>
      <c r="C5">
        <f>IF(ISNA(VLOOKUP($A5,Councils!$B$6:$AE$841,4,0)),0,VLOOKUP($A5,Councils!$B$6:$AE$841,4,0))</f>
        <v>71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14844</v>
      </c>
      <c r="B6" t="str">
        <f>IF(ISNA(VLOOKUP($A6,Councils!$B$6:$AE$841,3,0)),0,VLOOKUP($A6,Councils!$B$6:$AE$841,3,0))</f>
        <v>Blanco</v>
      </c>
      <c r="C6">
        <f>IF(ISNA(VLOOKUP($A6,Councils!$B$6:$AE$841,4,0)),0,VLOOKUP($A6,Councils!$B$6:$AE$841,4,0))</f>
        <v>70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15365</v>
      </c>
      <c r="B7" t="str">
        <f>IF(ISNA(VLOOKUP($A7,Councils!$B$6:$AE$841,3,0)),0,VLOOKUP($A7,Councils!$B$6:$AE$841,3,0))</f>
        <v>Horseshoe Bay</v>
      </c>
      <c r="C7">
        <f>IF(ISNA(VLOOKUP($A7,Councils!$B$6:$AE$841,4,0)),0,VLOOKUP($A7,Councils!$B$6:$AE$841,4,0))</f>
        <v>64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6978</v>
      </c>
      <c r="B3" t="str">
        <f>IF(ISNA(VLOOKUP($A3,Councils!$B$6:$AE$841,3,0)),0,VLOOKUP($A3,Councils!$B$6:$AE$841,3,0))</f>
        <v>Lampasas</v>
      </c>
      <c r="C3">
        <f>IF(ISNA(VLOOKUP($A3,Councils!$B$6:$AE$841,4,0)),0,VLOOKUP($A3,Councils!$B$6:$AE$841,4,0))</f>
        <v>45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3</v>
      </c>
    </row>
    <row r="4" spans="1:22">
      <c r="A4" s="50">
        <v>10294</v>
      </c>
      <c r="B4" t="str">
        <f>IF(ISNA(VLOOKUP($A4,Councils!$B$6:$AE$841,3,0)),0,VLOOKUP($A4,Councils!$B$6:$AE$841,3,0))</f>
        <v>Gatesville</v>
      </c>
      <c r="C4">
        <f>IF(ISNA(VLOOKUP($A4,Councils!$B$6:$AE$841,4,0)),0,VLOOKUP($A4,Councils!$B$6:$AE$841,4,0))</f>
        <v>26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3</v>
      </c>
    </row>
    <row r="5" spans="1:22">
      <c r="A5" s="50">
        <v>12522</v>
      </c>
      <c r="B5" t="str">
        <f>IF(ISNA(VLOOKUP($A5,Councils!$B$6:$AE$841,3,0)),0,VLOOKUP($A5,Councils!$B$6:$AE$841,3,0))</f>
        <v>Andice</v>
      </c>
      <c r="C5">
        <f>IF(ISNA(VLOOKUP($A5,Councils!$B$6:$AE$841,4,0)),0,VLOOKUP($A5,Councils!$B$6:$AE$841,4,0))</f>
        <v>143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12574</v>
      </c>
      <c r="B6" t="str">
        <f>IF(ISNA(VLOOKUP($A6,Councils!$B$6:$AE$841,3,0)),0,VLOOKUP($A6,Councils!$B$6:$AE$841,3,0))</f>
        <v>San Saba</v>
      </c>
      <c r="C6">
        <f>IF(ISNA(VLOOKUP($A6,Councils!$B$6:$AE$841,4,0)),0,VLOOKUP($A6,Councils!$B$6:$AE$841,4,0))</f>
        <v>28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3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2559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72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80265-82E5-41D4-A94A-E4FD54F3289D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5053</v>
      </c>
      <c r="B3" t="str">
        <f>IF(ISNA(VLOOKUP($A3,Councils!$B$6:$AE$841,3,0)),0,VLOOKUP($A3,Councils!$B$6:$AE$841,3,0))</f>
        <v>Bremond</v>
      </c>
      <c r="C3">
        <f>IF(ISNA(VLOOKUP($A3,Councils!$B$6:$AE$841,4,0)),0,VLOOKUP($A3,Councils!$B$6:$AE$841,4,0))</f>
        <v>101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10186</v>
      </c>
      <c r="B4" t="str">
        <f>IF(ISNA(VLOOKUP($A4,Councils!$B$6:$AE$841,3,0)),0,VLOOKUP($A4,Councils!$B$6:$AE$841,3,0))</f>
        <v>Cyclone-Marak</v>
      </c>
      <c r="C4">
        <f>IF(ISNA(VLOOKUP($A4,Councils!$B$6:$AE$841,4,0)),0,VLOOKUP($A4,Councils!$B$6:$AE$841,4,0))</f>
        <v>107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-1</v>
      </c>
      <c r="K4" s="63">
        <f>IFERROR(J4/D4,0)</f>
        <v>-0.2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12931</v>
      </c>
      <c r="B5" t="str">
        <f>IF(ISNA(VLOOKUP($A5,Councils!$B$6:$AE$841,3,0)),0,VLOOKUP($A5,Councils!$B$6:$AE$841,3,0))</f>
        <v>Rogers</v>
      </c>
      <c r="C5">
        <f>IF(ISNA(VLOOKUP($A5,Councils!$B$6:$AE$841,4,0)),0,VLOOKUP($A5,Councils!$B$6:$AE$841,4,0))</f>
        <v>53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13902</v>
      </c>
      <c r="B6" t="str">
        <f>IF(ISNA(VLOOKUP($A6,Councils!$B$6:$AE$841,3,0)),0,VLOOKUP($A6,Councils!$B$6:$AE$841,3,0))</f>
        <v>Westphalia</v>
      </c>
      <c r="C6">
        <f>IF(ISNA(VLOOKUP($A6,Councils!$B$6:$AE$841,4,0)),0,VLOOKUP($A6,Councils!$B$6:$AE$841,4,0))</f>
        <v>127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0.5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hyperlinks>
    <hyperlink ref="A1" location="AUS!A1" tooltip="Back to AUS DD Page" display="AUS DDs" xr:uid="{993C189B-6021-44DB-AFA5-B914D5DA2056}"/>
    <hyperlink ref="C1" location="'State Summary'!A1" tooltip="Link back to Diocesan Page" display="Diocesan Page" xr:uid="{992B629A-4AD9-435B-91CE-C94BA73178A6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1653</v>
      </c>
      <c r="B3" t="str">
        <f>IF(ISNA(VLOOKUP($A3,Councils!$B$6:$AE$841,3,0)),0,VLOOKUP($A3,Councils!$B$6:$AE$841,3,0))</f>
        <v>Beeville</v>
      </c>
      <c r="C3">
        <f>IF(ISNA(VLOOKUP($A3,Councils!$B$6:$AE$841,4,0)),0,VLOOKUP($A3,Councils!$B$6:$AE$841,4,0))</f>
        <v>105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14064</v>
      </c>
      <c r="B4" t="str">
        <f>IF(ISNA(VLOOKUP($A4,Councils!$B$6:$AE$841,3,0)),0,VLOOKUP($A4,Councils!$B$6:$AE$841,3,0))</f>
        <v>Beeville</v>
      </c>
      <c r="C4">
        <f>IF(ISNA(VLOOKUP($A4,Councils!$B$6:$AE$841,4,0)),0,VLOOKUP($A4,Councils!$B$6:$AE$841,4,0))</f>
        <v>34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14369</v>
      </c>
      <c r="B5" t="str">
        <f>IF(ISNA(VLOOKUP($A5,Councils!$B$6:$AE$841,3,0)),0,VLOOKUP($A5,Councils!$B$6:$AE$841,3,0))</f>
        <v>Skidmore</v>
      </c>
      <c r="C5">
        <f>IF(ISNA(VLOOKUP($A5,Councils!$B$6:$AE$841,4,0)),0,VLOOKUP($A5,Councils!$B$6:$AE$841,4,0))</f>
        <v>34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14756</v>
      </c>
      <c r="B6" t="str">
        <f>IF(ISNA(VLOOKUP($A6,Councils!$B$6:$AE$841,3,0)),0,VLOOKUP($A6,Councils!$B$6:$AE$841,3,0))</f>
        <v>Beeville</v>
      </c>
      <c r="C6">
        <f>IF(ISNA(VLOOKUP($A6,Councils!$B$6:$AE$841,4,0)),0,VLOOKUP($A6,Councils!$B$6:$AE$841,4,0))</f>
        <v>50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36" t="s">
        <v>867</v>
      </c>
      <c r="P1" s="437"/>
      <c r="Q1" s="437"/>
      <c r="R1" s="438"/>
    </row>
    <row r="2" spans="1:18" ht="15">
      <c r="B2" s="439" t="s">
        <v>868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</row>
    <row r="3" spans="1:18" ht="13.5" thickBot="1"/>
    <row r="4" spans="1:18" ht="25.5">
      <c r="B4" s="28" t="s">
        <v>642</v>
      </c>
      <c r="C4" s="28" t="s">
        <v>643</v>
      </c>
      <c r="D4" s="103" t="s">
        <v>644</v>
      </c>
      <c r="E4" s="104" t="s">
        <v>869</v>
      </c>
      <c r="F4" s="105" t="s">
        <v>645</v>
      </c>
      <c r="G4" s="28" t="s">
        <v>646</v>
      </c>
      <c r="H4" s="103" t="s">
        <v>647</v>
      </c>
      <c r="I4" s="104" t="s">
        <v>870</v>
      </c>
      <c r="J4" s="105" t="s">
        <v>648</v>
      </c>
      <c r="K4" s="28" t="s">
        <v>649</v>
      </c>
      <c r="L4" s="103" t="s">
        <v>650</v>
      </c>
      <c r="M4" s="104" t="s">
        <v>871</v>
      </c>
      <c r="N4" s="105" t="s">
        <v>651</v>
      </c>
      <c r="O4" s="28" t="s">
        <v>652</v>
      </c>
      <c r="P4" s="103" t="s">
        <v>653</v>
      </c>
      <c r="Q4" s="104" t="s">
        <v>872</v>
      </c>
      <c r="R4" s="106" t="s">
        <v>654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873</v>
      </c>
      <c r="B6" s="110">
        <f t="shared" ref="B6:R6" si="0">SUM(B8:B22)</f>
        <v>450</v>
      </c>
      <c r="C6" s="110">
        <f t="shared" si="0"/>
        <v>665</v>
      </c>
      <c r="D6" s="110">
        <f t="shared" si="0"/>
        <v>854</v>
      </c>
      <c r="E6" s="111">
        <f t="shared" si="0"/>
        <v>1969</v>
      </c>
      <c r="F6" s="110">
        <f t="shared" si="0"/>
        <v>925</v>
      </c>
      <c r="G6" s="110">
        <f t="shared" si="0"/>
        <v>883</v>
      </c>
      <c r="H6" s="110">
        <f t="shared" si="0"/>
        <v>759</v>
      </c>
      <c r="I6" s="111">
        <f t="shared" si="0"/>
        <v>2567</v>
      </c>
      <c r="J6" s="110">
        <f t="shared" si="0"/>
        <v>618</v>
      </c>
      <c r="K6" s="110">
        <f t="shared" si="0"/>
        <v>964</v>
      </c>
      <c r="L6" s="110">
        <f t="shared" si="0"/>
        <v>931</v>
      </c>
      <c r="M6" s="111">
        <f t="shared" si="0"/>
        <v>2513</v>
      </c>
      <c r="N6" s="110">
        <f t="shared" si="0"/>
        <v>931</v>
      </c>
      <c r="O6" s="110">
        <f t="shared" si="0"/>
        <v>890</v>
      </c>
      <c r="P6" s="110">
        <f t="shared" si="0"/>
        <v>905</v>
      </c>
      <c r="Q6" s="111">
        <f t="shared" si="0"/>
        <v>2726</v>
      </c>
      <c r="R6" s="110">
        <f t="shared" si="0"/>
        <v>9775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27</v>
      </c>
      <c r="C8" s="112">
        <f>'Goals-1'!C5</f>
        <v>41</v>
      </c>
      <c r="D8" s="112">
        <f>'Goals-1'!D5</f>
        <v>52</v>
      </c>
      <c r="E8" s="113">
        <f>SUBTOTAL(9,B8:D8)</f>
        <v>120</v>
      </c>
      <c r="F8" s="112">
        <f>'Goals-1'!F5</f>
        <v>57</v>
      </c>
      <c r="G8" s="112">
        <f>'Goals-1'!G5</f>
        <v>55</v>
      </c>
      <c r="H8" s="112">
        <f>'Goals-1'!H5</f>
        <v>51</v>
      </c>
      <c r="I8" s="113">
        <f>SUBTOTAL(9,F8:H8)</f>
        <v>163</v>
      </c>
      <c r="J8" s="112">
        <f>'Goals-1'!J5</f>
        <v>32</v>
      </c>
      <c r="K8" s="112">
        <f>'Goals-1'!K5</f>
        <v>60</v>
      </c>
      <c r="L8" s="112">
        <f>'Goals-1'!L5</f>
        <v>57</v>
      </c>
      <c r="M8" s="113">
        <f>SUBTOTAL(9,J8:L8)</f>
        <v>149</v>
      </c>
      <c r="N8" s="112">
        <f>'Goals-1'!N5</f>
        <v>57</v>
      </c>
      <c r="O8" s="112">
        <f>'Goals-1'!O5</f>
        <v>54</v>
      </c>
      <c r="P8" s="112">
        <f>'Goals-1'!P5</f>
        <v>56</v>
      </c>
      <c r="Q8" s="113">
        <f>SUBTOTAL(9,N8:P8)</f>
        <v>167</v>
      </c>
      <c r="R8" s="112">
        <f>SUBTOTAL(9,B8:Q8)</f>
        <v>599</v>
      </c>
    </row>
    <row r="9" spans="1:18">
      <c r="A9" s="26" t="s">
        <v>31</v>
      </c>
      <c r="B9" s="112">
        <f>'Goals-1'!B9</f>
        <v>26</v>
      </c>
      <c r="C9" s="112">
        <f>'Goals-1'!C9</f>
        <v>39</v>
      </c>
      <c r="D9" s="112">
        <f>'Goals-1'!D9</f>
        <v>50</v>
      </c>
      <c r="E9" s="113">
        <f t="shared" ref="E9:E22" si="1">SUBTOTAL(9,B9:D9)</f>
        <v>115</v>
      </c>
      <c r="F9" s="112">
        <f>'Goals-1'!F9</f>
        <v>54</v>
      </c>
      <c r="G9" s="112">
        <f>'Goals-1'!G9</f>
        <v>52</v>
      </c>
      <c r="H9" s="112">
        <f>'Goals-1'!H9</f>
        <v>48</v>
      </c>
      <c r="I9" s="113">
        <f t="shared" ref="I9:I22" si="2">SUBTOTAL(9,F9:H9)</f>
        <v>154</v>
      </c>
      <c r="J9" s="112">
        <f>'Goals-1'!J9</f>
        <v>31</v>
      </c>
      <c r="K9" s="112">
        <f>'Goals-1'!K9</f>
        <v>58</v>
      </c>
      <c r="L9" s="112">
        <f>'Goals-1'!L9</f>
        <v>54</v>
      </c>
      <c r="M9" s="113">
        <f t="shared" ref="M9:M22" si="3">SUBTOTAL(9,J9:L9)</f>
        <v>143</v>
      </c>
      <c r="N9" s="112">
        <f>'Goals-1'!N9</f>
        <v>54</v>
      </c>
      <c r="O9" s="112">
        <f>'Goals-1'!O9</f>
        <v>52</v>
      </c>
      <c r="P9" s="112">
        <f>'Goals-1'!P9</f>
        <v>53</v>
      </c>
      <c r="Q9" s="113">
        <f t="shared" ref="Q9:Q22" si="4">SUBTOTAL(9,N9:P9)</f>
        <v>159</v>
      </c>
      <c r="R9" s="112">
        <f t="shared" ref="R9:R22" si="5">SUBTOTAL(9,B9:Q9)</f>
        <v>571</v>
      </c>
    </row>
    <row r="10" spans="1:18">
      <c r="A10" s="26" t="s">
        <v>143</v>
      </c>
      <c r="B10" s="112">
        <f>'Goals-1'!B11</f>
        <v>21</v>
      </c>
      <c r="C10" s="112">
        <f>'Goals-1'!C11</f>
        <v>31</v>
      </c>
      <c r="D10" s="112">
        <f>'Goals-1'!D11</f>
        <v>40</v>
      </c>
      <c r="E10" s="113">
        <f t="shared" si="1"/>
        <v>92</v>
      </c>
      <c r="F10" s="112">
        <f>'Goals-1'!F11</f>
        <v>44</v>
      </c>
      <c r="G10" s="112">
        <f>'Goals-1'!G11</f>
        <v>42</v>
      </c>
      <c r="H10" s="112">
        <f>'Goals-1'!H11</f>
        <v>39</v>
      </c>
      <c r="I10" s="113">
        <f t="shared" si="2"/>
        <v>125</v>
      </c>
      <c r="J10" s="112">
        <f>'Goals-1'!J11</f>
        <v>25</v>
      </c>
      <c r="K10" s="112">
        <f>'Goals-1'!K11</f>
        <v>44</v>
      </c>
      <c r="L10" s="112">
        <f>'Goals-1'!L11</f>
        <v>44</v>
      </c>
      <c r="M10" s="113">
        <f t="shared" si="3"/>
        <v>113</v>
      </c>
      <c r="N10" s="112">
        <f>'Goals-1'!N11</f>
        <v>44</v>
      </c>
      <c r="O10" s="112">
        <f>'Goals-1'!O11</f>
        <v>42</v>
      </c>
      <c r="P10" s="112">
        <f>'Goals-1'!P11</f>
        <v>43</v>
      </c>
      <c r="Q10" s="113">
        <f t="shared" si="4"/>
        <v>129</v>
      </c>
      <c r="R10" s="112">
        <f t="shared" si="5"/>
        <v>459</v>
      </c>
    </row>
    <row r="11" spans="1:18">
      <c r="A11" s="26" t="s">
        <v>874</v>
      </c>
      <c r="B11" s="112">
        <f>'Goals-1'!B12</f>
        <v>50</v>
      </c>
      <c r="C11" s="112">
        <f>'Goals-1'!C12</f>
        <v>74</v>
      </c>
      <c r="D11" s="112">
        <f>'Goals-1'!D12</f>
        <v>94</v>
      </c>
      <c r="E11" s="113">
        <f t="shared" si="1"/>
        <v>218</v>
      </c>
      <c r="F11" s="112">
        <f>'Goals-1'!F12</f>
        <v>100</v>
      </c>
      <c r="G11" s="112">
        <f>'Goals-1'!G12</f>
        <v>92</v>
      </c>
      <c r="H11" s="112">
        <f>'Goals-1'!H12</f>
        <v>58</v>
      </c>
      <c r="I11" s="113">
        <f t="shared" si="2"/>
        <v>250</v>
      </c>
      <c r="J11" s="112">
        <f>'Goals-1'!J12</f>
        <v>102</v>
      </c>
      <c r="K11" s="112">
        <f>'Goals-1'!K12</f>
        <v>103</v>
      </c>
      <c r="L11" s="112">
        <f>'Goals-1'!L12</f>
        <v>103</v>
      </c>
      <c r="M11" s="113">
        <f t="shared" si="3"/>
        <v>308</v>
      </c>
      <c r="N11" s="112">
        <f>'Goals-1'!N12</f>
        <v>103</v>
      </c>
      <c r="O11" s="112">
        <f>'Goals-1'!O12</f>
        <v>99</v>
      </c>
      <c r="P11" s="112">
        <f>'Goals-1'!P12</f>
        <v>102</v>
      </c>
      <c r="Q11" s="113">
        <f t="shared" si="4"/>
        <v>304</v>
      </c>
      <c r="R11" s="112">
        <f t="shared" si="5"/>
        <v>1080</v>
      </c>
    </row>
    <row r="12" spans="1:18">
      <c r="A12" s="26" t="s">
        <v>27</v>
      </c>
      <c r="B12" s="112">
        <f>'Goals-1'!B16</f>
        <v>31</v>
      </c>
      <c r="C12" s="112">
        <f>'Goals-1'!C16</f>
        <v>45</v>
      </c>
      <c r="D12" s="112">
        <f>'Goals-1'!D16</f>
        <v>58</v>
      </c>
      <c r="E12" s="113">
        <f t="shared" si="1"/>
        <v>134</v>
      </c>
      <c r="F12" s="112">
        <f>'Goals-1'!F16</f>
        <v>63</v>
      </c>
      <c r="G12" s="112">
        <f>'Goals-1'!G16</f>
        <v>61</v>
      </c>
      <c r="H12" s="112">
        <f>'Goals-1'!H16</f>
        <v>57</v>
      </c>
      <c r="I12" s="113">
        <f t="shared" si="2"/>
        <v>181</v>
      </c>
      <c r="J12" s="112">
        <f>'Goals-1'!J16</f>
        <v>36</v>
      </c>
      <c r="K12" s="112">
        <f>'Goals-1'!K16</f>
        <v>65</v>
      </c>
      <c r="L12" s="112">
        <f>'Goals-1'!L16</f>
        <v>63</v>
      </c>
      <c r="M12" s="113">
        <f t="shared" si="3"/>
        <v>164</v>
      </c>
      <c r="N12" s="112">
        <f>'Goals-1'!N16</f>
        <v>63</v>
      </c>
      <c r="O12" s="112">
        <f>'Goals-1'!O16</f>
        <v>61</v>
      </c>
      <c r="P12" s="112">
        <f>'Goals-1'!P16</f>
        <v>64</v>
      </c>
      <c r="Q12" s="113">
        <f t="shared" si="4"/>
        <v>188</v>
      </c>
      <c r="R12" s="112">
        <f t="shared" si="5"/>
        <v>667</v>
      </c>
    </row>
    <row r="13" spans="1:18">
      <c r="A13" s="26" t="s">
        <v>37</v>
      </c>
      <c r="B13" s="112">
        <f>'Goals-1'!B6</f>
        <v>7</v>
      </c>
      <c r="C13" s="112">
        <f>'Goals-1'!C6</f>
        <v>11</v>
      </c>
      <c r="D13" s="112">
        <f>'Goals-1'!D6</f>
        <v>14</v>
      </c>
      <c r="E13" s="113">
        <f t="shared" si="1"/>
        <v>32</v>
      </c>
      <c r="F13" s="112">
        <f>'Goals-1'!F6</f>
        <v>15</v>
      </c>
      <c r="G13" s="112">
        <f>'Goals-1'!G6</f>
        <v>15</v>
      </c>
      <c r="H13" s="112">
        <f>'Goals-1'!H6</f>
        <v>13</v>
      </c>
      <c r="I13" s="113">
        <f t="shared" si="2"/>
        <v>43</v>
      </c>
      <c r="J13" s="112">
        <f>'Goals-1'!J6</f>
        <v>9</v>
      </c>
      <c r="K13" s="112">
        <f>'Goals-1'!K6</f>
        <v>15</v>
      </c>
      <c r="L13" s="112">
        <f>'Goals-1'!L6</f>
        <v>15</v>
      </c>
      <c r="M13" s="113">
        <f t="shared" si="3"/>
        <v>39</v>
      </c>
      <c r="N13" s="112">
        <f>'Goals-1'!N6</f>
        <v>15</v>
      </c>
      <c r="O13" s="112">
        <f>'Goals-1'!O6</f>
        <v>14</v>
      </c>
      <c r="P13" s="112">
        <f>'Goals-1'!P6</f>
        <v>16</v>
      </c>
      <c r="Q13" s="113">
        <f t="shared" si="4"/>
        <v>45</v>
      </c>
      <c r="R13" s="112">
        <f t="shared" si="5"/>
        <v>159</v>
      </c>
    </row>
    <row r="14" spans="1:18">
      <c r="A14" s="26" t="s">
        <v>66</v>
      </c>
      <c r="B14" s="112">
        <f>'Goals-1'!B7</f>
        <v>12</v>
      </c>
      <c r="C14" s="112">
        <f>'Goals-1'!C7</f>
        <v>17</v>
      </c>
      <c r="D14" s="112">
        <f>'Goals-1'!D7</f>
        <v>22</v>
      </c>
      <c r="E14" s="113">
        <f t="shared" si="1"/>
        <v>51</v>
      </c>
      <c r="F14" s="112">
        <f>'Goals-1'!F7</f>
        <v>24</v>
      </c>
      <c r="G14" s="112">
        <f>'Goals-1'!G7</f>
        <v>23</v>
      </c>
      <c r="H14" s="112">
        <f>'Goals-1'!H7</f>
        <v>21</v>
      </c>
      <c r="I14" s="113">
        <f t="shared" si="2"/>
        <v>68</v>
      </c>
      <c r="J14" s="112">
        <f>'Goals-1'!J7</f>
        <v>14</v>
      </c>
      <c r="K14" s="112">
        <f>'Goals-1'!K7</f>
        <v>23</v>
      </c>
      <c r="L14" s="112">
        <f>'Goals-1'!L7</f>
        <v>24</v>
      </c>
      <c r="M14" s="113">
        <f t="shared" si="3"/>
        <v>61</v>
      </c>
      <c r="N14" s="112">
        <f>'Goals-1'!N7</f>
        <v>24</v>
      </c>
      <c r="O14" s="112">
        <f>'Goals-1'!O7</f>
        <v>23</v>
      </c>
      <c r="P14" s="112">
        <f>'Goals-1'!P7</f>
        <v>26</v>
      </c>
      <c r="Q14" s="113">
        <f t="shared" si="4"/>
        <v>73</v>
      </c>
      <c r="R14" s="112">
        <f t="shared" si="5"/>
        <v>253</v>
      </c>
    </row>
    <row r="15" spans="1:18">
      <c r="A15" s="26" t="s">
        <v>43</v>
      </c>
      <c r="B15" s="112">
        <f>'Goals-1'!B8</f>
        <v>11</v>
      </c>
      <c r="C15" s="112">
        <f>'Goals-1'!C8</f>
        <v>16</v>
      </c>
      <c r="D15" s="112">
        <f>'Goals-1'!D8</f>
        <v>21</v>
      </c>
      <c r="E15" s="113">
        <f t="shared" si="1"/>
        <v>48</v>
      </c>
      <c r="F15" s="112">
        <f>'Goals-1'!F8</f>
        <v>23</v>
      </c>
      <c r="G15" s="112">
        <f>'Goals-1'!G8</f>
        <v>22</v>
      </c>
      <c r="H15" s="112">
        <f>'Goals-1'!H8</f>
        <v>20</v>
      </c>
      <c r="I15" s="113">
        <f t="shared" si="2"/>
        <v>65</v>
      </c>
      <c r="J15" s="112">
        <f>'Goals-1'!J8</f>
        <v>13</v>
      </c>
      <c r="K15" s="112">
        <f>'Goals-1'!K8</f>
        <v>27</v>
      </c>
      <c r="L15" s="112">
        <f>'Goals-1'!L8</f>
        <v>23</v>
      </c>
      <c r="M15" s="113">
        <f t="shared" si="3"/>
        <v>63</v>
      </c>
      <c r="N15" s="112">
        <f>'Goals-1'!N8</f>
        <v>23</v>
      </c>
      <c r="O15" s="112">
        <f>'Goals-1'!O8</f>
        <v>22</v>
      </c>
      <c r="P15" s="112">
        <f>'Goals-1'!P8</f>
        <v>20</v>
      </c>
      <c r="Q15" s="113">
        <f t="shared" si="4"/>
        <v>65</v>
      </c>
      <c r="R15" s="112">
        <f t="shared" si="5"/>
        <v>241</v>
      </c>
    </row>
    <row r="16" spans="1:18">
      <c r="A16" s="26" t="s">
        <v>85</v>
      </c>
      <c r="B16" s="112">
        <f>'Goals-1'!B15</f>
        <v>8</v>
      </c>
      <c r="C16" s="112">
        <f>'Goals-1'!C15</f>
        <v>11</v>
      </c>
      <c r="D16" s="112">
        <f>'Goals-1'!D15</f>
        <v>15</v>
      </c>
      <c r="E16" s="113">
        <f t="shared" si="1"/>
        <v>34</v>
      </c>
      <c r="F16" s="112">
        <f>'Goals-1'!F15</f>
        <v>16</v>
      </c>
      <c r="G16" s="112">
        <f>'Goals-1'!G15</f>
        <v>15</v>
      </c>
      <c r="H16" s="112">
        <f>'Goals-1'!H15</f>
        <v>14</v>
      </c>
      <c r="I16" s="113">
        <f t="shared" si="2"/>
        <v>45</v>
      </c>
      <c r="J16" s="112">
        <f>'Goals-1'!J15</f>
        <v>9</v>
      </c>
      <c r="K16" s="112">
        <f>'Goals-1'!K15</f>
        <v>17</v>
      </c>
      <c r="L16" s="112">
        <f>'Goals-1'!L15</f>
        <v>16</v>
      </c>
      <c r="M16" s="113">
        <f t="shared" si="3"/>
        <v>42</v>
      </c>
      <c r="N16" s="112">
        <f>'Goals-1'!N15</f>
        <v>16</v>
      </c>
      <c r="O16" s="112">
        <f>'Goals-1'!O15</f>
        <v>15</v>
      </c>
      <c r="P16" s="112">
        <f>'Goals-1'!P15</f>
        <v>14</v>
      </c>
      <c r="Q16" s="113">
        <f t="shared" si="4"/>
        <v>45</v>
      </c>
      <c r="R16" s="112">
        <f t="shared" si="5"/>
        <v>166</v>
      </c>
    </row>
    <row r="17" spans="1:29">
      <c r="A17" s="26" t="s">
        <v>51</v>
      </c>
      <c r="B17" s="112">
        <f>'Goals-1'!B17</f>
        <v>6</v>
      </c>
      <c r="C17" s="112">
        <f>'Goals-1'!C17</f>
        <v>9</v>
      </c>
      <c r="D17" s="112">
        <f>'Goals-1'!D17</f>
        <v>11</v>
      </c>
      <c r="E17" s="113">
        <f t="shared" si="1"/>
        <v>26</v>
      </c>
      <c r="F17" s="112">
        <f>'Goals-1'!F17</f>
        <v>12</v>
      </c>
      <c r="G17" s="112">
        <f>'Goals-1'!G17</f>
        <v>12</v>
      </c>
      <c r="H17" s="112">
        <f>'Goals-1'!H17</f>
        <v>11</v>
      </c>
      <c r="I17" s="113">
        <f t="shared" si="2"/>
        <v>35</v>
      </c>
      <c r="J17" s="112">
        <f>'Goals-1'!J17</f>
        <v>7</v>
      </c>
      <c r="K17" s="112">
        <f>'Goals-1'!K17</f>
        <v>13</v>
      </c>
      <c r="L17" s="112">
        <f>'Goals-1'!L17</f>
        <v>12</v>
      </c>
      <c r="M17" s="113">
        <f t="shared" si="3"/>
        <v>32</v>
      </c>
      <c r="N17" s="112">
        <f>'Goals-1'!N17</f>
        <v>12</v>
      </c>
      <c r="O17" s="112">
        <f>'Goals-1'!O17</f>
        <v>12</v>
      </c>
      <c r="P17" s="112">
        <f>'Goals-1'!P17</f>
        <v>10</v>
      </c>
      <c r="Q17" s="113">
        <f t="shared" si="4"/>
        <v>34</v>
      </c>
      <c r="R17" s="112">
        <f t="shared" si="5"/>
        <v>127</v>
      </c>
    </row>
    <row r="18" spans="1:29">
      <c r="A18" s="26" t="s">
        <v>59</v>
      </c>
      <c r="B18" s="112">
        <f>'Goals-1'!B4</f>
        <v>5</v>
      </c>
      <c r="C18" s="112">
        <f>'Goals-1'!C4</f>
        <v>8</v>
      </c>
      <c r="D18" s="112">
        <f>'Goals-1'!D4</f>
        <v>10</v>
      </c>
      <c r="E18" s="113">
        <f t="shared" si="1"/>
        <v>23</v>
      </c>
      <c r="F18" s="112">
        <f>'Goals-1'!F4</f>
        <v>11</v>
      </c>
      <c r="G18" s="112">
        <f>'Goals-1'!G4</f>
        <v>10</v>
      </c>
      <c r="H18" s="112">
        <f>'Goals-1'!H4</f>
        <v>9</v>
      </c>
      <c r="I18" s="113">
        <f t="shared" si="2"/>
        <v>30</v>
      </c>
      <c r="J18" s="112">
        <f>'Goals-1'!J4</f>
        <v>6</v>
      </c>
      <c r="K18" s="112">
        <f>'Goals-1'!K4</f>
        <v>10</v>
      </c>
      <c r="L18" s="112">
        <f>'Goals-1'!L4</f>
        <v>11</v>
      </c>
      <c r="M18" s="113">
        <f t="shared" si="3"/>
        <v>27</v>
      </c>
      <c r="N18" s="112">
        <f>'Goals-1'!N4</f>
        <v>11</v>
      </c>
      <c r="O18" s="112">
        <f>'Goals-1'!O4</f>
        <v>10</v>
      </c>
      <c r="P18" s="112">
        <f>'Goals-1'!P4</f>
        <v>10</v>
      </c>
      <c r="Q18" s="113">
        <f t="shared" si="4"/>
        <v>31</v>
      </c>
      <c r="R18" s="112">
        <f t="shared" si="5"/>
        <v>111</v>
      </c>
    </row>
    <row r="19" spans="1:29">
      <c r="A19" s="26" t="s">
        <v>23</v>
      </c>
      <c r="B19" s="112">
        <f>'Goals-1'!B10</f>
        <v>7</v>
      </c>
      <c r="C19" s="112">
        <f>'Goals-1'!C10</f>
        <v>10</v>
      </c>
      <c r="D19" s="112">
        <f>'Goals-1'!D10</f>
        <v>13</v>
      </c>
      <c r="E19" s="113">
        <f t="shared" si="1"/>
        <v>30</v>
      </c>
      <c r="F19" s="112">
        <f>'Goals-1'!F10</f>
        <v>14</v>
      </c>
      <c r="G19" s="112">
        <f>'Goals-1'!G10</f>
        <v>14</v>
      </c>
      <c r="H19" s="112">
        <f>'Goals-1'!H10</f>
        <v>12</v>
      </c>
      <c r="I19" s="113">
        <f t="shared" si="2"/>
        <v>40</v>
      </c>
      <c r="J19" s="112">
        <f>'Goals-1'!J10</f>
        <v>8</v>
      </c>
      <c r="K19" s="112">
        <f>'Goals-1'!K10</f>
        <v>10</v>
      </c>
      <c r="L19" s="112">
        <f>'Goals-1'!L10</f>
        <v>14</v>
      </c>
      <c r="M19" s="113">
        <f t="shared" si="3"/>
        <v>32</v>
      </c>
      <c r="N19" s="112">
        <f>'Goals-1'!N10</f>
        <v>14</v>
      </c>
      <c r="O19" s="112">
        <f>'Goals-1'!O10</f>
        <v>13</v>
      </c>
      <c r="P19" s="112">
        <f>'Goals-1'!P10</f>
        <v>18</v>
      </c>
      <c r="Q19" s="113">
        <f t="shared" si="4"/>
        <v>45</v>
      </c>
      <c r="R19" s="112">
        <f t="shared" si="5"/>
        <v>147</v>
      </c>
    </row>
    <row r="20" spans="1:29">
      <c r="A20" s="26" t="s">
        <v>90</v>
      </c>
      <c r="B20" s="112">
        <f>'Goals-1'!B13</f>
        <v>4</v>
      </c>
      <c r="C20" s="112">
        <f>'Goals-1'!C13</f>
        <v>6</v>
      </c>
      <c r="D20" s="112">
        <f>'Goals-1'!D13</f>
        <v>8</v>
      </c>
      <c r="E20" s="113">
        <f t="shared" si="1"/>
        <v>18</v>
      </c>
      <c r="F20" s="112">
        <f>'Goals-1'!F13</f>
        <v>9</v>
      </c>
      <c r="G20" s="112">
        <f>'Goals-1'!G13</f>
        <v>8</v>
      </c>
      <c r="H20" s="112">
        <f>'Goals-1'!H13</f>
        <v>8</v>
      </c>
      <c r="I20" s="113">
        <f t="shared" si="2"/>
        <v>25</v>
      </c>
      <c r="J20" s="112">
        <f>'Goals-1'!J13</f>
        <v>5</v>
      </c>
      <c r="K20" s="112">
        <f>'Goals-1'!K13</f>
        <v>13</v>
      </c>
      <c r="L20" s="112">
        <f>'Goals-1'!L13</f>
        <v>9</v>
      </c>
      <c r="M20" s="113">
        <f t="shared" si="3"/>
        <v>27</v>
      </c>
      <c r="N20" s="112">
        <f>'Goals-1'!N13</f>
        <v>9</v>
      </c>
      <c r="O20" s="112">
        <f>'Goals-1'!O13</f>
        <v>8</v>
      </c>
      <c r="P20" s="112">
        <f>'Goals-1'!P13</f>
        <v>4</v>
      </c>
      <c r="Q20" s="113">
        <f t="shared" si="4"/>
        <v>21</v>
      </c>
      <c r="R20" s="112">
        <f t="shared" si="5"/>
        <v>91</v>
      </c>
    </row>
    <row r="21" spans="1:29">
      <c r="A21" s="26" t="s">
        <v>150</v>
      </c>
      <c r="B21" s="112">
        <f>'Goals-1'!B14</f>
        <v>5</v>
      </c>
      <c r="C21" s="112">
        <f>'Goals-1'!C14</f>
        <v>7</v>
      </c>
      <c r="D21" s="112">
        <f>'Goals-1'!D14</f>
        <v>9</v>
      </c>
      <c r="E21" s="113">
        <f t="shared" si="1"/>
        <v>21</v>
      </c>
      <c r="F21" s="112">
        <f>'Goals-1'!F14</f>
        <v>10</v>
      </c>
      <c r="G21" s="112">
        <f>'Goals-1'!G14</f>
        <v>10</v>
      </c>
      <c r="H21" s="112">
        <f>'Goals-1'!H14</f>
        <v>9</v>
      </c>
      <c r="I21" s="113">
        <f t="shared" si="2"/>
        <v>29</v>
      </c>
      <c r="J21" s="112">
        <f>'Goals-1'!J14</f>
        <v>6</v>
      </c>
      <c r="K21" s="112">
        <f>'Goals-1'!K14</f>
        <v>12</v>
      </c>
      <c r="L21" s="112">
        <f>'Goals-1'!L14</f>
        <v>10</v>
      </c>
      <c r="M21" s="113">
        <f t="shared" si="3"/>
        <v>28</v>
      </c>
      <c r="N21" s="112">
        <f>'Goals-1'!N14</f>
        <v>10</v>
      </c>
      <c r="O21" s="112">
        <f>'Goals-1'!O14</f>
        <v>10</v>
      </c>
      <c r="P21" s="112">
        <f>'Goals-1'!P14</f>
        <v>6</v>
      </c>
      <c r="Q21" s="113">
        <f t="shared" si="4"/>
        <v>26</v>
      </c>
      <c r="R21" s="112">
        <f t="shared" si="5"/>
        <v>104</v>
      </c>
    </row>
    <row r="22" spans="1:29">
      <c r="A22" s="26" t="s">
        <v>64</v>
      </c>
      <c r="B22" s="112">
        <f>'Goals-1'!B19</f>
        <v>230</v>
      </c>
      <c r="C22" s="112">
        <f>'Goals-1'!C19</f>
        <v>340</v>
      </c>
      <c r="D22" s="112">
        <f>'Goals-1'!D19</f>
        <v>437</v>
      </c>
      <c r="E22" s="113">
        <f t="shared" si="1"/>
        <v>1007</v>
      </c>
      <c r="F22" s="112">
        <f>'Goals-1'!F19</f>
        <v>473</v>
      </c>
      <c r="G22" s="112">
        <f>'Goals-1'!G19</f>
        <v>452</v>
      </c>
      <c r="H22" s="112">
        <f>'Goals-1'!H19</f>
        <v>389</v>
      </c>
      <c r="I22" s="113">
        <f t="shared" si="2"/>
        <v>1314</v>
      </c>
      <c r="J22" s="112">
        <f>'Goals-1'!J19</f>
        <v>315</v>
      </c>
      <c r="K22" s="112">
        <f>'Goals-1'!K19</f>
        <v>494</v>
      </c>
      <c r="L22" s="112">
        <f>'Goals-1'!L19</f>
        <v>476</v>
      </c>
      <c r="M22" s="113">
        <f t="shared" si="3"/>
        <v>1285</v>
      </c>
      <c r="N22" s="112">
        <f>'Goals-1'!N19</f>
        <v>476</v>
      </c>
      <c r="O22" s="112">
        <f>'Goals-1'!O19</f>
        <v>455</v>
      </c>
      <c r="P22" s="112">
        <f>'Goals-1'!P19</f>
        <v>463</v>
      </c>
      <c r="Q22" s="113">
        <f t="shared" si="4"/>
        <v>1394</v>
      </c>
      <c r="R22" s="112">
        <f t="shared" si="5"/>
        <v>5000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39" t="s">
        <v>875</v>
      </c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</row>
    <row r="27" spans="1:29" ht="13.5" thickBot="1"/>
    <row r="28" spans="1:29" ht="25.5">
      <c r="B28" s="28" t="s">
        <v>642</v>
      </c>
      <c r="C28" s="28" t="s">
        <v>643</v>
      </c>
      <c r="D28" s="103" t="s">
        <v>644</v>
      </c>
      <c r="E28" s="104" t="s">
        <v>869</v>
      </c>
      <c r="F28" s="105" t="s">
        <v>645</v>
      </c>
      <c r="G28" s="28" t="s">
        <v>646</v>
      </c>
      <c r="H28" s="103" t="s">
        <v>647</v>
      </c>
      <c r="I28" s="104" t="s">
        <v>870</v>
      </c>
      <c r="J28" s="105" t="s">
        <v>648</v>
      </c>
      <c r="K28" s="28" t="s">
        <v>649</v>
      </c>
      <c r="L28" s="103" t="s">
        <v>650</v>
      </c>
      <c r="M28" s="104" t="s">
        <v>871</v>
      </c>
      <c r="N28" s="105" t="s">
        <v>651</v>
      </c>
      <c r="O28" s="28" t="s">
        <v>652</v>
      </c>
      <c r="P28" s="103" t="s">
        <v>653</v>
      </c>
      <c r="Q28" s="104" t="s">
        <v>872</v>
      </c>
      <c r="R28" s="106" t="s">
        <v>654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876</v>
      </c>
      <c r="T29" s="98" t="s">
        <v>877</v>
      </c>
      <c r="U29" s="98" t="s">
        <v>878</v>
      </c>
    </row>
    <row r="30" spans="1:29" ht="15.75">
      <c r="A30" s="26" t="s">
        <v>873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610</v>
      </c>
      <c r="X30" s="119"/>
      <c r="Y30" s="119">
        <v>22</v>
      </c>
      <c r="AA30" s="120" t="s">
        <v>609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608</v>
      </c>
      <c r="X31" s="119"/>
      <c r="Y31" s="119">
        <v>25</v>
      </c>
      <c r="AA31" s="120" t="s">
        <v>605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879</v>
      </c>
      <c r="X32" s="119"/>
      <c r="Y32" s="119">
        <v>113</v>
      </c>
      <c r="AA32" s="120" t="s">
        <v>618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609</v>
      </c>
      <c r="X33" s="119"/>
      <c r="Y33" s="119">
        <v>4</v>
      </c>
      <c r="AA33" s="120" t="s">
        <v>610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607</v>
      </c>
      <c r="X34" s="119"/>
      <c r="Y34" s="119">
        <v>198</v>
      </c>
      <c r="AA34" s="120" t="s">
        <v>614</v>
      </c>
      <c r="AB34" s="121">
        <v>44</v>
      </c>
      <c r="AC34" s="121"/>
    </row>
    <row r="35" spans="1:29" ht="15.75">
      <c r="A35" s="26" t="s">
        <v>874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618</v>
      </c>
      <c r="X35" s="119"/>
      <c r="Y35" s="119">
        <v>26</v>
      </c>
      <c r="AA35" s="120" t="s">
        <v>607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880</v>
      </c>
      <c r="X36" s="119"/>
      <c r="Y36" s="119">
        <v>147</v>
      </c>
      <c r="AA36" s="120" t="s">
        <v>608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881</v>
      </c>
      <c r="X37" s="119"/>
      <c r="Y37" s="119">
        <v>140</v>
      </c>
      <c r="AA37" s="120" t="s">
        <v>656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882</v>
      </c>
      <c r="X38" s="119"/>
      <c r="Y38" s="119">
        <v>106</v>
      </c>
      <c r="AA38" s="120" t="s">
        <v>657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616</v>
      </c>
      <c r="X39" s="119"/>
      <c r="Y39" s="119">
        <v>162</v>
      </c>
      <c r="AA39" s="120" t="s">
        <v>615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614</v>
      </c>
      <c r="X40" s="119"/>
      <c r="Y40" s="119">
        <v>28</v>
      </c>
      <c r="AA40" s="120" t="s">
        <v>613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883</v>
      </c>
      <c r="X41" s="119"/>
      <c r="Y41" s="119">
        <v>155</v>
      </c>
      <c r="AA41" s="120" t="s">
        <v>611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612</v>
      </c>
      <c r="X42" s="119"/>
      <c r="Y42" s="119">
        <v>48</v>
      </c>
      <c r="AA42" s="120" t="s">
        <v>606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617</v>
      </c>
      <c r="X43" s="119"/>
      <c r="Y43" s="119">
        <v>23</v>
      </c>
      <c r="AA43" s="120" t="s">
        <v>612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615</v>
      </c>
      <c r="X44" s="119"/>
      <c r="Y44" s="119">
        <v>9</v>
      </c>
      <c r="AA44" s="120" t="s">
        <v>617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613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884</v>
      </c>
      <c r="X46" s="119"/>
      <c r="Y46" s="119">
        <v>68</v>
      </c>
    </row>
    <row r="47" spans="1:29">
      <c r="J47" s="125"/>
      <c r="W47" s="118" t="s">
        <v>611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39" t="s">
        <v>885</v>
      </c>
      <c r="C50" s="439"/>
      <c r="D50" s="439"/>
      <c r="E50" s="439"/>
      <c r="F50" s="439"/>
      <c r="G50" s="439"/>
      <c r="H50" s="439"/>
      <c r="I50" s="439"/>
      <c r="J50" s="439"/>
      <c r="K50" s="439"/>
      <c r="L50" s="439"/>
      <c r="M50" s="439"/>
      <c r="N50" s="439"/>
      <c r="O50" s="439"/>
      <c r="P50" s="439"/>
      <c r="Q50" s="439"/>
      <c r="R50" s="439"/>
    </row>
    <row r="51" spans="1:18" ht="13.5" thickBot="1"/>
    <row r="52" spans="1:18" ht="25.5">
      <c r="B52" s="28" t="s">
        <v>642</v>
      </c>
      <c r="C52" s="28" t="s">
        <v>643</v>
      </c>
      <c r="D52" s="103" t="s">
        <v>644</v>
      </c>
      <c r="E52" s="104" t="s">
        <v>869</v>
      </c>
      <c r="F52" s="105" t="s">
        <v>645</v>
      </c>
      <c r="G52" s="28" t="s">
        <v>646</v>
      </c>
      <c r="H52" s="103" t="s">
        <v>647</v>
      </c>
      <c r="I52" s="104" t="s">
        <v>870</v>
      </c>
      <c r="J52" s="105" t="s">
        <v>648</v>
      </c>
      <c r="K52" s="28" t="s">
        <v>649</v>
      </c>
      <c r="L52" s="103" t="s">
        <v>650</v>
      </c>
      <c r="M52" s="104" t="s">
        <v>871</v>
      </c>
      <c r="N52" s="105" t="s">
        <v>651</v>
      </c>
      <c r="O52" s="28" t="s">
        <v>652</v>
      </c>
      <c r="P52" s="103" t="s">
        <v>653</v>
      </c>
      <c r="Q52" s="104" t="s">
        <v>872</v>
      </c>
      <c r="R52" s="106" t="s">
        <v>654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873</v>
      </c>
      <c r="B54" s="110">
        <f>SUM(B56:B70)</f>
        <v>362</v>
      </c>
      <c r="C54" s="110">
        <f t="shared" ref="C54:Q54" si="15">SUM(C56:C70)</f>
        <v>568</v>
      </c>
      <c r="D54" s="110">
        <f t="shared" si="15"/>
        <v>737</v>
      </c>
      <c r="E54" s="111">
        <f t="shared" si="15"/>
        <v>1667</v>
      </c>
      <c r="F54" s="110">
        <f t="shared" si="15"/>
        <v>801</v>
      </c>
      <c r="G54" s="110">
        <f t="shared" si="15"/>
        <v>763</v>
      </c>
      <c r="H54" s="110">
        <f t="shared" si="15"/>
        <v>635</v>
      </c>
      <c r="I54" s="111">
        <f t="shared" si="15"/>
        <v>2199</v>
      </c>
      <c r="J54" s="110">
        <f t="shared" si="15"/>
        <v>505</v>
      </c>
      <c r="K54" s="110">
        <f t="shared" si="15"/>
        <v>830</v>
      </c>
      <c r="L54" s="110">
        <f t="shared" si="15"/>
        <v>796</v>
      </c>
      <c r="M54" s="111">
        <f t="shared" si="15"/>
        <v>2131</v>
      </c>
      <c r="N54" s="110">
        <f t="shared" si="15"/>
        <v>779</v>
      </c>
      <c r="O54" s="110">
        <f t="shared" si="15"/>
        <v>744</v>
      </c>
      <c r="P54" s="110">
        <f t="shared" si="15"/>
        <v>755</v>
      </c>
      <c r="Q54" s="111">
        <f t="shared" si="15"/>
        <v>2278</v>
      </c>
      <c r="R54" s="110">
        <f>B54+C54+D54+F54+G54+H54+J54+K54+L54+N54+O54+P54</f>
        <v>8275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16</v>
      </c>
      <c r="C56" s="112">
        <f t="shared" ref="C56:P56" si="16">C8-C32</f>
        <v>29</v>
      </c>
      <c r="D56" s="112">
        <f t="shared" si="16"/>
        <v>37</v>
      </c>
      <c r="E56" s="188">
        <f>SUBTOTAL(9,B56:D56)</f>
        <v>82</v>
      </c>
      <c r="F56" s="112">
        <f t="shared" si="16"/>
        <v>42</v>
      </c>
      <c r="G56" s="112">
        <f t="shared" si="16"/>
        <v>40</v>
      </c>
      <c r="H56" s="112">
        <f t="shared" si="16"/>
        <v>35</v>
      </c>
      <c r="I56" s="188">
        <f>SUBTOTAL(9,F56:H56)</f>
        <v>117</v>
      </c>
      <c r="J56" s="112">
        <f t="shared" si="16"/>
        <v>18</v>
      </c>
      <c r="K56" s="112">
        <f t="shared" si="16"/>
        <v>43</v>
      </c>
      <c r="L56" s="112">
        <f t="shared" si="16"/>
        <v>40</v>
      </c>
      <c r="M56" s="188">
        <f>SUBTOTAL(9,J56:L56)</f>
        <v>101</v>
      </c>
      <c r="N56" s="112">
        <f t="shared" si="16"/>
        <v>38</v>
      </c>
      <c r="O56" s="112">
        <f t="shared" si="16"/>
        <v>36</v>
      </c>
      <c r="P56" s="112">
        <f t="shared" si="16"/>
        <v>37</v>
      </c>
      <c r="Q56" s="188">
        <f>SUBTOTAL(9,N56:P56)</f>
        <v>111</v>
      </c>
      <c r="R56" s="112">
        <f>SUBTOTAL(9,B56:Q56)</f>
        <v>411</v>
      </c>
    </row>
    <row r="57" spans="1:18">
      <c r="A57" s="26" t="s">
        <v>31</v>
      </c>
      <c r="B57" s="112">
        <f>B9-B33</f>
        <v>15</v>
      </c>
      <c r="C57" s="112">
        <f t="shared" ref="C57:P57" si="17">C9-C33</f>
        <v>27</v>
      </c>
      <c r="D57" s="112">
        <f t="shared" si="17"/>
        <v>35</v>
      </c>
      <c r="E57" s="188">
        <f t="shared" ref="E57:E70" si="18">SUBTOTAL(9,B57:D57)</f>
        <v>77</v>
      </c>
      <c r="F57" s="112">
        <f t="shared" si="17"/>
        <v>38</v>
      </c>
      <c r="G57" s="112">
        <f t="shared" si="17"/>
        <v>37</v>
      </c>
      <c r="H57" s="112">
        <f t="shared" si="17"/>
        <v>32</v>
      </c>
      <c r="I57" s="188">
        <f t="shared" ref="I57:I70" si="19">SUBTOTAL(9,F57:H57)</f>
        <v>107</v>
      </c>
      <c r="J57" s="112">
        <f t="shared" si="17"/>
        <v>17</v>
      </c>
      <c r="K57" s="112">
        <f t="shared" si="17"/>
        <v>42</v>
      </c>
      <c r="L57" s="112">
        <f t="shared" si="17"/>
        <v>37</v>
      </c>
      <c r="M57" s="188">
        <f t="shared" ref="M57:M70" si="20">SUBTOTAL(9,J57:L57)</f>
        <v>96</v>
      </c>
      <c r="N57" s="112">
        <f t="shared" si="17"/>
        <v>35</v>
      </c>
      <c r="O57" s="112">
        <f t="shared" si="17"/>
        <v>34</v>
      </c>
      <c r="P57" s="112">
        <f t="shared" si="17"/>
        <v>34</v>
      </c>
      <c r="Q57" s="188">
        <f t="shared" ref="Q57:Q70" si="21">SUBTOTAL(9,N57:P57)</f>
        <v>103</v>
      </c>
      <c r="R57" s="112">
        <f t="shared" ref="R57:R70" si="22">SUBTOTAL(9,B57:Q57)</f>
        <v>383</v>
      </c>
    </row>
    <row r="58" spans="1:18">
      <c r="A58" s="26" t="s">
        <v>143</v>
      </c>
      <c r="B58" s="112">
        <f>B10-B34</f>
        <v>12</v>
      </c>
      <c r="C58" s="112">
        <f t="shared" ref="C58:P58" si="23">C10-C34</f>
        <v>21</v>
      </c>
      <c r="D58" s="112">
        <f t="shared" si="23"/>
        <v>28</v>
      </c>
      <c r="E58" s="188">
        <f t="shared" si="18"/>
        <v>61</v>
      </c>
      <c r="F58" s="112">
        <f t="shared" si="23"/>
        <v>31</v>
      </c>
      <c r="G58" s="112">
        <f t="shared" si="23"/>
        <v>30</v>
      </c>
      <c r="H58" s="112">
        <f t="shared" si="23"/>
        <v>26</v>
      </c>
      <c r="I58" s="188">
        <f t="shared" si="19"/>
        <v>87</v>
      </c>
      <c r="J58" s="112">
        <f t="shared" si="23"/>
        <v>13</v>
      </c>
      <c r="K58" s="112">
        <f t="shared" si="23"/>
        <v>30</v>
      </c>
      <c r="L58" s="112">
        <f t="shared" si="23"/>
        <v>30</v>
      </c>
      <c r="M58" s="188">
        <f t="shared" si="20"/>
        <v>73</v>
      </c>
      <c r="N58" s="112">
        <f t="shared" si="23"/>
        <v>28</v>
      </c>
      <c r="O58" s="112">
        <f t="shared" si="23"/>
        <v>27</v>
      </c>
      <c r="P58" s="112">
        <f t="shared" si="23"/>
        <v>28</v>
      </c>
      <c r="Q58" s="188">
        <f t="shared" si="21"/>
        <v>83</v>
      </c>
      <c r="R58" s="112">
        <f t="shared" si="22"/>
        <v>304</v>
      </c>
    </row>
    <row r="59" spans="1:18">
      <c r="A59" s="26" t="s">
        <v>874</v>
      </c>
      <c r="B59" s="112">
        <f>B11-B35</f>
        <v>31</v>
      </c>
      <c r="C59" s="112">
        <f t="shared" ref="C59:P59" si="24">C11-C35</f>
        <v>53</v>
      </c>
      <c r="D59" s="112">
        <f t="shared" si="24"/>
        <v>69</v>
      </c>
      <c r="E59" s="188">
        <f t="shared" si="18"/>
        <v>153</v>
      </c>
      <c r="F59" s="112">
        <f t="shared" si="24"/>
        <v>73</v>
      </c>
      <c r="G59" s="112">
        <f t="shared" si="24"/>
        <v>66</v>
      </c>
      <c r="H59" s="112">
        <f t="shared" si="24"/>
        <v>31</v>
      </c>
      <c r="I59" s="188">
        <f t="shared" si="19"/>
        <v>170</v>
      </c>
      <c r="J59" s="112">
        <f t="shared" si="24"/>
        <v>77</v>
      </c>
      <c r="K59" s="112">
        <f t="shared" si="24"/>
        <v>74</v>
      </c>
      <c r="L59" s="112">
        <f t="shared" si="24"/>
        <v>74</v>
      </c>
      <c r="M59" s="188">
        <f t="shared" si="20"/>
        <v>225</v>
      </c>
      <c r="N59" s="112">
        <f t="shared" si="24"/>
        <v>70</v>
      </c>
      <c r="O59" s="112">
        <f t="shared" si="24"/>
        <v>67</v>
      </c>
      <c r="P59" s="112">
        <f t="shared" si="24"/>
        <v>69</v>
      </c>
      <c r="Q59" s="188">
        <f t="shared" si="21"/>
        <v>206</v>
      </c>
      <c r="R59" s="112">
        <f t="shared" si="22"/>
        <v>754</v>
      </c>
    </row>
    <row r="60" spans="1:18">
      <c r="A60" s="26" t="s">
        <v>27</v>
      </c>
      <c r="B60" s="112">
        <f>B12-B36</f>
        <v>18</v>
      </c>
      <c r="C60" s="112">
        <f t="shared" ref="C60:P60" si="25">C12-C36</f>
        <v>31</v>
      </c>
      <c r="D60" s="112">
        <f t="shared" si="25"/>
        <v>41</v>
      </c>
      <c r="E60" s="188">
        <f t="shared" si="18"/>
        <v>90</v>
      </c>
      <c r="F60" s="112">
        <f t="shared" si="25"/>
        <v>45</v>
      </c>
      <c r="G60" s="112">
        <f t="shared" si="25"/>
        <v>43</v>
      </c>
      <c r="H60" s="112">
        <f t="shared" si="25"/>
        <v>39</v>
      </c>
      <c r="I60" s="188">
        <f t="shared" si="19"/>
        <v>127</v>
      </c>
      <c r="J60" s="112">
        <f t="shared" si="25"/>
        <v>19</v>
      </c>
      <c r="K60" s="112">
        <f t="shared" si="25"/>
        <v>45</v>
      </c>
      <c r="L60" s="112">
        <f t="shared" si="25"/>
        <v>43</v>
      </c>
      <c r="M60" s="188">
        <f t="shared" si="20"/>
        <v>107</v>
      </c>
      <c r="N60" s="112">
        <f t="shared" si="25"/>
        <v>40</v>
      </c>
      <c r="O60" s="112">
        <f t="shared" si="25"/>
        <v>38</v>
      </c>
      <c r="P60" s="112">
        <f t="shared" si="25"/>
        <v>42</v>
      </c>
      <c r="Q60" s="188">
        <f t="shared" si="21"/>
        <v>120</v>
      </c>
      <c r="R60" s="112">
        <f t="shared" si="22"/>
        <v>444</v>
      </c>
    </row>
    <row r="61" spans="1:18">
      <c r="A61" s="26" t="s">
        <v>37</v>
      </c>
      <c r="B61" s="112">
        <f t="shared" ref="B61:P70" si="26">B13-B37</f>
        <v>5</v>
      </c>
      <c r="C61" s="112">
        <f t="shared" si="26"/>
        <v>8</v>
      </c>
      <c r="D61" s="112">
        <f t="shared" si="26"/>
        <v>10</v>
      </c>
      <c r="E61" s="188">
        <f t="shared" si="18"/>
        <v>23</v>
      </c>
      <c r="F61" s="112">
        <f t="shared" si="26"/>
        <v>11</v>
      </c>
      <c r="G61" s="112">
        <f t="shared" si="26"/>
        <v>11</v>
      </c>
      <c r="H61" s="112">
        <f t="shared" si="26"/>
        <v>10</v>
      </c>
      <c r="I61" s="188">
        <f t="shared" si="19"/>
        <v>32</v>
      </c>
      <c r="J61" s="112">
        <f t="shared" si="26"/>
        <v>6</v>
      </c>
      <c r="K61" s="112">
        <f t="shared" si="26"/>
        <v>11</v>
      </c>
      <c r="L61" s="112">
        <f t="shared" si="26"/>
        <v>11</v>
      </c>
      <c r="M61" s="188">
        <f t="shared" si="20"/>
        <v>28</v>
      </c>
      <c r="N61" s="112">
        <f t="shared" si="26"/>
        <v>10</v>
      </c>
      <c r="O61" s="112">
        <f t="shared" si="26"/>
        <v>10</v>
      </c>
      <c r="P61" s="112">
        <f t="shared" si="26"/>
        <v>11</v>
      </c>
      <c r="Q61" s="188">
        <f t="shared" si="21"/>
        <v>31</v>
      </c>
      <c r="R61" s="112">
        <f t="shared" si="22"/>
        <v>114</v>
      </c>
    </row>
    <row r="62" spans="1:18">
      <c r="A62" s="26" t="s">
        <v>66</v>
      </c>
      <c r="B62" s="112">
        <f t="shared" si="26"/>
        <v>7</v>
      </c>
      <c r="C62" s="112">
        <f t="shared" si="26"/>
        <v>11</v>
      </c>
      <c r="D62" s="112">
        <f t="shared" si="26"/>
        <v>16</v>
      </c>
      <c r="E62" s="188">
        <f t="shared" si="18"/>
        <v>34</v>
      </c>
      <c r="F62" s="112">
        <f t="shared" si="26"/>
        <v>17</v>
      </c>
      <c r="G62" s="112">
        <f t="shared" si="26"/>
        <v>16</v>
      </c>
      <c r="H62" s="112">
        <f t="shared" si="26"/>
        <v>14</v>
      </c>
      <c r="I62" s="188">
        <f t="shared" si="19"/>
        <v>47</v>
      </c>
      <c r="J62" s="112">
        <f t="shared" si="26"/>
        <v>7</v>
      </c>
      <c r="K62" s="112">
        <f t="shared" si="26"/>
        <v>16</v>
      </c>
      <c r="L62" s="112">
        <f t="shared" si="26"/>
        <v>17</v>
      </c>
      <c r="M62" s="188">
        <f t="shared" si="20"/>
        <v>40</v>
      </c>
      <c r="N62" s="112">
        <f t="shared" si="26"/>
        <v>16</v>
      </c>
      <c r="O62" s="112">
        <f t="shared" si="26"/>
        <v>15</v>
      </c>
      <c r="P62" s="112">
        <f t="shared" si="26"/>
        <v>18</v>
      </c>
      <c r="Q62" s="188">
        <f t="shared" si="21"/>
        <v>49</v>
      </c>
      <c r="R62" s="112">
        <f t="shared" si="22"/>
        <v>170</v>
      </c>
    </row>
    <row r="63" spans="1:18">
      <c r="A63" s="26" t="s">
        <v>43</v>
      </c>
      <c r="B63" s="112">
        <f t="shared" si="26"/>
        <v>8</v>
      </c>
      <c r="C63" s="112">
        <f t="shared" si="26"/>
        <v>12</v>
      </c>
      <c r="D63" s="112">
        <f t="shared" si="26"/>
        <v>17</v>
      </c>
      <c r="E63" s="188">
        <f t="shared" si="18"/>
        <v>37</v>
      </c>
      <c r="F63" s="112">
        <f t="shared" si="26"/>
        <v>18</v>
      </c>
      <c r="G63" s="112">
        <f t="shared" si="26"/>
        <v>18</v>
      </c>
      <c r="H63" s="112">
        <f t="shared" si="26"/>
        <v>15</v>
      </c>
      <c r="I63" s="188">
        <f t="shared" si="19"/>
        <v>51</v>
      </c>
      <c r="J63" s="112">
        <f t="shared" si="26"/>
        <v>9</v>
      </c>
      <c r="K63" s="112">
        <f t="shared" si="26"/>
        <v>22</v>
      </c>
      <c r="L63" s="112">
        <f t="shared" si="26"/>
        <v>18</v>
      </c>
      <c r="M63" s="188">
        <f t="shared" si="20"/>
        <v>49</v>
      </c>
      <c r="N63" s="112">
        <f t="shared" si="26"/>
        <v>17</v>
      </c>
      <c r="O63" s="112">
        <f t="shared" si="26"/>
        <v>17</v>
      </c>
      <c r="P63" s="112">
        <f t="shared" si="26"/>
        <v>14</v>
      </c>
      <c r="Q63" s="188">
        <f t="shared" si="21"/>
        <v>48</v>
      </c>
      <c r="R63" s="112">
        <f t="shared" si="22"/>
        <v>185</v>
      </c>
    </row>
    <row r="64" spans="1:18">
      <c r="A64" s="26" t="s">
        <v>85</v>
      </c>
      <c r="B64" s="112">
        <f t="shared" si="26"/>
        <v>5</v>
      </c>
      <c r="C64" s="112">
        <f t="shared" si="26"/>
        <v>9</v>
      </c>
      <c r="D64" s="112">
        <f t="shared" si="26"/>
        <v>12</v>
      </c>
      <c r="E64" s="188">
        <f t="shared" si="18"/>
        <v>26</v>
      </c>
      <c r="F64" s="112">
        <f t="shared" si="26"/>
        <v>13</v>
      </c>
      <c r="G64" s="112">
        <f t="shared" si="26"/>
        <v>12</v>
      </c>
      <c r="H64" s="112">
        <f t="shared" si="26"/>
        <v>11</v>
      </c>
      <c r="I64" s="188">
        <f t="shared" si="19"/>
        <v>36</v>
      </c>
      <c r="J64" s="112">
        <f t="shared" si="26"/>
        <v>6</v>
      </c>
      <c r="K64" s="112">
        <f t="shared" si="26"/>
        <v>14</v>
      </c>
      <c r="L64" s="112">
        <f t="shared" si="26"/>
        <v>13</v>
      </c>
      <c r="M64" s="188">
        <f t="shared" si="20"/>
        <v>33</v>
      </c>
      <c r="N64" s="112">
        <f t="shared" si="26"/>
        <v>12</v>
      </c>
      <c r="O64" s="112">
        <f t="shared" si="26"/>
        <v>11</v>
      </c>
      <c r="P64" s="112">
        <f t="shared" si="26"/>
        <v>10</v>
      </c>
      <c r="Q64" s="188">
        <f t="shared" si="21"/>
        <v>33</v>
      </c>
      <c r="R64" s="112">
        <f t="shared" si="22"/>
        <v>128</v>
      </c>
    </row>
    <row r="65" spans="1:18">
      <c r="A65" s="26" t="s">
        <v>51</v>
      </c>
      <c r="B65" s="112">
        <f t="shared" si="26"/>
        <v>3</v>
      </c>
      <c r="C65" s="112">
        <f t="shared" si="26"/>
        <v>6</v>
      </c>
      <c r="D65" s="112">
        <f t="shared" si="26"/>
        <v>8</v>
      </c>
      <c r="E65" s="188">
        <f t="shared" si="18"/>
        <v>17</v>
      </c>
      <c r="F65" s="112">
        <f t="shared" si="26"/>
        <v>9</v>
      </c>
      <c r="G65" s="112">
        <f t="shared" si="26"/>
        <v>9</v>
      </c>
      <c r="H65" s="112">
        <f t="shared" si="26"/>
        <v>8</v>
      </c>
      <c r="I65" s="188">
        <f t="shared" si="19"/>
        <v>26</v>
      </c>
      <c r="J65" s="112">
        <f t="shared" si="26"/>
        <v>4</v>
      </c>
      <c r="K65" s="112">
        <f t="shared" si="26"/>
        <v>9</v>
      </c>
      <c r="L65" s="112">
        <f t="shared" si="26"/>
        <v>8</v>
      </c>
      <c r="M65" s="188">
        <f t="shared" si="20"/>
        <v>21</v>
      </c>
      <c r="N65" s="112">
        <f t="shared" si="26"/>
        <v>8</v>
      </c>
      <c r="O65" s="112">
        <f t="shared" si="26"/>
        <v>8</v>
      </c>
      <c r="P65" s="112">
        <f t="shared" si="26"/>
        <v>6</v>
      </c>
      <c r="Q65" s="188">
        <f t="shared" si="21"/>
        <v>22</v>
      </c>
      <c r="R65" s="112">
        <f t="shared" si="22"/>
        <v>86</v>
      </c>
    </row>
    <row r="66" spans="1:18">
      <c r="A66" s="26" t="s">
        <v>59</v>
      </c>
      <c r="B66" s="112">
        <f t="shared" si="26"/>
        <v>3</v>
      </c>
      <c r="C66" s="112">
        <f t="shared" si="26"/>
        <v>6</v>
      </c>
      <c r="D66" s="112">
        <f t="shared" si="26"/>
        <v>7</v>
      </c>
      <c r="E66" s="188">
        <f t="shared" si="18"/>
        <v>16</v>
      </c>
      <c r="F66" s="112">
        <f t="shared" si="26"/>
        <v>8</v>
      </c>
      <c r="G66" s="112">
        <f t="shared" si="26"/>
        <v>7</v>
      </c>
      <c r="H66" s="112">
        <f t="shared" si="26"/>
        <v>6</v>
      </c>
      <c r="I66" s="188">
        <f t="shared" si="19"/>
        <v>21</v>
      </c>
      <c r="J66" s="112">
        <f t="shared" si="26"/>
        <v>4</v>
      </c>
      <c r="K66" s="112">
        <f t="shared" si="26"/>
        <v>7</v>
      </c>
      <c r="L66" s="112">
        <f t="shared" si="26"/>
        <v>8</v>
      </c>
      <c r="M66" s="188">
        <f t="shared" si="20"/>
        <v>19</v>
      </c>
      <c r="N66" s="112">
        <f t="shared" si="26"/>
        <v>8</v>
      </c>
      <c r="O66" s="112">
        <f t="shared" si="26"/>
        <v>7</v>
      </c>
      <c r="P66" s="112">
        <f t="shared" si="26"/>
        <v>7</v>
      </c>
      <c r="Q66" s="188">
        <f t="shared" si="21"/>
        <v>22</v>
      </c>
      <c r="R66" s="112">
        <f t="shared" si="22"/>
        <v>78</v>
      </c>
    </row>
    <row r="67" spans="1:18">
      <c r="A67" s="26" t="s">
        <v>23</v>
      </c>
      <c r="B67" s="112">
        <f t="shared" si="26"/>
        <v>4</v>
      </c>
      <c r="C67" s="112">
        <f t="shared" si="26"/>
        <v>6</v>
      </c>
      <c r="D67" s="112">
        <f t="shared" si="26"/>
        <v>8</v>
      </c>
      <c r="E67" s="188">
        <f t="shared" si="18"/>
        <v>18</v>
      </c>
      <c r="F67" s="112">
        <f t="shared" si="26"/>
        <v>10</v>
      </c>
      <c r="G67" s="112">
        <f t="shared" si="26"/>
        <v>10</v>
      </c>
      <c r="H67" s="112">
        <f t="shared" si="26"/>
        <v>8</v>
      </c>
      <c r="I67" s="188">
        <f t="shared" si="19"/>
        <v>28</v>
      </c>
      <c r="J67" s="112">
        <f t="shared" si="26"/>
        <v>4</v>
      </c>
      <c r="K67" s="112">
        <f t="shared" si="26"/>
        <v>5</v>
      </c>
      <c r="L67" s="112">
        <f t="shared" si="26"/>
        <v>9</v>
      </c>
      <c r="M67" s="188">
        <f t="shared" si="20"/>
        <v>18</v>
      </c>
      <c r="N67" s="112">
        <f t="shared" si="26"/>
        <v>9</v>
      </c>
      <c r="O67" s="112">
        <f t="shared" si="26"/>
        <v>8</v>
      </c>
      <c r="P67" s="112">
        <f t="shared" si="26"/>
        <v>13</v>
      </c>
      <c r="Q67" s="188">
        <f t="shared" si="21"/>
        <v>30</v>
      </c>
      <c r="R67" s="112">
        <f t="shared" si="22"/>
        <v>94</v>
      </c>
    </row>
    <row r="68" spans="1:18">
      <c r="A68" s="26" t="s">
        <v>90</v>
      </c>
      <c r="B68" s="112">
        <f t="shared" si="26"/>
        <v>3</v>
      </c>
      <c r="C68" s="112">
        <f t="shared" si="26"/>
        <v>5</v>
      </c>
      <c r="D68" s="112">
        <f t="shared" si="26"/>
        <v>7</v>
      </c>
      <c r="E68" s="188">
        <f t="shared" si="18"/>
        <v>15</v>
      </c>
      <c r="F68" s="112">
        <f t="shared" si="26"/>
        <v>8</v>
      </c>
      <c r="G68" s="112">
        <f t="shared" si="26"/>
        <v>7</v>
      </c>
      <c r="H68" s="112">
        <f t="shared" si="26"/>
        <v>7</v>
      </c>
      <c r="I68" s="188">
        <f t="shared" si="19"/>
        <v>22</v>
      </c>
      <c r="J68" s="112">
        <f t="shared" si="26"/>
        <v>4</v>
      </c>
      <c r="K68" s="112">
        <f t="shared" si="26"/>
        <v>11</v>
      </c>
      <c r="L68" s="112">
        <f t="shared" si="26"/>
        <v>7</v>
      </c>
      <c r="M68" s="188">
        <f t="shared" si="20"/>
        <v>22</v>
      </c>
      <c r="N68" s="112">
        <f t="shared" si="26"/>
        <v>7</v>
      </c>
      <c r="O68" s="112">
        <f t="shared" si="26"/>
        <v>6</v>
      </c>
      <c r="P68" s="112">
        <f t="shared" si="26"/>
        <v>2</v>
      </c>
      <c r="Q68" s="188">
        <f t="shared" si="21"/>
        <v>15</v>
      </c>
      <c r="R68" s="112">
        <f t="shared" si="22"/>
        <v>74</v>
      </c>
    </row>
    <row r="69" spans="1:18">
      <c r="A69" s="26" t="s">
        <v>150</v>
      </c>
      <c r="B69" s="112">
        <f t="shared" si="26"/>
        <v>4</v>
      </c>
      <c r="C69" s="112">
        <f t="shared" si="26"/>
        <v>6</v>
      </c>
      <c r="D69" s="112">
        <f t="shared" si="26"/>
        <v>7</v>
      </c>
      <c r="E69" s="188">
        <f t="shared" si="18"/>
        <v>17</v>
      </c>
      <c r="F69" s="112">
        <f t="shared" si="26"/>
        <v>8</v>
      </c>
      <c r="G69" s="112">
        <f t="shared" si="26"/>
        <v>8</v>
      </c>
      <c r="H69" s="112">
        <f t="shared" si="26"/>
        <v>7</v>
      </c>
      <c r="I69" s="188">
        <f t="shared" si="19"/>
        <v>23</v>
      </c>
      <c r="J69" s="112">
        <f t="shared" si="26"/>
        <v>4</v>
      </c>
      <c r="K69" s="112">
        <f t="shared" si="26"/>
        <v>10</v>
      </c>
      <c r="L69" s="112">
        <f t="shared" si="26"/>
        <v>8</v>
      </c>
      <c r="M69" s="188">
        <f t="shared" si="20"/>
        <v>22</v>
      </c>
      <c r="N69" s="112">
        <f t="shared" si="26"/>
        <v>8</v>
      </c>
      <c r="O69" s="112">
        <f t="shared" si="26"/>
        <v>8</v>
      </c>
      <c r="P69" s="112">
        <f t="shared" si="26"/>
        <v>4</v>
      </c>
      <c r="Q69" s="188">
        <f t="shared" si="21"/>
        <v>20</v>
      </c>
      <c r="R69" s="112">
        <f t="shared" si="22"/>
        <v>82</v>
      </c>
    </row>
    <row r="70" spans="1:18">
      <c r="A70" s="26" t="s">
        <v>64</v>
      </c>
      <c r="B70" s="112">
        <f t="shared" si="26"/>
        <v>228</v>
      </c>
      <c r="C70" s="112">
        <f t="shared" si="26"/>
        <v>338</v>
      </c>
      <c r="D70" s="112">
        <f t="shared" si="26"/>
        <v>435</v>
      </c>
      <c r="E70" s="188">
        <f t="shared" si="18"/>
        <v>1001</v>
      </c>
      <c r="F70" s="112">
        <f t="shared" si="26"/>
        <v>470</v>
      </c>
      <c r="G70" s="112">
        <f t="shared" si="26"/>
        <v>449</v>
      </c>
      <c r="H70" s="112">
        <f t="shared" si="26"/>
        <v>386</v>
      </c>
      <c r="I70" s="188">
        <f t="shared" si="19"/>
        <v>1305</v>
      </c>
      <c r="J70" s="112">
        <f t="shared" si="26"/>
        <v>313</v>
      </c>
      <c r="K70" s="112">
        <f t="shared" si="26"/>
        <v>491</v>
      </c>
      <c r="L70" s="112">
        <f t="shared" si="26"/>
        <v>473</v>
      </c>
      <c r="M70" s="188">
        <f t="shared" si="20"/>
        <v>1277</v>
      </c>
      <c r="N70" s="112">
        <f t="shared" si="26"/>
        <v>473</v>
      </c>
      <c r="O70" s="112">
        <f t="shared" si="26"/>
        <v>452</v>
      </c>
      <c r="P70" s="112">
        <f t="shared" si="26"/>
        <v>460</v>
      </c>
      <c r="Q70" s="188">
        <f t="shared" si="21"/>
        <v>1385</v>
      </c>
      <c r="R70" s="112">
        <f t="shared" si="22"/>
        <v>4968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39" t="s">
        <v>886</v>
      </c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39"/>
      <c r="R74" s="439"/>
    </row>
    <row r="75" spans="1:18" ht="13.5" thickBot="1"/>
    <row r="76" spans="1:18" ht="25.5">
      <c r="B76" s="28" t="s">
        <v>642</v>
      </c>
      <c r="C76" s="28" t="s">
        <v>643</v>
      </c>
      <c r="D76" s="103" t="s">
        <v>644</v>
      </c>
      <c r="E76" s="104" t="s">
        <v>869</v>
      </c>
      <c r="F76" s="105" t="s">
        <v>645</v>
      </c>
      <c r="G76" s="28" t="s">
        <v>646</v>
      </c>
      <c r="H76" s="103" t="s">
        <v>647</v>
      </c>
      <c r="I76" s="104" t="s">
        <v>870</v>
      </c>
      <c r="J76" s="105" t="s">
        <v>648</v>
      </c>
      <c r="K76" s="28" t="s">
        <v>649</v>
      </c>
      <c r="L76" s="103" t="s">
        <v>650</v>
      </c>
      <c r="M76" s="104" t="s">
        <v>871</v>
      </c>
      <c r="N76" s="105" t="s">
        <v>651</v>
      </c>
      <c r="O76" s="28" t="s">
        <v>652</v>
      </c>
      <c r="P76" s="103" t="s">
        <v>653</v>
      </c>
      <c r="Q76" s="104" t="s">
        <v>872</v>
      </c>
      <c r="R76" s="106" t="s">
        <v>654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873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178</v>
      </c>
      <c r="K78" s="110">
        <f t="shared" si="27"/>
        <v>0</v>
      </c>
      <c r="L78" s="110">
        <f t="shared" si="27"/>
        <v>0</v>
      </c>
      <c r="M78" s="111">
        <f t="shared" si="27"/>
        <v>178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178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IF(RptMonth=B$76,SUMIF(Council_Data!$D$4:$D$818,$A80,Council_Data!$H$4:$H$818),"")</f>
        <v/>
      </c>
      <c r="C80" s="98" t="str">
        <f>IF(RptMonth=C$76,SUMIF(Council_Data!$D$4:$D$818,$A80,Council_Data!$H$4:$H$818),"")</f>
        <v/>
      </c>
      <c r="D80" s="98" t="str">
        <f>IF(RptMonth=D$76,SUMIF(Council_Data!$D$4:$D$818,$A80,Council_Data!$H$4:$H$818),"")</f>
        <v/>
      </c>
      <c r="E80" s="189">
        <f>SUBTOTAL(9,B80:D80)</f>
        <v>0</v>
      </c>
      <c r="F80" s="127" t="str">
        <f>IF(RptMonth=F$76,SUMIF(Council_Data!$D$4:$D$818,$A80,Council_Data!$H$4:$H$818),"")</f>
        <v/>
      </c>
      <c r="G80" s="127" t="str">
        <f>IF(RptMonth=G$76,SUMIF(Council_Data!$D$4:$D$818,$A80,Council_Data!$H$4:$H$818),"")</f>
        <v/>
      </c>
      <c r="H80" s="127" t="str">
        <f>IF(RptMonth=H$76,SUMIF(Council_Data!$D$4:$D$818,$A80,Council_Data!$H$4:$H$818),"")</f>
        <v/>
      </c>
      <c r="I80" s="189">
        <f>SUBTOTAL(9,F80:H80)</f>
        <v>0</v>
      </c>
      <c r="J80" s="127">
        <f>IF(RptMonth=J$76,SUMIF(Council_Data!$D$4:$D$818,$A80,Council_Data!$H$4:$H$818),"")</f>
        <v>5</v>
      </c>
      <c r="K80" s="127" t="str">
        <f>IF(RptMonth=K$76,SUMIF(Council_Data!$D$4:$D$818,$A80,Council_Data!$H$4:$H$818),"")</f>
        <v/>
      </c>
      <c r="L80" s="127" t="str">
        <f>IF(RptMonth=L$76,SUMIF(Council_Data!$D$4:$D$818,$A80,Council_Data!$H$4:$H$818),"")</f>
        <v/>
      </c>
      <c r="M80" s="189">
        <f>SUBTOTAL(9,J80:L80)</f>
        <v>5</v>
      </c>
      <c r="N80" s="127" t="str">
        <f>IF(RptMonth=N$76,SUMIF(Council_Data!$D$4:$D$818,$A80,Council_Data!$H$4:$H$818),"")</f>
        <v/>
      </c>
      <c r="O80" s="98" t="str">
        <f>IF(RptMonth=O$76,SUMIF(Council_Data!$D$4:$D$818,$A80,Council_Data!$H$4:$H$818),"")</f>
        <v/>
      </c>
      <c r="P80" s="127" t="str">
        <f>IF(RptMonth=P$76,SUMIF(Council_Data!$D$4:$D$818,$A80,Council_Data!$H$4:$H$818),"")</f>
        <v/>
      </c>
      <c r="Q80" s="189">
        <f>SUBTOTAL(9,N80:P80)</f>
        <v>0</v>
      </c>
      <c r="R80" s="191">
        <f>SUBTOTAL(9,B80:Q80)</f>
        <v>5</v>
      </c>
    </row>
    <row r="81" spans="1:18">
      <c r="A81" s="26" t="s">
        <v>31</v>
      </c>
      <c r="B81" s="98" t="str">
        <f>IF(RptMonth=B$76,SUMIF(Council_Data!$D$4:$D$818,$A81,Council_Data!$H$4:$H$818),"")</f>
        <v/>
      </c>
      <c r="C81" s="98" t="str">
        <f>IF(RptMonth=C$76,SUMIF(Council_Data!$D$4:$D$818,$A81,Council_Data!$H$4:$H$818),"")</f>
        <v/>
      </c>
      <c r="D81" s="98" t="str">
        <f>IF(RptMonth=D$76,SUMIF(Council_Data!$D$4:$D$818,$A81,Council_Data!$H$4:$H$818),"")</f>
        <v/>
      </c>
      <c r="E81" s="189">
        <f t="shared" ref="E81:E94" si="28">SUBTOTAL(9,B81:D81)</f>
        <v>0</v>
      </c>
      <c r="F81" s="127" t="str">
        <f>IF(RptMonth=F$76,SUMIF(Council_Data!$D$4:$D$818,$A81,Council_Data!$H$4:$H$818),"")</f>
        <v/>
      </c>
      <c r="G81" s="127" t="str">
        <f>IF(RptMonth=G$76,SUMIF(Council_Data!$D$4:$D$818,$A81,Council_Data!$H$4:$H$818),"")</f>
        <v/>
      </c>
      <c r="H81" s="127" t="str">
        <f>IF(RptMonth=H$76,SUMIF(Council_Data!$D$4:$D$818,$A81,Council_Data!$H$4:$H$818),"")</f>
        <v/>
      </c>
      <c r="I81" s="189">
        <f t="shared" ref="I81:I94" si="29">SUBTOTAL(9,F81:H81)</f>
        <v>0</v>
      </c>
      <c r="J81" s="127">
        <f>IF(RptMonth=J$76,SUMIF(Council_Data!$D$4:$D$818,$A81,Council_Data!$H$4:$H$818),"")</f>
        <v>66</v>
      </c>
      <c r="K81" s="127" t="str">
        <f>IF(RptMonth=K$76,SUMIF(Council_Data!$D$4:$D$818,$A81,Council_Data!$H$4:$H$818),"")</f>
        <v/>
      </c>
      <c r="L81" s="127" t="str">
        <f>IF(RptMonth=L$76,SUMIF(Council_Data!$D$4:$D$818,$A81,Council_Data!$H$4:$H$818),"")</f>
        <v/>
      </c>
      <c r="M81" s="189">
        <f t="shared" ref="M81:M94" si="30">SUBTOTAL(9,J81:L81)</f>
        <v>66</v>
      </c>
      <c r="N81" s="127" t="str">
        <f>IF(RptMonth=N$76,SUMIF(Council_Data!$D$4:$D$818,$A81,Council_Data!$H$4:$H$818),"")</f>
        <v/>
      </c>
      <c r="O81" s="98" t="str">
        <f>IF(RptMonth=O$76,SUMIF(Council_Data!$D$4:$D$818,$A81,Council_Data!$H$4:$H$818),"")</f>
        <v/>
      </c>
      <c r="P81" s="127" t="str">
        <f>IF(RptMonth=P$76,SUMIF(Council_Data!$D$4:$D$818,$A81,Council_Data!$H$4:$H$818),"")</f>
        <v/>
      </c>
      <c r="Q81" s="189">
        <f t="shared" ref="Q81:Q94" si="31">SUBTOTAL(9,N81:P81)</f>
        <v>0</v>
      </c>
      <c r="R81" s="191">
        <f t="shared" ref="R81:R94" si="32">SUBTOTAL(9,B81:Q81)</f>
        <v>66</v>
      </c>
    </row>
    <row r="82" spans="1:18">
      <c r="A82" s="26" t="s">
        <v>143</v>
      </c>
      <c r="B82" s="98" t="str">
        <f>IF(RptMonth=B$76,SUMIF(Council_Data!$D$4:$D$818,$A82,Council_Data!$H$4:$H$818),"")</f>
        <v/>
      </c>
      <c r="C82" s="98" t="str">
        <f>IF(RptMonth=C$76,SUMIF(Council_Data!$D$4:$D$818,$A82,Council_Data!$H$4:$H$818),"")</f>
        <v/>
      </c>
      <c r="D82" s="98" t="str">
        <f>IF(RptMonth=D$76,SUMIF(Council_Data!$D$4:$D$818,$A82,Council_Data!$H$4:$H$818),"")</f>
        <v/>
      </c>
      <c r="E82" s="189">
        <f t="shared" si="28"/>
        <v>0</v>
      </c>
      <c r="F82" s="127" t="str">
        <f>IF(RptMonth=F$76,SUMIF(Council_Data!$D$4:$D$818,$A82,Council_Data!$H$4:$H$818),"")</f>
        <v/>
      </c>
      <c r="G82" s="127" t="str">
        <f>IF(RptMonth=G$76,SUMIF(Council_Data!$D$4:$D$818,$A82,Council_Data!$H$4:$H$818),"")</f>
        <v/>
      </c>
      <c r="H82" s="127" t="str">
        <f>IF(RptMonth=H$76,SUMIF(Council_Data!$D$4:$D$818,$A82,Council_Data!$H$4:$H$818),"")</f>
        <v/>
      </c>
      <c r="I82" s="189">
        <f t="shared" si="29"/>
        <v>0</v>
      </c>
      <c r="J82" s="127">
        <f>IF(RptMonth=J$76,SUMIF(Council_Data!$D$4:$D$818,$A82,Council_Data!$H$4:$H$818),"")</f>
        <v>10</v>
      </c>
      <c r="K82" s="127" t="str">
        <f>IF(RptMonth=K$76,SUMIF(Council_Data!$D$4:$D$818,$A82,Council_Data!$H$4:$H$818),"")</f>
        <v/>
      </c>
      <c r="L82" s="127" t="str">
        <f>IF(RptMonth=L$76,SUMIF(Council_Data!$D$4:$D$818,$A82,Council_Data!$H$4:$H$818),"")</f>
        <v/>
      </c>
      <c r="M82" s="189">
        <f t="shared" si="30"/>
        <v>10</v>
      </c>
      <c r="N82" s="127" t="str">
        <f>IF(RptMonth=N$76,SUMIF(Council_Data!$D$4:$D$818,$A82,Council_Data!$H$4:$H$818),"")</f>
        <v/>
      </c>
      <c r="O82" s="98" t="str">
        <f>IF(RptMonth=O$76,SUMIF(Council_Data!$D$4:$D$818,$A82,Council_Data!$H$4:$H$818),"")</f>
        <v/>
      </c>
      <c r="P82" s="127" t="str">
        <f>IF(RptMonth=P$76,SUMIF(Council_Data!$D$4:$D$818,$A82,Council_Data!$H$4:$H$818),"")</f>
        <v/>
      </c>
      <c r="Q82" s="189">
        <f t="shared" si="31"/>
        <v>0</v>
      </c>
      <c r="R82" s="191">
        <f t="shared" si="32"/>
        <v>10</v>
      </c>
    </row>
    <row r="83" spans="1:18">
      <c r="A83" s="26" t="s">
        <v>623</v>
      </c>
      <c r="B83" s="98" t="str">
        <f>IF(RptMonth=B$76,SUMIF(Council_Data!$D$4:$D$818,$A83,Council_Data!$H$4:$H$818),"")</f>
        <v/>
      </c>
      <c r="C83" s="98" t="str">
        <f>IF(RptMonth=C$76,SUMIF(Council_Data!$D$4:$D$818,$A83,Council_Data!$H$4:$H$818),"")</f>
        <v/>
      </c>
      <c r="D83" s="98" t="str">
        <f>IF(RptMonth=D$76,SUMIF(Council_Data!$D$4:$D$818,$A83,Council_Data!$H$4:$H$818),"")</f>
        <v/>
      </c>
      <c r="E83" s="189">
        <f t="shared" si="28"/>
        <v>0</v>
      </c>
      <c r="F83" s="127" t="str">
        <f>IF(RptMonth=F$76,SUMIF(Council_Data!$D$4:$D$818,$A83,Council_Data!$H$4:$H$818),"")</f>
        <v/>
      </c>
      <c r="G83" s="127" t="str">
        <f>IF(RptMonth=G$76,SUMIF(Council_Data!$D$4:$D$818,$A83,Council_Data!$H$4:$H$818),"")</f>
        <v/>
      </c>
      <c r="H83" s="127" t="str">
        <f>IF(RptMonth=H$76,SUMIF(Council_Data!$D$4:$D$818,$A83,Council_Data!$H$4:$H$818),"")</f>
        <v/>
      </c>
      <c r="I83" s="189">
        <f t="shared" si="29"/>
        <v>0</v>
      </c>
      <c r="J83" s="127">
        <f>IF(RptMonth=J$76,SUMIF(Council_Data!$D$4:$D$818,$A83,Council_Data!$H$4:$H$818),"")</f>
        <v>34</v>
      </c>
      <c r="K83" s="127" t="str">
        <f>IF(RptMonth=K$76,SUMIF(Council_Data!$D$4:$D$818,$A83,Council_Data!$H$4:$H$818),"")</f>
        <v/>
      </c>
      <c r="L83" s="127" t="str">
        <f>IF(RptMonth=L$76,SUMIF(Council_Data!$D$4:$D$818,$A83,Council_Data!$H$4:$H$818),"")</f>
        <v/>
      </c>
      <c r="M83" s="189">
        <f t="shared" si="30"/>
        <v>34</v>
      </c>
      <c r="N83" s="127" t="str">
        <f>IF(RptMonth=N$76,SUMIF(Council_Data!$D$4:$D$818,$A83,Council_Data!$H$4:$H$818),"")</f>
        <v/>
      </c>
      <c r="O83" s="98" t="str">
        <f>IF(RptMonth=O$76,SUMIF(Council_Data!$D$4:$D$818,$A83,Council_Data!$H$4:$H$818),"")</f>
        <v/>
      </c>
      <c r="P83" s="127" t="str">
        <f>IF(RptMonth=P$76,SUMIF(Council_Data!$D$4:$D$818,$A83,Council_Data!$H$4:$H$818),"")</f>
        <v/>
      </c>
      <c r="Q83" s="189">
        <f t="shared" si="31"/>
        <v>0</v>
      </c>
      <c r="R83" s="191">
        <f t="shared" si="32"/>
        <v>34</v>
      </c>
    </row>
    <row r="84" spans="1:18">
      <c r="A84" s="26" t="s">
        <v>27</v>
      </c>
      <c r="B84" s="98" t="str">
        <f>IF(RptMonth=B$76,SUMIF(Council_Data!$D$4:$D$818,$A84,Council_Data!$H$4:$H$818),"")</f>
        <v/>
      </c>
      <c r="C84" s="98" t="str">
        <f>IF(RptMonth=C$76,SUMIF(Council_Data!$D$4:$D$818,$A84,Council_Data!$H$4:$H$818),"")</f>
        <v/>
      </c>
      <c r="D84" s="98" t="str">
        <f>IF(RptMonth=D$76,SUMIF(Council_Data!$D$4:$D$818,$A84,Council_Data!$H$4:$H$818),"")</f>
        <v/>
      </c>
      <c r="E84" s="189">
        <f t="shared" si="28"/>
        <v>0</v>
      </c>
      <c r="F84" s="127" t="str">
        <f>IF(RptMonth=F$76,SUMIF(Council_Data!$D$4:$D$818,$A84,Council_Data!$H$4:$H$818),"")</f>
        <v/>
      </c>
      <c r="G84" s="127" t="str">
        <f>IF(RptMonth=G$76,SUMIF(Council_Data!$D$4:$D$818,$A84,Council_Data!$H$4:$H$818),"")</f>
        <v/>
      </c>
      <c r="H84" s="127" t="str">
        <f>IF(RptMonth=H$76,SUMIF(Council_Data!$D$4:$D$818,$A84,Council_Data!$H$4:$H$818),"")</f>
        <v/>
      </c>
      <c r="I84" s="189">
        <f t="shared" si="29"/>
        <v>0</v>
      </c>
      <c r="J84" s="127">
        <f>IF(RptMonth=J$76,SUMIF(Council_Data!$D$4:$D$818,$A84,Council_Data!$H$4:$H$818),"")</f>
        <v>35</v>
      </c>
      <c r="K84" s="127" t="str">
        <f>IF(RptMonth=K$76,SUMIF(Council_Data!$D$4:$D$818,$A84,Council_Data!$H$4:$H$818),"")</f>
        <v/>
      </c>
      <c r="L84" s="127" t="str">
        <f>IF(RptMonth=L$76,SUMIF(Council_Data!$D$4:$D$818,$A84,Council_Data!$H$4:$H$818),"")</f>
        <v/>
      </c>
      <c r="M84" s="189">
        <f t="shared" si="30"/>
        <v>35</v>
      </c>
      <c r="N84" s="127" t="str">
        <f>IF(RptMonth=N$76,SUMIF(Council_Data!$D$4:$D$818,$A84,Council_Data!$H$4:$H$818),"")</f>
        <v/>
      </c>
      <c r="O84" s="98" t="str">
        <f>IF(RptMonth=O$76,SUMIF(Council_Data!$D$4:$D$818,$A84,Council_Data!$H$4:$H$818),"")</f>
        <v/>
      </c>
      <c r="P84" s="127" t="str">
        <f>IF(RptMonth=P$76,SUMIF(Council_Data!$D$4:$D$818,$A84,Council_Data!$H$4:$H$818),"")</f>
        <v/>
      </c>
      <c r="Q84" s="189">
        <f t="shared" si="31"/>
        <v>0</v>
      </c>
      <c r="R84" s="191">
        <f t="shared" si="32"/>
        <v>35</v>
      </c>
    </row>
    <row r="85" spans="1:18">
      <c r="A85" s="26" t="s">
        <v>37</v>
      </c>
      <c r="B85" s="98" t="str">
        <f>IF(RptMonth=B$76,SUMIF(Council_Data!$D$4:$D$818,$A85,Council_Data!$H$4:$H$818),"")</f>
        <v/>
      </c>
      <c r="C85" s="98" t="str">
        <f>IF(RptMonth=C$76,SUMIF(Council_Data!$D$4:$D$818,$A85,Council_Data!$H$4:$H$818),"")</f>
        <v/>
      </c>
      <c r="D85" s="98" t="str">
        <f>IF(RptMonth=D$76,SUMIF(Council_Data!$D$4:$D$818,$A85,Council_Data!$H$4:$H$818),"")</f>
        <v/>
      </c>
      <c r="E85" s="189">
        <f t="shared" si="28"/>
        <v>0</v>
      </c>
      <c r="F85" s="127" t="str">
        <f>IF(RptMonth=F$76,SUMIF(Council_Data!$D$4:$D$818,$A85,Council_Data!$H$4:$H$818),"")</f>
        <v/>
      </c>
      <c r="G85" s="127" t="str">
        <f>IF(RptMonth=G$76,SUMIF(Council_Data!$D$4:$D$818,$A85,Council_Data!$H$4:$H$818),"")</f>
        <v/>
      </c>
      <c r="H85" s="127" t="str">
        <f>IF(RptMonth=H$76,SUMIF(Council_Data!$D$4:$D$818,$A85,Council_Data!$H$4:$H$818),"")</f>
        <v/>
      </c>
      <c r="I85" s="189">
        <f t="shared" si="29"/>
        <v>0</v>
      </c>
      <c r="J85" s="127">
        <f>IF(RptMonth=J$76,SUMIF(Council_Data!$D$4:$D$818,$A85,Council_Data!$H$4:$H$818),"")</f>
        <v>2</v>
      </c>
      <c r="K85" s="127" t="str">
        <f>IF(RptMonth=K$76,SUMIF(Council_Data!$D$4:$D$818,$A85,Council_Data!$H$4:$H$818),"")</f>
        <v/>
      </c>
      <c r="L85" s="127" t="str">
        <f>IF(RptMonth=L$76,SUMIF(Council_Data!$D$4:$D$818,$A85,Council_Data!$H$4:$H$818),"")</f>
        <v/>
      </c>
      <c r="M85" s="189">
        <f t="shared" si="30"/>
        <v>2</v>
      </c>
      <c r="N85" s="127" t="str">
        <f>IF(RptMonth=N$76,SUMIF(Council_Data!$D$4:$D$818,$A85,Council_Data!$H$4:$H$818),"")</f>
        <v/>
      </c>
      <c r="O85" s="98" t="str">
        <f>IF(RptMonth=O$76,SUMIF(Council_Data!$D$4:$D$818,$A85,Council_Data!$H$4:$H$818),"")</f>
        <v/>
      </c>
      <c r="P85" s="127" t="str">
        <f>IF(RptMonth=P$76,SUMIF(Council_Data!$D$4:$D$818,$A85,Council_Data!$H$4:$H$818),"")</f>
        <v/>
      </c>
      <c r="Q85" s="189">
        <f t="shared" si="31"/>
        <v>0</v>
      </c>
      <c r="R85" s="191">
        <f t="shared" si="32"/>
        <v>2</v>
      </c>
    </row>
    <row r="86" spans="1:18">
      <c r="A86" s="26" t="s">
        <v>66</v>
      </c>
      <c r="B86" s="98" t="str">
        <f>IF(RptMonth=B$76,SUMIF(Council_Data!$D$4:$D$818,$A86,Council_Data!$H$4:$H$818),"")</f>
        <v/>
      </c>
      <c r="C86" s="98" t="str">
        <f>IF(RptMonth=C$76,SUMIF(Council_Data!$D$4:$D$818,$A86,Council_Data!$H$4:$H$818),"")</f>
        <v/>
      </c>
      <c r="D86" s="98" t="str">
        <f>IF(RptMonth=D$76,SUMIF(Council_Data!$D$4:$D$818,$A86,Council_Data!$H$4:$H$818),"")</f>
        <v/>
      </c>
      <c r="E86" s="189">
        <f t="shared" si="28"/>
        <v>0</v>
      </c>
      <c r="F86" s="127" t="str">
        <f>IF(RptMonth=F$76,SUMIF(Council_Data!$D$4:$D$818,$A86,Council_Data!$H$4:$H$818),"")</f>
        <v/>
      </c>
      <c r="G86" s="127" t="str">
        <f>IF(RptMonth=G$76,SUMIF(Council_Data!$D$4:$D$818,$A86,Council_Data!$H$4:$H$818),"")</f>
        <v/>
      </c>
      <c r="H86" s="127" t="str">
        <f>IF(RptMonth=H$76,SUMIF(Council_Data!$D$4:$D$818,$A86,Council_Data!$H$4:$H$818),"")</f>
        <v/>
      </c>
      <c r="I86" s="189">
        <f t="shared" si="29"/>
        <v>0</v>
      </c>
      <c r="J86" s="127">
        <f>IF(RptMonth=J$76,SUMIF(Council_Data!$D$4:$D$818,$A86,Council_Data!$H$4:$H$818),"")</f>
        <v>4</v>
      </c>
      <c r="K86" s="127" t="str">
        <f>IF(RptMonth=K$76,SUMIF(Council_Data!$D$4:$D$818,$A86,Council_Data!$H$4:$H$818),"")</f>
        <v/>
      </c>
      <c r="L86" s="127" t="str">
        <f>IF(RptMonth=L$76,SUMIF(Council_Data!$D$4:$D$818,$A86,Council_Data!$H$4:$H$818),"")</f>
        <v/>
      </c>
      <c r="M86" s="189">
        <f t="shared" si="30"/>
        <v>4</v>
      </c>
      <c r="N86" s="127" t="str">
        <f>IF(RptMonth=N$76,SUMIF(Council_Data!$D$4:$D$818,$A86,Council_Data!$H$4:$H$818),"")</f>
        <v/>
      </c>
      <c r="O86" s="98" t="str">
        <f>IF(RptMonth=O$76,SUMIF(Council_Data!$D$4:$D$818,$A86,Council_Data!$H$4:$H$818),"")</f>
        <v/>
      </c>
      <c r="P86" s="127" t="str">
        <f>IF(RptMonth=P$76,SUMIF(Council_Data!$D$4:$D$818,$A86,Council_Data!$H$4:$H$818),"")</f>
        <v/>
      </c>
      <c r="Q86" s="189">
        <f t="shared" si="31"/>
        <v>0</v>
      </c>
      <c r="R86" s="191">
        <f t="shared" si="32"/>
        <v>4</v>
      </c>
    </row>
    <row r="87" spans="1:18">
      <c r="A87" s="26" t="s">
        <v>43</v>
      </c>
      <c r="B87" s="98" t="str">
        <f>IF(RptMonth=B$76,SUMIF(Council_Data!$D$4:$D$818,$A87,Council_Data!$H$4:$H$818),"")</f>
        <v/>
      </c>
      <c r="C87" s="98" t="str">
        <f>IF(RptMonth=C$76,SUMIF(Council_Data!$D$4:$D$818,$A87,Council_Data!$H$4:$H$818),"")</f>
        <v/>
      </c>
      <c r="D87" s="98" t="str">
        <f>IF(RptMonth=D$76,SUMIF(Council_Data!$D$4:$D$818,$A87,Council_Data!$H$4:$H$818),"")</f>
        <v/>
      </c>
      <c r="E87" s="189">
        <f t="shared" si="28"/>
        <v>0</v>
      </c>
      <c r="F87" s="127" t="str">
        <f>IF(RptMonth=F$76,SUMIF(Council_Data!$D$4:$D$818,$A87,Council_Data!$H$4:$H$818),"")</f>
        <v/>
      </c>
      <c r="G87" s="127" t="str">
        <f>IF(RptMonth=G$76,SUMIF(Council_Data!$D$4:$D$818,$A87,Council_Data!$H$4:$H$818),"")</f>
        <v/>
      </c>
      <c r="H87" s="127" t="str">
        <f>IF(RptMonth=H$76,SUMIF(Council_Data!$D$4:$D$818,$A87,Council_Data!$H$4:$H$818),"")</f>
        <v/>
      </c>
      <c r="I87" s="189">
        <f t="shared" si="29"/>
        <v>0</v>
      </c>
      <c r="J87" s="127">
        <f>IF(RptMonth=J$76,SUMIF(Council_Data!$D$4:$D$818,$A87,Council_Data!$H$4:$H$818),"")</f>
        <v>4</v>
      </c>
      <c r="K87" s="127" t="str">
        <f>IF(RptMonth=K$76,SUMIF(Council_Data!$D$4:$D$818,$A87,Council_Data!$H$4:$H$818),"")</f>
        <v/>
      </c>
      <c r="L87" s="127" t="str">
        <f>IF(RptMonth=L$76,SUMIF(Council_Data!$D$4:$D$818,$A87,Council_Data!$H$4:$H$818),"")</f>
        <v/>
      </c>
      <c r="M87" s="189">
        <f t="shared" si="30"/>
        <v>4</v>
      </c>
      <c r="N87" s="127" t="str">
        <f>IF(RptMonth=N$76,SUMIF(Council_Data!$D$4:$D$818,$A87,Council_Data!$H$4:$H$818),"")</f>
        <v/>
      </c>
      <c r="O87" s="98" t="str">
        <f>IF(RptMonth=O$76,SUMIF(Council_Data!$D$4:$D$818,$A87,Council_Data!$H$4:$H$818),"")</f>
        <v/>
      </c>
      <c r="P87" s="127" t="str">
        <f>IF(RptMonth=P$76,SUMIF(Council_Data!$D$4:$D$818,$A87,Council_Data!$H$4:$H$818),"")</f>
        <v/>
      </c>
      <c r="Q87" s="189">
        <f t="shared" si="31"/>
        <v>0</v>
      </c>
      <c r="R87" s="191">
        <f t="shared" si="32"/>
        <v>4</v>
      </c>
    </row>
    <row r="88" spans="1:18">
      <c r="A88" s="26" t="s">
        <v>85</v>
      </c>
      <c r="B88" s="98" t="str">
        <f>IF(RptMonth=B$76,SUMIF(Council_Data!$D$4:$D$818,$A88,Council_Data!$H$4:$H$818),"")</f>
        <v/>
      </c>
      <c r="C88" s="98" t="str">
        <f>IF(RptMonth=C$76,SUMIF(Council_Data!$D$4:$D$818,$A88,Council_Data!$H$4:$H$818),"")</f>
        <v/>
      </c>
      <c r="D88" s="98" t="str">
        <f>IF(RptMonth=D$76,SUMIF(Council_Data!$D$4:$D$818,$A88,Council_Data!$H$4:$H$818),"")</f>
        <v/>
      </c>
      <c r="E88" s="189">
        <f t="shared" si="28"/>
        <v>0</v>
      </c>
      <c r="F88" s="127" t="str">
        <f>IF(RptMonth=F$76,SUMIF(Council_Data!$D$4:$D$818,$A88,Council_Data!$H$4:$H$818),"")</f>
        <v/>
      </c>
      <c r="G88" s="127" t="str">
        <f>IF(RptMonth=G$76,SUMIF(Council_Data!$D$4:$D$818,$A88,Council_Data!$H$4:$H$818),"")</f>
        <v/>
      </c>
      <c r="H88" s="127" t="str">
        <f>IF(RptMonth=H$76,SUMIF(Council_Data!$D$4:$D$818,$A88,Council_Data!$H$4:$H$818),"")</f>
        <v/>
      </c>
      <c r="I88" s="189">
        <f t="shared" si="29"/>
        <v>0</v>
      </c>
      <c r="J88" s="127">
        <f>IF(RptMonth=J$76,SUMIF(Council_Data!$D$4:$D$818,$A88,Council_Data!$H$4:$H$818),"")</f>
        <v>0</v>
      </c>
      <c r="K88" s="127" t="str">
        <f>IF(RptMonth=K$76,SUMIF(Council_Data!$D$4:$D$818,$A88,Council_Data!$H$4:$H$818),"")</f>
        <v/>
      </c>
      <c r="L88" s="127" t="str">
        <f>IF(RptMonth=L$76,SUMIF(Council_Data!$D$4:$D$818,$A88,Council_Data!$H$4:$H$818),"")</f>
        <v/>
      </c>
      <c r="M88" s="189">
        <f t="shared" si="30"/>
        <v>0</v>
      </c>
      <c r="N88" s="127" t="str">
        <f>IF(RptMonth=N$76,SUMIF(Council_Data!$D$4:$D$818,$A88,Council_Data!$H$4:$H$818),"")</f>
        <v/>
      </c>
      <c r="O88" s="98" t="str">
        <f>IF(RptMonth=O$76,SUMIF(Council_Data!$D$4:$D$818,$A88,Council_Data!$H$4:$H$818),"")</f>
        <v/>
      </c>
      <c r="P88" s="127" t="str">
        <f>IF(RptMonth=P$76,SUMIF(Council_Data!$D$4:$D$818,$A88,Council_Data!$H$4:$H$818),"")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IF(RptMonth=B$76,SUMIF(Council_Data!$D$4:$D$818,$A89,Council_Data!$H$4:$H$818),"")</f>
        <v/>
      </c>
      <c r="C89" s="98" t="str">
        <f>IF(RptMonth=C$76,SUMIF(Council_Data!$D$4:$D$818,$A89,Council_Data!$H$4:$H$818),"")</f>
        <v/>
      </c>
      <c r="D89" s="98" t="str">
        <f>IF(RptMonth=D$76,SUMIF(Council_Data!$D$4:$D$818,$A89,Council_Data!$H$4:$H$818),"")</f>
        <v/>
      </c>
      <c r="E89" s="189">
        <f t="shared" si="28"/>
        <v>0</v>
      </c>
      <c r="F89" s="127" t="str">
        <f>IF(RptMonth=F$76,SUMIF(Council_Data!$D$4:$D$818,$A89,Council_Data!$H$4:$H$818),"")</f>
        <v/>
      </c>
      <c r="G89" s="127" t="str">
        <f>IF(RptMonth=G$76,SUMIF(Council_Data!$D$4:$D$818,$A89,Council_Data!$H$4:$H$818),"")</f>
        <v/>
      </c>
      <c r="H89" s="127" t="str">
        <f>IF(RptMonth=H$76,SUMIF(Council_Data!$D$4:$D$818,$A89,Council_Data!$H$4:$H$818),"")</f>
        <v/>
      </c>
      <c r="I89" s="189">
        <f t="shared" si="29"/>
        <v>0</v>
      </c>
      <c r="J89" s="127">
        <f>IF(RptMonth=J$76,SUMIF(Council_Data!$D$4:$D$818,$A89,Council_Data!$H$4:$H$818),"")</f>
        <v>4</v>
      </c>
      <c r="K89" s="127" t="str">
        <f>IF(RptMonth=K$76,SUMIF(Council_Data!$D$4:$D$818,$A89,Council_Data!$H$4:$H$818),"")</f>
        <v/>
      </c>
      <c r="L89" s="127" t="str">
        <f>IF(RptMonth=L$76,SUMIF(Council_Data!$D$4:$D$818,$A89,Council_Data!$H$4:$H$818),"")</f>
        <v/>
      </c>
      <c r="M89" s="189">
        <f t="shared" si="30"/>
        <v>4</v>
      </c>
      <c r="N89" s="127" t="str">
        <f>IF(RptMonth=N$76,SUMIF(Council_Data!$D$4:$D$818,$A89,Council_Data!$H$4:$H$818),"")</f>
        <v/>
      </c>
      <c r="O89" s="98" t="str">
        <f>IF(RptMonth=O$76,SUMIF(Council_Data!$D$4:$D$818,$A89,Council_Data!$H$4:$H$818),"")</f>
        <v/>
      </c>
      <c r="P89" s="127" t="str">
        <f>IF(RptMonth=P$76,SUMIF(Council_Data!$D$4:$D$818,$A89,Council_Data!$H$4:$H$818),"")</f>
        <v/>
      </c>
      <c r="Q89" s="189">
        <f t="shared" si="31"/>
        <v>0</v>
      </c>
      <c r="R89" s="191">
        <f t="shared" si="32"/>
        <v>4</v>
      </c>
    </row>
    <row r="90" spans="1:18">
      <c r="A90" s="26" t="s">
        <v>59</v>
      </c>
      <c r="B90" s="98" t="str">
        <f>IF(RptMonth=B$76,SUMIF(Council_Data!$D$4:$D$818,$A90,Council_Data!$H$4:$H$818),"")</f>
        <v/>
      </c>
      <c r="C90" s="98" t="str">
        <f>IF(RptMonth=C$76,SUMIF(Council_Data!$D$4:$D$818,$A90,Council_Data!$H$4:$H$818),"")</f>
        <v/>
      </c>
      <c r="D90" s="98" t="str">
        <f>IF(RptMonth=D$76,SUMIF(Council_Data!$D$4:$D$818,$A90,Council_Data!$H$4:$H$818),"")</f>
        <v/>
      </c>
      <c r="E90" s="189">
        <f t="shared" si="28"/>
        <v>0</v>
      </c>
      <c r="F90" s="127" t="str">
        <f>IF(RptMonth=F$76,SUMIF(Council_Data!$D$4:$D$818,$A90,Council_Data!$H$4:$H$818),"")</f>
        <v/>
      </c>
      <c r="G90" s="127" t="str">
        <f>IF(RptMonth=G$76,SUMIF(Council_Data!$D$4:$D$818,$A90,Council_Data!$H$4:$H$818),"")</f>
        <v/>
      </c>
      <c r="H90" s="127" t="str">
        <f>IF(RptMonth=H$76,SUMIF(Council_Data!$D$4:$D$818,$A90,Council_Data!$H$4:$H$818),"")</f>
        <v/>
      </c>
      <c r="I90" s="189">
        <f t="shared" si="29"/>
        <v>0</v>
      </c>
      <c r="J90" s="127">
        <f>IF(RptMonth=J$76,SUMIF(Council_Data!$D$4:$D$818,$A90,Council_Data!$H$4:$H$818),"")</f>
        <v>1</v>
      </c>
      <c r="K90" s="127" t="str">
        <f>IF(RptMonth=K$76,SUMIF(Council_Data!$D$4:$D$818,$A90,Council_Data!$H$4:$H$818),"")</f>
        <v/>
      </c>
      <c r="L90" s="127" t="str">
        <f>IF(RptMonth=L$76,SUMIF(Council_Data!$D$4:$D$818,$A90,Council_Data!$H$4:$H$818),"")</f>
        <v/>
      </c>
      <c r="M90" s="189">
        <f t="shared" si="30"/>
        <v>1</v>
      </c>
      <c r="N90" s="127" t="str">
        <f>IF(RptMonth=N$76,SUMIF(Council_Data!$D$4:$D$818,$A90,Council_Data!$H$4:$H$818),"")</f>
        <v/>
      </c>
      <c r="O90" s="98" t="str">
        <f>IF(RptMonth=O$76,SUMIF(Council_Data!$D$4:$D$818,$A90,Council_Data!$H$4:$H$818),"")</f>
        <v/>
      </c>
      <c r="P90" s="127" t="str">
        <f>IF(RptMonth=P$76,SUMIF(Council_Data!$D$4:$D$818,$A90,Council_Data!$H$4:$H$818),"")</f>
        <v/>
      </c>
      <c r="Q90" s="189">
        <f t="shared" si="31"/>
        <v>0</v>
      </c>
      <c r="R90" s="191">
        <f t="shared" si="32"/>
        <v>1</v>
      </c>
    </row>
    <row r="91" spans="1:18">
      <c r="A91" s="26" t="s">
        <v>23</v>
      </c>
      <c r="B91" s="98" t="str">
        <f>IF(RptMonth=B$76,SUMIF(Council_Data!$D$4:$D$818,$A91,Council_Data!$H$4:$H$818),"")</f>
        <v/>
      </c>
      <c r="C91" s="98" t="str">
        <f>IF(RptMonth=C$76,SUMIF(Council_Data!$D$4:$D$818,$A91,Council_Data!$H$4:$H$818),"")</f>
        <v/>
      </c>
      <c r="D91" s="98" t="str">
        <f>IF(RptMonth=D$76,SUMIF(Council_Data!$D$4:$D$818,$A91,Council_Data!$H$4:$H$818),"")</f>
        <v/>
      </c>
      <c r="E91" s="189">
        <f t="shared" si="28"/>
        <v>0</v>
      </c>
      <c r="F91" s="127" t="str">
        <f>IF(RptMonth=F$76,SUMIF(Council_Data!$D$4:$D$818,$A91,Council_Data!$H$4:$H$818),"")</f>
        <v/>
      </c>
      <c r="G91" s="127" t="str">
        <f>IF(RptMonth=G$76,SUMIF(Council_Data!$D$4:$D$818,$A91,Council_Data!$H$4:$H$818),"")</f>
        <v/>
      </c>
      <c r="H91" s="127" t="str">
        <f>IF(RptMonth=H$76,SUMIF(Council_Data!$D$4:$D$818,$A91,Council_Data!$H$4:$H$818),"")</f>
        <v/>
      </c>
      <c r="I91" s="189">
        <f t="shared" si="29"/>
        <v>0</v>
      </c>
      <c r="J91" s="127">
        <f>IF(RptMonth=J$76,SUMIF(Council_Data!$D$4:$D$818,$A91,Council_Data!$H$4:$H$818),"")</f>
        <v>1</v>
      </c>
      <c r="K91" s="127" t="str">
        <f>IF(RptMonth=K$76,SUMIF(Council_Data!$D$4:$D$818,$A91,Council_Data!$H$4:$H$818),"")</f>
        <v/>
      </c>
      <c r="L91" s="127" t="str">
        <f>IF(RptMonth=L$76,SUMIF(Council_Data!$D$4:$D$818,$A91,Council_Data!$H$4:$H$818),"")</f>
        <v/>
      </c>
      <c r="M91" s="189">
        <f t="shared" si="30"/>
        <v>1</v>
      </c>
      <c r="N91" s="127" t="str">
        <f>IF(RptMonth=N$76,SUMIF(Council_Data!$D$4:$D$818,$A91,Council_Data!$H$4:$H$818),"")</f>
        <v/>
      </c>
      <c r="O91" s="98" t="str">
        <f>IF(RptMonth=O$76,SUMIF(Council_Data!$D$4:$D$818,$A91,Council_Data!$H$4:$H$818),"")</f>
        <v/>
      </c>
      <c r="P91" s="127" t="str">
        <f>IF(RptMonth=P$76,SUMIF(Council_Data!$D$4:$D$818,$A91,Council_Data!$H$4:$H$818),"")</f>
        <v/>
      </c>
      <c r="Q91" s="189">
        <f t="shared" si="31"/>
        <v>0</v>
      </c>
      <c r="R91" s="191">
        <f t="shared" si="32"/>
        <v>1</v>
      </c>
    </row>
    <row r="92" spans="1:18">
      <c r="A92" s="26" t="s">
        <v>90</v>
      </c>
      <c r="B92" s="98" t="str">
        <f>IF(RptMonth=B$76,SUMIF(Council_Data!$D$4:$D$818,$A92,Council_Data!$H$4:$H$818),"")</f>
        <v/>
      </c>
      <c r="C92" s="98" t="str">
        <f>IF(RptMonth=C$76,SUMIF(Council_Data!$D$4:$D$818,$A92,Council_Data!$H$4:$H$818),"")</f>
        <v/>
      </c>
      <c r="D92" s="98" t="str">
        <f>IF(RptMonth=D$76,SUMIF(Council_Data!$D$4:$D$818,$A92,Council_Data!$H$4:$H$818),"")</f>
        <v/>
      </c>
      <c r="E92" s="189">
        <f t="shared" si="28"/>
        <v>0</v>
      </c>
      <c r="F92" s="127" t="str">
        <f>IF(RptMonth=F$76,SUMIF(Council_Data!$D$4:$D$818,$A92,Council_Data!$H$4:$H$818),"")</f>
        <v/>
      </c>
      <c r="G92" s="127" t="str">
        <f>IF(RptMonth=G$76,SUMIF(Council_Data!$D$4:$D$818,$A92,Council_Data!$H$4:$H$818),"")</f>
        <v/>
      </c>
      <c r="H92" s="127" t="str">
        <f>IF(RptMonth=H$76,SUMIF(Council_Data!$D$4:$D$818,$A92,Council_Data!$H$4:$H$818),"")</f>
        <v/>
      </c>
      <c r="I92" s="189">
        <f t="shared" si="29"/>
        <v>0</v>
      </c>
      <c r="J92" s="127">
        <f>IF(RptMonth=J$76,SUMIF(Council_Data!$D$4:$D$818,$A92,Council_Data!$H$4:$H$818),"")</f>
        <v>0</v>
      </c>
      <c r="K92" s="127" t="str">
        <f>IF(RptMonth=K$76,SUMIF(Council_Data!$D$4:$D$818,$A92,Council_Data!$H$4:$H$818),"")</f>
        <v/>
      </c>
      <c r="L92" s="127" t="str">
        <f>IF(RptMonth=L$76,SUMIF(Council_Data!$D$4:$D$818,$A92,Council_Data!$H$4:$H$818),"")</f>
        <v/>
      </c>
      <c r="M92" s="189">
        <f t="shared" si="30"/>
        <v>0</v>
      </c>
      <c r="N92" s="127" t="str">
        <f>IF(RptMonth=N$76,SUMIF(Council_Data!$D$4:$D$818,$A92,Council_Data!$H$4:$H$818),"")</f>
        <v/>
      </c>
      <c r="O92" s="98" t="str">
        <f>IF(RptMonth=O$76,SUMIF(Council_Data!$D$4:$D$818,$A92,Council_Data!$H$4:$H$818),"")</f>
        <v/>
      </c>
      <c r="P92" s="127" t="str">
        <f>IF(RptMonth=P$76,SUMIF(Council_Data!$D$4:$D$818,$A92,Council_Data!$H$4:$H$818),"")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150</v>
      </c>
      <c r="B93" s="98" t="str">
        <f>IF(RptMonth=B$76,SUMIF(Council_Data!$D$4:$D$818,$A93,Council_Data!$H$4:$H$818),"")</f>
        <v/>
      </c>
      <c r="C93" s="98" t="str">
        <f>IF(RptMonth=C$76,SUMIF(Council_Data!$D$4:$D$818,$A93,Council_Data!$H$4:$H$818),"")</f>
        <v/>
      </c>
      <c r="D93" s="98" t="str">
        <f>IF(RptMonth=D$76,SUMIF(Council_Data!$D$4:$D$818,$A93,Council_Data!$H$4:$H$818),"")</f>
        <v/>
      </c>
      <c r="E93" s="189">
        <f t="shared" si="28"/>
        <v>0</v>
      </c>
      <c r="F93" s="127" t="str">
        <f>IF(RptMonth=F$76,SUMIF(Council_Data!$D$4:$D$818,$A93,Council_Data!$H$4:$H$818),"")</f>
        <v/>
      </c>
      <c r="G93" s="127" t="str">
        <f>IF(RptMonth=G$76,SUMIF(Council_Data!$D$4:$D$818,$A93,Council_Data!$H$4:$H$818),"")</f>
        <v/>
      </c>
      <c r="H93" s="127" t="str">
        <f>IF(RptMonth=H$76,SUMIF(Council_Data!$D$4:$D$818,$A93,Council_Data!$H$4:$H$818),"")</f>
        <v/>
      </c>
      <c r="I93" s="189">
        <f t="shared" si="29"/>
        <v>0</v>
      </c>
      <c r="J93" s="127">
        <f>IF(RptMonth=J$76,SUMIF(Council_Data!$D$4:$D$818,$A93,Council_Data!$H$4:$H$818),"")</f>
        <v>0</v>
      </c>
      <c r="K93" s="127" t="str">
        <f>IF(RptMonth=K$76,SUMIF(Council_Data!$D$4:$D$818,$A93,Council_Data!$H$4:$H$818),"")</f>
        <v/>
      </c>
      <c r="L93" s="127" t="str">
        <f>IF(RptMonth=L$76,SUMIF(Council_Data!$D$4:$D$818,$A93,Council_Data!$H$4:$H$818),"")</f>
        <v/>
      </c>
      <c r="M93" s="189">
        <f t="shared" si="30"/>
        <v>0</v>
      </c>
      <c r="N93" s="127" t="str">
        <f>IF(RptMonth=N$76,SUMIF(Council_Data!$D$4:$D$818,$A93,Council_Data!$H$4:$H$818),"")</f>
        <v/>
      </c>
      <c r="O93" s="98" t="str">
        <f>IF(RptMonth=O$76,SUMIF(Council_Data!$D$4:$D$818,$A93,Council_Data!$H$4:$H$818),"")</f>
        <v/>
      </c>
      <c r="P93" s="127" t="str">
        <f>IF(RptMonth=P$76,SUMIF(Council_Data!$D$4:$D$818,$A93,Council_Data!$H$4:$H$818),"")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IF(RptMonth=B$76,SUMIF(Council_Data!$D$4:$D$818,$A94,Council_Data!$H$4:$H$818),"")</f>
        <v/>
      </c>
      <c r="C94" s="98" t="str">
        <f>IF(RptMonth=C$76,SUMIF(Council_Data!$D$4:$D$818,$A94,Council_Data!$H$4:$H$818),"")</f>
        <v/>
      </c>
      <c r="D94" s="98" t="str">
        <f>IF(RptMonth=D$76,SUMIF(Council_Data!$D$4:$D$818,$A94,Council_Data!$H$4:$H$818),"")</f>
        <v/>
      </c>
      <c r="E94" s="189">
        <f t="shared" si="28"/>
        <v>0</v>
      </c>
      <c r="F94" s="127" t="str">
        <f>IF(RptMonth=F$76,SUMIF(Council_Data!$D$4:$D$818,$A94,Council_Data!$H$4:$H$818),"")</f>
        <v/>
      </c>
      <c r="G94" s="127" t="str">
        <f>IF(RptMonth=G$76,SUMIF(Council_Data!$D$4:$D$818,$A94,Council_Data!$H$4:$H$818),"")</f>
        <v/>
      </c>
      <c r="H94" s="127" t="str">
        <f>IF(RptMonth=H$76,SUMIF(Council_Data!$D$4:$D$818,$A94,Council_Data!$H$4:$H$818),"")</f>
        <v/>
      </c>
      <c r="I94" s="190">
        <f t="shared" si="29"/>
        <v>0</v>
      </c>
      <c r="J94" s="127">
        <f>IF(RptMonth=J$76,SUMIF(Council_Data!$D$4:$D$818,$A94,Council_Data!$H$4:$H$818),"")</f>
        <v>12</v>
      </c>
      <c r="K94" s="127" t="str">
        <f>IF(RptMonth=K$76,SUMIF(Council_Data!$D$4:$D$818,$A94,Council_Data!$H$4:$H$818),"")</f>
        <v/>
      </c>
      <c r="L94" s="127" t="str">
        <f>IF(RptMonth=L$76,SUMIF(Council_Data!$D$4:$D$818,$A94,Council_Data!$H$4:$H$818),"")</f>
        <v/>
      </c>
      <c r="M94" s="190">
        <f t="shared" si="30"/>
        <v>12</v>
      </c>
      <c r="N94" s="127" t="str">
        <f>IF(RptMonth=N$76,SUMIF(Council_Data!$D$4:$D$818,$A94,Council_Data!$H$4:$H$818),"")</f>
        <v/>
      </c>
      <c r="O94" s="98" t="str">
        <f>IF(RptMonth=O$76,SUMIF(Council_Data!$D$4:$D$818,$A94,Council_Data!$H$4:$H$818),"")</f>
        <v/>
      </c>
      <c r="P94" s="127" t="str">
        <f>IF(RptMonth=P$76,SUMIF(Council_Data!$D$4:$D$818,$A94,Council_Data!$H$4:$H$818),"")</f>
        <v/>
      </c>
      <c r="Q94" s="190">
        <f t="shared" si="31"/>
        <v>0</v>
      </c>
      <c r="R94" s="191">
        <f t="shared" si="32"/>
        <v>12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887</v>
      </c>
    </row>
    <row r="101" spans="1:3">
      <c r="A101" s="26" t="s">
        <v>40</v>
      </c>
      <c r="C101" s="98">
        <f>SUMIF(Council_Data!$D$6:$D$841,A101,Council_Data!$H$6:$H$841)</f>
        <v>5</v>
      </c>
    </row>
    <row r="102" spans="1:3">
      <c r="A102" s="26" t="s">
        <v>31</v>
      </c>
      <c r="C102" s="98">
        <f>SUMIF(Council_Data!$D$6:$D$841,A102,Council_Data!$H$6:$H$841)</f>
        <v>66</v>
      </c>
    </row>
    <row r="103" spans="1:3">
      <c r="A103" s="26" t="s">
        <v>143</v>
      </c>
      <c r="C103" s="98">
        <f>SUMIF(Council_Data!$D$6:$D$841,A103,Council_Data!$H$6:$H$841)</f>
        <v>11</v>
      </c>
    </row>
    <row r="104" spans="1:3">
      <c r="A104" s="26" t="s">
        <v>623</v>
      </c>
      <c r="C104" s="98">
        <f>SUMIF(Council_Data!$D$6:$D$841,A104,Council_Data!$H$6:$H$841)</f>
        <v>34</v>
      </c>
    </row>
    <row r="105" spans="1:3">
      <c r="A105" s="26" t="s">
        <v>27</v>
      </c>
      <c r="C105" s="98">
        <f>SUMIF(Council_Data!$D$6:$D$841,A105,Council_Data!$H$6:$H$841)</f>
        <v>35</v>
      </c>
    </row>
    <row r="106" spans="1:3">
      <c r="A106" s="26" t="s">
        <v>37</v>
      </c>
      <c r="C106" s="98">
        <f>SUMIF(Council_Data!$D$6:$D$841,A106,Council_Data!$H$6:$H$841)</f>
        <v>2</v>
      </c>
    </row>
    <row r="107" spans="1:3">
      <c r="A107" s="26" t="s">
        <v>66</v>
      </c>
      <c r="C107" s="98">
        <f>SUMIF(Council_Data!$D$6:$D$841,A107,Council_Data!$H$6:$H$841)</f>
        <v>4</v>
      </c>
    </row>
    <row r="108" spans="1:3">
      <c r="A108" s="26" t="s">
        <v>43</v>
      </c>
      <c r="C108" s="98">
        <f>SUMIF(Council_Data!$D$6:$D$841,A108,Council_Data!$H$6:$H$841)</f>
        <v>4</v>
      </c>
    </row>
    <row r="109" spans="1:3">
      <c r="A109" s="26" t="s">
        <v>85</v>
      </c>
      <c r="C109" s="98">
        <f>SUMIF(Council_Data!$D$6:$D$841,A109,Council_Data!$H$6:$H$841)</f>
        <v>0</v>
      </c>
    </row>
    <row r="110" spans="1:3">
      <c r="A110" s="26" t="s">
        <v>51</v>
      </c>
      <c r="C110" s="98">
        <f>SUMIF(Council_Data!$D$6:$D$841,A110,Council_Data!$H$6:$H$841)</f>
        <v>4</v>
      </c>
    </row>
    <row r="111" spans="1:3">
      <c r="A111" s="26" t="s">
        <v>59</v>
      </c>
      <c r="C111" s="98">
        <f>SUMIF(Council_Data!$D$6:$D$841,A111,Council_Data!$H$6:$H$841)</f>
        <v>1</v>
      </c>
    </row>
    <row r="112" spans="1:3">
      <c r="A112" s="26" t="s">
        <v>23</v>
      </c>
      <c r="C112" s="98">
        <f>SUMIF(Council_Data!$D$6:$D$841,A112,Council_Data!$H$6:$H$841)</f>
        <v>1</v>
      </c>
    </row>
    <row r="113" spans="1:3">
      <c r="A113" s="26" t="s">
        <v>90</v>
      </c>
      <c r="C113" s="98">
        <f>SUMIF(Council_Data!$D$6:$D$841,A113,Council_Data!$H$6:$H$841)</f>
        <v>0</v>
      </c>
    </row>
    <row r="114" spans="1:3">
      <c r="A114" s="26" t="s">
        <v>150</v>
      </c>
      <c r="C114" s="98">
        <f>SUMIF(Council_Data!$D$6:$D$841,A114,Council_Data!$H$6:$H$841)</f>
        <v>0</v>
      </c>
    </row>
    <row r="115" spans="1:3">
      <c r="A115" s="26" t="s">
        <v>64</v>
      </c>
      <c r="C115" s="98">
        <f>SUMIF(Council_Data!$D$6:$D$841,A115,Council_Data!$H$6:$H$841)</f>
        <v>12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10" priority="1" stopIfTrue="1">
      <formula>IF(AND(B$1="Actual", #REF!="0"),"True","False")</formula>
    </cfRule>
    <cfRule type="cellIs" priority="2" stopIfTrue="1" operator="equal">
      <formula>0</formula>
    </cfRule>
    <cfRule type="cellIs" dxfId="209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6280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68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1.3333333333333333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8170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139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9220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204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-1</v>
      </c>
      <c r="K5" s="63">
        <f>IFERROR(J5/D5,0)</f>
        <v>-0.1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10677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97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8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8</v>
      </c>
      <c r="K6" s="63">
        <f>IFERROR(J6/D6,0)</f>
        <v>1.6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58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4157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71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7185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60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7290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154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0.42857142857142855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15828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29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11238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125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13250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82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13970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5919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107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0.8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7038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55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8066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10931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61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6413</v>
      </c>
      <c r="B3" t="str">
        <f>IF(ISNA(VLOOKUP($A3,Councils!$B$6:$AE$841,3,0)),0,VLOOKUP($A3,Councils!$B$6:$AE$841,3,0))</f>
        <v>Portland</v>
      </c>
      <c r="C3">
        <f>IF(ISNA(VLOOKUP($A3,Councils!$B$6:$AE$841,4,0)),0,VLOOKUP($A3,Councils!$B$6:$AE$841,4,0))</f>
        <v>224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5</v>
      </c>
      <c r="K3" s="63">
        <f>IFERROR(J3/D3,0)</f>
        <v>0.45454545454545453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8028</v>
      </c>
      <c r="B4" t="str">
        <f>IF(ISNA(VLOOKUP($A4,Councils!$B$6:$AE$841,3,0)),0,VLOOKUP($A4,Councils!$B$6:$AE$841,3,0))</f>
        <v>Rockport</v>
      </c>
      <c r="C4">
        <f>IF(ISNA(VLOOKUP($A4,Councils!$B$6:$AE$841,4,0)),0,VLOOKUP($A4,Councils!$B$6:$AE$841,4,0))</f>
        <v>116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11420</v>
      </c>
      <c r="B5" t="str">
        <f>IF(ISNA(VLOOKUP($A5,Councils!$B$6:$AE$841,3,0)),0,VLOOKUP($A5,Councils!$B$6:$AE$841,3,0))</f>
        <v>Aransas Pass</v>
      </c>
      <c r="C5">
        <f>IF(ISNA(VLOOKUP($A5,Councils!$B$6:$AE$841,4,0)),0,VLOOKUP($A5,Councils!$B$6:$AE$841,4,0))</f>
        <v>68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14739</v>
      </c>
      <c r="B6" t="str">
        <f>IF(ISNA(VLOOKUP($A6,Councils!$B$6:$AE$841,3,0)),0,VLOOKUP($A6,Councils!$B$6:$AE$841,3,0))</f>
        <v>Port Aransas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56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2623</v>
      </c>
      <c r="B3" t="str">
        <f>IF(ISNA(VLOOKUP($A3,Councils!$B$6:$AE$841,3,0)),0,VLOOKUP($A3,Councils!$B$6:$AE$841,3,0))</f>
        <v>Kingsville</v>
      </c>
      <c r="C3">
        <f>IF(ISNA(VLOOKUP($A3,Councils!$B$6:$AE$841,4,0)),0,VLOOKUP($A3,Councils!$B$6:$AE$841,4,0))</f>
        <v>174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2701</v>
      </c>
      <c r="B4" t="str">
        <f>IF(ISNA(VLOOKUP($A4,Councils!$B$6:$AE$841,3,0)),0,VLOOKUP($A4,Councils!$B$6:$AE$841,3,0))</f>
        <v>Falfurrias</v>
      </c>
      <c r="C4">
        <f>IF(ISNA(VLOOKUP($A4,Councils!$B$6:$AE$841,4,0)),0,VLOOKUP($A4,Councils!$B$6:$AE$841,4,0))</f>
        <v>63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3389</v>
      </c>
      <c r="B5" t="str">
        <f>IF(ISNA(VLOOKUP($A5,Councils!$B$6:$AE$841,3,0)),0,VLOOKUP($A5,Councils!$B$6:$AE$841,3,0))</f>
        <v>Kingsville</v>
      </c>
      <c r="C5">
        <f>IF(ISNA(VLOOKUP($A5,Councils!$B$6:$AE$841,4,0)),0,VLOOKUP($A5,Councils!$B$6:$AE$841,4,0))</f>
        <v>170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16275</v>
      </c>
      <c r="B6" t="str">
        <f>IF(ISNA(VLOOKUP($A6,Councils!$B$6:$AE$841,3,0)),0,VLOOKUP($A6,Councils!$B$6:$AE$841,3,0))</f>
        <v>Bishop</v>
      </c>
      <c r="C6">
        <f>IF(ISNA(VLOOKUP($A6,Councils!$B$6:$AE$841,4,0)),0,VLOOKUP($A6,Councils!$B$6:$AE$841,4,0))</f>
        <v>65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2992</v>
      </c>
      <c r="B3" t="str">
        <f>IF(ISNA(VLOOKUP($A3,Councils!$B$6:$AE$841,3,0)),0,VLOOKUP($A3,Councils!$B$6:$AE$841,3,0))</f>
        <v>Alice</v>
      </c>
      <c r="C3">
        <f>IF(ISNA(VLOOKUP($A3,Councils!$B$6:$AE$841,4,0)),0,VLOOKUP($A3,Councils!$B$6:$AE$841,4,0))</f>
        <v>69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3169</v>
      </c>
      <c r="B4" t="str">
        <f>IF(ISNA(VLOOKUP($A4,Councils!$B$6:$AE$841,3,0)),0,VLOOKUP($A4,Councils!$B$6:$AE$841,3,0))</f>
        <v>Alice</v>
      </c>
      <c r="C4">
        <f>IF(ISNA(VLOOKUP($A4,Councils!$B$6:$AE$841,4,0)),0,VLOOKUP($A4,Councils!$B$6:$AE$841,4,0))</f>
        <v>314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0.3125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-2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1</v>
      </c>
    </row>
    <row r="5" spans="1:22">
      <c r="A5" s="50">
        <v>3494</v>
      </c>
      <c r="B5" t="str">
        <f>IF(ISNA(VLOOKUP($A5,Councils!$B$6:$AE$841,3,0)),0,VLOOKUP($A5,Councils!$B$6:$AE$841,3,0))</f>
        <v>Benavides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10403</v>
      </c>
      <c r="B6" t="str">
        <f>IF(ISNA(VLOOKUP($A6,Councils!$B$6:$AE$841,3,0)),0,VLOOKUP($A6,Councils!$B$6:$AE$841,3,0))</f>
        <v>Alice</v>
      </c>
      <c r="C6">
        <f>IF(ISNA(VLOOKUP($A6,Councils!$B$6:$AE$841,4,0)),0,VLOOKUP($A6,Councils!$B$6:$AE$841,4,0))</f>
        <v>94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4">
    <cfRule type="expression" dxfId="54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5"/>
  <sheetViews>
    <sheetView workbookViewId="0">
      <selection activeCell="A6" sqref="A6:XFD6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1202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104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2</v>
      </c>
      <c r="G3">
        <f>IF(ISNA(VLOOKUP($A3,Councils!$B$6:$AE$81023,0)),0,VLOOKUP($A3,Councils!$B$6:$AE$841,8,0))</f>
        <v>-2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-1</v>
      </c>
      <c r="K3" s="63">
        <f>IFERROR(J3/D3,0)</f>
        <v>-0.2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2710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44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11107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133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0.42857142857142855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</sheetData>
  <conditionalFormatting sqref="A3:A5">
    <cfRule type="expression" dxfId="52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11570</v>
      </c>
      <c r="B3" t="str">
        <f>IF(ISNA(VLOOKUP($A3,Councils!$B$6:$AE$841,3,0)),0,VLOOKUP($A3,Councils!$B$6:$AE$841,3,0))</f>
        <v>Ingleside</v>
      </c>
      <c r="C3">
        <f>IF(ISNA(VLOOKUP($A3,Councils!$B$6:$AE$841,4,0)),0,VLOOKUP($A3,Councils!$B$6:$AE$841,4,0))</f>
        <v>78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14776</v>
      </c>
      <c r="B4" t="str">
        <f>IF(ISNA(VLOOKUP($A4,Councils!$B$6:$AE$841,3,0)),0,VLOOKUP($A4,Councils!$B$6:$AE$841,3,0))</f>
        <v>Sinton</v>
      </c>
      <c r="C4">
        <f>IF(ISNA(VLOOKUP($A4,Councils!$B$6:$AE$841,4,0)),0,VLOOKUP($A4,Councils!$B$6:$AE$841,4,0))</f>
        <v>59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15326</v>
      </c>
      <c r="B5" t="str">
        <f>IF(ISNA(VLOOKUP($A5,Councils!$B$6:$AE$841,3,0)),0,VLOOKUP($A5,Councils!$B$6:$AE$841,3,0))</f>
        <v>Taft</v>
      </c>
      <c r="C5">
        <f>IF(ISNA(VLOOKUP($A5,Councils!$B$6:$AE$841,4,0)),0,VLOOKUP($A5,Councils!$B$6:$AE$841,4,0))</f>
        <v>36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15512</v>
      </c>
      <c r="B6" t="str">
        <f>IF(ISNA(VLOOKUP($A6,Councils!$B$6:$AE$841,3,0)),0,VLOOKUP($A6,Councils!$B$6:$AE$841,3,0))</f>
        <v>Taft</v>
      </c>
      <c r="C6">
        <f>IF(ISNA(VLOOKUP($A6,Councils!$B$6:$AE$841,4,0)),0,VLOOKUP($A6,Councils!$B$6:$AE$841,4,0))</f>
        <v>52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:A4">
    <cfRule type="expression" dxfId="51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2791</v>
      </c>
      <c r="B3" t="str">
        <f>IF(ISNA(VLOOKUP($A3,Councils!$B$6:$AE$841,3,0)),0,VLOOKUP($A3,Councils!$B$6:$AE$841,3,0))</f>
        <v>San Diego</v>
      </c>
      <c r="C3">
        <f>IF(ISNA(VLOOKUP($A3,Councils!$B$6:$AE$841,4,0)),0,VLOOKUP($A3,Councils!$B$6:$AE$841,4,0))</f>
        <v>85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8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8</v>
      </c>
      <c r="K3" s="63">
        <f>IFERROR(J3/D3,0)</f>
        <v>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7167</v>
      </c>
      <c r="B4" t="str">
        <f>IF(ISNA(VLOOKUP($A4,Councils!$B$6:$AE$841,3,0)),0,VLOOKUP($A4,Councils!$B$6:$AE$841,3,0))</f>
        <v>Freer</v>
      </c>
      <c r="C4">
        <f>IF(ISNA(VLOOKUP($A4,Councils!$B$6:$AE$841,4,0)),0,VLOOKUP($A4,Councils!$B$6:$AE$841,4,0))</f>
        <v>77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13434</v>
      </c>
      <c r="B5" t="str">
        <f>IF(ISNA(VLOOKUP($A5,Councils!$B$6:$AE$841,3,0)),0,VLOOKUP($A5,Councils!$B$6:$AE$841,3,0))</f>
        <v>Ben Bolt</v>
      </c>
      <c r="C5">
        <f>IF(ISNA(VLOOKUP($A5,Councils!$B$6:$AE$841,4,0)),0,VLOOKUP($A5,Councils!$B$6:$AE$841,4,0))</f>
        <v>56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15760</v>
      </c>
      <c r="B6" t="str">
        <f>IF(ISNA(VLOOKUP($A6,Councils!$B$6:$AE$841,3,0)),0,VLOOKUP($A6,Councils!$B$6:$AE$841,3,0))</f>
        <v>Alice</v>
      </c>
      <c r="C6">
        <f>IF(ISNA(VLOOKUP($A6,Councils!$B$6:$AE$841,4,0)),0,VLOOKUP($A6,Councils!$B$6:$AE$841,4,0))</f>
        <v>40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R181"/>
  <sheetViews>
    <sheetView zoomScaleNormal="100" workbookViewId="0">
      <pane ySplit="4" topLeftCell="A5" activePane="bottomLeft" state="frozen"/>
      <selection activeCell="K3" sqref="K3"/>
      <selection pane="bottomLeft" activeCell="A136" sqref="A136:P14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7" customWidth="1"/>
    <col min="17" max="17" width="8.7109375" style="8" customWidth="1"/>
    <col min="18" max="16384" width="12.42578125" style="8"/>
  </cols>
  <sheetData>
    <row r="1" spans="1:18" s="213" customFormat="1" ht="33.75" customHeight="1">
      <c r="A1" s="211"/>
      <c r="B1" s="440" t="s">
        <v>940</v>
      </c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212"/>
    </row>
    <row r="2" spans="1:18" s="216" customFormat="1" ht="31.5" customHeight="1">
      <c r="A2" s="214"/>
      <c r="B2" s="441" t="s">
        <v>1039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215"/>
    </row>
    <row r="3" spans="1:18" ht="15" customHeight="1"/>
    <row r="4" spans="1:18" ht="33.75" customHeight="1">
      <c r="A4" s="218" t="s">
        <v>941</v>
      </c>
      <c r="B4" s="219" t="s">
        <v>942</v>
      </c>
      <c r="C4" s="219" t="s">
        <v>943</v>
      </c>
      <c r="D4" s="220" t="s">
        <v>944</v>
      </c>
      <c r="E4" s="220" t="s">
        <v>945</v>
      </c>
      <c r="F4" s="220" t="s">
        <v>946</v>
      </c>
      <c r="G4" s="220" t="s">
        <v>947</v>
      </c>
      <c r="H4" s="220" t="s">
        <v>948</v>
      </c>
      <c r="I4" s="220" t="s">
        <v>949</v>
      </c>
      <c r="J4" s="220" t="s">
        <v>950</v>
      </c>
      <c r="K4" s="220" t="s">
        <v>951</v>
      </c>
      <c r="L4" s="220" t="s">
        <v>952</v>
      </c>
      <c r="M4" s="220" t="s">
        <v>953</v>
      </c>
      <c r="N4" s="220" t="s">
        <v>954</v>
      </c>
      <c r="O4" s="220" t="s">
        <v>955</v>
      </c>
      <c r="P4" s="11" t="s">
        <v>956</v>
      </c>
    </row>
    <row r="5" spans="1:18" ht="20.2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8" ht="21" customHeight="1">
      <c r="A6" s="222" t="s">
        <v>960</v>
      </c>
      <c r="B6" s="218"/>
      <c r="C6" s="218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8">
      <c r="A7" s="223" t="s">
        <v>670</v>
      </c>
      <c r="B7" s="223" t="s">
        <v>671</v>
      </c>
      <c r="C7" s="223" t="s">
        <v>1040</v>
      </c>
      <c r="D7" s="223">
        <f>D93</f>
        <v>278</v>
      </c>
      <c r="E7" s="223">
        <f t="shared" ref="E7:O7" si="0">SUM(D7+E93)</f>
        <v>533</v>
      </c>
      <c r="F7" s="223">
        <f t="shared" si="0"/>
        <v>879</v>
      </c>
      <c r="G7" s="223">
        <f t="shared" si="0"/>
        <v>1232</v>
      </c>
      <c r="H7" s="223">
        <f t="shared" si="0"/>
        <v>1511</v>
      </c>
      <c r="I7" s="223">
        <f t="shared" si="0"/>
        <v>1902</v>
      </c>
      <c r="J7" s="223">
        <f t="shared" si="0"/>
        <v>2096</v>
      </c>
      <c r="K7" s="223">
        <f t="shared" si="0"/>
        <v>2429</v>
      </c>
      <c r="L7" s="223">
        <f t="shared" si="0"/>
        <v>2876</v>
      </c>
      <c r="M7" s="223">
        <f t="shared" si="0"/>
        <v>3221</v>
      </c>
      <c r="N7" s="223">
        <f t="shared" si="0"/>
        <v>3628</v>
      </c>
      <c r="O7" s="223">
        <f t="shared" si="0"/>
        <v>4082</v>
      </c>
      <c r="P7" s="224">
        <v>4082</v>
      </c>
      <c r="Q7" s="217" t="s">
        <v>957</v>
      </c>
    </row>
    <row r="8" spans="1:18" ht="15.75" thickBot="1">
      <c r="A8" s="225" t="s">
        <v>673</v>
      </c>
      <c r="B8" s="225" t="s">
        <v>671</v>
      </c>
      <c r="C8" s="225" t="s">
        <v>672</v>
      </c>
      <c r="D8" s="225">
        <f t="shared" ref="D8:D28" si="1">D94</f>
        <v>309</v>
      </c>
      <c r="E8" s="225">
        <f t="shared" ref="E8:O8" si="2">SUM(D8+E94)</f>
        <v>619</v>
      </c>
      <c r="F8" s="225">
        <f t="shared" si="2"/>
        <v>864</v>
      </c>
      <c r="G8" s="225">
        <f t="shared" si="2"/>
        <v>1234</v>
      </c>
      <c r="H8" s="225">
        <f t="shared" si="2"/>
        <v>1546</v>
      </c>
      <c r="I8" s="225">
        <f t="shared" si="2"/>
        <v>1950</v>
      </c>
      <c r="J8" s="225">
        <f t="shared" si="2"/>
        <v>2254</v>
      </c>
      <c r="K8" s="225">
        <f t="shared" si="2"/>
        <v>2728</v>
      </c>
      <c r="L8" s="225">
        <f t="shared" si="2"/>
        <v>3119</v>
      </c>
      <c r="M8" s="225">
        <f t="shared" si="2"/>
        <v>3517</v>
      </c>
      <c r="N8" s="225">
        <f t="shared" si="2"/>
        <v>3831</v>
      </c>
      <c r="O8" s="225">
        <f t="shared" si="2"/>
        <v>4145</v>
      </c>
      <c r="P8" s="224">
        <v>4145</v>
      </c>
      <c r="Q8" s="217" t="s">
        <v>957</v>
      </c>
    </row>
    <row r="9" spans="1:18">
      <c r="A9" s="223" t="s">
        <v>674</v>
      </c>
      <c r="B9" s="223" t="s">
        <v>675</v>
      </c>
      <c r="C9" s="223" t="s">
        <v>676</v>
      </c>
      <c r="D9" s="223">
        <f t="shared" si="1"/>
        <v>211</v>
      </c>
      <c r="E9" s="223">
        <f t="shared" ref="E9:O9" si="3">SUM(D9+E95)</f>
        <v>480</v>
      </c>
      <c r="F9" s="223">
        <f t="shared" si="3"/>
        <v>769</v>
      </c>
      <c r="G9" s="223">
        <f t="shared" si="3"/>
        <v>1128</v>
      </c>
      <c r="H9" s="223">
        <f t="shared" si="3"/>
        <v>1433</v>
      </c>
      <c r="I9" s="223">
        <f t="shared" si="3"/>
        <v>1818</v>
      </c>
      <c r="J9" s="223">
        <f t="shared" si="3"/>
        <v>2100</v>
      </c>
      <c r="K9" s="223">
        <f t="shared" si="3"/>
        <v>2481</v>
      </c>
      <c r="L9" s="223">
        <f t="shared" si="3"/>
        <v>2941</v>
      </c>
      <c r="M9" s="223">
        <f t="shared" si="3"/>
        <v>3269</v>
      </c>
      <c r="N9" s="223">
        <f t="shared" si="3"/>
        <v>3623</v>
      </c>
      <c r="O9" s="223">
        <f t="shared" si="3"/>
        <v>4166</v>
      </c>
      <c r="P9" s="217">
        <v>4166</v>
      </c>
      <c r="Q9" s="217" t="s">
        <v>957</v>
      </c>
    </row>
    <row r="10" spans="1:18" ht="15.75" thickBot="1">
      <c r="A10" s="225" t="s">
        <v>677</v>
      </c>
      <c r="B10" s="225" t="s">
        <v>675</v>
      </c>
      <c r="C10" s="225" t="s">
        <v>676</v>
      </c>
      <c r="D10" s="225">
        <f t="shared" si="1"/>
        <v>221</v>
      </c>
      <c r="E10" s="225">
        <f t="shared" ref="E10:O10" si="4">SUM(D10+E96)</f>
        <v>577</v>
      </c>
      <c r="F10" s="225">
        <f t="shared" si="4"/>
        <v>912</v>
      </c>
      <c r="G10" s="225">
        <f t="shared" si="4"/>
        <v>1328</v>
      </c>
      <c r="H10" s="225">
        <f t="shared" si="4"/>
        <v>1831</v>
      </c>
      <c r="I10" s="225">
        <f t="shared" si="4"/>
        <v>2148</v>
      </c>
      <c r="J10" s="225">
        <f t="shared" si="4"/>
        <v>2501</v>
      </c>
      <c r="K10" s="225">
        <f t="shared" si="4"/>
        <v>2848</v>
      </c>
      <c r="L10" s="225">
        <f t="shared" si="4"/>
        <v>3240</v>
      </c>
      <c r="M10" s="225">
        <f t="shared" si="4"/>
        <v>3604</v>
      </c>
      <c r="N10" s="225">
        <f t="shared" si="4"/>
        <v>3948</v>
      </c>
      <c r="O10" s="225">
        <f t="shared" si="4"/>
        <v>4366</v>
      </c>
      <c r="P10" s="224">
        <v>4366</v>
      </c>
      <c r="Q10" s="217" t="s">
        <v>957</v>
      </c>
    </row>
    <row r="11" spans="1:18">
      <c r="A11" s="223" t="s">
        <v>678</v>
      </c>
      <c r="B11" s="223" t="s">
        <v>679</v>
      </c>
      <c r="C11" s="223" t="s">
        <v>680</v>
      </c>
      <c r="D11" s="223">
        <f t="shared" si="1"/>
        <v>237</v>
      </c>
      <c r="E11" s="223">
        <f t="shared" ref="E11:O11" si="5">SUM(D11+E97)</f>
        <v>504</v>
      </c>
      <c r="F11" s="223">
        <f t="shared" si="5"/>
        <v>790</v>
      </c>
      <c r="G11" s="223">
        <f t="shared" si="5"/>
        <v>1237</v>
      </c>
      <c r="H11" s="223">
        <f t="shared" si="5"/>
        <v>1666</v>
      </c>
      <c r="I11" s="223">
        <f t="shared" si="5"/>
        <v>1950</v>
      </c>
      <c r="J11" s="223">
        <f t="shared" si="5"/>
        <v>2290</v>
      </c>
      <c r="K11" s="223">
        <f t="shared" si="5"/>
        <v>2719</v>
      </c>
      <c r="L11" s="223">
        <f t="shared" si="5"/>
        <v>3119</v>
      </c>
      <c r="M11" s="223">
        <f t="shared" si="5"/>
        <v>3546</v>
      </c>
      <c r="N11" s="223">
        <f t="shared" si="5"/>
        <v>4026</v>
      </c>
      <c r="O11" s="223">
        <f t="shared" si="5"/>
        <v>4471</v>
      </c>
      <c r="P11" s="217">
        <v>4471</v>
      </c>
      <c r="Q11" s="217" t="s">
        <v>957</v>
      </c>
    </row>
    <row r="12" spans="1:18" ht="15.75" thickBot="1">
      <c r="A12" s="225" t="s">
        <v>681</v>
      </c>
      <c r="B12" s="225" t="s">
        <v>679</v>
      </c>
      <c r="C12" s="225" t="s">
        <v>680</v>
      </c>
      <c r="D12" s="225">
        <f t="shared" si="1"/>
        <v>194</v>
      </c>
      <c r="E12" s="225">
        <f t="shared" ref="E12:O12" si="6">SUM(D12+E98)</f>
        <v>538</v>
      </c>
      <c r="F12" s="225">
        <f t="shared" si="6"/>
        <v>816</v>
      </c>
      <c r="G12" s="225">
        <f t="shared" si="6"/>
        <v>1310</v>
      </c>
      <c r="H12" s="225">
        <f t="shared" si="6"/>
        <v>1685</v>
      </c>
      <c r="I12" s="225">
        <f t="shared" si="6"/>
        <v>2105</v>
      </c>
      <c r="J12" s="225">
        <f t="shared" si="6"/>
        <v>2426</v>
      </c>
      <c r="K12" s="225">
        <f t="shared" si="6"/>
        <v>2818</v>
      </c>
      <c r="L12" s="225">
        <f t="shared" si="6"/>
        <v>3299</v>
      </c>
      <c r="M12" s="225">
        <f t="shared" si="6"/>
        <v>3772</v>
      </c>
      <c r="N12" s="225">
        <f t="shared" si="6"/>
        <v>4207</v>
      </c>
      <c r="O12" s="225">
        <f t="shared" si="6"/>
        <v>4821</v>
      </c>
      <c r="P12" s="224">
        <v>4821</v>
      </c>
      <c r="Q12" s="217" t="s">
        <v>957</v>
      </c>
    </row>
    <row r="13" spans="1:18">
      <c r="A13" s="223" t="s">
        <v>682</v>
      </c>
      <c r="B13" s="223" t="s">
        <v>683</v>
      </c>
      <c r="C13" s="223" t="s">
        <v>684</v>
      </c>
      <c r="D13" s="223">
        <f t="shared" si="1"/>
        <v>147</v>
      </c>
      <c r="E13" s="223">
        <f t="shared" ref="E13:O13" si="7">SUM(D13+E99)</f>
        <v>479</v>
      </c>
      <c r="F13" s="223">
        <f t="shared" si="7"/>
        <v>804</v>
      </c>
      <c r="G13" s="223">
        <f t="shared" si="7"/>
        <v>1242</v>
      </c>
      <c r="H13" s="223">
        <f t="shared" si="7"/>
        <v>1576</v>
      </c>
      <c r="I13" s="223">
        <f t="shared" si="7"/>
        <v>2084</v>
      </c>
      <c r="J13" s="223">
        <f t="shared" si="7"/>
        <v>2347</v>
      </c>
      <c r="K13" s="223">
        <f t="shared" si="7"/>
        <v>2683</v>
      </c>
      <c r="L13" s="223">
        <f t="shared" si="7"/>
        <v>3127</v>
      </c>
      <c r="M13" s="223">
        <f t="shared" si="7"/>
        <v>3510</v>
      </c>
      <c r="N13" s="223">
        <f t="shared" si="7"/>
        <v>3914</v>
      </c>
      <c r="O13" s="223">
        <f t="shared" si="7"/>
        <v>4438</v>
      </c>
      <c r="P13" s="217">
        <v>4438</v>
      </c>
      <c r="Q13" s="217" t="s">
        <v>957</v>
      </c>
    </row>
    <row r="14" spans="1:18" ht="15.75" thickBot="1">
      <c r="A14" s="225" t="s">
        <v>685</v>
      </c>
      <c r="B14" s="225" t="s">
        <v>683</v>
      </c>
      <c r="C14" s="225" t="s">
        <v>684</v>
      </c>
      <c r="D14" s="225">
        <f t="shared" si="1"/>
        <v>219</v>
      </c>
      <c r="E14" s="225">
        <f t="shared" ref="E14:O14" si="8">SUM(D14+E100)</f>
        <v>510</v>
      </c>
      <c r="F14" s="225">
        <f t="shared" si="8"/>
        <v>858</v>
      </c>
      <c r="G14" s="225">
        <f t="shared" si="8"/>
        <v>1369</v>
      </c>
      <c r="H14" s="225">
        <f t="shared" si="8"/>
        <v>1814</v>
      </c>
      <c r="I14" s="225">
        <f t="shared" si="8"/>
        <v>2324</v>
      </c>
      <c r="J14" s="225">
        <f t="shared" si="8"/>
        <v>2626</v>
      </c>
      <c r="K14" s="225">
        <f t="shared" si="8"/>
        <v>3098</v>
      </c>
      <c r="L14" s="225">
        <f t="shared" si="8"/>
        <v>3559</v>
      </c>
      <c r="M14" s="225">
        <f t="shared" si="8"/>
        <v>4032</v>
      </c>
      <c r="N14" s="225">
        <f t="shared" si="8"/>
        <v>4401</v>
      </c>
      <c r="O14" s="225">
        <f t="shared" si="8"/>
        <v>5016</v>
      </c>
      <c r="P14" s="224">
        <v>5016</v>
      </c>
      <c r="Q14" s="217" t="s">
        <v>957</v>
      </c>
    </row>
    <row r="15" spans="1:18">
      <c r="A15" s="223" t="s">
        <v>686</v>
      </c>
      <c r="B15" s="223" t="s">
        <v>676</v>
      </c>
      <c r="C15" s="223" t="s">
        <v>687</v>
      </c>
      <c r="D15" s="223">
        <f t="shared" si="1"/>
        <v>219</v>
      </c>
      <c r="E15" s="223">
        <f t="shared" ref="E15:O15" si="9">SUM(D15+E101)</f>
        <v>584</v>
      </c>
      <c r="F15" s="223">
        <f t="shared" si="9"/>
        <v>977</v>
      </c>
      <c r="G15" s="223">
        <f t="shared" si="9"/>
        <v>1425</v>
      </c>
      <c r="H15" s="223">
        <f t="shared" si="9"/>
        <v>1791</v>
      </c>
      <c r="I15" s="223">
        <f t="shared" si="9"/>
        <v>2168</v>
      </c>
      <c r="J15" s="223">
        <f t="shared" si="9"/>
        <v>2517</v>
      </c>
      <c r="K15" s="223">
        <f t="shared" si="9"/>
        <v>2879</v>
      </c>
      <c r="L15" s="223">
        <f t="shared" si="9"/>
        <v>3360</v>
      </c>
      <c r="M15" s="223">
        <f t="shared" si="9"/>
        <v>3708</v>
      </c>
      <c r="N15" s="223">
        <f t="shared" si="9"/>
        <v>4133</v>
      </c>
      <c r="O15" s="223">
        <f t="shared" si="9"/>
        <v>4736</v>
      </c>
      <c r="P15" s="217">
        <v>4736</v>
      </c>
      <c r="Q15" s="217" t="s">
        <v>957</v>
      </c>
      <c r="R15" s="226"/>
    </row>
    <row r="16" spans="1:18" ht="15.75" thickBot="1">
      <c r="A16" s="225" t="s">
        <v>688</v>
      </c>
      <c r="B16" s="225" t="s">
        <v>676</v>
      </c>
      <c r="C16" s="225" t="s">
        <v>687</v>
      </c>
      <c r="D16" s="225">
        <f t="shared" si="1"/>
        <v>180</v>
      </c>
      <c r="E16" s="225">
        <f t="shared" ref="E16:O16" si="10">SUM(D16+E102)</f>
        <v>481</v>
      </c>
      <c r="F16" s="225">
        <f t="shared" si="10"/>
        <v>692</v>
      </c>
      <c r="G16" s="225">
        <f t="shared" si="10"/>
        <v>1145</v>
      </c>
      <c r="H16" s="225">
        <f t="shared" si="10"/>
        <v>1675</v>
      </c>
      <c r="I16" s="225">
        <f t="shared" si="10"/>
        <v>2077</v>
      </c>
      <c r="J16" s="225">
        <f t="shared" si="10"/>
        <v>2417</v>
      </c>
      <c r="K16" s="225">
        <f t="shared" si="10"/>
        <v>2729</v>
      </c>
      <c r="L16" s="225">
        <f t="shared" si="10"/>
        <v>3112</v>
      </c>
      <c r="M16" s="225">
        <f t="shared" si="10"/>
        <v>3540</v>
      </c>
      <c r="N16" s="225">
        <f t="shared" si="10"/>
        <v>4054</v>
      </c>
      <c r="O16" s="225">
        <f t="shared" si="10"/>
        <v>4577</v>
      </c>
      <c r="P16" s="224">
        <v>4577</v>
      </c>
      <c r="Q16" s="217" t="s">
        <v>957</v>
      </c>
      <c r="R16" s="226"/>
    </row>
    <row r="17" spans="1:18">
      <c r="A17" s="223" t="s">
        <v>689</v>
      </c>
      <c r="B17" s="223" t="s">
        <v>680</v>
      </c>
      <c r="C17" s="223" t="s">
        <v>690</v>
      </c>
      <c r="D17" s="223">
        <f t="shared" si="1"/>
        <v>258</v>
      </c>
      <c r="E17" s="223">
        <f t="shared" ref="E17:O17" si="11">SUM(D17+E103)</f>
        <v>565</v>
      </c>
      <c r="F17" s="223">
        <f t="shared" si="11"/>
        <v>905</v>
      </c>
      <c r="G17" s="223">
        <f t="shared" si="11"/>
        <v>1430</v>
      </c>
      <c r="H17" s="223">
        <f t="shared" si="11"/>
        <v>1769</v>
      </c>
      <c r="I17" s="223">
        <f t="shared" si="11"/>
        <v>2137</v>
      </c>
      <c r="J17" s="223">
        <f t="shared" si="11"/>
        <v>2471</v>
      </c>
      <c r="K17" s="223">
        <f t="shared" si="11"/>
        <v>2845</v>
      </c>
      <c r="L17" s="223">
        <f t="shared" si="11"/>
        <v>3291</v>
      </c>
      <c r="M17" s="223">
        <f t="shared" si="11"/>
        <v>3719</v>
      </c>
      <c r="N17" s="223">
        <f t="shared" si="11"/>
        <v>4205</v>
      </c>
      <c r="O17" s="223">
        <f t="shared" si="11"/>
        <v>4667</v>
      </c>
      <c r="P17" s="224">
        <v>4667</v>
      </c>
      <c r="Q17" s="217" t="s">
        <v>957</v>
      </c>
      <c r="R17" s="226"/>
    </row>
    <row r="18" spans="1:18" ht="15.75" thickBot="1">
      <c r="A18" s="225" t="s">
        <v>691</v>
      </c>
      <c r="B18" s="225" t="s">
        <v>680</v>
      </c>
      <c r="C18" s="225" t="s">
        <v>690</v>
      </c>
      <c r="D18" s="225">
        <f t="shared" si="1"/>
        <v>307</v>
      </c>
      <c r="E18" s="225">
        <f t="shared" ref="E18:O18" si="12">SUM(D18+E104)</f>
        <v>644</v>
      </c>
      <c r="F18" s="225">
        <f t="shared" si="12"/>
        <v>960</v>
      </c>
      <c r="G18" s="225">
        <f t="shared" si="12"/>
        <v>1466</v>
      </c>
      <c r="H18" s="225">
        <f t="shared" si="12"/>
        <v>1996</v>
      </c>
      <c r="I18" s="225">
        <f t="shared" si="12"/>
        <v>2371</v>
      </c>
      <c r="J18" s="225">
        <f t="shared" si="12"/>
        <v>2692</v>
      </c>
      <c r="K18" s="225">
        <f t="shared" si="12"/>
        <v>3105</v>
      </c>
      <c r="L18" s="225">
        <f t="shared" si="12"/>
        <v>3522</v>
      </c>
      <c r="M18" s="225">
        <f t="shared" si="12"/>
        <v>4018</v>
      </c>
      <c r="N18" s="225">
        <f t="shared" si="12"/>
        <v>4373</v>
      </c>
      <c r="O18" s="225">
        <f t="shared" si="12"/>
        <v>5033</v>
      </c>
      <c r="P18" s="224">
        <v>5033</v>
      </c>
      <c r="Q18" s="217" t="s">
        <v>957</v>
      </c>
      <c r="R18" s="226"/>
    </row>
    <row r="19" spans="1:18" s="228" customFormat="1">
      <c r="A19" s="223" t="s">
        <v>692</v>
      </c>
      <c r="B19" s="223" t="s">
        <v>684</v>
      </c>
      <c r="C19" s="223" t="s">
        <v>693</v>
      </c>
      <c r="D19" s="223">
        <f t="shared" si="1"/>
        <v>238</v>
      </c>
      <c r="E19" s="223">
        <f t="shared" ref="E19:O19" si="13">SUM(D19+E105)</f>
        <v>598</v>
      </c>
      <c r="F19" s="223">
        <f t="shared" si="13"/>
        <v>925</v>
      </c>
      <c r="G19" s="223">
        <f t="shared" si="13"/>
        <v>1363</v>
      </c>
      <c r="H19" s="223">
        <f t="shared" si="13"/>
        <v>1689</v>
      </c>
      <c r="I19" s="223">
        <f t="shared" si="13"/>
        <v>2102</v>
      </c>
      <c r="J19" s="223">
        <f t="shared" si="13"/>
        <v>2380</v>
      </c>
      <c r="K19" s="223">
        <f t="shared" si="13"/>
        <v>2805</v>
      </c>
      <c r="L19" s="223">
        <f t="shared" si="13"/>
        <v>3331</v>
      </c>
      <c r="M19" s="223">
        <f t="shared" si="13"/>
        <v>3748</v>
      </c>
      <c r="N19" s="223">
        <f t="shared" si="13"/>
        <v>4260</v>
      </c>
      <c r="O19" s="223">
        <f t="shared" si="13"/>
        <v>4812</v>
      </c>
      <c r="P19" s="227">
        <v>4812</v>
      </c>
      <c r="Q19" s="217" t="s">
        <v>957</v>
      </c>
    </row>
    <row r="20" spans="1:18" s="228" customFormat="1" ht="15.75" thickBot="1">
      <c r="A20" s="225" t="s">
        <v>694</v>
      </c>
      <c r="B20" s="225" t="s">
        <v>684</v>
      </c>
      <c r="C20" s="225" t="s">
        <v>693</v>
      </c>
      <c r="D20" s="225">
        <f t="shared" si="1"/>
        <v>240</v>
      </c>
      <c r="E20" s="225">
        <f t="shared" ref="E20:O20" si="14">SUM(D20+E106)</f>
        <v>597</v>
      </c>
      <c r="F20" s="225">
        <f t="shared" si="14"/>
        <v>1055</v>
      </c>
      <c r="G20" s="225">
        <f t="shared" si="14"/>
        <v>1551</v>
      </c>
      <c r="H20" s="225">
        <f t="shared" si="14"/>
        <v>2035</v>
      </c>
      <c r="I20" s="225">
        <f t="shared" si="14"/>
        <v>2478</v>
      </c>
      <c r="J20" s="225">
        <f t="shared" si="14"/>
        <v>2759</v>
      </c>
      <c r="K20" s="225">
        <f t="shared" si="14"/>
        <v>3275</v>
      </c>
      <c r="L20" s="225">
        <f t="shared" si="14"/>
        <v>3771</v>
      </c>
      <c r="M20" s="225">
        <f t="shared" si="14"/>
        <v>4269</v>
      </c>
      <c r="N20" s="225">
        <f t="shared" si="14"/>
        <v>4746</v>
      </c>
      <c r="O20" s="225">
        <f t="shared" si="14"/>
        <v>5238</v>
      </c>
      <c r="P20" s="227">
        <v>5238</v>
      </c>
      <c r="Q20" s="217" t="s">
        <v>957</v>
      </c>
    </row>
    <row r="21" spans="1:18" s="229" customFormat="1">
      <c r="A21" s="223" t="s">
        <v>695</v>
      </c>
      <c r="B21" s="223" t="s">
        <v>687</v>
      </c>
      <c r="C21" s="223" t="s">
        <v>696</v>
      </c>
      <c r="D21" s="223">
        <f t="shared" si="1"/>
        <v>289</v>
      </c>
      <c r="E21" s="223">
        <f t="shared" ref="E21:O21" si="15">SUM(D21+E107)</f>
        <v>635</v>
      </c>
      <c r="F21" s="223">
        <f t="shared" si="15"/>
        <v>1052</v>
      </c>
      <c r="G21" s="223">
        <f t="shared" si="15"/>
        <v>1514</v>
      </c>
      <c r="H21" s="223">
        <f t="shared" si="15"/>
        <v>1946</v>
      </c>
      <c r="I21" s="223">
        <f t="shared" si="15"/>
        <v>2248</v>
      </c>
      <c r="J21" s="223">
        <f t="shared" si="15"/>
        <v>2501</v>
      </c>
      <c r="K21" s="223">
        <f t="shared" si="15"/>
        <v>2928</v>
      </c>
      <c r="L21" s="223">
        <f t="shared" si="15"/>
        <v>3373</v>
      </c>
      <c r="M21" s="223">
        <f t="shared" si="15"/>
        <v>3730</v>
      </c>
      <c r="N21" s="223">
        <f t="shared" si="15"/>
        <v>4215</v>
      </c>
      <c r="O21" s="223">
        <f t="shared" si="15"/>
        <v>4982</v>
      </c>
      <c r="P21" s="227">
        <v>4982</v>
      </c>
      <c r="Q21" s="217" t="s">
        <v>957</v>
      </c>
    </row>
    <row r="22" spans="1:18" s="229" customFormat="1" ht="15.75" thickBot="1">
      <c r="A22" s="225" t="s">
        <v>697</v>
      </c>
      <c r="B22" s="225" t="s">
        <v>687</v>
      </c>
      <c r="C22" s="225" t="s">
        <v>696</v>
      </c>
      <c r="D22" s="225">
        <f t="shared" si="1"/>
        <v>209</v>
      </c>
      <c r="E22" s="225">
        <f t="shared" ref="E22:O22" si="16">SUM(D22+E108)</f>
        <v>580</v>
      </c>
      <c r="F22" s="225">
        <f t="shared" si="16"/>
        <v>1001</v>
      </c>
      <c r="G22" s="225">
        <f t="shared" si="16"/>
        <v>1435</v>
      </c>
      <c r="H22" s="225">
        <f t="shared" si="16"/>
        <v>1769</v>
      </c>
      <c r="I22" s="225">
        <f t="shared" si="16"/>
        <v>2070</v>
      </c>
      <c r="J22" s="225">
        <f t="shared" si="16"/>
        <v>2413</v>
      </c>
      <c r="K22" s="225">
        <f t="shared" si="16"/>
        <v>2874</v>
      </c>
      <c r="L22" s="225">
        <f t="shared" si="16"/>
        <v>3332</v>
      </c>
      <c r="M22" s="225">
        <f t="shared" si="16"/>
        <v>3674</v>
      </c>
      <c r="N22" s="225">
        <f t="shared" si="16"/>
        <v>4070</v>
      </c>
      <c r="O22" s="225">
        <f t="shared" si="16"/>
        <v>4723</v>
      </c>
      <c r="P22" s="227">
        <v>4723</v>
      </c>
      <c r="Q22" s="217" t="s">
        <v>957</v>
      </c>
    </row>
    <row r="23" spans="1:18" s="229" customFormat="1">
      <c r="A23" s="223" t="s">
        <v>698</v>
      </c>
      <c r="B23" s="223" t="s">
        <v>690</v>
      </c>
      <c r="C23" s="223" t="s">
        <v>699</v>
      </c>
      <c r="D23" s="223">
        <f t="shared" si="1"/>
        <v>199</v>
      </c>
      <c r="E23" s="223">
        <f t="shared" ref="E23:O23" si="17">SUM(D23+E109)</f>
        <v>495</v>
      </c>
      <c r="F23" s="223">
        <f t="shared" si="17"/>
        <v>885</v>
      </c>
      <c r="G23" s="223">
        <f t="shared" si="17"/>
        <v>1268</v>
      </c>
      <c r="H23" s="223">
        <f t="shared" si="17"/>
        <v>1629</v>
      </c>
      <c r="I23" s="223">
        <f t="shared" si="17"/>
        <v>1894</v>
      </c>
      <c r="J23" s="223">
        <f t="shared" si="17"/>
        <v>2207</v>
      </c>
      <c r="K23" s="223">
        <f t="shared" si="17"/>
        <v>2630</v>
      </c>
      <c r="L23" s="223">
        <f t="shared" si="17"/>
        <v>2980</v>
      </c>
      <c r="M23" s="223">
        <f t="shared" si="17"/>
        <v>3489</v>
      </c>
      <c r="N23" s="223">
        <f t="shared" si="17"/>
        <v>3959</v>
      </c>
      <c r="O23" s="223">
        <f t="shared" si="17"/>
        <v>4499</v>
      </c>
      <c r="P23" s="227">
        <v>4499</v>
      </c>
      <c r="Q23" s="217" t="s">
        <v>957</v>
      </c>
    </row>
    <row r="24" spans="1:18" s="229" customFormat="1" ht="15.75" thickBot="1">
      <c r="A24" s="225" t="s">
        <v>700</v>
      </c>
      <c r="B24" s="225" t="s">
        <v>690</v>
      </c>
      <c r="C24" s="225" t="s">
        <v>699</v>
      </c>
      <c r="D24" s="225">
        <f t="shared" si="1"/>
        <v>351</v>
      </c>
      <c r="E24" s="225">
        <f t="shared" ref="E24:O24" si="18">SUM(D24+E110)</f>
        <v>659</v>
      </c>
      <c r="F24" s="225">
        <f t="shared" si="18"/>
        <v>1104</v>
      </c>
      <c r="G24" s="225">
        <f t="shared" si="18"/>
        <v>1529</v>
      </c>
      <c r="H24" s="225">
        <f t="shared" si="18"/>
        <v>1890</v>
      </c>
      <c r="I24" s="225">
        <f t="shared" si="18"/>
        <v>2267</v>
      </c>
      <c r="J24" s="225">
        <f t="shared" si="18"/>
        <v>2601</v>
      </c>
      <c r="K24" s="225">
        <f t="shared" si="18"/>
        <v>3012</v>
      </c>
      <c r="L24" s="225">
        <f t="shared" si="18"/>
        <v>3390</v>
      </c>
      <c r="M24" s="225">
        <f t="shared" si="18"/>
        <v>3795</v>
      </c>
      <c r="N24" s="225">
        <f t="shared" si="18"/>
        <v>4229</v>
      </c>
      <c r="O24" s="225">
        <f t="shared" si="18"/>
        <v>4671</v>
      </c>
      <c r="P24" s="227">
        <v>4671</v>
      </c>
      <c r="Q24" s="217" t="s">
        <v>957</v>
      </c>
    </row>
    <row r="25" spans="1:18" s="229" customFormat="1">
      <c r="A25" s="223" t="s">
        <v>710</v>
      </c>
      <c r="B25" s="223" t="s">
        <v>693</v>
      </c>
      <c r="C25" s="223" t="s">
        <v>711</v>
      </c>
      <c r="D25" s="223">
        <f t="shared" si="1"/>
        <v>291</v>
      </c>
      <c r="E25" s="223">
        <f t="shared" ref="E25:O25" si="19">SUM(D25+E111)</f>
        <v>556</v>
      </c>
      <c r="F25" s="223">
        <f t="shared" si="19"/>
        <v>982</v>
      </c>
      <c r="G25" s="223">
        <f t="shared" si="19"/>
        <v>1470</v>
      </c>
      <c r="H25" s="223">
        <f t="shared" si="19"/>
        <v>1819</v>
      </c>
      <c r="I25" s="223">
        <f t="shared" si="19"/>
        <v>2139</v>
      </c>
      <c r="J25" s="223">
        <f t="shared" si="19"/>
        <v>2450</v>
      </c>
      <c r="K25" s="223">
        <f t="shared" si="19"/>
        <v>2876</v>
      </c>
      <c r="L25" s="223">
        <f t="shared" si="19"/>
        <v>3220</v>
      </c>
      <c r="M25" s="223">
        <f t="shared" si="19"/>
        <v>3641</v>
      </c>
      <c r="N25" s="223">
        <f t="shared" si="19"/>
        <v>4072</v>
      </c>
      <c r="O25" s="223">
        <f t="shared" si="19"/>
        <v>4654</v>
      </c>
      <c r="P25" s="227">
        <v>4654</v>
      </c>
      <c r="Q25" s="217" t="s">
        <v>957</v>
      </c>
    </row>
    <row r="26" spans="1:18" s="229" customFormat="1" ht="15.75" thickBot="1">
      <c r="A26" s="225" t="s">
        <v>719</v>
      </c>
      <c r="B26" s="225" t="s">
        <v>693</v>
      </c>
      <c r="C26" s="225" t="s">
        <v>711</v>
      </c>
      <c r="D26" s="225">
        <f t="shared" si="1"/>
        <v>293</v>
      </c>
      <c r="E26" s="225">
        <f t="shared" ref="E26:O26" si="20">SUM(D26+E112)</f>
        <v>677</v>
      </c>
      <c r="F26" s="225">
        <f t="shared" si="20"/>
        <v>1091</v>
      </c>
      <c r="G26" s="225">
        <f t="shared" si="20"/>
        <v>1533</v>
      </c>
      <c r="H26" s="225">
        <f t="shared" si="20"/>
        <v>1953</v>
      </c>
      <c r="I26" s="225">
        <f t="shared" si="20"/>
        <v>2292</v>
      </c>
      <c r="J26" s="225">
        <f t="shared" si="20"/>
        <v>2619</v>
      </c>
      <c r="K26" s="225">
        <f t="shared" si="20"/>
        <v>3023</v>
      </c>
      <c r="L26" s="225">
        <f t="shared" si="20"/>
        <v>3465</v>
      </c>
      <c r="M26" s="225">
        <f t="shared" si="20"/>
        <v>3851</v>
      </c>
      <c r="N26" s="225">
        <f t="shared" si="20"/>
        <v>4260</v>
      </c>
      <c r="O26" s="225">
        <f t="shared" si="20"/>
        <v>4735</v>
      </c>
      <c r="P26" s="227">
        <v>4735</v>
      </c>
      <c r="Q26" s="217" t="s">
        <v>957</v>
      </c>
    </row>
    <row r="27" spans="1:18" s="229" customFormat="1">
      <c r="A27" s="223" t="s">
        <v>864</v>
      </c>
      <c r="B27" s="223" t="s">
        <v>865</v>
      </c>
      <c r="C27" s="223" t="s">
        <v>866</v>
      </c>
      <c r="D27" s="223">
        <f t="shared" si="1"/>
        <v>217</v>
      </c>
      <c r="E27" s="223">
        <f t="shared" ref="E27:O27" si="21">SUM(D27+E113)</f>
        <v>581</v>
      </c>
      <c r="F27" s="223">
        <f t="shared" si="21"/>
        <v>989</v>
      </c>
      <c r="G27" s="223">
        <f t="shared" si="21"/>
        <v>1359</v>
      </c>
      <c r="H27" s="223">
        <f t="shared" si="21"/>
        <v>1690</v>
      </c>
      <c r="I27" s="223">
        <f t="shared" si="21"/>
        <v>2041</v>
      </c>
      <c r="J27" s="223">
        <f t="shared" si="21"/>
        <v>2308</v>
      </c>
      <c r="K27" s="223">
        <f t="shared" si="21"/>
        <v>2636</v>
      </c>
      <c r="L27" s="223">
        <f t="shared" si="21"/>
        <v>3108</v>
      </c>
      <c r="M27" s="223">
        <f t="shared" si="21"/>
        <v>3408</v>
      </c>
      <c r="N27" s="223">
        <f t="shared" si="21"/>
        <v>3924</v>
      </c>
      <c r="O27" s="223">
        <f t="shared" si="21"/>
        <v>4498</v>
      </c>
      <c r="P27" s="227"/>
      <c r="Q27" s="217"/>
    </row>
    <row r="28" spans="1:18" s="229" customFormat="1" ht="15.75" thickBot="1">
      <c r="A28" s="225" t="s">
        <v>1025</v>
      </c>
      <c r="B28" s="225" t="s">
        <v>865</v>
      </c>
      <c r="C28" s="225" t="s">
        <v>866</v>
      </c>
      <c r="D28" s="225">
        <f t="shared" si="1"/>
        <v>273</v>
      </c>
      <c r="E28" s="225">
        <f t="shared" ref="E28:O28" si="22">SUM(D28+E114)</f>
        <v>624</v>
      </c>
      <c r="F28" s="225">
        <f t="shared" si="22"/>
        <v>889</v>
      </c>
      <c r="G28" s="225">
        <f t="shared" si="22"/>
        <v>1285</v>
      </c>
      <c r="H28" s="225">
        <f t="shared" si="22"/>
        <v>1674</v>
      </c>
      <c r="I28" s="225">
        <f t="shared" si="22"/>
        <v>1966</v>
      </c>
      <c r="J28" s="225">
        <f t="shared" si="22"/>
        <v>2363</v>
      </c>
      <c r="K28" s="225">
        <f t="shared" si="22"/>
        <v>2718</v>
      </c>
      <c r="L28" s="225">
        <f t="shared" si="22"/>
        <v>3109</v>
      </c>
      <c r="M28" s="225">
        <f t="shared" si="22"/>
        <v>3550</v>
      </c>
      <c r="N28" s="225">
        <f t="shared" si="22"/>
        <v>4032</v>
      </c>
      <c r="O28" s="225">
        <f t="shared" si="22"/>
        <v>4508</v>
      </c>
      <c r="P28" s="227"/>
      <c r="Q28" s="217"/>
    </row>
    <row r="29" spans="1:18" s="229" customFormat="1">
      <c r="A29" s="223" t="s">
        <v>1035</v>
      </c>
      <c r="B29" s="223" t="s">
        <v>1036</v>
      </c>
      <c r="C29" s="223" t="s">
        <v>672</v>
      </c>
      <c r="D29" s="223">
        <f>D115</f>
        <v>150</v>
      </c>
      <c r="E29" s="223">
        <f t="shared" ref="E29:O29" si="23">IF(E114="","",SUM(D29+E114))</f>
        <v>501</v>
      </c>
      <c r="F29" s="223">
        <f t="shared" si="23"/>
        <v>766</v>
      </c>
      <c r="G29" s="223">
        <f t="shared" si="23"/>
        <v>1162</v>
      </c>
      <c r="H29" s="223">
        <f t="shared" si="23"/>
        <v>1551</v>
      </c>
      <c r="I29" s="223">
        <f t="shared" si="23"/>
        <v>1843</v>
      </c>
      <c r="J29" s="223">
        <f t="shared" si="23"/>
        <v>2240</v>
      </c>
      <c r="K29" s="223">
        <f t="shared" si="23"/>
        <v>2595</v>
      </c>
      <c r="L29" s="223">
        <f t="shared" si="23"/>
        <v>2986</v>
      </c>
      <c r="M29" s="223">
        <f t="shared" si="23"/>
        <v>3427</v>
      </c>
      <c r="N29" s="223">
        <f t="shared" si="23"/>
        <v>3909</v>
      </c>
      <c r="O29" s="223">
        <f t="shared" si="23"/>
        <v>4385</v>
      </c>
      <c r="P29" s="227"/>
      <c r="Q29" s="217"/>
    </row>
    <row r="30" spans="1:18" s="229" customFormat="1" ht="15.75" thickBot="1">
      <c r="A30" s="225" t="s">
        <v>1055</v>
      </c>
      <c r="B30" s="225" t="s">
        <v>1036</v>
      </c>
      <c r="C30" s="225" t="s">
        <v>672</v>
      </c>
      <c r="D30" s="225">
        <f>D116</f>
        <v>280</v>
      </c>
      <c r="E30" s="225">
        <f t="shared" ref="E30:O30" si="24">IF(E116="","",SUM(D30+E116))</f>
        <v>487</v>
      </c>
      <c r="F30" s="225">
        <f t="shared" si="24"/>
        <v>817</v>
      </c>
      <c r="G30" s="225">
        <f t="shared" si="24"/>
        <v>1215</v>
      </c>
      <c r="H30" s="225">
        <f t="shared" si="24"/>
        <v>1488</v>
      </c>
      <c r="I30" s="225">
        <f t="shared" si="24"/>
        <v>1765</v>
      </c>
      <c r="J30" s="225">
        <f t="shared" si="24"/>
        <v>2027</v>
      </c>
      <c r="K30" s="225">
        <f t="shared" si="24"/>
        <v>2286</v>
      </c>
      <c r="L30" s="225">
        <f t="shared" si="24"/>
        <v>2493</v>
      </c>
      <c r="M30" s="225">
        <f t="shared" si="24"/>
        <v>2676</v>
      </c>
      <c r="N30" s="225">
        <f t="shared" si="24"/>
        <v>2807</v>
      </c>
      <c r="O30" s="225">
        <f t="shared" si="24"/>
        <v>2965</v>
      </c>
      <c r="P30" s="227"/>
      <c r="Q30" s="217"/>
    </row>
    <row r="31" spans="1:18" s="229" customFormat="1">
      <c r="A31" s="223" t="s">
        <v>1277</v>
      </c>
      <c r="B31" s="223" t="s">
        <v>711</v>
      </c>
      <c r="C31" s="223" t="s">
        <v>1278</v>
      </c>
      <c r="D31" s="223">
        <f>D117</f>
        <v>118</v>
      </c>
      <c r="E31" s="223">
        <f t="shared" ref="E31:O31" si="25">IF(E117="","",SUM(D31+E117))</f>
        <v>282</v>
      </c>
      <c r="F31" s="223">
        <f t="shared" si="25"/>
        <v>470</v>
      </c>
      <c r="G31" s="223">
        <f t="shared" si="25"/>
        <v>649</v>
      </c>
      <c r="H31" s="223">
        <f t="shared" si="25"/>
        <v>860</v>
      </c>
      <c r="I31" s="223">
        <f t="shared" si="25"/>
        <v>1027</v>
      </c>
      <c r="J31" s="223">
        <f t="shared" si="25"/>
        <v>1143</v>
      </c>
      <c r="K31" s="223" t="str">
        <f t="shared" si="25"/>
        <v/>
      </c>
      <c r="L31" s="223" t="str">
        <f t="shared" si="25"/>
        <v/>
      </c>
      <c r="M31" s="223" t="str">
        <f t="shared" si="25"/>
        <v/>
      </c>
      <c r="N31" s="223" t="str">
        <f t="shared" si="25"/>
        <v/>
      </c>
      <c r="O31" s="223" t="str">
        <f t="shared" si="25"/>
        <v/>
      </c>
      <c r="P31" s="227"/>
      <c r="Q31" s="217"/>
    </row>
    <row r="32" spans="1:18" s="229" customFormat="1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7"/>
      <c r="Q32" s="217"/>
    </row>
    <row r="33" spans="1:17" s="229" customFormat="1" ht="15" customHeight="1">
      <c r="A33" s="230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2"/>
    </row>
    <row r="34" spans="1:17" ht="15" customHeight="1">
      <c r="A34" s="233" t="s">
        <v>961</v>
      </c>
      <c r="B34" s="234"/>
      <c r="C34" s="234"/>
      <c r="D34" s="223"/>
      <c r="E34" s="223"/>
      <c r="F34" s="223"/>
      <c r="G34" s="223"/>
      <c r="H34" s="223"/>
      <c r="I34" s="223"/>
      <c r="J34" s="223"/>
      <c r="K34" s="223"/>
      <c r="L34" s="223" t="s">
        <v>21</v>
      </c>
      <c r="M34" s="442" t="s">
        <v>21</v>
      </c>
      <c r="N34" s="442"/>
      <c r="O34" s="223"/>
    </row>
    <row r="35" spans="1:17">
      <c r="A35" s="223" t="s">
        <v>670</v>
      </c>
      <c r="B35" s="223" t="s">
        <v>671</v>
      </c>
      <c r="C35" s="223" t="s">
        <v>1040</v>
      </c>
      <c r="D35" s="235">
        <f>D122</f>
        <v>391</v>
      </c>
      <c r="E35" s="235">
        <f t="shared" ref="E35:O35" si="26">IF(E122="","",SUM(D35+E122))</f>
        <v>518</v>
      </c>
      <c r="F35" s="235">
        <f t="shared" si="26"/>
        <v>743</v>
      </c>
      <c r="G35" s="235">
        <f t="shared" si="26"/>
        <v>881</v>
      </c>
      <c r="H35" s="235">
        <f t="shared" si="26"/>
        <v>1073</v>
      </c>
      <c r="I35" s="235">
        <f t="shared" si="26"/>
        <v>1285</v>
      </c>
      <c r="J35" s="235">
        <f t="shared" si="26"/>
        <v>1445</v>
      </c>
      <c r="K35" s="235">
        <f t="shared" si="26"/>
        <v>1639</v>
      </c>
      <c r="L35" s="235">
        <f t="shared" si="26"/>
        <v>1817</v>
      </c>
      <c r="M35" s="235">
        <f t="shared" si="26"/>
        <v>1964</v>
      </c>
      <c r="N35" s="235">
        <f t="shared" si="26"/>
        <v>2422</v>
      </c>
      <c r="O35" s="235">
        <f t="shared" si="26"/>
        <v>2736</v>
      </c>
      <c r="P35" s="236">
        <v>2736</v>
      </c>
      <c r="Q35" s="217" t="s">
        <v>957</v>
      </c>
    </row>
    <row r="36" spans="1:17" ht="15.75" thickBot="1">
      <c r="A36" s="225" t="s">
        <v>673</v>
      </c>
      <c r="B36" s="225" t="s">
        <v>671</v>
      </c>
      <c r="C36" s="225" t="s">
        <v>672</v>
      </c>
      <c r="D36" s="237">
        <f t="shared" ref="D36:D54" si="27">D123</f>
        <v>60</v>
      </c>
      <c r="E36" s="237">
        <f t="shared" ref="E36:O36" si="28">IF(E123="","",SUM(D36+E123))</f>
        <v>147</v>
      </c>
      <c r="F36" s="237">
        <f t="shared" si="28"/>
        <v>279</v>
      </c>
      <c r="G36" s="237">
        <f t="shared" si="28"/>
        <v>449</v>
      </c>
      <c r="H36" s="237">
        <f t="shared" si="28"/>
        <v>583</v>
      </c>
      <c r="I36" s="237">
        <f t="shared" si="28"/>
        <v>684</v>
      </c>
      <c r="J36" s="237">
        <f t="shared" si="28"/>
        <v>856</v>
      </c>
      <c r="K36" s="237">
        <f t="shared" si="28"/>
        <v>990</v>
      </c>
      <c r="L36" s="237">
        <f t="shared" si="28"/>
        <v>1161</v>
      </c>
      <c r="M36" s="237">
        <f t="shared" si="28"/>
        <v>1408</v>
      </c>
      <c r="N36" s="237">
        <f t="shared" si="28"/>
        <v>1659</v>
      </c>
      <c r="O36" s="237">
        <f t="shared" si="28"/>
        <v>1911</v>
      </c>
      <c r="P36" s="238">
        <v>1911</v>
      </c>
      <c r="Q36" s="217" t="s">
        <v>957</v>
      </c>
    </row>
    <row r="37" spans="1:17">
      <c r="A37" s="223" t="s">
        <v>674</v>
      </c>
      <c r="B37" s="223" t="s">
        <v>675</v>
      </c>
      <c r="C37" s="223" t="s">
        <v>676</v>
      </c>
      <c r="D37" s="235">
        <f t="shared" si="27"/>
        <v>133</v>
      </c>
      <c r="E37" s="235">
        <f t="shared" ref="E37:O37" si="29">IF(E124="","",SUM(D37+E124))</f>
        <v>228</v>
      </c>
      <c r="F37" s="235">
        <f t="shared" si="29"/>
        <v>324</v>
      </c>
      <c r="G37" s="235">
        <f t="shared" si="29"/>
        <v>430</v>
      </c>
      <c r="H37" s="235">
        <f t="shared" si="29"/>
        <v>573</v>
      </c>
      <c r="I37" s="235">
        <f t="shared" si="29"/>
        <v>670</v>
      </c>
      <c r="J37" s="235">
        <f t="shared" si="29"/>
        <v>784</v>
      </c>
      <c r="K37" s="235">
        <f t="shared" si="29"/>
        <v>922</v>
      </c>
      <c r="L37" s="235">
        <f t="shared" si="29"/>
        <v>1025</v>
      </c>
      <c r="M37" s="235">
        <f t="shared" si="29"/>
        <v>1213</v>
      </c>
      <c r="N37" s="235">
        <f t="shared" si="29"/>
        <v>1372</v>
      </c>
      <c r="O37" s="235">
        <f t="shared" si="29"/>
        <v>1694</v>
      </c>
      <c r="P37" s="236">
        <v>1694</v>
      </c>
      <c r="Q37" s="217" t="s">
        <v>957</v>
      </c>
    </row>
    <row r="38" spans="1:17" ht="15.75" thickBot="1">
      <c r="A38" s="225" t="s">
        <v>677</v>
      </c>
      <c r="B38" s="225" t="s">
        <v>675</v>
      </c>
      <c r="C38" s="225" t="s">
        <v>676</v>
      </c>
      <c r="D38" s="237">
        <f t="shared" si="27"/>
        <v>258</v>
      </c>
      <c r="E38" s="237">
        <f t="shared" ref="E38:O38" si="30">IF(E125="","",SUM(D38+E125))</f>
        <v>460</v>
      </c>
      <c r="F38" s="237">
        <f t="shared" si="30"/>
        <v>553</v>
      </c>
      <c r="G38" s="237">
        <f t="shared" si="30"/>
        <v>721</v>
      </c>
      <c r="H38" s="237">
        <f t="shared" si="30"/>
        <v>915</v>
      </c>
      <c r="I38" s="237">
        <f t="shared" si="30"/>
        <v>1056</v>
      </c>
      <c r="J38" s="237">
        <f t="shared" si="30"/>
        <v>1188</v>
      </c>
      <c r="K38" s="237">
        <f t="shared" si="30"/>
        <v>1302</v>
      </c>
      <c r="L38" s="237">
        <f t="shared" si="30"/>
        <v>1421</v>
      </c>
      <c r="M38" s="237">
        <f t="shared" si="30"/>
        <v>1647</v>
      </c>
      <c r="N38" s="237">
        <f t="shared" si="30"/>
        <v>1931</v>
      </c>
      <c r="O38" s="237">
        <f t="shared" si="30"/>
        <v>2185</v>
      </c>
      <c r="P38" s="238">
        <v>2185</v>
      </c>
      <c r="Q38" s="217" t="s">
        <v>957</v>
      </c>
    </row>
    <row r="39" spans="1:17">
      <c r="A39" s="223" t="s">
        <v>678</v>
      </c>
      <c r="B39" s="223" t="s">
        <v>679</v>
      </c>
      <c r="C39" s="223" t="s">
        <v>680</v>
      </c>
      <c r="D39" s="235">
        <f t="shared" si="27"/>
        <v>139</v>
      </c>
      <c r="E39" s="235">
        <f t="shared" ref="E39:O39" si="31">IF(E126="","",SUM(D39+E126))</f>
        <v>254</v>
      </c>
      <c r="F39" s="235">
        <f t="shared" si="31"/>
        <v>430</v>
      </c>
      <c r="G39" s="235">
        <f t="shared" si="31"/>
        <v>550</v>
      </c>
      <c r="H39" s="235">
        <f t="shared" si="31"/>
        <v>607</v>
      </c>
      <c r="I39" s="235">
        <f t="shared" si="31"/>
        <v>702</v>
      </c>
      <c r="J39" s="235">
        <f t="shared" si="31"/>
        <v>792</v>
      </c>
      <c r="K39" s="235">
        <f t="shared" si="31"/>
        <v>882</v>
      </c>
      <c r="L39" s="235">
        <f t="shared" si="31"/>
        <v>1012</v>
      </c>
      <c r="M39" s="235">
        <f t="shared" si="31"/>
        <v>1150</v>
      </c>
      <c r="N39" s="235">
        <f t="shared" si="31"/>
        <v>1299</v>
      </c>
      <c r="O39" s="235">
        <f t="shared" si="31"/>
        <v>1752</v>
      </c>
      <c r="P39" s="236">
        <v>1752</v>
      </c>
      <c r="Q39" s="217" t="s">
        <v>957</v>
      </c>
    </row>
    <row r="40" spans="1:17" ht="15.75" thickBot="1">
      <c r="A40" s="225" t="s">
        <v>681</v>
      </c>
      <c r="B40" s="225" t="s">
        <v>679</v>
      </c>
      <c r="C40" s="225" t="s">
        <v>680</v>
      </c>
      <c r="D40" s="237">
        <f t="shared" si="27"/>
        <v>199</v>
      </c>
      <c r="E40" s="237">
        <f t="shared" ref="E40:O40" si="32">IF(E127="","",SUM(D40+E127))</f>
        <v>338</v>
      </c>
      <c r="F40" s="237">
        <f t="shared" si="32"/>
        <v>429</v>
      </c>
      <c r="G40" s="237">
        <f t="shared" si="32"/>
        <v>515</v>
      </c>
      <c r="H40" s="237">
        <f t="shared" si="32"/>
        <v>616</v>
      </c>
      <c r="I40" s="237">
        <f t="shared" si="32"/>
        <v>715</v>
      </c>
      <c r="J40" s="237">
        <f t="shared" si="32"/>
        <v>858</v>
      </c>
      <c r="K40" s="237">
        <f t="shared" si="32"/>
        <v>947</v>
      </c>
      <c r="L40" s="237">
        <f t="shared" si="32"/>
        <v>1058</v>
      </c>
      <c r="M40" s="237">
        <f t="shared" si="32"/>
        <v>1187</v>
      </c>
      <c r="N40" s="237">
        <f t="shared" si="32"/>
        <v>1369</v>
      </c>
      <c r="O40" s="237">
        <f t="shared" si="32"/>
        <v>1573</v>
      </c>
      <c r="P40" s="238">
        <v>1573</v>
      </c>
      <c r="Q40" s="217" t="s">
        <v>957</v>
      </c>
    </row>
    <row r="41" spans="1:17">
      <c r="A41" s="223" t="s">
        <v>682</v>
      </c>
      <c r="B41" s="223" t="s">
        <v>683</v>
      </c>
      <c r="C41" s="223" t="s">
        <v>684</v>
      </c>
      <c r="D41" s="235">
        <f t="shared" si="27"/>
        <v>149</v>
      </c>
      <c r="E41" s="235">
        <f t="shared" ref="E41:O41" si="33">IF(E128="","",SUM(D41+E128))</f>
        <v>255</v>
      </c>
      <c r="F41" s="235">
        <f t="shared" si="33"/>
        <v>319</v>
      </c>
      <c r="G41" s="235">
        <f t="shared" si="33"/>
        <v>407</v>
      </c>
      <c r="H41" s="235">
        <f t="shared" si="33"/>
        <v>533</v>
      </c>
      <c r="I41" s="235">
        <f t="shared" si="33"/>
        <v>616</v>
      </c>
      <c r="J41" s="235">
        <f t="shared" si="33"/>
        <v>720</v>
      </c>
      <c r="K41" s="235">
        <f t="shared" si="33"/>
        <v>836</v>
      </c>
      <c r="L41" s="235">
        <f t="shared" si="33"/>
        <v>912</v>
      </c>
      <c r="M41" s="235">
        <f t="shared" si="33"/>
        <v>1153</v>
      </c>
      <c r="N41" s="235">
        <f t="shared" si="33"/>
        <v>1399</v>
      </c>
      <c r="O41" s="235">
        <f t="shared" si="33"/>
        <v>1854</v>
      </c>
      <c r="P41" s="236">
        <v>1845</v>
      </c>
      <c r="Q41" s="217" t="s">
        <v>957</v>
      </c>
    </row>
    <row r="42" spans="1:17" ht="15.75" thickBot="1">
      <c r="A42" s="225" t="s">
        <v>685</v>
      </c>
      <c r="B42" s="225" t="s">
        <v>683</v>
      </c>
      <c r="C42" s="225" t="s">
        <v>684</v>
      </c>
      <c r="D42" s="237">
        <f t="shared" si="27"/>
        <v>106</v>
      </c>
      <c r="E42" s="237">
        <f t="shared" ref="E42:O42" si="34">IF(E129="","",SUM(D42+E129))</f>
        <v>212</v>
      </c>
      <c r="F42" s="237">
        <f t="shared" si="34"/>
        <v>282</v>
      </c>
      <c r="G42" s="237">
        <f t="shared" si="34"/>
        <v>373</v>
      </c>
      <c r="H42" s="237">
        <f t="shared" si="34"/>
        <v>409</v>
      </c>
      <c r="I42" s="237">
        <f t="shared" si="34"/>
        <v>490</v>
      </c>
      <c r="J42" s="237">
        <f t="shared" si="34"/>
        <v>634</v>
      </c>
      <c r="K42" s="237">
        <f t="shared" si="34"/>
        <v>774</v>
      </c>
      <c r="L42" s="237">
        <f t="shared" si="34"/>
        <v>850</v>
      </c>
      <c r="M42" s="237">
        <f t="shared" si="34"/>
        <v>955</v>
      </c>
      <c r="N42" s="237">
        <f t="shared" si="34"/>
        <v>1112</v>
      </c>
      <c r="O42" s="237">
        <f t="shared" si="34"/>
        <v>1316</v>
      </c>
      <c r="P42" s="238">
        <v>1316</v>
      </c>
      <c r="Q42" s="217" t="s">
        <v>957</v>
      </c>
    </row>
    <row r="43" spans="1:17">
      <c r="A43" s="223" t="s">
        <v>686</v>
      </c>
      <c r="B43" s="223" t="s">
        <v>676</v>
      </c>
      <c r="C43" s="223" t="s">
        <v>687</v>
      </c>
      <c r="D43" s="235">
        <f t="shared" si="27"/>
        <v>94</v>
      </c>
      <c r="E43" s="235">
        <f t="shared" ref="E43:O43" si="35">IF(E130="","",SUM(D43+E130))</f>
        <v>195</v>
      </c>
      <c r="F43" s="235">
        <f t="shared" si="35"/>
        <v>267</v>
      </c>
      <c r="G43" s="235">
        <f t="shared" si="35"/>
        <v>334</v>
      </c>
      <c r="H43" s="235">
        <f t="shared" si="35"/>
        <v>372</v>
      </c>
      <c r="I43" s="235">
        <f t="shared" si="35"/>
        <v>451</v>
      </c>
      <c r="J43" s="235">
        <f t="shared" si="35"/>
        <v>618</v>
      </c>
      <c r="K43" s="235">
        <f t="shared" si="35"/>
        <v>700</v>
      </c>
      <c r="L43" s="235">
        <f t="shared" si="35"/>
        <v>785</v>
      </c>
      <c r="M43" s="235">
        <f t="shared" si="35"/>
        <v>870</v>
      </c>
      <c r="N43" s="235">
        <f t="shared" si="35"/>
        <v>1018</v>
      </c>
      <c r="O43" s="235">
        <f t="shared" si="35"/>
        <v>1382</v>
      </c>
      <c r="P43" s="236">
        <v>1382</v>
      </c>
      <c r="Q43" s="217" t="s">
        <v>957</v>
      </c>
    </row>
    <row r="44" spans="1:17" ht="15.75" thickBot="1">
      <c r="A44" s="225" t="s">
        <v>688</v>
      </c>
      <c r="B44" s="225" t="s">
        <v>676</v>
      </c>
      <c r="C44" s="225" t="s">
        <v>687</v>
      </c>
      <c r="D44" s="237">
        <f t="shared" si="27"/>
        <v>98</v>
      </c>
      <c r="E44" s="237">
        <f t="shared" ref="E44:O44" si="36">IF(E131="","",SUM(D44+E131))</f>
        <v>250</v>
      </c>
      <c r="F44" s="237">
        <f t="shared" si="36"/>
        <v>308</v>
      </c>
      <c r="G44" s="237">
        <f t="shared" si="36"/>
        <v>417</v>
      </c>
      <c r="H44" s="237">
        <f t="shared" si="36"/>
        <v>513</v>
      </c>
      <c r="I44" s="237">
        <f t="shared" si="36"/>
        <v>603</v>
      </c>
      <c r="J44" s="237">
        <f t="shared" si="36"/>
        <v>724</v>
      </c>
      <c r="K44" s="237">
        <f t="shared" si="36"/>
        <v>811</v>
      </c>
      <c r="L44" s="237">
        <f t="shared" si="36"/>
        <v>935</v>
      </c>
      <c r="M44" s="237">
        <f t="shared" si="36"/>
        <v>1022</v>
      </c>
      <c r="N44" s="237">
        <f t="shared" si="36"/>
        <v>1142</v>
      </c>
      <c r="O44" s="237">
        <f t="shared" si="36"/>
        <v>1441</v>
      </c>
      <c r="P44" s="236">
        <v>1441</v>
      </c>
      <c r="Q44" s="217" t="s">
        <v>957</v>
      </c>
    </row>
    <row r="45" spans="1:17" ht="15.75" customHeight="1">
      <c r="A45" s="223" t="s">
        <v>689</v>
      </c>
      <c r="B45" s="223" t="s">
        <v>680</v>
      </c>
      <c r="C45" s="223" t="s">
        <v>690</v>
      </c>
      <c r="D45" s="235">
        <f t="shared" si="27"/>
        <v>116</v>
      </c>
      <c r="E45" s="235">
        <f t="shared" ref="E45:O45" si="37">IF(E132="","",SUM(D45+E132))</f>
        <v>205</v>
      </c>
      <c r="F45" s="235">
        <f t="shared" si="37"/>
        <v>261</v>
      </c>
      <c r="G45" s="235">
        <f t="shared" si="37"/>
        <v>322</v>
      </c>
      <c r="H45" s="235">
        <f t="shared" si="37"/>
        <v>392</v>
      </c>
      <c r="I45" s="235">
        <f t="shared" si="37"/>
        <v>496</v>
      </c>
      <c r="J45" s="235">
        <f t="shared" si="37"/>
        <v>639</v>
      </c>
      <c r="K45" s="235">
        <f t="shared" si="37"/>
        <v>734</v>
      </c>
      <c r="L45" s="235">
        <f t="shared" si="37"/>
        <v>824</v>
      </c>
      <c r="M45" s="235">
        <f t="shared" si="37"/>
        <v>891</v>
      </c>
      <c r="N45" s="235">
        <f t="shared" si="37"/>
        <v>972</v>
      </c>
      <c r="O45" s="235">
        <f t="shared" si="37"/>
        <v>1175</v>
      </c>
      <c r="P45" s="239">
        <v>1175</v>
      </c>
      <c r="Q45" s="217" t="s">
        <v>957</v>
      </c>
    </row>
    <row r="46" spans="1:17" ht="15.75" customHeight="1" thickBot="1">
      <c r="A46" s="225" t="s">
        <v>691</v>
      </c>
      <c r="B46" s="225" t="s">
        <v>680</v>
      </c>
      <c r="C46" s="225" t="s">
        <v>690</v>
      </c>
      <c r="D46" s="237">
        <f t="shared" si="27"/>
        <v>101</v>
      </c>
      <c r="E46" s="237">
        <f t="shared" ref="E46:O46" si="38">IF(E133="","",SUM(D46+E133))</f>
        <v>154</v>
      </c>
      <c r="F46" s="237">
        <f t="shared" si="38"/>
        <v>274</v>
      </c>
      <c r="G46" s="237">
        <f t="shared" si="38"/>
        <v>392</v>
      </c>
      <c r="H46" s="237">
        <f t="shared" si="38"/>
        <v>463</v>
      </c>
      <c r="I46" s="237">
        <f t="shared" si="38"/>
        <v>576</v>
      </c>
      <c r="J46" s="237">
        <f t="shared" si="38"/>
        <v>653</v>
      </c>
      <c r="K46" s="237">
        <f t="shared" si="38"/>
        <v>788</v>
      </c>
      <c r="L46" s="237">
        <f t="shared" si="38"/>
        <v>902</v>
      </c>
      <c r="M46" s="237">
        <f t="shared" si="38"/>
        <v>975</v>
      </c>
      <c r="N46" s="237">
        <f t="shared" si="38"/>
        <v>1073</v>
      </c>
      <c r="O46" s="237">
        <f t="shared" si="38"/>
        <v>1343</v>
      </c>
      <c r="P46" s="239">
        <v>1343</v>
      </c>
      <c r="Q46" s="217" t="s">
        <v>957</v>
      </c>
    </row>
    <row r="47" spans="1:17" ht="15.75" customHeight="1">
      <c r="A47" s="223" t="s">
        <v>692</v>
      </c>
      <c r="B47" s="223" t="s">
        <v>684</v>
      </c>
      <c r="C47" s="223" t="s">
        <v>693</v>
      </c>
      <c r="D47" s="235">
        <f t="shared" si="27"/>
        <v>79</v>
      </c>
      <c r="E47" s="235">
        <f t="shared" ref="E47:O47" si="39">IF(E134="","",SUM(D47+E134))</f>
        <v>261</v>
      </c>
      <c r="F47" s="235">
        <f t="shared" si="39"/>
        <v>378</v>
      </c>
      <c r="G47" s="235">
        <f t="shared" si="39"/>
        <v>477</v>
      </c>
      <c r="H47" s="235">
        <f t="shared" si="39"/>
        <v>523</v>
      </c>
      <c r="I47" s="235">
        <f t="shared" si="39"/>
        <v>621</v>
      </c>
      <c r="J47" s="235">
        <f t="shared" si="39"/>
        <v>797</v>
      </c>
      <c r="K47" s="235">
        <f t="shared" si="39"/>
        <v>975</v>
      </c>
      <c r="L47" s="235">
        <f t="shared" si="39"/>
        <v>1082</v>
      </c>
      <c r="M47" s="235">
        <f t="shared" si="39"/>
        <v>1195</v>
      </c>
      <c r="N47" s="235">
        <f t="shared" si="39"/>
        <v>1303</v>
      </c>
      <c r="O47" s="235">
        <f t="shared" si="39"/>
        <v>1371</v>
      </c>
      <c r="P47" s="240">
        <v>1371</v>
      </c>
      <c r="Q47" s="217" t="s">
        <v>957</v>
      </c>
    </row>
    <row r="48" spans="1:17" ht="15.75" customHeight="1" thickBot="1">
      <c r="A48" s="225" t="s">
        <v>694</v>
      </c>
      <c r="B48" s="225" t="s">
        <v>684</v>
      </c>
      <c r="C48" s="225" t="s">
        <v>693</v>
      </c>
      <c r="D48" s="237">
        <f t="shared" si="27"/>
        <v>135</v>
      </c>
      <c r="E48" s="237">
        <f t="shared" ref="E48:O48" si="40">IF(E135="","",SUM(D48+E135))</f>
        <v>210</v>
      </c>
      <c r="F48" s="237">
        <f t="shared" si="40"/>
        <v>329</v>
      </c>
      <c r="G48" s="237">
        <f t="shared" si="40"/>
        <v>402</v>
      </c>
      <c r="H48" s="237">
        <f t="shared" si="40"/>
        <v>488</v>
      </c>
      <c r="I48" s="237">
        <f t="shared" si="40"/>
        <v>699</v>
      </c>
      <c r="J48" s="237">
        <f t="shared" si="40"/>
        <v>808</v>
      </c>
      <c r="K48" s="237">
        <f t="shared" si="40"/>
        <v>976</v>
      </c>
      <c r="L48" s="237">
        <f t="shared" si="40"/>
        <v>1133</v>
      </c>
      <c r="M48" s="237">
        <f t="shared" si="40"/>
        <v>1311</v>
      </c>
      <c r="N48" s="237">
        <f t="shared" si="40"/>
        <v>1437</v>
      </c>
      <c r="O48" s="237">
        <f t="shared" si="40"/>
        <v>1488</v>
      </c>
      <c r="P48" s="240">
        <v>1488</v>
      </c>
      <c r="Q48" s="217" t="s">
        <v>957</v>
      </c>
    </row>
    <row r="49" spans="1:17" ht="15.75" customHeight="1">
      <c r="A49" s="223" t="s">
        <v>695</v>
      </c>
      <c r="B49" s="223" t="s">
        <v>687</v>
      </c>
      <c r="C49" s="223" t="s">
        <v>696</v>
      </c>
      <c r="D49" s="235">
        <f t="shared" si="27"/>
        <v>112</v>
      </c>
      <c r="E49" s="235">
        <f t="shared" ref="E49:O49" si="41">IF(E136="","",SUM(D49+E136))</f>
        <v>181</v>
      </c>
      <c r="F49" s="235">
        <f t="shared" si="41"/>
        <v>254</v>
      </c>
      <c r="G49" s="235">
        <f t="shared" si="41"/>
        <v>297</v>
      </c>
      <c r="H49" s="235">
        <f t="shared" si="41"/>
        <v>354</v>
      </c>
      <c r="I49" s="235">
        <f t="shared" si="41"/>
        <v>444</v>
      </c>
      <c r="J49" s="235">
        <f t="shared" si="41"/>
        <v>521</v>
      </c>
      <c r="K49" s="235">
        <f t="shared" si="41"/>
        <v>712</v>
      </c>
      <c r="L49" s="235">
        <f t="shared" si="41"/>
        <v>838</v>
      </c>
      <c r="M49" s="235">
        <f t="shared" si="41"/>
        <v>925</v>
      </c>
      <c r="N49" s="235">
        <f t="shared" si="41"/>
        <v>1116</v>
      </c>
      <c r="O49" s="235">
        <f t="shared" si="41"/>
        <v>1421</v>
      </c>
      <c r="P49" s="240">
        <v>1421</v>
      </c>
      <c r="Q49" s="217" t="s">
        <v>957</v>
      </c>
    </row>
    <row r="50" spans="1:17" s="229" customFormat="1" ht="15.75" customHeight="1" thickBot="1">
      <c r="A50" s="225" t="s">
        <v>697</v>
      </c>
      <c r="B50" s="225" t="s">
        <v>687</v>
      </c>
      <c r="C50" s="225" t="s">
        <v>696</v>
      </c>
      <c r="D50" s="237">
        <f t="shared" si="27"/>
        <v>169</v>
      </c>
      <c r="E50" s="237">
        <f t="shared" ref="E50:O50" si="42">IF(E137="","",SUM(D50+E137))</f>
        <v>284</v>
      </c>
      <c r="F50" s="237">
        <f t="shared" si="42"/>
        <v>390</v>
      </c>
      <c r="G50" s="237">
        <f t="shared" si="42"/>
        <v>464</v>
      </c>
      <c r="H50" s="237">
        <f t="shared" si="42"/>
        <v>519</v>
      </c>
      <c r="I50" s="237">
        <f t="shared" si="42"/>
        <v>602</v>
      </c>
      <c r="J50" s="237">
        <f t="shared" si="42"/>
        <v>689</v>
      </c>
      <c r="K50" s="237">
        <f t="shared" si="42"/>
        <v>799</v>
      </c>
      <c r="L50" s="237">
        <f t="shared" si="42"/>
        <v>884</v>
      </c>
      <c r="M50" s="237">
        <f t="shared" si="42"/>
        <v>988</v>
      </c>
      <c r="N50" s="237">
        <f t="shared" si="42"/>
        <v>1072</v>
      </c>
      <c r="O50" s="237">
        <f t="shared" si="42"/>
        <v>1302</v>
      </c>
      <c r="P50" s="240">
        <v>1302</v>
      </c>
      <c r="Q50" s="217" t="s">
        <v>957</v>
      </c>
    </row>
    <row r="51" spans="1:17" s="229" customFormat="1" ht="15.75" customHeight="1">
      <c r="A51" s="255" t="s">
        <v>698</v>
      </c>
      <c r="B51" s="255" t="s">
        <v>690</v>
      </c>
      <c r="C51" s="255" t="s">
        <v>699</v>
      </c>
      <c r="D51" s="235">
        <f t="shared" si="27"/>
        <v>204</v>
      </c>
      <c r="E51" s="235">
        <f t="shared" ref="E51:O51" si="43">IF(E138="","",SUM(D51+E138))</f>
        <v>304</v>
      </c>
      <c r="F51" s="235">
        <f t="shared" si="43"/>
        <v>388</v>
      </c>
      <c r="G51" s="235">
        <f t="shared" si="43"/>
        <v>519</v>
      </c>
      <c r="H51" s="235">
        <f t="shared" si="43"/>
        <v>634</v>
      </c>
      <c r="I51" s="235">
        <f t="shared" si="43"/>
        <v>704</v>
      </c>
      <c r="J51" s="235">
        <f t="shared" si="43"/>
        <v>831</v>
      </c>
      <c r="K51" s="235">
        <f t="shared" si="43"/>
        <v>961</v>
      </c>
      <c r="L51" s="235">
        <f t="shared" si="43"/>
        <v>1075</v>
      </c>
      <c r="M51" s="235">
        <f t="shared" si="43"/>
        <v>1179</v>
      </c>
      <c r="N51" s="235">
        <f t="shared" si="43"/>
        <v>1325</v>
      </c>
      <c r="O51" s="235">
        <f t="shared" si="43"/>
        <v>1482</v>
      </c>
      <c r="P51" s="240">
        <v>-1482</v>
      </c>
      <c r="Q51" s="217" t="s">
        <v>957</v>
      </c>
    </row>
    <row r="52" spans="1:17" s="229" customFormat="1" ht="15.75" customHeight="1" thickBot="1">
      <c r="A52" s="225" t="s">
        <v>700</v>
      </c>
      <c r="B52" s="225" t="s">
        <v>690</v>
      </c>
      <c r="C52" s="225" t="s">
        <v>699</v>
      </c>
      <c r="D52" s="237">
        <f t="shared" si="27"/>
        <v>171</v>
      </c>
      <c r="E52" s="237">
        <f t="shared" ref="E52:O52" si="44">IF(E139="","",SUM(D52+E139))</f>
        <v>290</v>
      </c>
      <c r="F52" s="237">
        <f t="shared" si="44"/>
        <v>431</v>
      </c>
      <c r="G52" s="237">
        <f t="shared" si="44"/>
        <v>489</v>
      </c>
      <c r="H52" s="237">
        <f t="shared" si="44"/>
        <v>566</v>
      </c>
      <c r="I52" s="237">
        <f t="shared" si="44"/>
        <v>654</v>
      </c>
      <c r="J52" s="237">
        <f t="shared" si="44"/>
        <v>757</v>
      </c>
      <c r="K52" s="237">
        <f t="shared" si="44"/>
        <v>889</v>
      </c>
      <c r="L52" s="237">
        <f t="shared" si="44"/>
        <v>989</v>
      </c>
      <c r="M52" s="237">
        <f t="shared" si="44"/>
        <v>1090</v>
      </c>
      <c r="N52" s="237">
        <f t="shared" si="44"/>
        <v>1230</v>
      </c>
      <c r="O52" s="237">
        <f t="shared" si="44"/>
        <v>1479</v>
      </c>
      <c r="P52" s="240">
        <v>-1482</v>
      </c>
      <c r="Q52" s="217" t="s">
        <v>957</v>
      </c>
    </row>
    <row r="53" spans="1:17" s="229" customFormat="1" ht="15.75" customHeight="1">
      <c r="A53" s="255" t="s">
        <v>710</v>
      </c>
      <c r="B53" s="255" t="s">
        <v>693</v>
      </c>
      <c r="C53" s="255" t="s">
        <v>711</v>
      </c>
      <c r="D53" s="235">
        <f t="shared" si="27"/>
        <v>190</v>
      </c>
      <c r="E53" s="235">
        <f t="shared" ref="E53:O53" si="45">IF(E140="","",SUM(D53+E140))</f>
        <v>284</v>
      </c>
      <c r="F53" s="235">
        <f t="shared" si="45"/>
        <v>428</v>
      </c>
      <c r="G53" s="235">
        <f t="shared" si="45"/>
        <v>526</v>
      </c>
      <c r="H53" s="235">
        <f t="shared" si="45"/>
        <v>642</v>
      </c>
      <c r="I53" s="235">
        <f t="shared" si="45"/>
        <v>732</v>
      </c>
      <c r="J53" s="235">
        <f t="shared" si="45"/>
        <v>848</v>
      </c>
      <c r="K53" s="235">
        <f t="shared" si="45"/>
        <v>983</v>
      </c>
      <c r="L53" s="235">
        <f t="shared" si="45"/>
        <v>1133</v>
      </c>
      <c r="M53" s="235">
        <f t="shared" si="45"/>
        <v>1266</v>
      </c>
      <c r="N53" s="235">
        <f t="shared" si="45"/>
        <v>1409</v>
      </c>
      <c r="O53" s="235">
        <f t="shared" si="45"/>
        <v>1669</v>
      </c>
      <c r="P53" s="240">
        <v>-1482</v>
      </c>
      <c r="Q53" s="217" t="s">
        <v>957</v>
      </c>
    </row>
    <row r="54" spans="1:17" s="229" customFormat="1" ht="15.75" customHeight="1" thickBot="1">
      <c r="A54" s="225" t="s">
        <v>719</v>
      </c>
      <c r="B54" s="225" t="s">
        <v>693</v>
      </c>
      <c r="C54" s="225" t="s">
        <v>711</v>
      </c>
      <c r="D54" s="237">
        <f t="shared" si="27"/>
        <v>81</v>
      </c>
      <c r="E54" s="237">
        <f t="shared" ref="E54:O54" si="46">IF(E141="","",SUM(D54+E141))</f>
        <v>118</v>
      </c>
      <c r="F54" s="237">
        <f t="shared" si="46"/>
        <v>213</v>
      </c>
      <c r="G54" s="237">
        <f t="shared" si="46"/>
        <v>270</v>
      </c>
      <c r="H54" s="237">
        <f t="shared" si="46"/>
        <v>302</v>
      </c>
      <c r="I54" s="237">
        <f t="shared" si="46"/>
        <v>372</v>
      </c>
      <c r="J54" s="237">
        <f t="shared" si="46"/>
        <v>392</v>
      </c>
      <c r="K54" s="237">
        <f t="shared" si="46"/>
        <v>473</v>
      </c>
      <c r="L54" s="237">
        <f t="shared" si="46"/>
        <v>561</v>
      </c>
      <c r="M54" s="237">
        <f t="shared" si="46"/>
        <v>706</v>
      </c>
      <c r="N54" s="237">
        <f t="shared" si="46"/>
        <v>813</v>
      </c>
      <c r="O54" s="237">
        <f t="shared" si="46"/>
        <v>1134</v>
      </c>
      <c r="P54" s="240">
        <v>-1482</v>
      </c>
      <c r="Q54" s="217" t="s">
        <v>957</v>
      </c>
    </row>
    <row r="55" spans="1:17" s="229" customFormat="1" ht="15.75" customHeight="1">
      <c r="A55" s="223" t="s">
        <v>864</v>
      </c>
      <c r="B55" s="223" t="s">
        <v>865</v>
      </c>
      <c r="C55" s="223" t="s">
        <v>866</v>
      </c>
      <c r="D55" s="235">
        <f>D142</f>
        <v>234</v>
      </c>
      <c r="E55" s="235">
        <f t="shared" ref="E55:O55" si="47">IF(E142="","",SUM(D55+E142))</f>
        <v>365</v>
      </c>
      <c r="F55" s="235">
        <f t="shared" si="47"/>
        <v>457</v>
      </c>
      <c r="G55" s="235">
        <f t="shared" si="47"/>
        <v>520</v>
      </c>
      <c r="H55" s="235">
        <f t="shared" si="47"/>
        <v>602</v>
      </c>
      <c r="I55" s="235">
        <f t="shared" si="47"/>
        <v>678</v>
      </c>
      <c r="J55" s="235">
        <f t="shared" si="47"/>
        <v>736</v>
      </c>
      <c r="K55" s="235">
        <f t="shared" si="47"/>
        <v>767</v>
      </c>
      <c r="L55" s="235">
        <f t="shared" si="47"/>
        <v>821</v>
      </c>
      <c r="M55" s="235">
        <f t="shared" si="47"/>
        <v>911</v>
      </c>
      <c r="N55" s="235">
        <f t="shared" si="47"/>
        <v>1091</v>
      </c>
      <c r="O55" s="235">
        <f t="shared" si="47"/>
        <v>1472</v>
      </c>
      <c r="P55" s="240">
        <v>-1482</v>
      </c>
      <c r="Q55" s="217" t="s">
        <v>957</v>
      </c>
    </row>
    <row r="56" spans="1:17" s="229" customFormat="1" ht="15.75" customHeight="1" thickBot="1">
      <c r="A56" s="225" t="s">
        <v>1025</v>
      </c>
      <c r="B56" s="225" t="s">
        <v>865</v>
      </c>
      <c r="C56" s="225" t="s">
        <v>866</v>
      </c>
      <c r="D56" s="312">
        <f>D143</f>
        <v>74</v>
      </c>
      <c r="E56" s="312">
        <v>133</v>
      </c>
      <c r="F56" s="312">
        <v>56</v>
      </c>
      <c r="G56" s="312">
        <v>237</v>
      </c>
      <c r="H56" s="312">
        <v>130</v>
      </c>
      <c r="I56" s="312">
        <v>33</v>
      </c>
      <c r="J56" s="312">
        <v>115</v>
      </c>
      <c r="K56" s="312">
        <v>20</v>
      </c>
      <c r="L56" s="312">
        <v>49</v>
      </c>
      <c r="M56" s="312">
        <v>185</v>
      </c>
      <c r="N56" s="312">
        <v>163</v>
      </c>
      <c r="O56" s="312">
        <v>435</v>
      </c>
      <c r="P56" s="240">
        <v>1630</v>
      </c>
      <c r="Q56" s="217" t="s">
        <v>957</v>
      </c>
    </row>
    <row r="57" spans="1:17" s="229" customFormat="1" ht="15.75" customHeight="1">
      <c r="A57" s="223" t="s">
        <v>1035</v>
      </c>
      <c r="B57" s="223" t="s">
        <v>1037</v>
      </c>
      <c r="C57" s="223" t="s">
        <v>672</v>
      </c>
      <c r="D57" s="235">
        <f>D144</f>
        <v>198</v>
      </c>
      <c r="E57" s="235">
        <f t="shared" ref="E57:O57" si="48">IF(E144="","",SUM(D57+E144))</f>
        <v>321</v>
      </c>
      <c r="F57" s="235">
        <f t="shared" si="48"/>
        <v>434</v>
      </c>
      <c r="G57" s="235">
        <f t="shared" si="48"/>
        <v>569</v>
      </c>
      <c r="H57" s="235">
        <f t="shared" si="48"/>
        <v>639</v>
      </c>
      <c r="I57" s="235">
        <f t="shared" si="48"/>
        <v>849</v>
      </c>
      <c r="J57" s="235">
        <f t="shared" si="48"/>
        <v>976</v>
      </c>
      <c r="K57" s="235">
        <f t="shared" si="48"/>
        <v>1062</v>
      </c>
      <c r="L57" s="235">
        <f t="shared" si="48"/>
        <v>1146</v>
      </c>
      <c r="M57" s="235">
        <f t="shared" si="48"/>
        <v>1297</v>
      </c>
      <c r="N57" s="235">
        <f t="shared" si="48"/>
        <v>1418</v>
      </c>
      <c r="O57" s="235">
        <f t="shared" si="48"/>
        <v>1936</v>
      </c>
      <c r="P57" s="240">
        <f>SUM(D57:O57)</f>
        <v>10845</v>
      </c>
      <c r="Q57" s="217" t="s">
        <v>957</v>
      </c>
    </row>
    <row r="58" spans="1:17" s="229" customFormat="1" ht="15.75" customHeight="1" thickBot="1">
      <c r="A58" s="225" t="s">
        <v>1055</v>
      </c>
      <c r="B58" s="225" t="s">
        <v>1037</v>
      </c>
      <c r="C58" s="225" t="s">
        <v>672</v>
      </c>
      <c r="D58" s="312">
        <f>D145</f>
        <v>37</v>
      </c>
      <c r="E58" s="312">
        <f t="shared" ref="E58:O58" si="49">IF(E145="","",SUM(D58+E145))</f>
        <v>157</v>
      </c>
      <c r="F58" s="312">
        <f t="shared" si="49"/>
        <v>294</v>
      </c>
      <c r="G58" s="312">
        <f t="shared" si="49"/>
        <v>505</v>
      </c>
      <c r="H58" s="312">
        <f t="shared" si="49"/>
        <v>539</v>
      </c>
      <c r="I58" s="312">
        <f t="shared" si="49"/>
        <v>601</v>
      </c>
      <c r="J58" s="312">
        <f t="shared" si="49"/>
        <v>675</v>
      </c>
      <c r="K58" s="312">
        <f t="shared" si="49"/>
        <v>808</v>
      </c>
      <c r="L58" s="312">
        <f t="shared" si="49"/>
        <v>1125</v>
      </c>
      <c r="M58" s="312">
        <f t="shared" si="49"/>
        <v>1232</v>
      </c>
      <c r="N58" s="312">
        <f t="shared" si="49"/>
        <v>1301</v>
      </c>
      <c r="O58" s="312">
        <f t="shared" si="49"/>
        <v>1843</v>
      </c>
      <c r="P58" s="240">
        <f>SUM(D58:O58)</f>
        <v>9117</v>
      </c>
      <c r="Q58" s="217" t="s">
        <v>957</v>
      </c>
    </row>
    <row r="59" spans="1:17" s="229" customFormat="1" ht="15.75" customHeight="1">
      <c r="A59" s="334" t="s">
        <v>1277</v>
      </c>
      <c r="B59" s="334" t="s">
        <v>711</v>
      </c>
      <c r="C59" s="334" t="s">
        <v>1278</v>
      </c>
      <c r="D59" s="352">
        <f>D146</f>
        <v>14</v>
      </c>
      <c r="E59" s="352">
        <f t="shared" ref="E59:O59" si="50">IF(E146="","",SUM(D59+E146))</f>
        <v>132</v>
      </c>
      <c r="F59" s="352">
        <f t="shared" si="50"/>
        <v>377</v>
      </c>
      <c r="G59" s="352">
        <f t="shared" si="50"/>
        <v>445</v>
      </c>
      <c r="H59" s="352">
        <f t="shared" si="50"/>
        <v>555</v>
      </c>
      <c r="I59" s="352">
        <f t="shared" si="50"/>
        <v>661</v>
      </c>
      <c r="J59" s="352">
        <f t="shared" si="50"/>
        <v>840</v>
      </c>
      <c r="K59" s="352" t="str">
        <f t="shared" si="50"/>
        <v/>
      </c>
      <c r="L59" s="352" t="str">
        <f t="shared" si="50"/>
        <v/>
      </c>
      <c r="M59" s="352" t="str">
        <f t="shared" si="50"/>
        <v/>
      </c>
      <c r="N59" s="352" t="str">
        <f t="shared" si="50"/>
        <v/>
      </c>
      <c r="O59" s="352" t="str">
        <f t="shared" si="50"/>
        <v/>
      </c>
      <c r="P59" s="240">
        <f>SUM(D59:O59)</f>
        <v>3024</v>
      </c>
      <c r="Q59" s="217" t="s">
        <v>957</v>
      </c>
    </row>
    <row r="60" spans="1:17" s="229" customFormat="1" ht="15.75" customHeight="1">
      <c r="A60" s="334"/>
      <c r="B60" s="334"/>
      <c r="C60" s="334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240"/>
      <c r="Q60" s="217"/>
    </row>
    <row r="61" spans="1:17" s="229" customFormat="1" ht="15.75" customHeight="1">
      <c r="A61" s="223"/>
      <c r="B61" s="223"/>
      <c r="C61" s="223"/>
      <c r="D61" s="250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40"/>
      <c r="Q61" s="217"/>
    </row>
    <row r="62" spans="1:17" ht="15" customHeight="1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</row>
    <row r="63" spans="1:17" ht="16.5" customHeight="1">
      <c r="A63" s="242" t="s">
        <v>962</v>
      </c>
      <c r="B63" s="234"/>
      <c r="C63" s="234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</row>
    <row r="64" spans="1:17">
      <c r="A64" s="223" t="s">
        <v>670</v>
      </c>
      <c r="B64" s="223" t="s">
        <v>671</v>
      </c>
      <c r="C64" s="223" t="s">
        <v>1040</v>
      </c>
      <c r="D64" s="223">
        <f t="shared" ref="D64:O64" si="51">IF(D93="","",+D7-D35)</f>
        <v>-113</v>
      </c>
      <c r="E64" s="223">
        <f t="shared" si="51"/>
        <v>15</v>
      </c>
      <c r="F64" s="223">
        <f t="shared" si="51"/>
        <v>136</v>
      </c>
      <c r="G64" s="223">
        <f t="shared" si="51"/>
        <v>351</v>
      </c>
      <c r="H64" s="223">
        <f t="shared" si="51"/>
        <v>438</v>
      </c>
      <c r="I64" s="223">
        <f t="shared" si="51"/>
        <v>617</v>
      </c>
      <c r="J64" s="223">
        <f t="shared" si="51"/>
        <v>651</v>
      </c>
      <c r="K64" s="223">
        <f t="shared" si="51"/>
        <v>790</v>
      </c>
      <c r="L64" s="223">
        <f t="shared" si="51"/>
        <v>1059</v>
      </c>
      <c r="M64" s="223">
        <f t="shared" si="51"/>
        <v>1257</v>
      </c>
      <c r="N64" s="223">
        <f t="shared" si="51"/>
        <v>1206</v>
      </c>
      <c r="O64" s="223">
        <f t="shared" si="51"/>
        <v>1346</v>
      </c>
      <c r="P64" s="243">
        <v>1346</v>
      </c>
      <c r="Q64" s="217" t="s">
        <v>957</v>
      </c>
    </row>
    <row r="65" spans="1:17" ht="15.75" thickBot="1">
      <c r="A65" s="225" t="s">
        <v>673</v>
      </c>
      <c r="B65" s="225" t="s">
        <v>671</v>
      </c>
      <c r="C65" s="225" t="s">
        <v>672</v>
      </c>
      <c r="D65" s="225">
        <f t="shared" ref="D65:O65" si="52">IF(D94="","",+D8-D36)</f>
        <v>249</v>
      </c>
      <c r="E65" s="225">
        <f t="shared" si="52"/>
        <v>472</v>
      </c>
      <c r="F65" s="225">
        <f t="shared" si="52"/>
        <v>585</v>
      </c>
      <c r="G65" s="225">
        <f t="shared" si="52"/>
        <v>785</v>
      </c>
      <c r="H65" s="225">
        <f t="shared" si="52"/>
        <v>963</v>
      </c>
      <c r="I65" s="225">
        <f t="shared" si="52"/>
        <v>1266</v>
      </c>
      <c r="J65" s="225">
        <f t="shared" si="52"/>
        <v>1398</v>
      </c>
      <c r="K65" s="225">
        <f t="shared" si="52"/>
        <v>1738</v>
      </c>
      <c r="L65" s="225">
        <f t="shared" si="52"/>
        <v>1958</v>
      </c>
      <c r="M65" s="225">
        <f t="shared" si="52"/>
        <v>2109</v>
      </c>
      <c r="N65" s="225">
        <f t="shared" si="52"/>
        <v>2172</v>
      </c>
      <c r="O65" s="225">
        <f t="shared" si="52"/>
        <v>2234</v>
      </c>
      <c r="P65" s="243">
        <v>2234</v>
      </c>
      <c r="Q65" s="217" t="s">
        <v>957</v>
      </c>
    </row>
    <row r="66" spans="1:17">
      <c r="A66" s="223" t="s">
        <v>674</v>
      </c>
      <c r="B66" s="223" t="s">
        <v>675</v>
      </c>
      <c r="C66" s="223" t="s">
        <v>676</v>
      </c>
      <c r="D66" s="223">
        <f t="shared" ref="D66:O66" si="53">IF(D95="","",+D9-D37)</f>
        <v>78</v>
      </c>
      <c r="E66" s="223">
        <f t="shared" si="53"/>
        <v>252</v>
      </c>
      <c r="F66" s="223">
        <f t="shared" si="53"/>
        <v>445</v>
      </c>
      <c r="G66" s="223">
        <f t="shared" si="53"/>
        <v>698</v>
      </c>
      <c r="H66" s="223">
        <f t="shared" si="53"/>
        <v>860</v>
      </c>
      <c r="I66" s="223">
        <f t="shared" si="53"/>
        <v>1148</v>
      </c>
      <c r="J66" s="223">
        <f t="shared" si="53"/>
        <v>1316</v>
      </c>
      <c r="K66" s="223">
        <f t="shared" si="53"/>
        <v>1559</v>
      </c>
      <c r="L66" s="223">
        <f t="shared" si="53"/>
        <v>1916</v>
      </c>
      <c r="M66" s="223">
        <f t="shared" si="53"/>
        <v>2056</v>
      </c>
      <c r="N66" s="223">
        <f t="shared" si="53"/>
        <v>2251</v>
      </c>
      <c r="O66" s="223">
        <f t="shared" si="53"/>
        <v>2472</v>
      </c>
      <c r="P66" s="243">
        <v>2472</v>
      </c>
      <c r="Q66" s="217" t="s">
        <v>957</v>
      </c>
    </row>
    <row r="67" spans="1:17" ht="15.75" thickBot="1">
      <c r="A67" s="225" t="s">
        <v>677</v>
      </c>
      <c r="B67" s="225" t="s">
        <v>675</v>
      </c>
      <c r="C67" s="225" t="s">
        <v>676</v>
      </c>
      <c r="D67" s="225">
        <f t="shared" ref="D67:O67" si="54">IF(D96="","",+D10-D38)</f>
        <v>-37</v>
      </c>
      <c r="E67" s="225">
        <f t="shared" si="54"/>
        <v>117</v>
      </c>
      <c r="F67" s="225">
        <f t="shared" si="54"/>
        <v>359</v>
      </c>
      <c r="G67" s="225">
        <f t="shared" si="54"/>
        <v>607</v>
      </c>
      <c r="H67" s="225">
        <f t="shared" si="54"/>
        <v>916</v>
      </c>
      <c r="I67" s="225">
        <f t="shared" si="54"/>
        <v>1092</v>
      </c>
      <c r="J67" s="225">
        <f t="shared" si="54"/>
        <v>1313</v>
      </c>
      <c r="K67" s="225">
        <f t="shared" si="54"/>
        <v>1546</v>
      </c>
      <c r="L67" s="225">
        <f t="shared" si="54"/>
        <v>1819</v>
      </c>
      <c r="M67" s="225">
        <f t="shared" si="54"/>
        <v>1957</v>
      </c>
      <c r="N67" s="225">
        <f t="shared" si="54"/>
        <v>2017</v>
      </c>
      <c r="O67" s="225">
        <f t="shared" si="54"/>
        <v>2181</v>
      </c>
      <c r="P67" s="243">
        <v>2181</v>
      </c>
      <c r="Q67" s="217" t="s">
        <v>957</v>
      </c>
    </row>
    <row r="68" spans="1:17">
      <c r="A68" s="223" t="s">
        <v>678</v>
      </c>
      <c r="B68" s="223" t="s">
        <v>679</v>
      </c>
      <c r="C68" s="223" t="s">
        <v>680</v>
      </c>
      <c r="D68" s="223">
        <f t="shared" ref="D68:O68" si="55">IF(D97="","",+D11-D39)</f>
        <v>98</v>
      </c>
      <c r="E68" s="223">
        <f t="shared" si="55"/>
        <v>250</v>
      </c>
      <c r="F68" s="223">
        <f t="shared" si="55"/>
        <v>360</v>
      </c>
      <c r="G68" s="223">
        <f t="shared" si="55"/>
        <v>687</v>
      </c>
      <c r="H68" s="223">
        <f t="shared" si="55"/>
        <v>1059</v>
      </c>
      <c r="I68" s="223">
        <f t="shared" si="55"/>
        <v>1248</v>
      </c>
      <c r="J68" s="223">
        <f t="shared" si="55"/>
        <v>1498</v>
      </c>
      <c r="K68" s="223">
        <f t="shared" si="55"/>
        <v>1837</v>
      </c>
      <c r="L68" s="223">
        <f t="shared" si="55"/>
        <v>2107</v>
      </c>
      <c r="M68" s="223">
        <f t="shared" si="55"/>
        <v>2396</v>
      </c>
      <c r="N68" s="223">
        <f t="shared" si="55"/>
        <v>2727</v>
      </c>
      <c r="O68" s="223">
        <f t="shared" si="55"/>
        <v>2719</v>
      </c>
      <c r="P68" s="243">
        <v>2719</v>
      </c>
      <c r="Q68" s="217" t="s">
        <v>957</v>
      </c>
    </row>
    <row r="69" spans="1:17" ht="15.75" thickBot="1">
      <c r="A69" s="225" t="s">
        <v>681</v>
      </c>
      <c r="B69" s="225" t="s">
        <v>679</v>
      </c>
      <c r="C69" s="225" t="s">
        <v>680</v>
      </c>
      <c r="D69" s="225">
        <f t="shared" ref="D69:O69" si="56">IF(D98="","",+D12-D40)</f>
        <v>-5</v>
      </c>
      <c r="E69" s="225">
        <f t="shared" si="56"/>
        <v>200</v>
      </c>
      <c r="F69" s="225">
        <f t="shared" si="56"/>
        <v>387</v>
      </c>
      <c r="G69" s="225">
        <f t="shared" si="56"/>
        <v>795</v>
      </c>
      <c r="H69" s="225">
        <f t="shared" si="56"/>
        <v>1069</v>
      </c>
      <c r="I69" s="225">
        <f t="shared" si="56"/>
        <v>1390</v>
      </c>
      <c r="J69" s="225">
        <f t="shared" si="56"/>
        <v>1568</v>
      </c>
      <c r="K69" s="225">
        <f t="shared" si="56"/>
        <v>1871</v>
      </c>
      <c r="L69" s="225">
        <f t="shared" si="56"/>
        <v>2241</v>
      </c>
      <c r="M69" s="225">
        <f t="shared" si="56"/>
        <v>2585</v>
      </c>
      <c r="N69" s="225">
        <f t="shared" si="56"/>
        <v>2838</v>
      </c>
      <c r="O69" s="225">
        <f t="shared" si="56"/>
        <v>3248</v>
      </c>
      <c r="P69" s="243">
        <v>3248</v>
      </c>
      <c r="Q69" s="217" t="s">
        <v>957</v>
      </c>
    </row>
    <row r="70" spans="1:17">
      <c r="A70" s="223" t="s">
        <v>682</v>
      </c>
      <c r="B70" s="223" t="s">
        <v>683</v>
      </c>
      <c r="C70" s="223" t="s">
        <v>684</v>
      </c>
      <c r="D70" s="223">
        <f t="shared" ref="D70:O70" si="57">IF(D99="","",+D13-D41)</f>
        <v>-2</v>
      </c>
      <c r="E70" s="223">
        <f t="shared" si="57"/>
        <v>224</v>
      </c>
      <c r="F70" s="223">
        <f t="shared" si="57"/>
        <v>485</v>
      </c>
      <c r="G70" s="223">
        <f t="shared" si="57"/>
        <v>835</v>
      </c>
      <c r="H70" s="223">
        <f t="shared" si="57"/>
        <v>1043</v>
      </c>
      <c r="I70" s="223">
        <f t="shared" si="57"/>
        <v>1468</v>
      </c>
      <c r="J70" s="223">
        <f t="shared" si="57"/>
        <v>1627</v>
      </c>
      <c r="K70" s="223">
        <f t="shared" si="57"/>
        <v>1847</v>
      </c>
      <c r="L70" s="223">
        <f t="shared" si="57"/>
        <v>2215</v>
      </c>
      <c r="M70" s="223">
        <f t="shared" si="57"/>
        <v>2357</v>
      </c>
      <c r="N70" s="223">
        <f t="shared" si="57"/>
        <v>2515</v>
      </c>
      <c r="O70" s="223">
        <f t="shared" si="57"/>
        <v>2584</v>
      </c>
      <c r="P70" s="243">
        <v>2584</v>
      </c>
      <c r="Q70" s="217" t="s">
        <v>957</v>
      </c>
    </row>
    <row r="71" spans="1:17" ht="15.75" thickBot="1">
      <c r="A71" s="225" t="s">
        <v>685</v>
      </c>
      <c r="B71" s="225" t="s">
        <v>683</v>
      </c>
      <c r="C71" s="225" t="s">
        <v>684</v>
      </c>
      <c r="D71" s="225">
        <f t="shared" ref="D71:O71" si="58">IF(D100="","",+D14-D42)</f>
        <v>113</v>
      </c>
      <c r="E71" s="225">
        <f t="shared" si="58"/>
        <v>298</v>
      </c>
      <c r="F71" s="225">
        <f t="shared" si="58"/>
        <v>576</v>
      </c>
      <c r="G71" s="225">
        <f t="shared" si="58"/>
        <v>996</v>
      </c>
      <c r="H71" s="225">
        <f t="shared" si="58"/>
        <v>1405</v>
      </c>
      <c r="I71" s="225">
        <f t="shared" si="58"/>
        <v>1834</v>
      </c>
      <c r="J71" s="225">
        <f t="shared" si="58"/>
        <v>1992</v>
      </c>
      <c r="K71" s="225">
        <f t="shared" si="58"/>
        <v>2324</v>
      </c>
      <c r="L71" s="225">
        <f t="shared" si="58"/>
        <v>2709</v>
      </c>
      <c r="M71" s="225">
        <f t="shared" si="58"/>
        <v>3077</v>
      </c>
      <c r="N71" s="225">
        <f t="shared" si="58"/>
        <v>3289</v>
      </c>
      <c r="O71" s="225">
        <f t="shared" si="58"/>
        <v>3700</v>
      </c>
      <c r="P71" s="243">
        <v>3700</v>
      </c>
      <c r="Q71" s="217" t="s">
        <v>957</v>
      </c>
    </row>
    <row r="72" spans="1:17">
      <c r="A72" s="223" t="s">
        <v>686</v>
      </c>
      <c r="B72" s="223" t="s">
        <v>676</v>
      </c>
      <c r="C72" s="223" t="s">
        <v>687</v>
      </c>
      <c r="D72" s="223">
        <f t="shared" ref="D72:O72" si="59">IF(D101="","",+D15-D43)</f>
        <v>125</v>
      </c>
      <c r="E72" s="223">
        <f t="shared" si="59"/>
        <v>389</v>
      </c>
      <c r="F72" s="223">
        <f t="shared" si="59"/>
        <v>710</v>
      </c>
      <c r="G72" s="223">
        <f t="shared" si="59"/>
        <v>1091</v>
      </c>
      <c r="H72" s="223">
        <f t="shared" si="59"/>
        <v>1419</v>
      </c>
      <c r="I72" s="223">
        <f t="shared" si="59"/>
        <v>1717</v>
      </c>
      <c r="J72" s="223">
        <f t="shared" si="59"/>
        <v>1899</v>
      </c>
      <c r="K72" s="223">
        <f t="shared" si="59"/>
        <v>2179</v>
      </c>
      <c r="L72" s="223">
        <f t="shared" si="59"/>
        <v>2575</v>
      </c>
      <c r="M72" s="223">
        <f t="shared" si="59"/>
        <v>2838</v>
      </c>
      <c r="N72" s="223">
        <f t="shared" si="59"/>
        <v>3115</v>
      </c>
      <c r="O72" s="223">
        <f t="shared" si="59"/>
        <v>3354</v>
      </c>
      <c r="P72" s="243">
        <v>3354</v>
      </c>
      <c r="Q72" s="217" t="s">
        <v>957</v>
      </c>
    </row>
    <row r="73" spans="1:17" ht="15.75" thickBot="1">
      <c r="A73" s="225" t="s">
        <v>688</v>
      </c>
      <c r="B73" s="225" t="s">
        <v>676</v>
      </c>
      <c r="C73" s="225" t="s">
        <v>687</v>
      </c>
      <c r="D73" s="225">
        <f t="shared" ref="D73:O73" si="60">IF(D102="","",+D16-D44)</f>
        <v>82</v>
      </c>
      <c r="E73" s="225">
        <f t="shared" si="60"/>
        <v>231</v>
      </c>
      <c r="F73" s="225">
        <f t="shared" si="60"/>
        <v>384</v>
      </c>
      <c r="G73" s="225">
        <f t="shared" si="60"/>
        <v>728</v>
      </c>
      <c r="H73" s="225">
        <f t="shared" si="60"/>
        <v>1162</v>
      </c>
      <c r="I73" s="225">
        <f t="shared" si="60"/>
        <v>1474</v>
      </c>
      <c r="J73" s="225">
        <f t="shared" si="60"/>
        <v>1693</v>
      </c>
      <c r="K73" s="225">
        <f t="shared" si="60"/>
        <v>1918</v>
      </c>
      <c r="L73" s="225">
        <f t="shared" si="60"/>
        <v>2177</v>
      </c>
      <c r="M73" s="225">
        <f t="shared" si="60"/>
        <v>2518</v>
      </c>
      <c r="N73" s="225">
        <f t="shared" si="60"/>
        <v>2912</v>
      </c>
      <c r="O73" s="225">
        <f t="shared" si="60"/>
        <v>3136</v>
      </c>
      <c r="P73" s="243">
        <v>3136</v>
      </c>
      <c r="Q73" s="217" t="s">
        <v>957</v>
      </c>
    </row>
    <row r="74" spans="1:17">
      <c r="A74" s="223" t="s">
        <v>689</v>
      </c>
      <c r="B74" s="223" t="s">
        <v>680</v>
      </c>
      <c r="C74" s="223" t="s">
        <v>690</v>
      </c>
      <c r="D74" s="223">
        <f t="shared" ref="D74:O74" si="61">IF(D103="","",+D17-D45)</f>
        <v>142</v>
      </c>
      <c r="E74" s="223">
        <f t="shared" si="61"/>
        <v>360</v>
      </c>
      <c r="F74" s="223">
        <f t="shared" si="61"/>
        <v>644</v>
      </c>
      <c r="G74" s="223">
        <f t="shared" si="61"/>
        <v>1108</v>
      </c>
      <c r="H74" s="223">
        <f t="shared" si="61"/>
        <v>1377</v>
      </c>
      <c r="I74" s="223">
        <f t="shared" si="61"/>
        <v>1641</v>
      </c>
      <c r="J74" s="223">
        <f t="shared" si="61"/>
        <v>1832</v>
      </c>
      <c r="K74" s="223">
        <f t="shared" si="61"/>
        <v>2111</v>
      </c>
      <c r="L74" s="223">
        <f t="shared" si="61"/>
        <v>2467</v>
      </c>
      <c r="M74" s="223">
        <f t="shared" si="61"/>
        <v>2828</v>
      </c>
      <c r="N74" s="223">
        <f t="shared" si="61"/>
        <v>3233</v>
      </c>
      <c r="O74" s="223">
        <f t="shared" si="61"/>
        <v>3492</v>
      </c>
      <c r="P74" s="243">
        <v>3492</v>
      </c>
      <c r="Q74" s="217" t="s">
        <v>957</v>
      </c>
    </row>
    <row r="75" spans="1:17" ht="15.75" thickBot="1">
      <c r="A75" s="225" t="s">
        <v>691</v>
      </c>
      <c r="B75" s="225" t="s">
        <v>680</v>
      </c>
      <c r="C75" s="225" t="s">
        <v>690</v>
      </c>
      <c r="D75" s="225">
        <f t="shared" ref="D75:O75" si="62">IF(D104="","",+D18-D46)</f>
        <v>206</v>
      </c>
      <c r="E75" s="225">
        <f t="shared" si="62"/>
        <v>490</v>
      </c>
      <c r="F75" s="225">
        <f t="shared" si="62"/>
        <v>686</v>
      </c>
      <c r="G75" s="225">
        <f t="shared" si="62"/>
        <v>1074</v>
      </c>
      <c r="H75" s="225">
        <f t="shared" si="62"/>
        <v>1533</v>
      </c>
      <c r="I75" s="225">
        <f t="shared" si="62"/>
        <v>1795</v>
      </c>
      <c r="J75" s="225">
        <f t="shared" si="62"/>
        <v>2039</v>
      </c>
      <c r="K75" s="225">
        <f t="shared" si="62"/>
        <v>2317</v>
      </c>
      <c r="L75" s="225">
        <f t="shared" si="62"/>
        <v>2620</v>
      </c>
      <c r="M75" s="225">
        <f t="shared" si="62"/>
        <v>3043</v>
      </c>
      <c r="N75" s="225">
        <f t="shared" si="62"/>
        <v>3300</v>
      </c>
      <c r="O75" s="225">
        <f t="shared" si="62"/>
        <v>3690</v>
      </c>
      <c r="P75" s="243">
        <v>3690</v>
      </c>
      <c r="Q75" s="217" t="s">
        <v>957</v>
      </c>
    </row>
    <row r="76" spans="1:17">
      <c r="A76" s="223" t="s">
        <v>692</v>
      </c>
      <c r="B76" s="223" t="s">
        <v>684</v>
      </c>
      <c r="C76" s="223" t="s">
        <v>693</v>
      </c>
      <c r="D76" s="223">
        <f t="shared" ref="D76:O76" si="63">IF(D105="","",+D19-D47)</f>
        <v>159</v>
      </c>
      <c r="E76" s="223">
        <f t="shared" si="63"/>
        <v>337</v>
      </c>
      <c r="F76" s="223">
        <f t="shared" si="63"/>
        <v>547</v>
      </c>
      <c r="G76" s="223">
        <f t="shared" si="63"/>
        <v>886</v>
      </c>
      <c r="H76" s="223">
        <f t="shared" si="63"/>
        <v>1166</v>
      </c>
      <c r="I76" s="223">
        <f t="shared" si="63"/>
        <v>1481</v>
      </c>
      <c r="J76" s="223">
        <f t="shared" si="63"/>
        <v>1583</v>
      </c>
      <c r="K76" s="223">
        <f t="shared" si="63"/>
        <v>1830</v>
      </c>
      <c r="L76" s="223">
        <f t="shared" si="63"/>
        <v>2249</v>
      </c>
      <c r="M76" s="223">
        <f t="shared" si="63"/>
        <v>2553</v>
      </c>
      <c r="N76" s="223">
        <f t="shared" si="63"/>
        <v>2957</v>
      </c>
      <c r="O76" s="223">
        <f t="shared" si="63"/>
        <v>3441</v>
      </c>
      <c r="P76" s="243">
        <v>3441</v>
      </c>
      <c r="Q76" s="217" t="s">
        <v>957</v>
      </c>
    </row>
    <row r="77" spans="1:17" ht="15.75" thickBot="1">
      <c r="A77" s="225" t="s">
        <v>694</v>
      </c>
      <c r="B77" s="225" t="s">
        <v>684</v>
      </c>
      <c r="C77" s="225" t="s">
        <v>693</v>
      </c>
      <c r="D77" s="225">
        <f t="shared" ref="D77:O77" si="64">IF(D106="","",+D20-D48)</f>
        <v>105</v>
      </c>
      <c r="E77" s="225">
        <f t="shared" si="64"/>
        <v>387</v>
      </c>
      <c r="F77" s="225">
        <f t="shared" si="64"/>
        <v>726</v>
      </c>
      <c r="G77" s="225">
        <f t="shared" si="64"/>
        <v>1149</v>
      </c>
      <c r="H77" s="225">
        <f t="shared" si="64"/>
        <v>1547</v>
      </c>
      <c r="I77" s="225">
        <f t="shared" si="64"/>
        <v>1779</v>
      </c>
      <c r="J77" s="225">
        <f t="shared" si="64"/>
        <v>1951</v>
      </c>
      <c r="K77" s="225">
        <f t="shared" si="64"/>
        <v>2299</v>
      </c>
      <c r="L77" s="225">
        <f t="shared" si="64"/>
        <v>2638</v>
      </c>
      <c r="M77" s="225">
        <f t="shared" si="64"/>
        <v>2958</v>
      </c>
      <c r="N77" s="225">
        <f t="shared" si="64"/>
        <v>3309</v>
      </c>
      <c r="O77" s="225">
        <f t="shared" si="64"/>
        <v>3750</v>
      </c>
      <c r="P77" s="243">
        <f>O77</f>
        <v>3750</v>
      </c>
      <c r="Q77" s="217" t="s">
        <v>957</v>
      </c>
    </row>
    <row r="78" spans="1:17" s="229" customFormat="1">
      <c r="A78" s="223" t="s">
        <v>695</v>
      </c>
      <c r="B78" s="223" t="s">
        <v>687</v>
      </c>
      <c r="C78" s="223" t="s">
        <v>696</v>
      </c>
      <c r="D78" s="223">
        <f t="shared" ref="D78:O78" si="65">IF(D107="","",+D21-D49)</f>
        <v>177</v>
      </c>
      <c r="E78" s="223">
        <f t="shared" si="65"/>
        <v>454</v>
      </c>
      <c r="F78" s="223">
        <f t="shared" si="65"/>
        <v>798</v>
      </c>
      <c r="G78" s="223">
        <f t="shared" si="65"/>
        <v>1217</v>
      </c>
      <c r="H78" s="223">
        <f t="shared" si="65"/>
        <v>1592</v>
      </c>
      <c r="I78" s="223">
        <f t="shared" si="65"/>
        <v>1804</v>
      </c>
      <c r="J78" s="223">
        <f t="shared" si="65"/>
        <v>1980</v>
      </c>
      <c r="K78" s="223">
        <f t="shared" si="65"/>
        <v>2216</v>
      </c>
      <c r="L78" s="223">
        <f t="shared" si="65"/>
        <v>2535</v>
      </c>
      <c r="M78" s="223">
        <f t="shared" si="65"/>
        <v>2805</v>
      </c>
      <c r="N78" s="223">
        <f t="shared" si="65"/>
        <v>3099</v>
      </c>
      <c r="O78" s="223">
        <f t="shared" si="65"/>
        <v>3561</v>
      </c>
      <c r="P78" s="243">
        <f t="shared" ref="P78:P88" si="66">O78</f>
        <v>3561</v>
      </c>
      <c r="Q78" s="217" t="s">
        <v>957</v>
      </c>
    </row>
    <row r="79" spans="1:17" s="229" customFormat="1" ht="15.75" thickBot="1">
      <c r="A79" s="225" t="s">
        <v>697</v>
      </c>
      <c r="B79" s="225" t="s">
        <v>687</v>
      </c>
      <c r="C79" s="225" t="s">
        <v>696</v>
      </c>
      <c r="D79" s="225">
        <f t="shared" ref="D79:O79" si="67">IF(D108="","",+D22-D50)</f>
        <v>40</v>
      </c>
      <c r="E79" s="225">
        <f t="shared" si="67"/>
        <v>296</v>
      </c>
      <c r="F79" s="225">
        <f t="shared" si="67"/>
        <v>611</v>
      </c>
      <c r="G79" s="225">
        <f t="shared" si="67"/>
        <v>971</v>
      </c>
      <c r="H79" s="225">
        <f t="shared" si="67"/>
        <v>1250</v>
      </c>
      <c r="I79" s="225">
        <f t="shared" si="67"/>
        <v>1468</v>
      </c>
      <c r="J79" s="225">
        <f t="shared" si="67"/>
        <v>1724</v>
      </c>
      <c r="K79" s="225">
        <f t="shared" si="67"/>
        <v>2075</v>
      </c>
      <c r="L79" s="225">
        <f t="shared" si="67"/>
        <v>2448</v>
      </c>
      <c r="M79" s="225">
        <f t="shared" si="67"/>
        <v>2686</v>
      </c>
      <c r="N79" s="225">
        <f t="shared" si="67"/>
        <v>2998</v>
      </c>
      <c r="O79" s="225">
        <f t="shared" si="67"/>
        <v>3421</v>
      </c>
      <c r="P79" s="243">
        <f t="shared" si="66"/>
        <v>3421</v>
      </c>
      <c r="Q79" s="217" t="s">
        <v>957</v>
      </c>
    </row>
    <row r="80" spans="1:17" s="229" customFormat="1">
      <c r="A80" s="223" t="s">
        <v>698</v>
      </c>
      <c r="B80" s="223" t="s">
        <v>690</v>
      </c>
      <c r="C80" s="223" t="s">
        <v>699</v>
      </c>
      <c r="D80" s="223">
        <f t="shared" ref="D80:O80" si="68">IF(D109="","",+D23-D51)</f>
        <v>-5</v>
      </c>
      <c r="E80" s="223">
        <f t="shared" si="68"/>
        <v>191</v>
      </c>
      <c r="F80" s="223">
        <f t="shared" si="68"/>
        <v>497</v>
      </c>
      <c r="G80" s="223">
        <f t="shared" si="68"/>
        <v>749</v>
      </c>
      <c r="H80" s="223">
        <f t="shared" si="68"/>
        <v>995</v>
      </c>
      <c r="I80" s="223">
        <f t="shared" si="68"/>
        <v>1190</v>
      </c>
      <c r="J80" s="223">
        <f t="shared" si="68"/>
        <v>1376</v>
      </c>
      <c r="K80" s="223">
        <f t="shared" si="68"/>
        <v>1669</v>
      </c>
      <c r="L80" s="223">
        <f t="shared" si="68"/>
        <v>1905</v>
      </c>
      <c r="M80" s="223">
        <f t="shared" si="68"/>
        <v>2310</v>
      </c>
      <c r="N80" s="223">
        <f t="shared" si="68"/>
        <v>2634</v>
      </c>
      <c r="O80" s="223">
        <f t="shared" si="68"/>
        <v>3017</v>
      </c>
      <c r="P80" s="243">
        <f t="shared" si="66"/>
        <v>3017</v>
      </c>
      <c r="Q80" s="217" t="s">
        <v>957</v>
      </c>
    </row>
    <row r="81" spans="1:17" ht="15.75" thickBot="1">
      <c r="A81" s="225" t="s">
        <v>700</v>
      </c>
      <c r="B81" s="225" t="s">
        <v>690</v>
      </c>
      <c r="C81" s="225" t="s">
        <v>699</v>
      </c>
      <c r="D81" s="225">
        <f t="shared" ref="D81:O81" si="69">IF(D110="","",+D24-D52)</f>
        <v>180</v>
      </c>
      <c r="E81" s="225">
        <f t="shared" si="69"/>
        <v>369</v>
      </c>
      <c r="F81" s="225">
        <f t="shared" si="69"/>
        <v>673</v>
      </c>
      <c r="G81" s="225">
        <f t="shared" si="69"/>
        <v>1040</v>
      </c>
      <c r="H81" s="225">
        <f t="shared" si="69"/>
        <v>1324</v>
      </c>
      <c r="I81" s="225">
        <f t="shared" si="69"/>
        <v>1613</v>
      </c>
      <c r="J81" s="225">
        <f t="shared" si="69"/>
        <v>1844</v>
      </c>
      <c r="K81" s="225">
        <f t="shared" si="69"/>
        <v>2123</v>
      </c>
      <c r="L81" s="225">
        <f t="shared" si="69"/>
        <v>2401</v>
      </c>
      <c r="M81" s="225">
        <f t="shared" si="69"/>
        <v>2705</v>
      </c>
      <c r="N81" s="225">
        <f t="shared" si="69"/>
        <v>2999</v>
      </c>
      <c r="O81" s="225">
        <f t="shared" si="69"/>
        <v>3192</v>
      </c>
      <c r="P81" s="243">
        <f t="shared" si="66"/>
        <v>3192</v>
      </c>
      <c r="Q81" s="217" t="s">
        <v>957</v>
      </c>
    </row>
    <row r="82" spans="1:17">
      <c r="A82" s="223" t="s">
        <v>710</v>
      </c>
      <c r="B82" s="223" t="s">
        <v>693</v>
      </c>
      <c r="C82" s="223" t="s">
        <v>711</v>
      </c>
      <c r="D82" s="223">
        <f t="shared" ref="D82:O82" si="70">IF(D111="","",+D25-D53)</f>
        <v>101</v>
      </c>
      <c r="E82" s="223">
        <f t="shared" si="70"/>
        <v>272</v>
      </c>
      <c r="F82" s="223">
        <f t="shared" si="70"/>
        <v>554</v>
      </c>
      <c r="G82" s="223">
        <f t="shared" si="70"/>
        <v>944</v>
      </c>
      <c r="H82" s="223">
        <f t="shared" si="70"/>
        <v>1177</v>
      </c>
      <c r="I82" s="223">
        <f t="shared" si="70"/>
        <v>1407</v>
      </c>
      <c r="J82" s="223">
        <f t="shared" si="70"/>
        <v>1602</v>
      </c>
      <c r="K82" s="223">
        <f t="shared" si="70"/>
        <v>1893</v>
      </c>
      <c r="L82" s="223">
        <f t="shared" si="70"/>
        <v>2087</v>
      </c>
      <c r="M82" s="223">
        <f t="shared" si="70"/>
        <v>2375</v>
      </c>
      <c r="N82" s="223">
        <f t="shared" si="70"/>
        <v>2663</v>
      </c>
      <c r="O82" s="223">
        <f t="shared" si="70"/>
        <v>2985</v>
      </c>
      <c r="P82" s="243">
        <f t="shared" si="66"/>
        <v>2985</v>
      </c>
      <c r="Q82" s="217" t="s">
        <v>957</v>
      </c>
    </row>
    <row r="83" spans="1:17" ht="15.75" thickBot="1">
      <c r="A83" s="225" t="s">
        <v>719</v>
      </c>
      <c r="B83" s="225" t="s">
        <v>693</v>
      </c>
      <c r="C83" s="225" t="s">
        <v>711</v>
      </c>
      <c r="D83" s="225">
        <f t="shared" ref="D83:O83" si="71">IF(D112="","",+D26-D54)</f>
        <v>212</v>
      </c>
      <c r="E83" s="225">
        <f t="shared" si="71"/>
        <v>559</v>
      </c>
      <c r="F83" s="225">
        <f t="shared" si="71"/>
        <v>878</v>
      </c>
      <c r="G83" s="225">
        <f t="shared" si="71"/>
        <v>1263</v>
      </c>
      <c r="H83" s="225">
        <f t="shared" si="71"/>
        <v>1651</v>
      </c>
      <c r="I83" s="225">
        <f t="shared" si="71"/>
        <v>1920</v>
      </c>
      <c r="J83" s="225">
        <f t="shared" si="71"/>
        <v>2227</v>
      </c>
      <c r="K83" s="225">
        <f t="shared" si="71"/>
        <v>2550</v>
      </c>
      <c r="L83" s="225">
        <f t="shared" si="71"/>
        <v>2904</v>
      </c>
      <c r="M83" s="225">
        <f t="shared" si="71"/>
        <v>3145</v>
      </c>
      <c r="N83" s="225">
        <f t="shared" si="71"/>
        <v>3447</v>
      </c>
      <c r="O83" s="225">
        <f t="shared" si="71"/>
        <v>3601</v>
      </c>
      <c r="P83" s="243">
        <f t="shared" si="66"/>
        <v>3601</v>
      </c>
      <c r="Q83" s="217" t="s">
        <v>957</v>
      </c>
    </row>
    <row r="84" spans="1:17" s="229" customFormat="1">
      <c r="A84" s="223" t="s">
        <v>864</v>
      </c>
      <c r="B84" s="223" t="s">
        <v>865</v>
      </c>
      <c r="C84" s="223" t="s">
        <v>866</v>
      </c>
      <c r="D84" s="223">
        <f t="shared" ref="D84:O84" si="72">IF(D113="","",+D27-D55)</f>
        <v>-17</v>
      </c>
      <c r="E84" s="223">
        <f t="shared" si="72"/>
        <v>216</v>
      </c>
      <c r="F84" s="223">
        <f t="shared" si="72"/>
        <v>532</v>
      </c>
      <c r="G84" s="223">
        <f t="shared" si="72"/>
        <v>839</v>
      </c>
      <c r="H84" s="223">
        <f t="shared" si="72"/>
        <v>1088</v>
      </c>
      <c r="I84" s="223">
        <f t="shared" si="72"/>
        <v>1363</v>
      </c>
      <c r="J84" s="223">
        <f t="shared" si="72"/>
        <v>1572</v>
      </c>
      <c r="K84" s="223">
        <f t="shared" si="72"/>
        <v>1869</v>
      </c>
      <c r="L84" s="223">
        <f t="shared" si="72"/>
        <v>2287</v>
      </c>
      <c r="M84" s="223">
        <f t="shared" si="72"/>
        <v>2497</v>
      </c>
      <c r="N84" s="223">
        <f t="shared" si="72"/>
        <v>2833</v>
      </c>
      <c r="O84" s="223">
        <f t="shared" si="72"/>
        <v>3026</v>
      </c>
      <c r="P84" s="243">
        <f t="shared" si="66"/>
        <v>3026</v>
      </c>
      <c r="Q84" s="217" t="s">
        <v>957</v>
      </c>
    </row>
    <row r="85" spans="1:17" s="229" customFormat="1" ht="15.75" thickBot="1">
      <c r="A85" s="335" t="s">
        <v>1025</v>
      </c>
      <c r="B85" s="335" t="s">
        <v>865</v>
      </c>
      <c r="C85" s="335" t="s">
        <v>866</v>
      </c>
      <c r="D85" s="335">
        <f t="shared" ref="D85:O85" si="73">IF(D114="","",+D28-D56)</f>
        <v>199</v>
      </c>
      <c r="E85" s="335">
        <f t="shared" si="73"/>
        <v>491</v>
      </c>
      <c r="F85" s="335">
        <f t="shared" si="73"/>
        <v>833</v>
      </c>
      <c r="G85" s="335">
        <f t="shared" si="73"/>
        <v>1048</v>
      </c>
      <c r="H85" s="335">
        <f t="shared" si="73"/>
        <v>1544</v>
      </c>
      <c r="I85" s="335">
        <f t="shared" si="73"/>
        <v>1933</v>
      </c>
      <c r="J85" s="335">
        <f t="shared" si="73"/>
        <v>2248</v>
      </c>
      <c r="K85" s="335">
        <f t="shared" si="73"/>
        <v>2698</v>
      </c>
      <c r="L85" s="335">
        <f t="shared" si="73"/>
        <v>3060</v>
      </c>
      <c r="M85" s="335">
        <f t="shared" si="73"/>
        <v>3365</v>
      </c>
      <c r="N85" s="335">
        <f t="shared" si="73"/>
        <v>3869</v>
      </c>
      <c r="O85" s="335">
        <f t="shared" si="73"/>
        <v>4073</v>
      </c>
      <c r="P85" s="243">
        <f t="shared" si="66"/>
        <v>4073</v>
      </c>
      <c r="Q85" s="217" t="s">
        <v>957</v>
      </c>
    </row>
    <row r="86" spans="1:17" s="229" customFormat="1">
      <c r="A86" s="334" t="s">
        <v>1035</v>
      </c>
      <c r="B86" s="334" t="s">
        <v>1037</v>
      </c>
      <c r="C86" s="334" t="s">
        <v>672</v>
      </c>
      <c r="D86" s="334">
        <f t="shared" ref="D86:O86" si="74">IF(D115="","",+D29-D57)</f>
        <v>-48</v>
      </c>
      <c r="E86" s="334">
        <f t="shared" si="74"/>
        <v>180</v>
      </c>
      <c r="F86" s="334">
        <f t="shared" si="74"/>
        <v>332</v>
      </c>
      <c r="G86" s="334">
        <f t="shared" si="74"/>
        <v>593</v>
      </c>
      <c r="H86" s="334">
        <f t="shared" si="74"/>
        <v>912</v>
      </c>
      <c r="I86" s="334">
        <f t="shared" si="74"/>
        <v>994</v>
      </c>
      <c r="J86" s="334">
        <f t="shared" si="74"/>
        <v>1264</v>
      </c>
      <c r="K86" s="334">
        <f t="shared" si="74"/>
        <v>1533</v>
      </c>
      <c r="L86" s="334">
        <f t="shared" si="74"/>
        <v>1840</v>
      </c>
      <c r="M86" s="334">
        <f t="shared" si="74"/>
        <v>2130</v>
      </c>
      <c r="N86" s="334">
        <f t="shared" si="74"/>
        <v>2491</v>
      </c>
      <c r="O86" s="334">
        <f t="shared" si="74"/>
        <v>2449</v>
      </c>
      <c r="P86" s="243">
        <f t="shared" si="66"/>
        <v>2449</v>
      </c>
      <c r="Q86" s="353" t="s">
        <v>957</v>
      </c>
    </row>
    <row r="87" spans="1:17" s="229" customFormat="1" ht="15.75" thickBot="1">
      <c r="A87" s="334" t="s">
        <v>1055</v>
      </c>
      <c r="B87" s="334" t="s">
        <v>1037</v>
      </c>
      <c r="C87" s="334" t="s">
        <v>672</v>
      </c>
      <c r="D87" s="334">
        <f t="shared" ref="D87:O87" si="75">IF(D116="","",+D30-D58)</f>
        <v>243</v>
      </c>
      <c r="E87" s="334">
        <f t="shared" si="75"/>
        <v>330</v>
      </c>
      <c r="F87" s="334">
        <f t="shared" si="75"/>
        <v>523</v>
      </c>
      <c r="G87" s="334">
        <f t="shared" si="75"/>
        <v>710</v>
      </c>
      <c r="H87" s="334">
        <f t="shared" si="75"/>
        <v>949</v>
      </c>
      <c r="I87" s="334">
        <f t="shared" si="75"/>
        <v>1164</v>
      </c>
      <c r="J87" s="334">
        <f t="shared" si="75"/>
        <v>1352</v>
      </c>
      <c r="K87" s="334">
        <f t="shared" si="75"/>
        <v>1478</v>
      </c>
      <c r="L87" s="334">
        <f t="shared" si="75"/>
        <v>1368</v>
      </c>
      <c r="M87" s="334">
        <f t="shared" si="75"/>
        <v>1444</v>
      </c>
      <c r="N87" s="334">
        <f t="shared" si="75"/>
        <v>1506</v>
      </c>
      <c r="O87" s="334">
        <f t="shared" si="75"/>
        <v>1122</v>
      </c>
      <c r="P87" s="243">
        <f t="shared" si="66"/>
        <v>1122</v>
      </c>
      <c r="Q87" s="217" t="s">
        <v>957</v>
      </c>
    </row>
    <row r="88" spans="1:17" s="229" customFormat="1">
      <c r="A88" s="354" t="s">
        <v>1277</v>
      </c>
      <c r="B88" s="354" t="s">
        <v>711</v>
      </c>
      <c r="C88" s="354" t="s">
        <v>1278</v>
      </c>
      <c r="D88" s="354">
        <f t="shared" ref="D88:O88" si="76">IF(D117="","",+D31-D59)</f>
        <v>104</v>
      </c>
      <c r="E88" s="354">
        <f t="shared" si="76"/>
        <v>150</v>
      </c>
      <c r="F88" s="354">
        <f t="shared" si="76"/>
        <v>93</v>
      </c>
      <c r="G88" s="354">
        <f t="shared" si="76"/>
        <v>204</v>
      </c>
      <c r="H88" s="354">
        <f t="shared" si="76"/>
        <v>305</v>
      </c>
      <c r="I88" s="354">
        <f t="shared" si="76"/>
        <v>366</v>
      </c>
      <c r="J88" s="354">
        <f t="shared" si="76"/>
        <v>303</v>
      </c>
      <c r="K88" s="354" t="str">
        <f t="shared" si="76"/>
        <v/>
      </c>
      <c r="L88" s="354" t="str">
        <f t="shared" si="76"/>
        <v/>
      </c>
      <c r="M88" s="354" t="str">
        <f t="shared" si="76"/>
        <v/>
      </c>
      <c r="N88" s="354" t="str">
        <f t="shared" si="76"/>
        <v/>
      </c>
      <c r="O88" s="354" t="str">
        <f t="shared" si="76"/>
        <v/>
      </c>
      <c r="P88" s="243" t="str">
        <f t="shared" si="66"/>
        <v/>
      </c>
      <c r="Q88" s="217" t="s">
        <v>957</v>
      </c>
    </row>
    <row r="89" spans="1:17" s="229" customFormat="1">
      <c r="A89" s="334"/>
      <c r="B89" s="334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245"/>
      <c r="Q89" s="217"/>
    </row>
    <row r="90" spans="1:17" s="229" customFormat="1">
      <c r="A90" s="223"/>
      <c r="B90" s="223"/>
      <c r="C90" s="223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5"/>
      <c r="Q90" s="217"/>
    </row>
    <row r="91" spans="1:17" ht="15" customHeight="1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</row>
    <row r="92" spans="1:17" ht="15" customHeight="1">
      <c r="A92" s="246" t="s">
        <v>958</v>
      </c>
      <c r="B92" s="234"/>
      <c r="C92" s="234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</row>
    <row r="93" spans="1:17" ht="15" customHeight="1">
      <c r="A93" s="223" t="s">
        <v>670</v>
      </c>
      <c r="B93" s="223" t="s">
        <v>671</v>
      </c>
      <c r="C93" s="223" t="s">
        <v>1040</v>
      </c>
      <c r="D93" s="223">
        <v>278</v>
      </c>
      <c r="E93" s="223">
        <v>255</v>
      </c>
      <c r="F93" s="223">
        <v>346</v>
      </c>
      <c r="G93" s="223">
        <v>353</v>
      </c>
      <c r="H93" s="223">
        <v>279</v>
      </c>
      <c r="I93" s="223">
        <v>391</v>
      </c>
      <c r="J93" s="223">
        <v>194</v>
      </c>
      <c r="K93" s="223">
        <v>333</v>
      </c>
      <c r="L93" s="223">
        <v>447</v>
      </c>
      <c r="M93" s="223">
        <v>345</v>
      </c>
      <c r="N93" s="223">
        <v>407</v>
      </c>
      <c r="O93" s="223">
        <v>454</v>
      </c>
      <c r="P93" s="224">
        <f>SUM(D93:O93)</f>
        <v>4082</v>
      </c>
      <c r="Q93" s="217" t="s">
        <v>957</v>
      </c>
    </row>
    <row r="94" spans="1:17" ht="15" customHeight="1" thickBot="1">
      <c r="A94" s="225" t="s">
        <v>673</v>
      </c>
      <c r="B94" s="225" t="s">
        <v>671</v>
      </c>
      <c r="C94" s="225" t="s">
        <v>672</v>
      </c>
      <c r="D94" s="225">
        <v>309</v>
      </c>
      <c r="E94" s="225">
        <v>310</v>
      </c>
      <c r="F94" s="225">
        <v>245</v>
      </c>
      <c r="G94" s="225">
        <v>370</v>
      </c>
      <c r="H94" s="225">
        <v>312</v>
      </c>
      <c r="I94" s="225">
        <v>404</v>
      </c>
      <c r="J94" s="225">
        <v>304</v>
      </c>
      <c r="K94" s="225">
        <v>474</v>
      </c>
      <c r="L94" s="225">
        <v>391</v>
      </c>
      <c r="M94" s="225">
        <v>398</v>
      </c>
      <c r="N94" s="225">
        <v>314</v>
      </c>
      <c r="O94" s="225">
        <v>314</v>
      </c>
      <c r="P94" s="224">
        <f t="shared" ref="P94:P105" si="77">SUM(D94:O94)</f>
        <v>4145</v>
      </c>
      <c r="Q94" s="217" t="s">
        <v>957</v>
      </c>
    </row>
    <row r="95" spans="1:17" ht="15" customHeight="1">
      <c r="A95" s="223" t="s">
        <v>674</v>
      </c>
      <c r="B95" s="223" t="s">
        <v>675</v>
      </c>
      <c r="C95" s="223" t="s">
        <v>676</v>
      </c>
      <c r="D95" s="223">
        <v>211</v>
      </c>
      <c r="E95" s="223">
        <v>269</v>
      </c>
      <c r="F95" s="223">
        <v>289</v>
      </c>
      <c r="G95" s="223">
        <v>359</v>
      </c>
      <c r="H95" s="223">
        <v>305</v>
      </c>
      <c r="I95" s="223">
        <v>385</v>
      </c>
      <c r="J95" s="223">
        <v>282</v>
      </c>
      <c r="K95" s="223">
        <v>381</v>
      </c>
      <c r="L95" s="223">
        <v>460</v>
      </c>
      <c r="M95" s="223">
        <v>328</v>
      </c>
      <c r="N95" s="223">
        <v>354</v>
      </c>
      <c r="O95" s="223">
        <v>543</v>
      </c>
      <c r="P95" s="224">
        <f t="shared" si="77"/>
        <v>4166</v>
      </c>
      <c r="Q95" s="217" t="s">
        <v>957</v>
      </c>
    </row>
    <row r="96" spans="1:17" ht="15" customHeight="1" thickBot="1">
      <c r="A96" s="225" t="s">
        <v>677</v>
      </c>
      <c r="B96" s="225" t="s">
        <v>675</v>
      </c>
      <c r="C96" s="225" t="s">
        <v>676</v>
      </c>
      <c r="D96" s="225">
        <v>221</v>
      </c>
      <c r="E96" s="225">
        <v>356</v>
      </c>
      <c r="F96" s="225">
        <v>335</v>
      </c>
      <c r="G96" s="225">
        <v>416</v>
      </c>
      <c r="H96" s="225">
        <v>503</v>
      </c>
      <c r="I96" s="225">
        <v>317</v>
      </c>
      <c r="J96" s="225">
        <v>353</v>
      </c>
      <c r="K96" s="225">
        <v>347</v>
      </c>
      <c r="L96" s="225">
        <v>392</v>
      </c>
      <c r="M96" s="225">
        <v>364</v>
      </c>
      <c r="N96" s="225">
        <v>344</v>
      </c>
      <c r="O96" s="225">
        <v>418</v>
      </c>
      <c r="P96" s="224">
        <f t="shared" si="77"/>
        <v>4366</v>
      </c>
      <c r="Q96" s="217" t="s">
        <v>957</v>
      </c>
    </row>
    <row r="97" spans="1:17" ht="15" customHeight="1">
      <c r="A97" s="223" t="s">
        <v>678</v>
      </c>
      <c r="B97" s="223" t="s">
        <v>679</v>
      </c>
      <c r="C97" s="223" t="s">
        <v>680</v>
      </c>
      <c r="D97" s="223">
        <v>237</v>
      </c>
      <c r="E97" s="223">
        <v>267</v>
      </c>
      <c r="F97" s="223">
        <v>286</v>
      </c>
      <c r="G97" s="223">
        <v>447</v>
      </c>
      <c r="H97" s="223">
        <v>429</v>
      </c>
      <c r="I97" s="223">
        <v>284</v>
      </c>
      <c r="J97" s="223">
        <v>340</v>
      </c>
      <c r="K97" s="223">
        <v>429</v>
      </c>
      <c r="L97" s="223">
        <v>400</v>
      </c>
      <c r="M97" s="223">
        <v>427</v>
      </c>
      <c r="N97" s="223">
        <v>480</v>
      </c>
      <c r="O97" s="223">
        <v>445</v>
      </c>
      <c r="P97" s="224">
        <f t="shared" si="77"/>
        <v>4471</v>
      </c>
      <c r="Q97" s="217" t="s">
        <v>957</v>
      </c>
    </row>
    <row r="98" spans="1:17" ht="15" customHeight="1" thickBot="1">
      <c r="A98" s="225" t="s">
        <v>681</v>
      </c>
      <c r="B98" s="225" t="s">
        <v>679</v>
      </c>
      <c r="C98" s="225" t="s">
        <v>680</v>
      </c>
      <c r="D98" s="225">
        <v>194</v>
      </c>
      <c r="E98" s="225">
        <v>344</v>
      </c>
      <c r="F98" s="225">
        <v>278</v>
      </c>
      <c r="G98" s="225">
        <v>494</v>
      </c>
      <c r="H98" s="225">
        <v>375</v>
      </c>
      <c r="I98" s="225">
        <v>420</v>
      </c>
      <c r="J98" s="225">
        <v>321</v>
      </c>
      <c r="K98" s="225">
        <v>392</v>
      </c>
      <c r="L98" s="225">
        <v>481</v>
      </c>
      <c r="M98" s="225">
        <v>473</v>
      </c>
      <c r="N98" s="225">
        <v>435</v>
      </c>
      <c r="O98" s="225">
        <v>614</v>
      </c>
      <c r="P98" s="224">
        <f t="shared" si="77"/>
        <v>4821</v>
      </c>
      <c r="Q98" s="217" t="s">
        <v>957</v>
      </c>
    </row>
    <row r="99" spans="1:17" ht="15" customHeight="1">
      <c r="A99" s="223" t="s">
        <v>682</v>
      </c>
      <c r="B99" s="223" t="s">
        <v>683</v>
      </c>
      <c r="C99" s="223" t="s">
        <v>684</v>
      </c>
      <c r="D99" s="223">
        <v>147</v>
      </c>
      <c r="E99" s="223">
        <v>332</v>
      </c>
      <c r="F99" s="223">
        <v>325</v>
      </c>
      <c r="G99" s="223">
        <v>438</v>
      </c>
      <c r="H99" s="223">
        <v>334</v>
      </c>
      <c r="I99" s="223">
        <v>508</v>
      </c>
      <c r="J99" s="223">
        <v>263</v>
      </c>
      <c r="K99" s="223">
        <v>336</v>
      </c>
      <c r="L99" s="223">
        <v>444</v>
      </c>
      <c r="M99" s="223">
        <v>383</v>
      </c>
      <c r="N99" s="223">
        <v>404</v>
      </c>
      <c r="O99" s="223">
        <v>524</v>
      </c>
      <c r="P99" s="224">
        <f t="shared" si="77"/>
        <v>4438</v>
      </c>
      <c r="Q99" s="217" t="s">
        <v>957</v>
      </c>
    </row>
    <row r="100" spans="1:17" ht="15" customHeight="1" thickBot="1">
      <c r="A100" s="225" t="s">
        <v>685</v>
      </c>
      <c r="B100" s="225" t="s">
        <v>683</v>
      </c>
      <c r="C100" s="225" t="s">
        <v>684</v>
      </c>
      <c r="D100" s="225">
        <v>219</v>
      </c>
      <c r="E100" s="225">
        <v>291</v>
      </c>
      <c r="F100" s="225">
        <v>348</v>
      </c>
      <c r="G100" s="225">
        <v>511</v>
      </c>
      <c r="H100" s="225">
        <v>445</v>
      </c>
      <c r="I100" s="225">
        <v>510</v>
      </c>
      <c r="J100" s="225">
        <v>302</v>
      </c>
      <c r="K100" s="225">
        <v>472</v>
      </c>
      <c r="L100" s="225">
        <v>461</v>
      </c>
      <c r="M100" s="225">
        <v>473</v>
      </c>
      <c r="N100" s="225">
        <v>369</v>
      </c>
      <c r="O100" s="225">
        <v>615</v>
      </c>
      <c r="P100" s="224">
        <f t="shared" si="77"/>
        <v>5016</v>
      </c>
      <c r="Q100" s="217" t="s">
        <v>957</v>
      </c>
    </row>
    <row r="101" spans="1:17" ht="15" customHeight="1">
      <c r="A101" s="223" t="s">
        <v>686</v>
      </c>
      <c r="B101" s="223" t="s">
        <v>676</v>
      </c>
      <c r="C101" s="223" t="s">
        <v>687</v>
      </c>
      <c r="D101" s="223">
        <v>219</v>
      </c>
      <c r="E101" s="223">
        <v>365</v>
      </c>
      <c r="F101" s="223">
        <v>393</v>
      </c>
      <c r="G101" s="223">
        <v>448</v>
      </c>
      <c r="H101" s="223">
        <v>366</v>
      </c>
      <c r="I101" s="223">
        <v>377</v>
      </c>
      <c r="J101" s="223">
        <v>349</v>
      </c>
      <c r="K101" s="223">
        <v>362</v>
      </c>
      <c r="L101" s="223">
        <v>481</v>
      </c>
      <c r="M101" s="223">
        <v>348</v>
      </c>
      <c r="N101" s="223">
        <v>425</v>
      </c>
      <c r="O101" s="223">
        <v>603</v>
      </c>
      <c r="P101" s="224">
        <f t="shared" si="77"/>
        <v>4736</v>
      </c>
      <c r="Q101" s="217" t="s">
        <v>957</v>
      </c>
    </row>
    <row r="102" spans="1:17" ht="15" customHeight="1" thickBot="1">
      <c r="A102" s="225" t="s">
        <v>688</v>
      </c>
      <c r="B102" s="225" t="s">
        <v>676</v>
      </c>
      <c r="C102" s="225" t="s">
        <v>687</v>
      </c>
      <c r="D102" s="225">
        <v>180</v>
      </c>
      <c r="E102" s="225">
        <v>301</v>
      </c>
      <c r="F102" s="225">
        <v>211</v>
      </c>
      <c r="G102" s="225">
        <v>453</v>
      </c>
      <c r="H102" s="225">
        <v>530</v>
      </c>
      <c r="I102" s="225">
        <v>402</v>
      </c>
      <c r="J102" s="225">
        <v>340</v>
      </c>
      <c r="K102" s="225">
        <v>312</v>
      </c>
      <c r="L102" s="225">
        <v>383</v>
      </c>
      <c r="M102" s="225">
        <v>428</v>
      </c>
      <c r="N102" s="225">
        <v>514</v>
      </c>
      <c r="O102" s="225">
        <v>523</v>
      </c>
      <c r="P102" s="224">
        <f t="shared" si="77"/>
        <v>4577</v>
      </c>
      <c r="Q102" s="217" t="s">
        <v>957</v>
      </c>
    </row>
    <row r="103" spans="1:17" ht="15" customHeight="1">
      <c r="A103" s="223" t="s">
        <v>689</v>
      </c>
      <c r="B103" s="223" t="s">
        <v>680</v>
      </c>
      <c r="C103" s="223" t="s">
        <v>690</v>
      </c>
      <c r="D103" s="223">
        <v>258</v>
      </c>
      <c r="E103" s="223">
        <v>307</v>
      </c>
      <c r="F103" s="223">
        <v>340</v>
      </c>
      <c r="G103" s="223">
        <v>525</v>
      </c>
      <c r="H103" s="223">
        <v>339</v>
      </c>
      <c r="I103" s="223">
        <v>368</v>
      </c>
      <c r="J103" s="223">
        <v>334</v>
      </c>
      <c r="K103" s="223">
        <v>374</v>
      </c>
      <c r="L103" s="223">
        <v>446</v>
      </c>
      <c r="M103" s="223">
        <v>428</v>
      </c>
      <c r="N103" s="223">
        <v>486</v>
      </c>
      <c r="O103" s="223">
        <v>462</v>
      </c>
      <c r="P103" s="224">
        <f t="shared" si="77"/>
        <v>4667</v>
      </c>
      <c r="Q103" s="217" t="s">
        <v>957</v>
      </c>
    </row>
    <row r="104" spans="1:17" ht="15" customHeight="1" thickBot="1">
      <c r="A104" s="225" t="s">
        <v>691</v>
      </c>
      <c r="B104" s="225" t="s">
        <v>680</v>
      </c>
      <c r="C104" s="225" t="s">
        <v>690</v>
      </c>
      <c r="D104" s="225">
        <v>307</v>
      </c>
      <c r="E104" s="225">
        <v>337</v>
      </c>
      <c r="F104" s="225">
        <v>316</v>
      </c>
      <c r="G104" s="225">
        <v>506</v>
      </c>
      <c r="H104" s="225">
        <v>530</v>
      </c>
      <c r="I104" s="225">
        <v>375</v>
      </c>
      <c r="J104" s="225">
        <v>321</v>
      </c>
      <c r="K104" s="225">
        <v>413</v>
      </c>
      <c r="L104" s="225">
        <v>417</v>
      </c>
      <c r="M104" s="225">
        <v>496</v>
      </c>
      <c r="N104" s="225">
        <v>355</v>
      </c>
      <c r="O104" s="225">
        <v>660</v>
      </c>
      <c r="P104" s="224">
        <f t="shared" si="77"/>
        <v>5033</v>
      </c>
      <c r="Q104" s="217" t="s">
        <v>957</v>
      </c>
    </row>
    <row r="105" spans="1:17" ht="15" customHeight="1">
      <c r="A105" s="223" t="s">
        <v>692</v>
      </c>
      <c r="B105" s="223" t="s">
        <v>684</v>
      </c>
      <c r="C105" s="223" t="s">
        <v>693</v>
      </c>
      <c r="D105" s="223">
        <v>238</v>
      </c>
      <c r="E105" s="223">
        <v>360</v>
      </c>
      <c r="F105" s="223">
        <v>327</v>
      </c>
      <c r="G105" s="223">
        <v>438</v>
      </c>
      <c r="H105" s="223">
        <v>326</v>
      </c>
      <c r="I105" s="223">
        <v>413</v>
      </c>
      <c r="J105" s="223">
        <v>278</v>
      </c>
      <c r="K105" s="223">
        <v>425</v>
      </c>
      <c r="L105" s="223">
        <v>526</v>
      </c>
      <c r="M105" s="223">
        <v>417</v>
      </c>
      <c r="N105" s="223">
        <v>512</v>
      </c>
      <c r="O105" s="223">
        <v>552</v>
      </c>
      <c r="P105" s="224">
        <f t="shared" si="77"/>
        <v>4812</v>
      </c>
      <c r="Q105" s="217"/>
    </row>
    <row r="106" spans="1:17" ht="15" customHeight="1" thickBot="1">
      <c r="A106" s="225" t="s">
        <v>694</v>
      </c>
      <c r="B106" s="225" t="s">
        <v>684</v>
      </c>
      <c r="C106" s="225" t="s">
        <v>693</v>
      </c>
      <c r="D106" s="225">
        <v>240</v>
      </c>
      <c r="E106" s="225">
        <v>357</v>
      </c>
      <c r="F106" s="225">
        <v>458</v>
      </c>
      <c r="G106" s="225">
        <v>496</v>
      </c>
      <c r="H106" s="225">
        <v>484</v>
      </c>
      <c r="I106" s="225">
        <v>443</v>
      </c>
      <c r="J106" s="225">
        <v>281</v>
      </c>
      <c r="K106" s="225">
        <v>516</v>
      </c>
      <c r="L106" s="225">
        <v>496</v>
      </c>
      <c r="M106" s="225">
        <v>498</v>
      </c>
      <c r="N106" s="225">
        <v>477</v>
      </c>
      <c r="O106" s="225">
        <v>492</v>
      </c>
      <c r="P106" s="224">
        <f>SUM(D106:O106)</f>
        <v>5238</v>
      </c>
      <c r="Q106" s="217"/>
    </row>
    <row r="107" spans="1:17" ht="15" customHeight="1">
      <c r="A107" s="223" t="s">
        <v>695</v>
      </c>
      <c r="B107" s="223" t="s">
        <v>687</v>
      </c>
      <c r="C107" s="223" t="s">
        <v>696</v>
      </c>
      <c r="D107" s="223">
        <v>289</v>
      </c>
      <c r="E107" s="223">
        <v>346</v>
      </c>
      <c r="F107" s="223">
        <v>417</v>
      </c>
      <c r="G107" s="223">
        <v>462</v>
      </c>
      <c r="H107" s="223">
        <v>432</v>
      </c>
      <c r="I107" s="223">
        <v>302</v>
      </c>
      <c r="J107" s="223">
        <v>253</v>
      </c>
      <c r="K107" s="223">
        <v>427</v>
      </c>
      <c r="L107" s="223">
        <v>445</v>
      </c>
      <c r="M107" s="223">
        <v>357</v>
      </c>
      <c r="N107" s="223">
        <v>485</v>
      </c>
      <c r="O107" s="223">
        <v>767</v>
      </c>
      <c r="P107" s="224">
        <f>SUM(D107:O107)</f>
        <v>4982</v>
      </c>
      <c r="Q107" s="217"/>
    </row>
    <row r="108" spans="1:17" s="229" customFormat="1" ht="15" customHeight="1" thickBot="1">
      <c r="A108" s="225" t="s">
        <v>697</v>
      </c>
      <c r="B108" s="225" t="s">
        <v>687</v>
      </c>
      <c r="C108" s="225" t="s">
        <v>696</v>
      </c>
      <c r="D108" s="225">
        <v>209</v>
      </c>
      <c r="E108" s="225">
        <v>371</v>
      </c>
      <c r="F108" s="225">
        <v>421</v>
      </c>
      <c r="G108" s="225">
        <v>434</v>
      </c>
      <c r="H108" s="225">
        <v>334</v>
      </c>
      <c r="I108" s="225">
        <v>301</v>
      </c>
      <c r="J108" s="247">
        <v>343</v>
      </c>
      <c r="K108" s="225">
        <v>461</v>
      </c>
      <c r="L108" s="225">
        <v>458</v>
      </c>
      <c r="M108" s="225">
        <v>342</v>
      </c>
      <c r="N108" s="225">
        <v>396</v>
      </c>
      <c r="O108" s="225">
        <v>653</v>
      </c>
      <c r="P108" s="224">
        <f>SUM(D108:O108)</f>
        <v>4723</v>
      </c>
      <c r="Q108" s="217"/>
    </row>
    <row r="109" spans="1:17" s="229" customFormat="1" ht="15" customHeight="1">
      <c r="A109" s="255" t="s">
        <v>698</v>
      </c>
      <c r="B109" s="255" t="s">
        <v>690</v>
      </c>
      <c r="C109" s="255" t="s">
        <v>699</v>
      </c>
      <c r="D109" s="256">
        <v>199</v>
      </c>
      <c r="E109" s="256">
        <v>296</v>
      </c>
      <c r="F109" s="256">
        <v>390</v>
      </c>
      <c r="G109" s="256">
        <v>383</v>
      </c>
      <c r="H109" s="256">
        <v>361</v>
      </c>
      <c r="I109" s="256">
        <v>265</v>
      </c>
      <c r="J109" s="257">
        <v>313</v>
      </c>
      <c r="K109" s="256">
        <v>423</v>
      </c>
      <c r="L109" s="256">
        <v>350</v>
      </c>
      <c r="M109" s="256">
        <v>509</v>
      </c>
      <c r="N109" s="256">
        <v>470</v>
      </c>
      <c r="O109" s="256">
        <v>540</v>
      </c>
      <c r="P109" s="227">
        <v>4499</v>
      </c>
      <c r="Q109" s="217"/>
    </row>
    <row r="110" spans="1:17" s="229" customFormat="1" ht="15" customHeight="1" thickBot="1">
      <c r="A110" s="225" t="s">
        <v>700</v>
      </c>
      <c r="B110" s="225" t="s">
        <v>690</v>
      </c>
      <c r="C110" s="225" t="s">
        <v>699</v>
      </c>
      <c r="D110" s="248">
        <v>351</v>
      </c>
      <c r="E110" s="248">
        <v>308</v>
      </c>
      <c r="F110" s="248">
        <v>445</v>
      </c>
      <c r="G110" s="248">
        <v>425</v>
      </c>
      <c r="H110" s="248">
        <v>361</v>
      </c>
      <c r="I110" s="248">
        <v>377</v>
      </c>
      <c r="J110" s="249">
        <v>334</v>
      </c>
      <c r="K110" s="248">
        <v>411</v>
      </c>
      <c r="L110" s="248">
        <v>378</v>
      </c>
      <c r="M110" s="248">
        <v>405</v>
      </c>
      <c r="N110" s="248">
        <v>434</v>
      </c>
      <c r="O110" s="248">
        <v>442</v>
      </c>
      <c r="P110" s="227">
        <v>4671</v>
      </c>
      <c r="Q110" s="217"/>
    </row>
    <row r="111" spans="1:17" s="229" customFormat="1" ht="15" customHeight="1">
      <c r="A111" s="255" t="s">
        <v>710</v>
      </c>
      <c r="B111" s="255" t="s">
        <v>693</v>
      </c>
      <c r="C111" s="255" t="s">
        <v>711</v>
      </c>
      <c r="D111" s="256">
        <v>291</v>
      </c>
      <c r="E111" s="256">
        <v>265</v>
      </c>
      <c r="F111" s="256">
        <v>426</v>
      </c>
      <c r="G111" s="256">
        <v>488</v>
      </c>
      <c r="H111" s="256">
        <v>349</v>
      </c>
      <c r="I111" s="256">
        <v>320</v>
      </c>
      <c r="J111" s="257">
        <v>311</v>
      </c>
      <c r="K111" s="256">
        <v>426</v>
      </c>
      <c r="L111" s="256">
        <v>344</v>
      </c>
      <c r="M111" s="256">
        <v>421</v>
      </c>
      <c r="N111" s="256">
        <v>431</v>
      </c>
      <c r="O111" s="256">
        <v>582</v>
      </c>
      <c r="P111" s="227">
        <v>4654</v>
      </c>
      <c r="Q111" s="217"/>
    </row>
    <row r="112" spans="1:17" s="229" customFormat="1" ht="15" customHeight="1" thickBot="1">
      <c r="A112" s="225" t="s">
        <v>719</v>
      </c>
      <c r="B112" s="225" t="s">
        <v>693</v>
      </c>
      <c r="C112" s="225" t="s">
        <v>711</v>
      </c>
      <c r="D112" s="248">
        <v>293</v>
      </c>
      <c r="E112" s="248">
        <v>384</v>
      </c>
      <c r="F112" s="248">
        <v>414</v>
      </c>
      <c r="G112" s="248">
        <v>442</v>
      </c>
      <c r="H112" s="248">
        <v>420</v>
      </c>
      <c r="I112" s="248">
        <v>339</v>
      </c>
      <c r="J112" s="249">
        <v>327</v>
      </c>
      <c r="K112" s="248">
        <v>404</v>
      </c>
      <c r="L112" s="248">
        <v>442</v>
      </c>
      <c r="M112" s="248">
        <v>386</v>
      </c>
      <c r="N112" s="248">
        <v>409</v>
      </c>
      <c r="O112" s="248">
        <v>475</v>
      </c>
      <c r="P112" s="217">
        <v>4735</v>
      </c>
      <c r="Q112" s="217"/>
    </row>
    <row r="113" spans="1:17" s="229" customFormat="1" ht="15" customHeight="1">
      <c r="A113" s="255" t="s">
        <v>864</v>
      </c>
      <c r="B113" s="255" t="s">
        <v>865</v>
      </c>
      <c r="C113" s="255" t="s">
        <v>866</v>
      </c>
      <c r="D113" s="256">
        <v>217</v>
      </c>
      <c r="E113" s="256">
        <v>364</v>
      </c>
      <c r="F113" s="256">
        <v>408</v>
      </c>
      <c r="G113" s="256">
        <v>370</v>
      </c>
      <c r="H113" s="256">
        <v>331</v>
      </c>
      <c r="I113" s="256">
        <v>351</v>
      </c>
      <c r="J113" s="256">
        <v>267</v>
      </c>
      <c r="K113" s="256">
        <v>328</v>
      </c>
      <c r="L113" s="256">
        <v>472</v>
      </c>
      <c r="M113" s="256">
        <v>300</v>
      </c>
      <c r="N113" s="256">
        <v>516</v>
      </c>
      <c r="O113" s="256">
        <v>574</v>
      </c>
      <c r="P113" s="299">
        <v>4498</v>
      </c>
      <c r="Q113" s="217"/>
    </row>
    <row r="114" spans="1:17" s="229" customFormat="1" ht="15" customHeight="1" thickBot="1">
      <c r="A114" s="225" t="s">
        <v>1025</v>
      </c>
      <c r="B114" s="225" t="s">
        <v>865</v>
      </c>
      <c r="C114" s="225" t="s">
        <v>866</v>
      </c>
      <c r="D114" s="248">
        <v>273</v>
      </c>
      <c r="E114" s="248">
        <v>351</v>
      </c>
      <c r="F114" s="248">
        <v>265</v>
      </c>
      <c r="G114" s="248">
        <v>396</v>
      </c>
      <c r="H114" s="248">
        <v>389</v>
      </c>
      <c r="I114" s="248">
        <v>292</v>
      </c>
      <c r="J114" s="248">
        <v>397</v>
      </c>
      <c r="K114" s="248">
        <v>355</v>
      </c>
      <c r="L114" s="248">
        <v>391</v>
      </c>
      <c r="M114" s="248">
        <v>441</v>
      </c>
      <c r="N114" s="248">
        <v>482</v>
      </c>
      <c r="O114" s="248">
        <v>476</v>
      </c>
      <c r="P114" s="310">
        <v>4508</v>
      </c>
    </row>
    <row r="115" spans="1:17" s="229" customFormat="1" ht="15" customHeight="1">
      <c r="A115" s="255" t="s">
        <v>1035</v>
      </c>
      <c r="B115" s="255" t="s">
        <v>1037</v>
      </c>
      <c r="C115" s="255" t="s">
        <v>672</v>
      </c>
      <c r="D115" s="256">
        <v>150</v>
      </c>
      <c r="E115" s="256">
        <v>291</v>
      </c>
      <c r="F115" s="256">
        <v>333</v>
      </c>
      <c r="G115" s="256">
        <v>453</v>
      </c>
      <c r="H115" s="256">
        <v>265</v>
      </c>
      <c r="I115" s="256">
        <v>243</v>
      </c>
      <c r="J115" s="256">
        <v>270</v>
      </c>
      <c r="K115" s="256">
        <v>363</v>
      </c>
      <c r="L115" s="256">
        <v>382</v>
      </c>
      <c r="M115" s="256">
        <v>338</v>
      </c>
      <c r="N115" s="256">
        <v>365</v>
      </c>
      <c r="O115" s="256">
        <v>376</v>
      </c>
      <c r="P115" s="299">
        <v>3829</v>
      </c>
      <c r="Q115" s="217"/>
    </row>
    <row r="116" spans="1:17" s="229" customFormat="1" ht="15" customHeight="1" thickBot="1">
      <c r="A116" s="335" t="s">
        <v>1035</v>
      </c>
      <c r="B116" s="335" t="s">
        <v>1037</v>
      </c>
      <c r="C116" s="335" t="s">
        <v>672</v>
      </c>
      <c r="D116" s="337">
        <v>280</v>
      </c>
      <c r="E116" s="337">
        <v>207</v>
      </c>
      <c r="F116" s="337">
        <v>330</v>
      </c>
      <c r="G116" s="337">
        <v>398</v>
      </c>
      <c r="H116" s="337">
        <v>273</v>
      </c>
      <c r="I116" s="337">
        <v>277</v>
      </c>
      <c r="J116" s="337">
        <v>262</v>
      </c>
      <c r="K116" s="337">
        <v>259</v>
      </c>
      <c r="L116" s="337">
        <v>207</v>
      </c>
      <c r="M116" s="337">
        <v>183</v>
      </c>
      <c r="N116" s="337">
        <v>131</v>
      </c>
      <c r="O116" s="337">
        <v>158</v>
      </c>
      <c r="P116" s="338">
        <v>2965</v>
      </c>
      <c r="Q116" s="217"/>
    </row>
    <row r="117" spans="1:17" s="229" customFormat="1" ht="15" customHeight="1">
      <c r="A117" s="334" t="s">
        <v>1277</v>
      </c>
      <c r="B117" s="334" t="s">
        <v>711</v>
      </c>
      <c r="C117" s="334" t="s">
        <v>1278</v>
      </c>
      <c r="D117" s="358">
        <f>Actuals!B23</f>
        <v>118</v>
      </c>
      <c r="E117" s="358">
        <f>Actuals!C23</f>
        <v>164</v>
      </c>
      <c r="F117" s="358">
        <f>Actuals!D23</f>
        <v>188</v>
      </c>
      <c r="G117" s="358">
        <f>Actuals!E23</f>
        <v>179</v>
      </c>
      <c r="H117" s="358">
        <f>Actuals!F23</f>
        <v>211</v>
      </c>
      <c r="I117" s="358">
        <f>Actuals!G23</f>
        <v>167</v>
      </c>
      <c r="J117" s="358">
        <f>Actuals!H23</f>
        <v>116</v>
      </c>
      <c r="K117" s="358" t="str">
        <f>Actuals!I23</f>
        <v/>
      </c>
      <c r="L117" s="358" t="str">
        <f>Actuals!J23</f>
        <v/>
      </c>
      <c r="M117" s="358" t="str">
        <f>Actuals!K23</f>
        <v/>
      </c>
      <c r="N117" s="358" t="str">
        <f>Actuals!L23</f>
        <v/>
      </c>
      <c r="O117" s="358" t="str">
        <f>Actuals!M23</f>
        <v/>
      </c>
      <c r="P117" s="356">
        <v>3829</v>
      </c>
      <c r="Q117" s="217"/>
    </row>
    <row r="118" spans="1:17" s="229" customFormat="1" ht="15" customHeight="1">
      <c r="A118" s="334"/>
      <c r="B118" s="334"/>
      <c r="C118" s="334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6"/>
      <c r="Q118" s="217"/>
    </row>
    <row r="119" spans="1:17" s="229" customFormat="1" ht="15" customHeight="1">
      <c r="A119" s="223"/>
      <c r="B119" s="223"/>
      <c r="C119" s="223"/>
      <c r="D119" s="223"/>
      <c r="E119" s="223"/>
      <c r="F119" s="223"/>
      <c r="G119" s="250"/>
      <c r="H119" s="250"/>
      <c r="I119" s="250"/>
      <c r="J119" s="250"/>
      <c r="K119" s="250"/>
      <c r="L119" s="250"/>
      <c r="M119" s="250"/>
      <c r="N119" s="250"/>
      <c r="O119" s="250"/>
      <c r="P119" s="251"/>
    </row>
    <row r="120" spans="1:17" s="229" customFormat="1" ht="15" customHeight="1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1"/>
    </row>
    <row r="121" spans="1:17" ht="15" customHeight="1">
      <c r="A121" s="233" t="s">
        <v>959</v>
      </c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</row>
    <row r="122" spans="1:17">
      <c r="A122" s="223" t="s">
        <v>670</v>
      </c>
      <c r="B122" s="223" t="s">
        <v>671</v>
      </c>
      <c r="C122" s="223" t="s">
        <v>1040</v>
      </c>
      <c r="D122" s="235">
        <v>391</v>
      </c>
      <c r="E122" s="261">
        <v>127</v>
      </c>
      <c r="F122" s="261">
        <v>225</v>
      </c>
      <c r="G122" s="261">
        <v>138</v>
      </c>
      <c r="H122" s="261">
        <v>192</v>
      </c>
      <c r="I122" s="261">
        <v>212</v>
      </c>
      <c r="J122" s="261">
        <v>160</v>
      </c>
      <c r="K122" s="261">
        <v>194</v>
      </c>
      <c r="L122" s="261">
        <v>178</v>
      </c>
      <c r="M122" s="261">
        <v>147</v>
      </c>
      <c r="N122" s="261">
        <v>458</v>
      </c>
      <c r="O122" s="261">
        <v>314</v>
      </c>
      <c r="P122" s="224">
        <f>SUM(D122:O122)</f>
        <v>2736</v>
      </c>
      <c r="Q122" s="217" t="s">
        <v>957</v>
      </c>
    </row>
    <row r="123" spans="1:17" ht="15.75" thickBot="1">
      <c r="A123" s="225" t="s">
        <v>673</v>
      </c>
      <c r="B123" s="225" t="s">
        <v>671</v>
      </c>
      <c r="C123" s="225" t="s">
        <v>672</v>
      </c>
      <c r="D123" s="237">
        <v>60</v>
      </c>
      <c r="E123" s="259">
        <v>87</v>
      </c>
      <c r="F123" s="259">
        <v>132</v>
      </c>
      <c r="G123" s="259">
        <v>170</v>
      </c>
      <c r="H123" s="259">
        <v>134</v>
      </c>
      <c r="I123" s="259">
        <v>101</v>
      </c>
      <c r="J123" s="259">
        <v>172</v>
      </c>
      <c r="K123" s="259">
        <v>134</v>
      </c>
      <c r="L123" s="259">
        <v>171</v>
      </c>
      <c r="M123" s="259">
        <v>247</v>
      </c>
      <c r="N123" s="259">
        <v>251</v>
      </c>
      <c r="O123" s="259">
        <v>252</v>
      </c>
      <c r="P123" s="224">
        <f t="shared" ref="P123:P141" si="78">SUM(D123:O123)</f>
        <v>1911</v>
      </c>
      <c r="Q123" s="217" t="s">
        <v>957</v>
      </c>
    </row>
    <row r="124" spans="1:17">
      <c r="A124" s="223" t="s">
        <v>674</v>
      </c>
      <c r="B124" s="223" t="s">
        <v>675</v>
      </c>
      <c r="C124" s="223" t="s">
        <v>676</v>
      </c>
      <c r="D124" s="235">
        <v>133</v>
      </c>
      <c r="E124" s="261">
        <v>95</v>
      </c>
      <c r="F124" s="261">
        <v>96</v>
      </c>
      <c r="G124" s="261">
        <v>106</v>
      </c>
      <c r="H124" s="261">
        <v>143</v>
      </c>
      <c r="I124" s="261">
        <v>97</v>
      </c>
      <c r="J124" s="261">
        <v>114</v>
      </c>
      <c r="K124" s="261">
        <v>138</v>
      </c>
      <c r="L124" s="261">
        <v>103</v>
      </c>
      <c r="M124" s="261">
        <v>188</v>
      </c>
      <c r="N124" s="261">
        <v>159</v>
      </c>
      <c r="O124" s="261">
        <v>322</v>
      </c>
      <c r="P124" s="224">
        <f t="shared" si="78"/>
        <v>1694</v>
      </c>
      <c r="Q124" s="217" t="s">
        <v>957</v>
      </c>
    </row>
    <row r="125" spans="1:17" ht="15.75" thickBot="1">
      <c r="A125" s="225" t="s">
        <v>677</v>
      </c>
      <c r="B125" s="225" t="s">
        <v>675</v>
      </c>
      <c r="C125" s="225" t="s">
        <v>676</v>
      </c>
      <c r="D125" s="237">
        <v>258</v>
      </c>
      <c r="E125" s="259">
        <v>202</v>
      </c>
      <c r="F125" s="259">
        <v>93</v>
      </c>
      <c r="G125" s="259">
        <v>168</v>
      </c>
      <c r="H125" s="259">
        <v>194</v>
      </c>
      <c r="I125" s="259">
        <v>141</v>
      </c>
      <c r="J125" s="259">
        <v>132</v>
      </c>
      <c r="K125" s="259">
        <v>114</v>
      </c>
      <c r="L125" s="259">
        <v>119</v>
      </c>
      <c r="M125" s="259">
        <v>226</v>
      </c>
      <c r="N125" s="259">
        <v>284</v>
      </c>
      <c r="O125" s="259">
        <v>254</v>
      </c>
      <c r="P125" s="224">
        <f t="shared" si="78"/>
        <v>2185</v>
      </c>
      <c r="Q125" s="217" t="s">
        <v>957</v>
      </c>
    </row>
    <row r="126" spans="1:17">
      <c r="A126" s="223" t="s">
        <v>678</v>
      </c>
      <c r="B126" s="223" t="s">
        <v>679</v>
      </c>
      <c r="C126" s="223" t="s">
        <v>680</v>
      </c>
      <c r="D126" s="235">
        <v>139</v>
      </c>
      <c r="E126" s="261">
        <v>115</v>
      </c>
      <c r="F126" s="261">
        <v>176</v>
      </c>
      <c r="G126" s="261">
        <v>120</v>
      </c>
      <c r="H126" s="261">
        <v>57</v>
      </c>
      <c r="I126" s="261">
        <v>95</v>
      </c>
      <c r="J126" s="261">
        <v>90</v>
      </c>
      <c r="K126" s="261">
        <v>90</v>
      </c>
      <c r="L126" s="261">
        <v>130</v>
      </c>
      <c r="M126" s="261">
        <v>138</v>
      </c>
      <c r="N126" s="261">
        <v>149</v>
      </c>
      <c r="O126" s="261">
        <v>453</v>
      </c>
      <c r="P126" s="224">
        <f t="shared" si="78"/>
        <v>1752</v>
      </c>
      <c r="Q126" s="217" t="s">
        <v>957</v>
      </c>
    </row>
    <row r="127" spans="1:17" ht="15.75" thickBot="1">
      <c r="A127" s="225" t="s">
        <v>681</v>
      </c>
      <c r="B127" s="225" t="s">
        <v>679</v>
      </c>
      <c r="C127" s="225" t="s">
        <v>680</v>
      </c>
      <c r="D127" s="237">
        <v>199</v>
      </c>
      <c r="E127" s="259">
        <v>139</v>
      </c>
      <c r="F127" s="259">
        <v>91</v>
      </c>
      <c r="G127" s="259">
        <v>86</v>
      </c>
      <c r="H127" s="259">
        <v>101</v>
      </c>
      <c r="I127" s="259">
        <v>99</v>
      </c>
      <c r="J127" s="259">
        <v>143</v>
      </c>
      <c r="K127" s="259">
        <v>89</v>
      </c>
      <c r="L127" s="259">
        <v>111</v>
      </c>
      <c r="M127" s="259">
        <v>129</v>
      </c>
      <c r="N127" s="259">
        <v>182</v>
      </c>
      <c r="O127" s="259">
        <v>204</v>
      </c>
      <c r="P127" s="224">
        <f t="shared" si="78"/>
        <v>1573</v>
      </c>
      <c r="Q127" s="217" t="s">
        <v>957</v>
      </c>
    </row>
    <row r="128" spans="1:17">
      <c r="A128" s="223" t="s">
        <v>682</v>
      </c>
      <c r="B128" s="223" t="s">
        <v>683</v>
      </c>
      <c r="C128" s="223" t="s">
        <v>684</v>
      </c>
      <c r="D128" s="235">
        <v>149</v>
      </c>
      <c r="E128" s="261">
        <v>106</v>
      </c>
      <c r="F128" s="261">
        <v>64</v>
      </c>
      <c r="G128" s="261">
        <v>88</v>
      </c>
      <c r="H128" s="261">
        <v>126</v>
      </c>
      <c r="I128" s="261">
        <v>83</v>
      </c>
      <c r="J128" s="261">
        <v>104</v>
      </c>
      <c r="K128" s="261">
        <v>116</v>
      </c>
      <c r="L128" s="261">
        <v>76</v>
      </c>
      <c r="M128" s="261">
        <v>241</v>
      </c>
      <c r="N128" s="261">
        <v>246</v>
      </c>
      <c r="O128" s="261">
        <v>455</v>
      </c>
      <c r="P128" s="224">
        <f t="shared" si="78"/>
        <v>1854</v>
      </c>
      <c r="Q128" s="217" t="s">
        <v>957</v>
      </c>
    </row>
    <row r="129" spans="1:17" ht="15.75" thickBot="1">
      <c r="A129" s="225" t="s">
        <v>685</v>
      </c>
      <c r="B129" s="225" t="s">
        <v>683</v>
      </c>
      <c r="C129" s="225" t="s">
        <v>684</v>
      </c>
      <c r="D129" s="237">
        <v>106</v>
      </c>
      <c r="E129" s="259">
        <v>106</v>
      </c>
      <c r="F129" s="259">
        <v>70</v>
      </c>
      <c r="G129" s="259">
        <v>91</v>
      </c>
      <c r="H129" s="259">
        <v>36</v>
      </c>
      <c r="I129" s="259">
        <v>81</v>
      </c>
      <c r="J129" s="259">
        <v>144</v>
      </c>
      <c r="K129" s="259">
        <v>140</v>
      </c>
      <c r="L129" s="259">
        <v>76</v>
      </c>
      <c r="M129" s="259">
        <v>105</v>
      </c>
      <c r="N129" s="259">
        <v>157</v>
      </c>
      <c r="O129" s="259">
        <v>204</v>
      </c>
      <c r="P129" s="224">
        <f t="shared" si="78"/>
        <v>1316</v>
      </c>
      <c r="Q129" s="217" t="s">
        <v>957</v>
      </c>
    </row>
    <row r="130" spans="1:17">
      <c r="A130" s="223" t="s">
        <v>686</v>
      </c>
      <c r="B130" s="223" t="s">
        <v>676</v>
      </c>
      <c r="C130" s="223" t="s">
        <v>687</v>
      </c>
      <c r="D130" s="235">
        <v>94</v>
      </c>
      <c r="E130" s="261">
        <v>101</v>
      </c>
      <c r="F130" s="261">
        <v>72</v>
      </c>
      <c r="G130" s="261">
        <v>67</v>
      </c>
      <c r="H130" s="261">
        <v>38</v>
      </c>
      <c r="I130" s="261">
        <v>79</v>
      </c>
      <c r="J130" s="261">
        <v>167</v>
      </c>
      <c r="K130" s="261">
        <v>82</v>
      </c>
      <c r="L130" s="261">
        <v>85</v>
      </c>
      <c r="M130" s="261">
        <v>85</v>
      </c>
      <c r="N130" s="261">
        <v>148</v>
      </c>
      <c r="O130" s="261">
        <v>364</v>
      </c>
      <c r="P130" s="224">
        <f t="shared" si="78"/>
        <v>1382</v>
      </c>
      <c r="Q130" s="217" t="s">
        <v>957</v>
      </c>
    </row>
    <row r="131" spans="1:17" ht="15.75" thickBot="1">
      <c r="A131" s="225" t="s">
        <v>688</v>
      </c>
      <c r="B131" s="225" t="s">
        <v>676</v>
      </c>
      <c r="C131" s="225" t="s">
        <v>687</v>
      </c>
      <c r="D131" s="237">
        <v>98</v>
      </c>
      <c r="E131" s="259">
        <v>152</v>
      </c>
      <c r="F131" s="259">
        <v>58</v>
      </c>
      <c r="G131" s="259">
        <v>109</v>
      </c>
      <c r="H131" s="259">
        <v>96</v>
      </c>
      <c r="I131" s="259">
        <v>90</v>
      </c>
      <c r="J131" s="259">
        <v>121</v>
      </c>
      <c r="K131" s="259">
        <v>87</v>
      </c>
      <c r="L131" s="259">
        <v>124</v>
      </c>
      <c r="M131" s="259">
        <v>87</v>
      </c>
      <c r="N131" s="259">
        <v>120</v>
      </c>
      <c r="O131" s="259">
        <v>299</v>
      </c>
      <c r="P131" s="224">
        <f t="shared" si="78"/>
        <v>1441</v>
      </c>
      <c r="Q131" s="217" t="s">
        <v>957</v>
      </c>
    </row>
    <row r="132" spans="1:17" ht="15" customHeight="1">
      <c r="A132" s="223" t="s">
        <v>689</v>
      </c>
      <c r="B132" s="223" t="s">
        <v>680</v>
      </c>
      <c r="C132" s="223" t="s">
        <v>690</v>
      </c>
      <c r="D132" s="235">
        <v>116</v>
      </c>
      <c r="E132" s="261">
        <v>89</v>
      </c>
      <c r="F132" s="261">
        <v>56</v>
      </c>
      <c r="G132" s="261">
        <v>61</v>
      </c>
      <c r="H132" s="261">
        <v>70</v>
      </c>
      <c r="I132" s="261">
        <v>104</v>
      </c>
      <c r="J132" s="261">
        <v>143</v>
      </c>
      <c r="K132" s="261">
        <v>95</v>
      </c>
      <c r="L132" s="261">
        <v>90</v>
      </c>
      <c r="M132" s="261">
        <v>67</v>
      </c>
      <c r="N132" s="261">
        <v>81</v>
      </c>
      <c r="O132" s="261">
        <v>203</v>
      </c>
      <c r="P132" s="224">
        <f t="shared" si="78"/>
        <v>1175</v>
      </c>
      <c r="Q132" s="217" t="s">
        <v>957</v>
      </c>
    </row>
    <row r="133" spans="1:17" ht="15" customHeight="1" thickBot="1">
      <c r="A133" s="225" t="s">
        <v>691</v>
      </c>
      <c r="B133" s="225" t="s">
        <v>680</v>
      </c>
      <c r="C133" s="225" t="s">
        <v>690</v>
      </c>
      <c r="D133" s="237">
        <v>101</v>
      </c>
      <c r="E133" s="259">
        <v>53</v>
      </c>
      <c r="F133" s="259">
        <v>120</v>
      </c>
      <c r="G133" s="259">
        <v>118</v>
      </c>
      <c r="H133" s="259">
        <v>71</v>
      </c>
      <c r="I133" s="259">
        <v>113</v>
      </c>
      <c r="J133" s="259">
        <v>77</v>
      </c>
      <c r="K133" s="259">
        <v>135</v>
      </c>
      <c r="L133" s="259">
        <v>114</v>
      </c>
      <c r="M133" s="259">
        <v>73</v>
      </c>
      <c r="N133" s="259">
        <v>98</v>
      </c>
      <c r="O133" s="259">
        <v>270</v>
      </c>
      <c r="P133" s="224">
        <f t="shared" si="78"/>
        <v>1343</v>
      </c>
      <c r="Q133" s="217" t="s">
        <v>957</v>
      </c>
    </row>
    <row r="134" spans="1:17" ht="15.75" customHeight="1">
      <c r="A134" s="223" t="s">
        <v>692</v>
      </c>
      <c r="B134" s="223" t="s">
        <v>684</v>
      </c>
      <c r="C134" s="223" t="s">
        <v>693</v>
      </c>
      <c r="D134" s="235">
        <v>79</v>
      </c>
      <c r="E134" s="261">
        <v>182</v>
      </c>
      <c r="F134" s="261">
        <v>117</v>
      </c>
      <c r="G134" s="261">
        <v>99</v>
      </c>
      <c r="H134" s="261">
        <v>46</v>
      </c>
      <c r="I134" s="261">
        <v>98</v>
      </c>
      <c r="J134" s="261">
        <v>176</v>
      </c>
      <c r="K134" s="261">
        <v>178</v>
      </c>
      <c r="L134" s="261">
        <v>107</v>
      </c>
      <c r="M134" s="261">
        <v>113</v>
      </c>
      <c r="N134" s="261">
        <v>108</v>
      </c>
      <c r="O134" s="261">
        <v>68</v>
      </c>
      <c r="P134" s="224">
        <f t="shared" si="78"/>
        <v>1371</v>
      </c>
      <c r="Q134" s="217" t="s">
        <v>957</v>
      </c>
    </row>
    <row r="135" spans="1:17" ht="15.75" customHeight="1" thickBot="1">
      <c r="A135" s="225" t="s">
        <v>694</v>
      </c>
      <c r="B135" s="225" t="s">
        <v>684</v>
      </c>
      <c r="C135" s="225" t="s">
        <v>693</v>
      </c>
      <c r="D135" s="237">
        <v>135</v>
      </c>
      <c r="E135" s="259">
        <v>75</v>
      </c>
      <c r="F135" s="259">
        <v>119</v>
      </c>
      <c r="G135" s="259">
        <v>73</v>
      </c>
      <c r="H135" s="259">
        <v>86</v>
      </c>
      <c r="I135" s="259">
        <v>211</v>
      </c>
      <c r="J135" s="259">
        <v>109</v>
      </c>
      <c r="K135" s="259">
        <v>168</v>
      </c>
      <c r="L135" s="259">
        <v>157</v>
      </c>
      <c r="M135" s="259">
        <v>178</v>
      </c>
      <c r="N135" s="259">
        <v>126</v>
      </c>
      <c r="O135" s="259">
        <v>51</v>
      </c>
      <c r="P135" s="224">
        <f t="shared" si="78"/>
        <v>1488</v>
      </c>
      <c r="Q135" s="217" t="s">
        <v>957</v>
      </c>
    </row>
    <row r="136" spans="1:17" ht="15.75" customHeight="1">
      <c r="A136" s="223" t="s">
        <v>695</v>
      </c>
      <c r="B136" s="223" t="s">
        <v>687</v>
      </c>
      <c r="C136" s="223" t="s">
        <v>696</v>
      </c>
      <c r="D136" s="235">
        <v>112</v>
      </c>
      <c r="E136" s="261">
        <v>69</v>
      </c>
      <c r="F136" s="261">
        <v>73</v>
      </c>
      <c r="G136" s="261">
        <v>43</v>
      </c>
      <c r="H136" s="261">
        <v>57</v>
      </c>
      <c r="I136" s="261">
        <v>90</v>
      </c>
      <c r="J136" s="261">
        <v>77</v>
      </c>
      <c r="K136" s="261">
        <v>191</v>
      </c>
      <c r="L136" s="261">
        <v>126</v>
      </c>
      <c r="M136" s="261">
        <v>87</v>
      </c>
      <c r="N136" s="261">
        <v>191</v>
      </c>
      <c r="O136" s="261">
        <v>305</v>
      </c>
      <c r="P136" s="224">
        <f t="shared" si="78"/>
        <v>1421</v>
      </c>
      <c r="Q136" s="217" t="s">
        <v>957</v>
      </c>
    </row>
    <row r="137" spans="1:17" ht="15.75" customHeight="1" thickBot="1">
      <c r="A137" s="225" t="s">
        <v>697</v>
      </c>
      <c r="B137" s="225" t="s">
        <v>687</v>
      </c>
      <c r="C137" s="225" t="s">
        <v>696</v>
      </c>
      <c r="D137" s="237">
        <v>169</v>
      </c>
      <c r="E137" s="259">
        <v>115</v>
      </c>
      <c r="F137" s="259">
        <v>106</v>
      </c>
      <c r="G137" s="259">
        <v>74</v>
      </c>
      <c r="H137" s="259">
        <v>55</v>
      </c>
      <c r="I137" s="259">
        <v>83</v>
      </c>
      <c r="J137" s="259">
        <v>87</v>
      </c>
      <c r="K137" s="259">
        <v>110</v>
      </c>
      <c r="L137" s="259">
        <v>85</v>
      </c>
      <c r="M137" s="259">
        <v>104</v>
      </c>
      <c r="N137" s="259">
        <v>84</v>
      </c>
      <c r="O137" s="259">
        <v>230</v>
      </c>
      <c r="P137" s="224">
        <f t="shared" si="78"/>
        <v>1302</v>
      </c>
      <c r="Q137" s="217" t="s">
        <v>957</v>
      </c>
    </row>
    <row r="138" spans="1:17" ht="15.75" customHeight="1">
      <c r="A138" s="255" t="s">
        <v>698</v>
      </c>
      <c r="B138" s="255" t="s">
        <v>690</v>
      </c>
      <c r="C138" s="255" t="s">
        <v>699</v>
      </c>
      <c r="D138" s="258">
        <v>204</v>
      </c>
      <c r="E138" s="260">
        <v>100</v>
      </c>
      <c r="F138" s="260">
        <v>84</v>
      </c>
      <c r="G138" s="260">
        <v>131</v>
      </c>
      <c r="H138" s="260">
        <v>115</v>
      </c>
      <c r="I138" s="260">
        <v>70</v>
      </c>
      <c r="J138" s="260">
        <v>127</v>
      </c>
      <c r="K138" s="260">
        <v>130</v>
      </c>
      <c r="L138" s="260">
        <v>114</v>
      </c>
      <c r="M138" s="260">
        <v>104</v>
      </c>
      <c r="N138" s="260">
        <v>146</v>
      </c>
      <c r="O138" s="260">
        <v>157</v>
      </c>
      <c r="P138" s="224">
        <f t="shared" si="78"/>
        <v>1482</v>
      </c>
      <c r="Q138" s="217" t="s">
        <v>957</v>
      </c>
    </row>
    <row r="139" spans="1:17" ht="15.75" customHeight="1" thickBot="1">
      <c r="A139" s="225" t="s">
        <v>700</v>
      </c>
      <c r="B139" s="225" t="s">
        <v>690</v>
      </c>
      <c r="C139" s="225" t="s">
        <v>699</v>
      </c>
      <c r="D139" s="237">
        <v>171</v>
      </c>
      <c r="E139" s="259">
        <v>119</v>
      </c>
      <c r="F139" s="259">
        <v>141</v>
      </c>
      <c r="G139" s="259">
        <v>58</v>
      </c>
      <c r="H139" s="259">
        <v>77</v>
      </c>
      <c r="I139" s="259">
        <v>88</v>
      </c>
      <c r="J139" s="259">
        <v>103</v>
      </c>
      <c r="K139" s="259">
        <v>132</v>
      </c>
      <c r="L139" s="259">
        <v>100</v>
      </c>
      <c r="M139" s="259">
        <v>101</v>
      </c>
      <c r="N139" s="259">
        <v>140</v>
      </c>
      <c r="O139" s="259">
        <v>249</v>
      </c>
      <c r="P139" s="224">
        <f t="shared" si="78"/>
        <v>1479</v>
      </c>
      <c r="Q139" s="217" t="s">
        <v>957</v>
      </c>
    </row>
    <row r="140" spans="1:17" ht="15.75" customHeight="1">
      <c r="A140" s="223" t="s">
        <v>710</v>
      </c>
      <c r="B140" s="223" t="s">
        <v>693</v>
      </c>
      <c r="C140" s="223" t="s">
        <v>711</v>
      </c>
      <c r="D140" s="235">
        <v>190</v>
      </c>
      <c r="E140" s="261">
        <v>94</v>
      </c>
      <c r="F140" s="261">
        <v>144</v>
      </c>
      <c r="G140" s="261">
        <v>98</v>
      </c>
      <c r="H140" s="261">
        <v>116</v>
      </c>
      <c r="I140" s="261">
        <v>90</v>
      </c>
      <c r="J140" s="261">
        <v>116</v>
      </c>
      <c r="K140" s="261">
        <v>135</v>
      </c>
      <c r="L140" s="261">
        <v>150</v>
      </c>
      <c r="M140" s="261">
        <v>133</v>
      </c>
      <c r="N140" s="261">
        <v>143</v>
      </c>
      <c r="O140" s="261">
        <v>260</v>
      </c>
      <c r="P140" s="224">
        <f t="shared" si="78"/>
        <v>1669</v>
      </c>
      <c r="Q140" s="217" t="s">
        <v>957</v>
      </c>
    </row>
    <row r="141" spans="1:17" ht="15.75" customHeight="1" thickBot="1">
      <c r="A141" s="225" t="s">
        <v>719</v>
      </c>
      <c r="B141" s="225" t="s">
        <v>693</v>
      </c>
      <c r="C141" s="225" t="s">
        <v>711</v>
      </c>
      <c r="D141" s="237">
        <v>81</v>
      </c>
      <c r="E141" s="259">
        <v>37</v>
      </c>
      <c r="F141" s="259">
        <v>95</v>
      </c>
      <c r="G141" s="259">
        <v>57</v>
      </c>
      <c r="H141" s="259">
        <v>32</v>
      </c>
      <c r="I141" s="259">
        <v>70</v>
      </c>
      <c r="J141" s="259">
        <v>20</v>
      </c>
      <c r="K141" s="259">
        <v>81</v>
      </c>
      <c r="L141" s="259">
        <v>88</v>
      </c>
      <c r="M141" s="259">
        <v>145</v>
      </c>
      <c r="N141" s="259">
        <v>107</v>
      </c>
      <c r="O141" s="259">
        <v>321</v>
      </c>
      <c r="P141" s="224">
        <f t="shared" si="78"/>
        <v>1134</v>
      </c>
      <c r="Q141" s="217" t="s">
        <v>957</v>
      </c>
    </row>
    <row r="142" spans="1:17" ht="15.75" customHeight="1">
      <c r="A142" s="223" t="s">
        <v>864</v>
      </c>
      <c r="B142" s="223" t="s">
        <v>865</v>
      </c>
      <c r="C142" s="223" t="s">
        <v>866</v>
      </c>
      <c r="D142" s="235">
        <v>234</v>
      </c>
      <c r="E142" s="235">
        <v>131</v>
      </c>
      <c r="F142" s="235">
        <v>92</v>
      </c>
      <c r="G142" s="235">
        <v>63</v>
      </c>
      <c r="H142" s="235">
        <v>82</v>
      </c>
      <c r="I142" s="235">
        <v>76</v>
      </c>
      <c r="J142" s="235">
        <v>58</v>
      </c>
      <c r="K142" s="235">
        <v>31</v>
      </c>
      <c r="L142" s="235">
        <v>54</v>
      </c>
      <c r="M142" s="235">
        <v>90</v>
      </c>
      <c r="N142" s="235">
        <v>180</v>
      </c>
      <c r="O142" s="235">
        <v>381</v>
      </c>
      <c r="P142" s="224">
        <v>1472</v>
      </c>
      <c r="Q142" s="235"/>
    </row>
    <row r="143" spans="1:17" ht="15.75" customHeight="1" thickBot="1">
      <c r="A143" s="225" t="s">
        <v>1025</v>
      </c>
      <c r="B143" s="225" t="s">
        <v>865</v>
      </c>
      <c r="C143" s="334" t="s">
        <v>866</v>
      </c>
      <c r="D143" s="336">
        <v>74</v>
      </c>
      <c r="E143" s="336">
        <v>133</v>
      </c>
      <c r="F143" s="336">
        <v>56</v>
      </c>
      <c r="G143" s="336">
        <v>237</v>
      </c>
      <c r="H143" s="336">
        <v>130</v>
      </c>
      <c r="I143" s="336">
        <v>33</v>
      </c>
      <c r="J143" s="336">
        <v>115</v>
      </c>
      <c r="K143" s="336">
        <v>20</v>
      </c>
      <c r="L143" s="336">
        <v>49</v>
      </c>
      <c r="M143" s="336">
        <v>185</v>
      </c>
      <c r="N143" s="336">
        <v>163</v>
      </c>
      <c r="O143" s="336">
        <v>435</v>
      </c>
      <c r="P143" s="227">
        <v>1630</v>
      </c>
      <c r="Q143" s="235"/>
    </row>
    <row r="144" spans="1:17" ht="15.75" customHeight="1">
      <c r="A144" s="223" t="s">
        <v>1035</v>
      </c>
      <c r="B144" s="223" t="s">
        <v>1037</v>
      </c>
      <c r="C144" s="255" t="s">
        <v>672</v>
      </c>
      <c r="D144" s="339">
        <v>198</v>
      </c>
      <c r="E144" s="339">
        <v>123</v>
      </c>
      <c r="F144" s="339">
        <v>113</v>
      </c>
      <c r="G144" s="339">
        <v>135</v>
      </c>
      <c r="H144" s="339">
        <v>70</v>
      </c>
      <c r="I144" s="339">
        <v>210</v>
      </c>
      <c r="J144" s="339">
        <v>127</v>
      </c>
      <c r="K144" s="339">
        <v>86</v>
      </c>
      <c r="L144" s="339">
        <v>84</v>
      </c>
      <c r="M144" s="339">
        <v>151</v>
      </c>
      <c r="N144" s="339">
        <v>121</v>
      </c>
      <c r="O144" s="339">
        <v>518</v>
      </c>
      <c r="P144" s="340">
        <v>1936</v>
      </c>
      <c r="Q144" s="235"/>
    </row>
    <row r="145" spans="1:17" ht="15.75" customHeight="1" thickBot="1">
      <c r="A145" s="335" t="s">
        <v>1055</v>
      </c>
      <c r="B145" s="335" t="s">
        <v>1037</v>
      </c>
      <c r="C145" s="335" t="s">
        <v>672</v>
      </c>
      <c r="D145" s="237">
        <v>37</v>
      </c>
      <c r="E145" s="237">
        <v>120</v>
      </c>
      <c r="F145" s="237">
        <v>137</v>
      </c>
      <c r="G145" s="237">
        <v>211</v>
      </c>
      <c r="H145" s="237">
        <v>34</v>
      </c>
      <c r="I145" s="237">
        <v>62</v>
      </c>
      <c r="J145" s="237">
        <v>74</v>
      </c>
      <c r="K145" s="237">
        <v>133</v>
      </c>
      <c r="L145" s="237">
        <v>317</v>
      </c>
      <c r="M145" s="237">
        <v>107</v>
      </c>
      <c r="N145" s="237">
        <v>69</v>
      </c>
      <c r="O145" s="237">
        <v>542</v>
      </c>
      <c r="P145" s="341">
        <v>1843</v>
      </c>
      <c r="Q145" s="235"/>
    </row>
    <row r="146" spans="1:17" ht="15.75" customHeight="1">
      <c r="A146" s="334" t="s">
        <v>1277</v>
      </c>
      <c r="B146" s="334" t="s">
        <v>711</v>
      </c>
      <c r="C146" s="334" t="s">
        <v>1278</v>
      </c>
      <c r="D146" s="357">
        <f>Actuals!B51</f>
        <v>14</v>
      </c>
      <c r="E146" s="357">
        <f>Actuals!C51</f>
        <v>118</v>
      </c>
      <c r="F146" s="357">
        <f>Actuals!D51</f>
        <v>245</v>
      </c>
      <c r="G146" s="357">
        <f>Actuals!E51</f>
        <v>68</v>
      </c>
      <c r="H146" s="357">
        <f>Actuals!F51</f>
        <v>110</v>
      </c>
      <c r="I146" s="357">
        <f>Actuals!G51</f>
        <v>106</v>
      </c>
      <c r="J146" s="357">
        <f>Actuals!H51</f>
        <v>179</v>
      </c>
      <c r="K146" s="357" t="str">
        <f>Actuals!I51</f>
        <v/>
      </c>
      <c r="L146" s="357" t="str">
        <f>Actuals!J51</f>
        <v/>
      </c>
      <c r="M146" s="357" t="str">
        <f>Actuals!K51</f>
        <v/>
      </c>
      <c r="N146" s="357" t="str">
        <f>Actuals!L51</f>
        <v/>
      </c>
      <c r="O146" s="357" t="str">
        <f>Actuals!M51</f>
        <v/>
      </c>
      <c r="P146" s="360">
        <f>Actuals!N51</f>
        <v>840</v>
      </c>
      <c r="Q146" s="235"/>
    </row>
    <row r="147" spans="1:17" ht="15.75" customHeight="1">
      <c r="A147" s="334"/>
      <c r="B147" s="334"/>
      <c r="C147" s="334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9"/>
      <c r="Q147" s="235"/>
    </row>
    <row r="148" spans="1:17" ht="15" customHeight="1"/>
    <row r="150" spans="1:17" ht="18">
      <c r="A150" s="246" t="s">
        <v>963</v>
      </c>
      <c r="B150" s="223"/>
      <c r="C150" s="223"/>
    </row>
    <row r="151" spans="1:17">
      <c r="A151" s="223" t="s">
        <v>670</v>
      </c>
      <c r="B151" s="223" t="s">
        <v>671</v>
      </c>
      <c r="C151" s="223" t="s">
        <v>1040</v>
      </c>
      <c r="D151" s="223">
        <f t="shared" ref="D151:D175" si="79">IF(D93="","",+D93-D122)</f>
        <v>-113</v>
      </c>
      <c r="E151" s="223">
        <f t="shared" ref="E151:O151" si="80">IF(E93="","",+E93-E122)</f>
        <v>128</v>
      </c>
      <c r="F151" s="223">
        <f t="shared" si="80"/>
        <v>121</v>
      </c>
      <c r="G151" s="223">
        <f t="shared" si="80"/>
        <v>215</v>
      </c>
      <c r="H151" s="223">
        <f t="shared" si="80"/>
        <v>87</v>
      </c>
      <c r="I151" s="223">
        <f t="shared" si="80"/>
        <v>179</v>
      </c>
      <c r="J151" s="223">
        <f t="shared" si="80"/>
        <v>34</v>
      </c>
      <c r="K151" s="223">
        <f t="shared" si="80"/>
        <v>139</v>
      </c>
      <c r="L151" s="223">
        <f t="shared" si="80"/>
        <v>269</v>
      </c>
      <c r="M151" s="223">
        <f t="shared" si="80"/>
        <v>198</v>
      </c>
      <c r="N151" s="223">
        <f t="shared" si="80"/>
        <v>-51</v>
      </c>
      <c r="O151" s="223">
        <f t="shared" si="80"/>
        <v>140</v>
      </c>
      <c r="P151" s="224">
        <f>SUM(D151:O151)</f>
        <v>1346</v>
      </c>
    </row>
    <row r="152" spans="1:17" ht="15.75" thickBot="1">
      <c r="A152" s="225" t="s">
        <v>673</v>
      </c>
      <c r="B152" s="225" t="s">
        <v>671</v>
      </c>
      <c r="C152" s="225" t="s">
        <v>672</v>
      </c>
      <c r="D152" s="225">
        <f t="shared" si="79"/>
        <v>249</v>
      </c>
      <c r="E152" s="225">
        <f t="shared" ref="E152:O152" si="81">IF(E94="","",+E94-E123)</f>
        <v>223</v>
      </c>
      <c r="F152" s="225">
        <f t="shared" si="81"/>
        <v>113</v>
      </c>
      <c r="G152" s="225">
        <f t="shared" si="81"/>
        <v>200</v>
      </c>
      <c r="H152" s="225">
        <f t="shared" si="81"/>
        <v>178</v>
      </c>
      <c r="I152" s="225">
        <f t="shared" si="81"/>
        <v>303</v>
      </c>
      <c r="J152" s="225">
        <f t="shared" si="81"/>
        <v>132</v>
      </c>
      <c r="K152" s="225">
        <f t="shared" si="81"/>
        <v>340</v>
      </c>
      <c r="L152" s="225">
        <f t="shared" si="81"/>
        <v>220</v>
      </c>
      <c r="M152" s="225">
        <f t="shared" si="81"/>
        <v>151</v>
      </c>
      <c r="N152" s="225">
        <f t="shared" si="81"/>
        <v>63</v>
      </c>
      <c r="O152" s="225">
        <f t="shared" si="81"/>
        <v>62</v>
      </c>
      <c r="P152" s="262">
        <f t="shared" ref="P152:P158" si="82">SUM(D152:O152)</f>
        <v>2234</v>
      </c>
    </row>
    <row r="153" spans="1:17">
      <c r="A153" s="223" t="s">
        <v>674</v>
      </c>
      <c r="B153" s="223" t="s">
        <v>675</v>
      </c>
      <c r="C153" s="223" t="s">
        <v>676</v>
      </c>
      <c r="D153" s="223">
        <f t="shared" si="79"/>
        <v>78</v>
      </c>
      <c r="E153" s="223">
        <f t="shared" ref="E153:O153" si="83">IF(E95="","",+E95-E124)</f>
        <v>174</v>
      </c>
      <c r="F153" s="223">
        <f t="shared" si="83"/>
        <v>193</v>
      </c>
      <c r="G153" s="223">
        <f t="shared" si="83"/>
        <v>253</v>
      </c>
      <c r="H153" s="223">
        <f t="shared" si="83"/>
        <v>162</v>
      </c>
      <c r="I153" s="223">
        <f t="shared" si="83"/>
        <v>288</v>
      </c>
      <c r="J153" s="223">
        <f t="shared" si="83"/>
        <v>168</v>
      </c>
      <c r="K153" s="223">
        <f t="shared" si="83"/>
        <v>243</v>
      </c>
      <c r="L153" s="223">
        <f t="shared" si="83"/>
        <v>357</v>
      </c>
      <c r="M153" s="223">
        <f t="shared" si="83"/>
        <v>140</v>
      </c>
      <c r="N153" s="223">
        <f t="shared" si="83"/>
        <v>195</v>
      </c>
      <c r="O153" s="223">
        <f t="shared" si="83"/>
        <v>221</v>
      </c>
      <c r="P153" s="224">
        <f t="shared" si="82"/>
        <v>2472</v>
      </c>
    </row>
    <row r="154" spans="1:17" ht="15.75" thickBot="1">
      <c r="A154" s="225" t="s">
        <v>677</v>
      </c>
      <c r="B154" s="225" t="s">
        <v>675</v>
      </c>
      <c r="C154" s="225" t="s">
        <v>676</v>
      </c>
      <c r="D154" s="225">
        <f t="shared" si="79"/>
        <v>-37</v>
      </c>
      <c r="E154" s="225">
        <f t="shared" ref="E154:O154" si="84">IF(E96="","",+E96-E125)</f>
        <v>154</v>
      </c>
      <c r="F154" s="225">
        <f t="shared" si="84"/>
        <v>242</v>
      </c>
      <c r="G154" s="225">
        <f t="shared" si="84"/>
        <v>248</v>
      </c>
      <c r="H154" s="225">
        <f t="shared" si="84"/>
        <v>309</v>
      </c>
      <c r="I154" s="225">
        <f t="shared" si="84"/>
        <v>176</v>
      </c>
      <c r="J154" s="225">
        <f t="shared" si="84"/>
        <v>221</v>
      </c>
      <c r="K154" s="225">
        <f t="shared" si="84"/>
        <v>233</v>
      </c>
      <c r="L154" s="225">
        <f t="shared" si="84"/>
        <v>273</v>
      </c>
      <c r="M154" s="225">
        <f t="shared" si="84"/>
        <v>138</v>
      </c>
      <c r="N154" s="225">
        <f t="shared" si="84"/>
        <v>60</v>
      </c>
      <c r="O154" s="225">
        <f t="shared" si="84"/>
        <v>164</v>
      </c>
      <c r="P154" s="262">
        <f t="shared" si="82"/>
        <v>2181</v>
      </c>
    </row>
    <row r="155" spans="1:17">
      <c r="A155" s="223" t="s">
        <v>678</v>
      </c>
      <c r="B155" s="223" t="s">
        <v>679</v>
      </c>
      <c r="C155" s="223" t="s">
        <v>680</v>
      </c>
      <c r="D155" s="223">
        <f t="shared" si="79"/>
        <v>98</v>
      </c>
      <c r="E155" s="223">
        <f t="shared" ref="E155:O155" si="85">IF(E97="","",+E97-E126)</f>
        <v>152</v>
      </c>
      <c r="F155" s="223">
        <f t="shared" si="85"/>
        <v>110</v>
      </c>
      <c r="G155" s="223">
        <f t="shared" si="85"/>
        <v>327</v>
      </c>
      <c r="H155" s="223">
        <f t="shared" si="85"/>
        <v>372</v>
      </c>
      <c r="I155" s="223">
        <f t="shared" si="85"/>
        <v>189</v>
      </c>
      <c r="J155" s="223">
        <f t="shared" si="85"/>
        <v>250</v>
      </c>
      <c r="K155" s="223">
        <f t="shared" si="85"/>
        <v>339</v>
      </c>
      <c r="L155" s="223">
        <f t="shared" si="85"/>
        <v>270</v>
      </c>
      <c r="M155" s="223">
        <f t="shared" si="85"/>
        <v>289</v>
      </c>
      <c r="N155" s="223">
        <f t="shared" si="85"/>
        <v>331</v>
      </c>
      <c r="O155" s="223">
        <f t="shared" si="85"/>
        <v>-8</v>
      </c>
      <c r="P155" s="224">
        <f t="shared" si="82"/>
        <v>2719</v>
      </c>
    </row>
    <row r="156" spans="1:17" ht="15.75" thickBot="1">
      <c r="A156" s="225" t="s">
        <v>681</v>
      </c>
      <c r="B156" s="225" t="s">
        <v>679</v>
      </c>
      <c r="C156" s="225" t="s">
        <v>680</v>
      </c>
      <c r="D156" s="225">
        <f t="shared" si="79"/>
        <v>-5</v>
      </c>
      <c r="E156" s="225">
        <f t="shared" ref="E156:O156" si="86">IF(E98="","",+E98-E127)</f>
        <v>205</v>
      </c>
      <c r="F156" s="225">
        <f t="shared" si="86"/>
        <v>187</v>
      </c>
      <c r="G156" s="225">
        <f t="shared" si="86"/>
        <v>408</v>
      </c>
      <c r="H156" s="225">
        <f t="shared" si="86"/>
        <v>274</v>
      </c>
      <c r="I156" s="225">
        <f t="shared" si="86"/>
        <v>321</v>
      </c>
      <c r="J156" s="225">
        <f t="shared" si="86"/>
        <v>178</v>
      </c>
      <c r="K156" s="225">
        <f t="shared" si="86"/>
        <v>303</v>
      </c>
      <c r="L156" s="225">
        <f t="shared" si="86"/>
        <v>370</v>
      </c>
      <c r="M156" s="225">
        <f t="shared" si="86"/>
        <v>344</v>
      </c>
      <c r="N156" s="225">
        <f t="shared" si="86"/>
        <v>253</v>
      </c>
      <c r="O156" s="225">
        <f t="shared" si="86"/>
        <v>410</v>
      </c>
      <c r="P156" s="262">
        <f t="shared" si="82"/>
        <v>3248</v>
      </c>
    </row>
    <row r="157" spans="1:17">
      <c r="A157" s="223" t="s">
        <v>682</v>
      </c>
      <c r="B157" s="223" t="s">
        <v>683</v>
      </c>
      <c r="C157" s="223" t="s">
        <v>684</v>
      </c>
      <c r="D157" s="223">
        <f t="shared" si="79"/>
        <v>-2</v>
      </c>
      <c r="E157" s="223">
        <f t="shared" ref="E157:O157" si="87">IF(E99="","",+E99-E128)</f>
        <v>226</v>
      </c>
      <c r="F157" s="223">
        <f t="shared" si="87"/>
        <v>261</v>
      </c>
      <c r="G157" s="223">
        <f t="shared" si="87"/>
        <v>350</v>
      </c>
      <c r="H157" s="223">
        <f t="shared" si="87"/>
        <v>208</v>
      </c>
      <c r="I157" s="223">
        <f t="shared" si="87"/>
        <v>425</v>
      </c>
      <c r="J157" s="223">
        <f t="shared" si="87"/>
        <v>159</v>
      </c>
      <c r="K157" s="223">
        <f t="shared" si="87"/>
        <v>220</v>
      </c>
      <c r="L157" s="223">
        <f t="shared" si="87"/>
        <v>368</v>
      </c>
      <c r="M157" s="223">
        <f t="shared" si="87"/>
        <v>142</v>
      </c>
      <c r="N157" s="223">
        <f t="shared" si="87"/>
        <v>158</v>
      </c>
      <c r="O157" s="223">
        <f t="shared" si="87"/>
        <v>69</v>
      </c>
      <c r="P157" s="224">
        <f t="shared" si="82"/>
        <v>2584</v>
      </c>
    </row>
    <row r="158" spans="1:17" ht="15.75" thickBot="1">
      <c r="A158" s="225" t="s">
        <v>685</v>
      </c>
      <c r="B158" s="225" t="s">
        <v>683</v>
      </c>
      <c r="C158" s="225" t="s">
        <v>684</v>
      </c>
      <c r="D158" s="225">
        <f t="shared" si="79"/>
        <v>113</v>
      </c>
      <c r="E158" s="225">
        <f t="shared" ref="E158:O158" si="88">IF(E100="","",+E100-E129)</f>
        <v>185</v>
      </c>
      <c r="F158" s="225">
        <f t="shared" si="88"/>
        <v>278</v>
      </c>
      <c r="G158" s="225">
        <f t="shared" si="88"/>
        <v>420</v>
      </c>
      <c r="H158" s="225">
        <f t="shared" si="88"/>
        <v>409</v>
      </c>
      <c r="I158" s="225">
        <f t="shared" si="88"/>
        <v>429</v>
      </c>
      <c r="J158" s="225">
        <f t="shared" si="88"/>
        <v>158</v>
      </c>
      <c r="K158" s="225">
        <f t="shared" si="88"/>
        <v>332</v>
      </c>
      <c r="L158" s="225">
        <f t="shared" si="88"/>
        <v>385</v>
      </c>
      <c r="M158" s="225">
        <f t="shared" si="88"/>
        <v>368</v>
      </c>
      <c r="N158" s="225">
        <f t="shared" si="88"/>
        <v>212</v>
      </c>
      <c r="O158" s="225">
        <f t="shared" si="88"/>
        <v>411</v>
      </c>
      <c r="P158" s="262">
        <f t="shared" si="82"/>
        <v>3700</v>
      </c>
    </row>
    <row r="159" spans="1:17">
      <c r="A159" s="223" t="s">
        <v>686</v>
      </c>
      <c r="B159" s="223" t="s">
        <v>676</v>
      </c>
      <c r="C159" s="223" t="s">
        <v>687</v>
      </c>
      <c r="D159" s="223">
        <f t="shared" si="79"/>
        <v>125</v>
      </c>
      <c r="E159" s="223">
        <f t="shared" ref="E159:O159" si="89">IF(E101="","",+E101-E130)</f>
        <v>264</v>
      </c>
      <c r="F159" s="223">
        <f t="shared" si="89"/>
        <v>321</v>
      </c>
      <c r="G159" s="223">
        <f t="shared" si="89"/>
        <v>381</v>
      </c>
      <c r="H159" s="223">
        <f t="shared" si="89"/>
        <v>328</v>
      </c>
      <c r="I159" s="223">
        <f t="shared" si="89"/>
        <v>298</v>
      </c>
      <c r="J159" s="223">
        <f t="shared" si="89"/>
        <v>182</v>
      </c>
      <c r="K159" s="223">
        <f t="shared" si="89"/>
        <v>280</v>
      </c>
      <c r="L159" s="223">
        <f t="shared" si="89"/>
        <v>396</v>
      </c>
      <c r="M159" s="223">
        <f t="shared" si="89"/>
        <v>263</v>
      </c>
      <c r="N159" s="223">
        <f t="shared" si="89"/>
        <v>277</v>
      </c>
      <c r="O159" s="223">
        <f t="shared" si="89"/>
        <v>239</v>
      </c>
      <c r="P159" s="224">
        <f>SUM(D159:O159)</f>
        <v>3354</v>
      </c>
    </row>
    <row r="160" spans="1:17" ht="15.75" thickBot="1">
      <c r="A160" s="225" t="s">
        <v>688</v>
      </c>
      <c r="B160" s="225" t="s">
        <v>676</v>
      </c>
      <c r="C160" s="225" t="s">
        <v>687</v>
      </c>
      <c r="D160" s="225">
        <f t="shared" si="79"/>
        <v>82</v>
      </c>
      <c r="E160" s="225">
        <f t="shared" ref="E160:O160" si="90">IF(E102="","",+E102-E131)</f>
        <v>149</v>
      </c>
      <c r="F160" s="225">
        <f t="shared" si="90"/>
        <v>153</v>
      </c>
      <c r="G160" s="225">
        <f t="shared" si="90"/>
        <v>344</v>
      </c>
      <c r="H160" s="225">
        <f t="shared" si="90"/>
        <v>434</v>
      </c>
      <c r="I160" s="225">
        <f t="shared" si="90"/>
        <v>312</v>
      </c>
      <c r="J160" s="225">
        <f t="shared" si="90"/>
        <v>219</v>
      </c>
      <c r="K160" s="225">
        <f t="shared" si="90"/>
        <v>225</v>
      </c>
      <c r="L160" s="225">
        <f t="shared" si="90"/>
        <v>259</v>
      </c>
      <c r="M160" s="225">
        <f t="shared" si="90"/>
        <v>341</v>
      </c>
      <c r="N160" s="225">
        <f t="shared" si="90"/>
        <v>394</v>
      </c>
      <c r="O160" s="225">
        <f t="shared" si="90"/>
        <v>224</v>
      </c>
      <c r="P160" s="262">
        <f t="shared" ref="P160:P171" si="91">SUM(D160:O160)</f>
        <v>3136</v>
      </c>
    </row>
    <row r="161" spans="1:16">
      <c r="A161" s="223" t="s">
        <v>689</v>
      </c>
      <c r="B161" s="223" t="s">
        <v>680</v>
      </c>
      <c r="C161" s="223" t="s">
        <v>690</v>
      </c>
      <c r="D161" s="223">
        <f t="shared" si="79"/>
        <v>142</v>
      </c>
      <c r="E161" s="223">
        <f t="shared" ref="E161:O161" si="92">IF(E103="","",+E103-E132)</f>
        <v>218</v>
      </c>
      <c r="F161" s="223">
        <f t="shared" si="92"/>
        <v>284</v>
      </c>
      <c r="G161" s="223">
        <f t="shared" si="92"/>
        <v>464</v>
      </c>
      <c r="H161" s="223">
        <f t="shared" si="92"/>
        <v>269</v>
      </c>
      <c r="I161" s="223">
        <f t="shared" si="92"/>
        <v>264</v>
      </c>
      <c r="J161" s="223">
        <f t="shared" si="92"/>
        <v>191</v>
      </c>
      <c r="K161" s="223">
        <f t="shared" si="92"/>
        <v>279</v>
      </c>
      <c r="L161" s="223">
        <f t="shared" si="92"/>
        <v>356</v>
      </c>
      <c r="M161" s="223">
        <f t="shared" si="92"/>
        <v>361</v>
      </c>
      <c r="N161" s="223">
        <f t="shared" si="92"/>
        <v>405</v>
      </c>
      <c r="O161" s="223">
        <f t="shared" si="92"/>
        <v>259</v>
      </c>
      <c r="P161" s="224">
        <f t="shared" si="91"/>
        <v>3492</v>
      </c>
    </row>
    <row r="162" spans="1:16" ht="15.75" thickBot="1">
      <c r="A162" s="225" t="s">
        <v>691</v>
      </c>
      <c r="B162" s="225" t="s">
        <v>680</v>
      </c>
      <c r="C162" s="225" t="s">
        <v>690</v>
      </c>
      <c r="D162" s="225">
        <f t="shared" si="79"/>
        <v>206</v>
      </c>
      <c r="E162" s="225">
        <f t="shared" ref="E162:O162" si="93">IF(E104="","",+E104-E133)</f>
        <v>284</v>
      </c>
      <c r="F162" s="225">
        <f t="shared" si="93"/>
        <v>196</v>
      </c>
      <c r="G162" s="225">
        <f t="shared" si="93"/>
        <v>388</v>
      </c>
      <c r="H162" s="225">
        <f t="shared" si="93"/>
        <v>459</v>
      </c>
      <c r="I162" s="225">
        <f t="shared" si="93"/>
        <v>262</v>
      </c>
      <c r="J162" s="225">
        <f t="shared" si="93"/>
        <v>244</v>
      </c>
      <c r="K162" s="225">
        <f t="shared" si="93"/>
        <v>278</v>
      </c>
      <c r="L162" s="225">
        <f t="shared" si="93"/>
        <v>303</v>
      </c>
      <c r="M162" s="225">
        <f t="shared" si="93"/>
        <v>423</v>
      </c>
      <c r="N162" s="225">
        <f t="shared" si="93"/>
        <v>257</v>
      </c>
      <c r="O162" s="225">
        <f t="shared" si="93"/>
        <v>390</v>
      </c>
      <c r="P162" s="262">
        <f t="shared" si="91"/>
        <v>3690</v>
      </c>
    </row>
    <row r="163" spans="1:16">
      <c r="A163" s="223" t="s">
        <v>692</v>
      </c>
      <c r="B163" s="223" t="s">
        <v>684</v>
      </c>
      <c r="C163" s="223" t="s">
        <v>693</v>
      </c>
      <c r="D163" s="223">
        <f t="shared" si="79"/>
        <v>159</v>
      </c>
      <c r="E163" s="223">
        <f t="shared" ref="E163:O163" si="94">IF(E105="","",+E105-E134)</f>
        <v>178</v>
      </c>
      <c r="F163" s="223">
        <f t="shared" si="94"/>
        <v>210</v>
      </c>
      <c r="G163" s="223">
        <f t="shared" si="94"/>
        <v>339</v>
      </c>
      <c r="H163" s="223">
        <f t="shared" si="94"/>
        <v>280</v>
      </c>
      <c r="I163" s="223">
        <f t="shared" si="94"/>
        <v>315</v>
      </c>
      <c r="J163" s="223">
        <f t="shared" si="94"/>
        <v>102</v>
      </c>
      <c r="K163" s="223">
        <f t="shared" si="94"/>
        <v>247</v>
      </c>
      <c r="L163" s="223">
        <f t="shared" si="94"/>
        <v>419</v>
      </c>
      <c r="M163" s="223">
        <f t="shared" si="94"/>
        <v>304</v>
      </c>
      <c r="N163" s="223">
        <f t="shared" si="94"/>
        <v>404</v>
      </c>
      <c r="O163" s="223">
        <f t="shared" si="94"/>
        <v>484</v>
      </c>
      <c r="P163" s="224">
        <f t="shared" si="91"/>
        <v>3441</v>
      </c>
    </row>
    <row r="164" spans="1:16" ht="15.75" thickBot="1">
      <c r="A164" s="225" t="s">
        <v>694</v>
      </c>
      <c r="B164" s="225" t="s">
        <v>684</v>
      </c>
      <c r="C164" s="225" t="s">
        <v>693</v>
      </c>
      <c r="D164" s="225">
        <f t="shared" si="79"/>
        <v>105</v>
      </c>
      <c r="E164" s="225">
        <f t="shared" ref="E164:O164" si="95">IF(E106="","",+E106-E135)</f>
        <v>282</v>
      </c>
      <c r="F164" s="225">
        <f t="shared" si="95"/>
        <v>339</v>
      </c>
      <c r="G164" s="225">
        <f t="shared" si="95"/>
        <v>423</v>
      </c>
      <c r="H164" s="225">
        <f t="shared" si="95"/>
        <v>398</v>
      </c>
      <c r="I164" s="225">
        <f t="shared" si="95"/>
        <v>232</v>
      </c>
      <c r="J164" s="225">
        <f t="shared" si="95"/>
        <v>172</v>
      </c>
      <c r="K164" s="225">
        <f t="shared" si="95"/>
        <v>348</v>
      </c>
      <c r="L164" s="225">
        <f t="shared" si="95"/>
        <v>339</v>
      </c>
      <c r="M164" s="225">
        <f t="shared" si="95"/>
        <v>320</v>
      </c>
      <c r="N164" s="225">
        <f t="shared" si="95"/>
        <v>351</v>
      </c>
      <c r="O164" s="225">
        <f t="shared" si="95"/>
        <v>441</v>
      </c>
      <c r="P164" s="262">
        <f t="shared" si="91"/>
        <v>3750</v>
      </c>
    </row>
    <row r="165" spans="1:16">
      <c r="A165" s="223" t="s">
        <v>695</v>
      </c>
      <c r="B165" s="223" t="s">
        <v>687</v>
      </c>
      <c r="C165" s="223" t="s">
        <v>696</v>
      </c>
      <c r="D165" s="223">
        <f t="shared" si="79"/>
        <v>177</v>
      </c>
      <c r="E165" s="223">
        <f t="shared" ref="E165:O165" si="96">IF(E107="","",+E107-E136)</f>
        <v>277</v>
      </c>
      <c r="F165" s="223">
        <f t="shared" si="96"/>
        <v>344</v>
      </c>
      <c r="G165" s="223">
        <f t="shared" si="96"/>
        <v>419</v>
      </c>
      <c r="H165" s="223">
        <f t="shared" si="96"/>
        <v>375</v>
      </c>
      <c r="I165" s="223">
        <f t="shared" si="96"/>
        <v>212</v>
      </c>
      <c r="J165" s="223">
        <f t="shared" si="96"/>
        <v>176</v>
      </c>
      <c r="K165" s="223">
        <f t="shared" si="96"/>
        <v>236</v>
      </c>
      <c r="L165" s="223">
        <f t="shared" si="96"/>
        <v>319</v>
      </c>
      <c r="M165" s="223">
        <f t="shared" si="96"/>
        <v>270</v>
      </c>
      <c r="N165" s="223">
        <f t="shared" si="96"/>
        <v>294</v>
      </c>
      <c r="O165" s="223">
        <f t="shared" si="96"/>
        <v>462</v>
      </c>
      <c r="P165" s="224">
        <f t="shared" si="91"/>
        <v>3561</v>
      </c>
    </row>
    <row r="166" spans="1:16" ht="15.75" thickBot="1">
      <c r="A166" s="225" t="s">
        <v>697</v>
      </c>
      <c r="B166" s="225" t="s">
        <v>687</v>
      </c>
      <c r="C166" s="225" t="s">
        <v>696</v>
      </c>
      <c r="D166" s="225">
        <f t="shared" si="79"/>
        <v>40</v>
      </c>
      <c r="E166" s="225">
        <f t="shared" ref="E166:O166" si="97">IF(E108="","",+E108-E137)</f>
        <v>256</v>
      </c>
      <c r="F166" s="225">
        <f t="shared" si="97"/>
        <v>315</v>
      </c>
      <c r="G166" s="225">
        <f t="shared" si="97"/>
        <v>360</v>
      </c>
      <c r="H166" s="225">
        <f t="shared" si="97"/>
        <v>279</v>
      </c>
      <c r="I166" s="225">
        <f t="shared" si="97"/>
        <v>218</v>
      </c>
      <c r="J166" s="225">
        <f t="shared" si="97"/>
        <v>256</v>
      </c>
      <c r="K166" s="225">
        <f t="shared" si="97"/>
        <v>351</v>
      </c>
      <c r="L166" s="225">
        <f t="shared" si="97"/>
        <v>373</v>
      </c>
      <c r="M166" s="225">
        <f t="shared" si="97"/>
        <v>238</v>
      </c>
      <c r="N166" s="225">
        <f t="shared" si="97"/>
        <v>312</v>
      </c>
      <c r="O166" s="225">
        <f t="shared" si="97"/>
        <v>423</v>
      </c>
      <c r="P166" s="262">
        <f t="shared" si="91"/>
        <v>3421</v>
      </c>
    </row>
    <row r="167" spans="1:16">
      <c r="A167" s="223" t="s">
        <v>698</v>
      </c>
      <c r="B167" s="223" t="s">
        <v>690</v>
      </c>
      <c r="C167" s="223" t="s">
        <v>699</v>
      </c>
      <c r="D167" s="223">
        <f t="shared" si="79"/>
        <v>-5</v>
      </c>
      <c r="E167" s="223">
        <f t="shared" ref="E167:O167" si="98">IF(E109="","",+E109-E138)</f>
        <v>196</v>
      </c>
      <c r="F167" s="223">
        <f t="shared" si="98"/>
        <v>306</v>
      </c>
      <c r="G167" s="223">
        <f t="shared" si="98"/>
        <v>252</v>
      </c>
      <c r="H167" s="223">
        <f t="shared" si="98"/>
        <v>246</v>
      </c>
      <c r="I167" s="223">
        <f t="shared" si="98"/>
        <v>195</v>
      </c>
      <c r="J167" s="223">
        <f t="shared" si="98"/>
        <v>186</v>
      </c>
      <c r="K167" s="223">
        <f t="shared" si="98"/>
        <v>293</v>
      </c>
      <c r="L167" s="223">
        <f t="shared" si="98"/>
        <v>236</v>
      </c>
      <c r="M167" s="223">
        <f t="shared" si="98"/>
        <v>405</v>
      </c>
      <c r="N167" s="223">
        <f t="shared" si="98"/>
        <v>324</v>
      </c>
      <c r="O167" s="223">
        <f t="shared" si="98"/>
        <v>383</v>
      </c>
      <c r="P167" s="224">
        <f t="shared" si="91"/>
        <v>3017</v>
      </c>
    </row>
    <row r="168" spans="1:16" ht="15.75" thickBot="1">
      <c r="A168" s="225" t="s">
        <v>700</v>
      </c>
      <c r="B168" s="225" t="s">
        <v>690</v>
      </c>
      <c r="C168" s="225" t="s">
        <v>699</v>
      </c>
      <c r="D168" s="225">
        <f t="shared" si="79"/>
        <v>180</v>
      </c>
      <c r="E168" s="225">
        <f t="shared" ref="E168:O168" si="99">IF(E110="","",+E110-E139)</f>
        <v>189</v>
      </c>
      <c r="F168" s="225">
        <f t="shared" si="99"/>
        <v>304</v>
      </c>
      <c r="G168" s="225">
        <f t="shared" si="99"/>
        <v>367</v>
      </c>
      <c r="H168" s="225">
        <f t="shared" si="99"/>
        <v>284</v>
      </c>
      <c r="I168" s="225">
        <f t="shared" si="99"/>
        <v>289</v>
      </c>
      <c r="J168" s="225">
        <f t="shared" si="99"/>
        <v>231</v>
      </c>
      <c r="K168" s="225">
        <f t="shared" si="99"/>
        <v>279</v>
      </c>
      <c r="L168" s="225">
        <f t="shared" si="99"/>
        <v>278</v>
      </c>
      <c r="M168" s="225">
        <f t="shared" si="99"/>
        <v>304</v>
      </c>
      <c r="N168" s="225">
        <f t="shared" si="99"/>
        <v>294</v>
      </c>
      <c r="O168" s="225">
        <f t="shared" si="99"/>
        <v>193</v>
      </c>
      <c r="P168" s="262">
        <f t="shared" si="91"/>
        <v>3192</v>
      </c>
    </row>
    <row r="169" spans="1:16">
      <c r="A169" s="223" t="s">
        <v>710</v>
      </c>
      <c r="B169" s="223" t="s">
        <v>693</v>
      </c>
      <c r="C169" s="223" t="s">
        <v>711</v>
      </c>
      <c r="D169" s="223">
        <f t="shared" si="79"/>
        <v>101</v>
      </c>
      <c r="E169" s="223">
        <f t="shared" ref="E169:O169" si="100">IF(E111="","",+E111-E140)</f>
        <v>171</v>
      </c>
      <c r="F169" s="223">
        <f t="shared" si="100"/>
        <v>282</v>
      </c>
      <c r="G169" s="223">
        <f t="shared" si="100"/>
        <v>390</v>
      </c>
      <c r="H169" s="223">
        <f t="shared" si="100"/>
        <v>233</v>
      </c>
      <c r="I169" s="223">
        <f t="shared" si="100"/>
        <v>230</v>
      </c>
      <c r="J169" s="223">
        <f t="shared" si="100"/>
        <v>195</v>
      </c>
      <c r="K169" s="223">
        <f t="shared" si="100"/>
        <v>291</v>
      </c>
      <c r="L169" s="223">
        <f t="shared" si="100"/>
        <v>194</v>
      </c>
      <c r="M169" s="223">
        <f t="shared" si="100"/>
        <v>288</v>
      </c>
      <c r="N169" s="223">
        <f t="shared" si="100"/>
        <v>288</v>
      </c>
      <c r="O169" s="223">
        <f t="shared" si="100"/>
        <v>322</v>
      </c>
      <c r="P169" s="224">
        <f t="shared" si="91"/>
        <v>2985</v>
      </c>
    </row>
    <row r="170" spans="1:16" ht="15.75" thickBot="1">
      <c r="A170" s="225" t="s">
        <v>719</v>
      </c>
      <c r="B170" s="225" t="s">
        <v>693</v>
      </c>
      <c r="C170" s="225" t="s">
        <v>711</v>
      </c>
      <c r="D170" s="225">
        <f t="shared" si="79"/>
        <v>212</v>
      </c>
      <c r="E170" s="225">
        <f t="shared" ref="E170:O170" si="101">IF(E112="","",+E112-E141)</f>
        <v>347</v>
      </c>
      <c r="F170" s="225">
        <f t="shared" si="101"/>
        <v>319</v>
      </c>
      <c r="G170" s="225">
        <f t="shared" si="101"/>
        <v>385</v>
      </c>
      <c r="H170" s="225">
        <f t="shared" si="101"/>
        <v>388</v>
      </c>
      <c r="I170" s="225">
        <f t="shared" si="101"/>
        <v>269</v>
      </c>
      <c r="J170" s="225">
        <f t="shared" si="101"/>
        <v>307</v>
      </c>
      <c r="K170" s="225">
        <f t="shared" si="101"/>
        <v>323</v>
      </c>
      <c r="L170" s="225">
        <f t="shared" si="101"/>
        <v>354</v>
      </c>
      <c r="M170" s="225">
        <f t="shared" si="101"/>
        <v>241</v>
      </c>
      <c r="N170" s="225">
        <f t="shared" si="101"/>
        <v>302</v>
      </c>
      <c r="O170" s="225">
        <f t="shared" si="101"/>
        <v>154</v>
      </c>
      <c r="P170" s="262">
        <f t="shared" si="91"/>
        <v>3601</v>
      </c>
    </row>
    <row r="171" spans="1:16">
      <c r="A171" s="223" t="s">
        <v>864</v>
      </c>
      <c r="B171" s="223" t="s">
        <v>865</v>
      </c>
      <c r="C171" s="223" t="s">
        <v>866</v>
      </c>
      <c r="D171" s="223">
        <f t="shared" si="79"/>
        <v>-17</v>
      </c>
      <c r="E171" s="223">
        <f t="shared" ref="E171:O171" si="102">IF(E113="","",+E113-E142)</f>
        <v>233</v>
      </c>
      <c r="F171" s="223">
        <f t="shared" si="102"/>
        <v>316</v>
      </c>
      <c r="G171" s="223">
        <f t="shared" si="102"/>
        <v>307</v>
      </c>
      <c r="H171" s="223">
        <f t="shared" si="102"/>
        <v>249</v>
      </c>
      <c r="I171" s="223">
        <f t="shared" si="102"/>
        <v>275</v>
      </c>
      <c r="J171" s="223">
        <f t="shared" si="102"/>
        <v>209</v>
      </c>
      <c r="K171" s="223">
        <f t="shared" si="102"/>
        <v>297</v>
      </c>
      <c r="L171" s="223">
        <f t="shared" si="102"/>
        <v>418</v>
      </c>
      <c r="M171" s="223">
        <f t="shared" si="102"/>
        <v>210</v>
      </c>
      <c r="N171" s="223">
        <f t="shared" si="102"/>
        <v>336</v>
      </c>
      <c r="O171" s="223">
        <f t="shared" si="102"/>
        <v>193</v>
      </c>
      <c r="P171" s="224">
        <f t="shared" si="91"/>
        <v>3026</v>
      </c>
    </row>
    <row r="172" spans="1:16" ht="15.75" thickBot="1">
      <c r="A172" s="225" t="s">
        <v>1025</v>
      </c>
      <c r="B172" s="225" t="s">
        <v>865</v>
      </c>
      <c r="C172" s="225" t="s">
        <v>866</v>
      </c>
      <c r="D172" s="225">
        <f t="shared" si="79"/>
        <v>199</v>
      </c>
      <c r="E172" s="225">
        <f t="shared" ref="E172:O172" si="103">IF(E114="","",+E114-E143)</f>
        <v>218</v>
      </c>
      <c r="F172" s="225">
        <f t="shared" si="103"/>
        <v>209</v>
      </c>
      <c r="G172" s="225">
        <f t="shared" si="103"/>
        <v>159</v>
      </c>
      <c r="H172" s="225">
        <f t="shared" si="103"/>
        <v>259</v>
      </c>
      <c r="I172" s="225">
        <f t="shared" si="103"/>
        <v>259</v>
      </c>
      <c r="J172" s="225">
        <f t="shared" si="103"/>
        <v>282</v>
      </c>
      <c r="K172" s="225">
        <f t="shared" si="103"/>
        <v>335</v>
      </c>
      <c r="L172" s="225">
        <f t="shared" si="103"/>
        <v>342</v>
      </c>
      <c r="M172" s="225">
        <f t="shared" si="103"/>
        <v>256</v>
      </c>
      <c r="N172" s="225">
        <f t="shared" si="103"/>
        <v>319</v>
      </c>
      <c r="O172" s="225">
        <f t="shared" si="103"/>
        <v>41</v>
      </c>
      <c r="P172" s="262">
        <f t="shared" ref="P172" si="104">SUM(D172:O172)</f>
        <v>2878</v>
      </c>
    </row>
    <row r="173" spans="1:16">
      <c r="A173" s="255" t="s">
        <v>1035</v>
      </c>
      <c r="B173" s="255" t="s">
        <v>1037</v>
      </c>
      <c r="C173" s="255" t="s">
        <v>672</v>
      </c>
      <c r="D173" s="354">
        <f t="shared" si="79"/>
        <v>-48</v>
      </c>
      <c r="E173" s="354">
        <f t="shared" ref="E173:O173" si="105">IF(E115="","",+E115-E144)</f>
        <v>168</v>
      </c>
      <c r="F173" s="354">
        <f t="shared" si="105"/>
        <v>220</v>
      </c>
      <c r="G173" s="354">
        <f t="shared" si="105"/>
        <v>318</v>
      </c>
      <c r="H173" s="354">
        <f t="shared" si="105"/>
        <v>195</v>
      </c>
      <c r="I173" s="354">
        <f t="shared" si="105"/>
        <v>33</v>
      </c>
      <c r="J173" s="354">
        <f t="shared" si="105"/>
        <v>143</v>
      </c>
      <c r="K173" s="354">
        <f t="shared" si="105"/>
        <v>277</v>
      </c>
      <c r="L173" s="354">
        <f t="shared" si="105"/>
        <v>298</v>
      </c>
      <c r="M173" s="354">
        <f t="shared" si="105"/>
        <v>187</v>
      </c>
      <c r="N173" s="354">
        <f t="shared" si="105"/>
        <v>244</v>
      </c>
      <c r="O173" s="354">
        <f t="shared" si="105"/>
        <v>-142</v>
      </c>
      <c r="P173" s="361">
        <f t="shared" ref="P173" si="106">SUM(D173:O173)</f>
        <v>1893</v>
      </c>
    </row>
    <row r="174" spans="1:16" ht="15.75" thickBot="1">
      <c r="A174" s="225" t="s">
        <v>1055</v>
      </c>
      <c r="B174" s="225" t="s">
        <v>1037</v>
      </c>
      <c r="C174" s="225" t="s">
        <v>672</v>
      </c>
      <c r="D174" s="225">
        <f t="shared" si="79"/>
        <v>243</v>
      </c>
      <c r="E174" s="225">
        <f t="shared" ref="E174:O175" si="107">IF(E116="","",+E116-E145)</f>
        <v>87</v>
      </c>
      <c r="F174" s="225">
        <f t="shared" si="107"/>
        <v>193</v>
      </c>
      <c r="G174" s="225">
        <f t="shared" si="107"/>
        <v>187</v>
      </c>
      <c r="H174" s="225">
        <f t="shared" si="107"/>
        <v>239</v>
      </c>
      <c r="I174" s="225">
        <f t="shared" si="107"/>
        <v>215</v>
      </c>
      <c r="J174" s="225">
        <f t="shared" si="107"/>
        <v>188</v>
      </c>
      <c r="K174" s="225">
        <f t="shared" si="107"/>
        <v>126</v>
      </c>
      <c r="L174" s="225">
        <f t="shared" si="107"/>
        <v>-110</v>
      </c>
      <c r="M174" s="225">
        <f t="shared" si="107"/>
        <v>76</v>
      </c>
      <c r="N174" s="225">
        <f t="shared" si="107"/>
        <v>62</v>
      </c>
      <c r="O174" s="225">
        <f t="shared" si="107"/>
        <v>-384</v>
      </c>
      <c r="P174" s="262">
        <f>SUM(D174:O174)</f>
        <v>1122</v>
      </c>
    </row>
    <row r="175" spans="1:16">
      <c r="A175" s="334" t="s">
        <v>1277</v>
      </c>
      <c r="B175" s="334" t="s">
        <v>711</v>
      </c>
      <c r="C175" s="334" t="s">
        <v>1278</v>
      </c>
      <c r="D175" s="334">
        <f t="shared" si="79"/>
        <v>104</v>
      </c>
      <c r="E175" s="334">
        <f t="shared" si="107"/>
        <v>46</v>
      </c>
      <c r="F175" s="334">
        <f t="shared" si="107"/>
        <v>-57</v>
      </c>
      <c r="G175" s="334">
        <f t="shared" si="107"/>
        <v>111</v>
      </c>
      <c r="H175" s="334">
        <f t="shared" si="107"/>
        <v>101</v>
      </c>
      <c r="I175" s="334">
        <f t="shared" si="107"/>
        <v>61</v>
      </c>
      <c r="J175" s="334">
        <f t="shared" si="107"/>
        <v>-63</v>
      </c>
      <c r="K175" s="334" t="str">
        <f t="shared" si="107"/>
        <v/>
      </c>
      <c r="L175" s="334" t="str">
        <f t="shared" si="107"/>
        <v/>
      </c>
      <c r="M175" s="334" t="str">
        <f t="shared" si="107"/>
        <v/>
      </c>
      <c r="N175" s="334" t="str">
        <f t="shared" si="107"/>
        <v/>
      </c>
      <c r="O175" s="334" t="str">
        <f t="shared" si="107"/>
        <v/>
      </c>
      <c r="P175" s="362">
        <f>SUM(D175:O175)</f>
        <v>303</v>
      </c>
    </row>
    <row r="176" spans="1:16">
      <c r="A176" s="334"/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62"/>
    </row>
    <row r="179" spans="1:15" ht="15" customHeight="1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</row>
    <row r="180" spans="1:15" ht="17.25" customHeight="1">
      <c r="A180" s="443"/>
      <c r="B180" s="444"/>
      <c r="C180" s="444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</row>
    <row r="181" spans="1:15" ht="17.25" customHeight="1">
      <c r="A181" s="443"/>
      <c r="B181" s="444"/>
      <c r="C181" s="444"/>
      <c r="D181" s="254"/>
      <c r="E181" s="254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</row>
  </sheetData>
  <mergeCells count="5">
    <mergeCell ref="B1:O1"/>
    <mergeCell ref="B2:O2"/>
    <mergeCell ref="M34:N34"/>
    <mergeCell ref="A180:C180"/>
    <mergeCell ref="A181:C181"/>
  </mergeCells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3110</v>
      </c>
      <c r="B3" t="str">
        <f>IF(ISNA(VLOOKUP($A3,Councils!$B$6:$AE$841,3,0)),0,VLOOKUP($A3,Councils!$B$6:$AE$841,3,0))</f>
        <v>Robstown</v>
      </c>
      <c r="C3">
        <f>IF(ISNA(VLOOKUP($A3,Councils!$B$6:$AE$841,4,0)),0,VLOOKUP($A3,Councils!$B$6:$AE$841,4,0))</f>
        <v>146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6832</v>
      </c>
      <c r="B4" t="str">
        <f>IF(ISNA(VLOOKUP($A4,Councils!$B$6:$AE$841,3,0)),0,VLOOKUP($A4,Councils!$B$6:$AE$841,3,0))</f>
        <v>Odem</v>
      </c>
      <c r="C4">
        <f>IF(ISNA(VLOOKUP($A4,Councils!$B$6:$AE$841,4,0)),0,VLOOKUP($A4,Councils!$B$6:$AE$841,4,0))</f>
        <v>42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9318</v>
      </c>
      <c r="B5" t="str">
        <f>IF(ISNA(VLOOKUP($A5,Councils!$B$6:$AE$841,3,0)),0,VLOOKUP($A5,Councils!$B$6:$AE$841,3,0))</f>
        <v>Robstown</v>
      </c>
      <c r="C5">
        <f>IF(ISNA(VLOOKUP($A5,Councils!$B$6:$AE$841,4,0)),0,VLOOKUP($A5,Councils!$B$6:$AE$841,4,0))</f>
        <v>125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13257</v>
      </c>
      <c r="B6" t="str">
        <f>IF(ISNA(VLOOKUP($A6,Councils!$B$6:$AE$841,3,0)),0,VLOOKUP($A6,Councils!$B$6:$AE$841,3,0))</f>
        <v>Banquete</v>
      </c>
      <c r="C6">
        <f>IF(ISNA(VLOOKUP($A6,Councils!$B$6:$AE$841,4,0)),0,VLOOKUP($A6,Councils!$B$6:$AE$841,4,0))</f>
        <v>66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:A5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1651</v>
      </c>
      <c r="B3" t="str">
        <f>IF(ISNA(VLOOKUP($A3,Councils!$B$6:$AE$841,3,0)),0,VLOOKUP($A3,Councils!$B$6:$AE$841,3,0))</f>
        <v>Refugio</v>
      </c>
      <c r="C3">
        <f>IF(ISNA(VLOOKUP($A3,Councils!$B$6:$AE$841,4,0)),0,VLOOKUP($A3,Councils!$B$6:$AE$841,4,0))</f>
        <v>55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8335</v>
      </c>
      <c r="B4" t="str">
        <f>IF(ISNA(VLOOKUP($A4,Councils!$B$6:$AE$841,3,0)),0,VLOOKUP($A4,Councils!$B$6:$AE$841,3,0))</f>
        <v>Orange Grove</v>
      </c>
      <c r="C4">
        <f>IF(ISNA(VLOOKUP($A4,Councils!$B$6:$AE$841,4,0)),0,VLOOKUP($A4,Councils!$B$6:$AE$841,4,0))</f>
        <v>87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8717</v>
      </c>
      <c r="B5" t="str">
        <f>IF(ISNA(VLOOKUP($A5,Councils!$B$6:$AE$841,3,0)),0,VLOOKUP($A5,Councils!$B$6:$AE$841,3,0))</f>
        <v>Gregory</v>
      </c>
      <c r="C5">
        <f>IF(ISNA(VLOOKUP($A5,Councils!$B$6:$AE$841,4,0)),0,VLOOKUP($A5,Councils!$B$6:$AE$841,4,0))</f>
        <v>107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13683</v>
      </c>
      <c r="B6" t="str">
        <f>IF(ISNA(VLOOKUP($A6,Councils!$B$6:$AE$841,3,0)),0,VLOOKUP($A6,Councils!$B$6:$AE$841,3,0))</f>
        <v>Agua Dulce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49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7"/>
  <sheetViews>
    <sheetView workbookViewId="0">
      <selection activeCell="A7" sqref="A7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3499</v>
      </c>
      <c r="B3" t="str">
        <f>IF(ISNA(VLOOKUP($A3,Councils!$B$6:$AE$841,3,0)),0,VLOOKUP($A3,Councils!$B$6:$AE$841,3,0))</f>
        <v>George West</v>
      </c>
      <c r="C3">
        <f>IF(ISNA(VLOOKUP($A3,Councils!$B$6:$AE$841,4,0)),0,VLOOKUP($A3,Councils!$B$6:$AE$841,4,0))</f>
        <v>80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5348</v>
      </c>
      <c r="B4" t="str">
        <f>IF(ISNA(VLOOKUP($A4,Councils!$B$6:$AE$841,3,0)),0,VLOOKUP($A4,Councils!$B$6:$AE$841,3,0))</f>
        <v>Premont</v>
      </c>
      <c r="C4">
        <f>IF(ISNA(VLOOKUP($A4,Councils!$B$6:$AE$841,4,0)),0,VLOOKUP($A4,Councils!$B$6:$AE$841,4,0))</f>
        <v>47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15</v>
      </c>
      <c r="K4" s="63">
        <f>IFERROR(J4/D4,0)</f>
        <v>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11121</v>
      </c>
      <c r="B5" t="str">
        <f>IF(ISNA(VLOOKUP($A5,Councils!$B$6:$AE$841,3,0)),0,VLOOKUP($A5,Councils!$B$6:$AE$841,3,0))</f>
        <v>Three Rivers</v>
      </c>
      <c r="C5">
        <f>IF(ISNA(VLOOKUP($A5,Councils!$B$6:$AE$841,4,0)),0,VLOOKUP($A5,Councils!$B$6:$AE$841,4,0))</f>
        <v>51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11567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58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  <row r="7" spans="1:22">
      <c r="A7" s="298">
        <v>11663</v>
      </c>
      <c r="B7" t="str">
        <f>IF(ISNA(VLOOKUP($A7,Councils!$B$6:$AE$841,3,0)),0,VLOOKUP($A7,Councils!$B$6:$AE$841,3,0))</f>
        <v>Mathis</v>
      </c>
      <c r="C7">
        <f>IF(ISNA(VLOOKUP($A7,Councils!$B$6:$AE$841,4,0)),0,VLOOKUP($A7,Councils!$B$6:$AE$841,4,0))</f>
        <v>82</v>
      </c>
      <c r="D7">
        <f>IF(ISNA(VLOOKUP($A7,Councils!$B$6:$AE$841,5,0)),0,VLOOKUP($A7,Councils!$B$6:$AE$841,5,0))</f>
        <v>4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Carlin</v>
      </c>
      <c r="V7">
        <f>IF(ISNA(VLOOKUP($A7,Council_Data!$A$3:$Z$837,23,0)),0,VLOOKUP($A7,Council_Data!$A$3:$Z$837,23,0))</f>
        <v>2</v>
      </c>
    </row>
  </sheetData>
  <conditionalFormatting sqref="A3:A6">
    <cfRule type="expression" dxfId="48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7362</v>
      </c>
      <c r="B3" t="str">
        <f>IF(ISNA(VLOOKUP($A3,Councils!$B$6:$AE$841,3,0)),0,VLOOKUP($A3,Councils!$B$6:$AE$841,3,0))</f>
        <v>Taft</v>
      </c>
      <c r="C3">
        <f>IF(ISNA(VLOOKUP($A3,Councils!$B$6:$AE$841,4,0)),0,VLOOKUP($A3,Councils!$B$6:$AE$841,4,0))</f>
        <v>41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10764</v>
      </c>
      <c r="B4" t="str">
        <f>IF(ISNA(VLOOKUP($A4,Councils!$B$6:$AE$841,3,0)),0,VLOOKUP($A4,Councils!$B$6:$AE$841,3,0))</f>
        <v>Sinton</v>
      </c>
      <c r="C4">
        <f>IF(ISNA(VLOOKUP($A4,Councils!$B$6:$AE$841,4,0)),0,VLOOKUP($A4,Councils!$B$6:$AE$841,4,0))</f>
        <v>56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12081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40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15104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33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V2"/>
  <sheetViews>
    <sheetView workbookViewId="0">
      <selection activeCell="A3" sqref="A3:XFD3"/>
    </sheetView>
  </sheetViews>
  <sheetFormatPr defaultRowHeight="12.75"/>
  <cols>
    <col min="1" max="1" width="8.710937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CRC!A1" tooltip="Back to CRC DD Page" display="CRC DDs" xr:uid="{00000000-0004-0000-D600-000000000000}"/>
    <hyperlink ref="C1" location="'State Summary'!A1" tooltip="Link back to Diocesan Page" display="State Summary" xr:uid="{00000000-0004-0000-D6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3204</v>
      </c>
      <c r="B3" t="str">
        <f>IF(ISNA(VLOOKUP($A3,Councils!$B$6:$AE$841,3,0)),0,VLOOKUP($A3,Councils!$B$6:$AE$841,3,0))</f>
        <v>Ganado</v>
      </c>
      <c r="C3">
        <f>IF(ISNA(VLOOKUP($A3,Councils!$B$6:$AE$841,4,0)),0,VLOOKUP($A3,Councils!$B$6:$AE$841,4,0))</f>
        <v>150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0.5714285714285714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3253</v>
      </c>
      <c r="B4" t="str">
        <f>IF(ISNA(VLOOKUP($A4,Councils!$B$6:$AE$841,3,0)),0,VLOOKUP($A4,Councils!$B$6:$AE$841,3,0))</f>
        <v>Port Lavaca</v>
      </c>
      <c r="C4">
        <f>IF(ISNA(VLOOKUP($A4,Councils!$B$6:$AE$841,4,0)),0,VLOOKUP($A4,Councils!$B$6:$AE$841,4,0))</f>
        <v>201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-2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3421</v>
      </c>
      <c r="B5" t="str">
        <f>IF(ISNA(VLOOKUP($A5,Councils!$B$6:$AE$841,3,0)),0,VLOOKUP($A5,Councils!$B$6:$AE$841,3,0))</f>
        <v>Edna</v>
      </c>
      <c r="C5">
        <f>IF(ISNA(VLOOKUP($A5,Councils!$B$6:$AE$841,4,0)),0,VLOOKUP($A5,Councils!$B$6:$AE$841,4,0))</f>
        <v>97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5</v>
      </c>
      <c r="K5" s="63">
        <f>IFERROR(J5/D5,0)</f>
        <v>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11351</v>
      </c>
      <c r="B6" t="str">
        <f>IF(ISNA(VLOOKUP($A6,Councils!$B$6:$AE$841,3,0)),0,VLOOKUP($A6,Councils!$B$6:$AE$841,3,0))</f>
        <v>Inez</v>
      </c>
      <c r="C6">
        <f>IF(ISNA(VLOOKUP($A6,Councils!$B$6:$AE$841,4,0)),0,VLOOKUP($A6,Councils!$B$6:$AE$841,4,0))</f>
        <v>62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3</v>
      </c>
    </row>
  </sheetData>
  <conditionalFormatting sqref="A3">
    <cfRule type="expression" dxfId="47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3070</v>
      </c>
      <c r="B3" t="str">
        <f>IF(ISNA(VLOOKUP($A3,Councils!$B$6:$AE$841,3,0)),0,VLOOKUP($A3,Councils!$B$6:$AE$841,3,0))</f>
        <v>Bay City</v>
      </c>
      <c r="C3">
        <f>IF(ISNA(VLOOKUP($A3,Councils!$B$6:$AE$841,4,0)),0,VLOOKUP($A3,Councils!$B$6:$AE$841,4,0))</f>
        <v>169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5</v>
      </c>
      <c r="K3" s="63">
        <f>IFERROR(J3/D3,0)</f>
        <v>0.625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4307</v>
      </c>
      <c r="B4" t="str">
        <f>IF(ISNA(VLOOKUP($A4,Councils!$B$6:$AE$841,3,0)),0,VLOOKUP($A4,Councils!$B$6:$AE$841,3,0))</f>
        <v>Blessing</v>
      </c>
      <c r="C4">
        <f>IF(ISNA(VLOOKUP($A4,Councils!$B$6:$AE$841,4,0)),0,VLOOKUP($A4,Councils!$B$6:$AE$841,4,0))</f>
        <v>99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6889</v>
      </c>
      <c r="B5" t="str">
        <f>IF(ISNA(VLOOKUP($A5,Councils!$B$6:$AE$841,3,0)),0,VLOOKUP($A5,Councils!$B$6:$AE$841,3,0))</f>
        <v>Palacios</v>
      </c>
      <c r="C5">
        <f>IF(ISNA(VLOOKUP($A5,Councils!$B$6:$AE$841,4,0)),0,VLOOKUP($A5,Councils!$B$6:$AE$841,4,0))</f>
        <v>101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2490</v>
      </c>
      <c r="B3" t="str">
        <f>IF(ISNA(VLOOKUP($A3,Councils!$B$6:$AE$841,3,0)),0,VLOOKUP($A3,Councils!$B$6:$AE$841,3,0))</f>
        <v>El Campo</v>
      </c>
      <c r="C3">
        <f>IF(ISNA(VLOOKUP($A3,Councils!$B$6:$AE$841,4,0)),0,VLOOKUP($A3,Councils!$B$6:$AE$841,4,0))</f>
        <v>491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-2</v>
      </c>
      <c r="K3" s="63">
        <f>IFERROR(J3/D3,0)</f>
        <v>-0.1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3371</v>
      </c>
      <c r="B4" t="str">
        <f>IF(ISNA(VLOOKUP($A4,Councils!$B$6:$AE$841,3,0)),0,VLOOKUP($A4,Councils!$B$6:$AE$841,3,0))</f>
        <v>Nada</v>
      </c>
      <c r="C4">
        <f>IF(ISNA(VLOOKUP($A4,Councils!$B$6:$AE$841,4,0)),0,VLOOKUP($A4,Councils!$B$6:$AE$841,4,0))</f>
        <v>323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9393</v>
      </c>
      <c r="B5" t="str">
        <f>IF(ISNA(VLOOKUP($A5,Councils!$B$6:$AE$841,3,0)),0,VLOOKUP($A5,Councils!$B$6:$AE$841,3,0))</f>
        <v>El Campo</v>
      </c>
      <c r="C5">
        <f>IF(ISNA(VLOOKUP($A5,Councils!$B$6:$AE$841,4,0)),0,VLOOKUP($A5,Councils!$B$6:$AE$841,4,0))</f>
        <v>155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2</v>
      </c>
      <c r="P5">
        <f>IF(ISNA(VLOOKUP($A5,Councils!$B$6:$AE$841,17,0)),0,VLOOKUP($A5,Councils!$B$6:$AE$841,17,0))</f>
        <v>-2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9394</v>
      </c>
      <c r="B6" t="str">
        <f>IF(ISNA(VLOOKUP($A6,Councils!$B$6:$AE$841,3,0)),0,VLOOKUP($A6,Councils!$B$6:$AE$841,3,0))</f>
        <v>Louise-Hillje</v>
      </c>
      <c r="C6">
        <f>IF(ISNA(VLOOKUP($A6,Councils!$B$6:$AE$841,4,0)),0,VLOOKUP($A6,Councils!$B$6:$AE$841,4,0))</f>
        <v>100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2500</v>
      </c>
      <c r="B3" t="str">
        <f>IF(ISNA(VLOOKUP($A3,Councils!$B$6:$AE$841,3,0)),0,VLOOKUP($A3,Councils!$B$6:$AE$841,3,0))</f>
        <v>East Bernard</v>
      </c>
      <c r="C3">
        <f>IF(ISNA(VLOOKUP($A3,Councils!$B$6:$AE$841,4,0)),0,VLOOKUP($A3,Councils!$B$6:$AE$841,4,0))</f>
        <v>253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3262</v>
      </c>
      <c r="B4" t="str">
        <f>IF(ISNA(VLOOKUP($A4,Councils!$B$6:$AE$841,3,0)),0,VLOOKUP($A4,Councils!$B$6:$AE$841,3,0))</f>
        <v>Wharton</v>
      </c>
      <c r="C4">
        <f>IF(ISNA(VLOOKUP($A4,Councils!$B$6:$AE$841,4,0)),0,VLOOKUP($A4,Councils!$B$6:$AE$841,4,0))</f>
        <v>294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7.1428571428571425E-2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4843</v>
      </c>
      <c r="B5" t="str">
        <f>IF(ISNA(VLOOKUP($A5,Councils!$B$6:$AE$841,3,0)),0,VLOOKUP($A5,Councils!$B$6:$AE$841,3,0))</f>
        <v>Eagle Lake</v>
      </c>
      <c r="C5">
        <f>IF(ISNA(VLOOKUP($A5,Councils!$B$6:$AE$841,4,0)),0,VLOOKUP($A5,Councils!$B$6:$AE$841,4,0))</f>
        <v>140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2</v>
      </c>
      <c r="K5" s="63">
        <f>IFERROR(J5/D5,0)</f>
        <v>0.2857142857142857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10249</v>
      </c>
      <c r="B6" t="str">
        <f>IF(ISNA(VLOOKUP($A6,Councils!$B$6:$AE$841,3,0)),0,VLOOKUP($A6,Councils!$B$6:$AE$841,3,0))</f>
        <v>Mentz</v>
      </c>
      <c r="C6">
        <f>IF(ISNA(VLOOKUP($A6,Councils!$B$6:$AE$841,4,0)),0,VLOOKUP($A6,Councils!$B$6:$AE$841,4,0))</f>
        <v>109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2153</v>
      </c>
      <c r="B3" t="str">
        <f>IF(ISNA(VLOOKUP($A3,Councils!$B$6:$AE$841,3,0)),0,VLOOKUP($A3,Councils!$B$6:$AE$841,3,0))</f>
        <v>Weimar</v>
      </c>
      <c r="C3">
        <f>IF(ISNA(VLOOKUP($A3,Councils!$B$6:$AE$841,4,0)),0,VLOOKUP($A3,Councils!$B$6:$AE$841,4,0))</f>
        <v>262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7.6923076923076927E-2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2902</v>
      </c>
      <c r="B4" t="str">
        <f>IF(ISNA(VLOOKUP($A4,Councils!$B$6:$AE$841,3,0)),0,VLOOKUP($A4,Councils!$B$6:$AE$841,3,0))</f>
        <v>Schulenburg</v>
      </c>
      <c r="C4">
        <f>IF(ISNA(VLOOKUP($A4,Councils!$B$6:$AE$841,4,0)),0,VLOOKUP($A4,Councils!$B$6:$AE$841,4,0))</f>
        <v>289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10</v>
      </c>
      <c r="J4">
        <f>IF(ISNA(VLOOKUP($A4,Councils!$B$6:$AE$841,11,0)),0,VLOOKUP($A4,Councils!$B$6:$AE$841,11,0))</f>
        <v>-7</v>
      </c>
      <c r="K4" s="63">
        <f>IFERROR(J4/D4,0)</f>
        <v>-0.5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4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3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2971</v>
      </c>
      <c r="B5" t="str">
        <f>IF(ISNA(VLOOKUP($A5,Councils!$B$6:$AE$841,3,0)),0,VLOOKUP($A5,Councils!$B$6:$AE$841,3,0))</f>
        <v>Columbus</v>
      </c>
      <c r="C5">
        <f>IF(ISNA(VLOOKUP($A5,Councils!$B$6:$AE$841,4,0)),0,VLOOKUP($A5,Councils!$B$6:$AE$841,4,0))</f>
        <v>204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5157</v>
      </c>
      <c r="B6" t="str">
        <f>IF(ISNA(VLOOKUP($A6,Councils!$B$6:$AE$841,3,0)),0,VLOOKUP($A6,Councils!$B$6:$AE$841,3,0))</f>
        <v>Frelsburg</v>
      </c>
      <c r="C6">
        <f>IF(ISNA(VLOOKUP($A6,Councils!$B$6:$AE$841,4,0)),0,VLOOKUP($A6,Councils!$B$6:$AE$841,4,0))</f>
        <v>86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C16"/>
  <sheetViews>
    <sheetView workbookViewId="0">
      <selection activeCell="C16" sqref="C1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16384" width="9.140625" style="197"/>
  </cols>
  <sheetData>
    <row r="1" spans="1:3" ht="15" customHeight="1">
      <c r="A1" s="195" t="s">
        <v>621</v>
      </c>
      <c r="B1" s="196" t="s">
        <v>927</v>
      </c>
      <c r="C1" s="203" t="s">
        <v>930</v>
      </c>
    </row>
    <row r="2" spans="1:3" ht="15" customHeight="1">
      <c r="A2" s="198" t="s">
        <v>43</v>
      </c>
      <c r="B2" s="198" t="s">
        <v>908</v>
      </c>
      <c r="C2" s="371" t="s">
        <v>1281</v>
      </c>
    </row>
    <row r="3" spans="1:3" ht="15" customHeight="1">
      <c r="A3" s="198" t="s">
        <v>23</v>
      </c>
      <c r="B3" s="198" t="s">
        <v>908</v>
      </c>
      <c r="C3" s="371" t="s">
        <v>1282</v>
      </c>
    </row>
    <row r="4" spans="1:3" ht="15" customHeight="1">
      <c r="A4" s="198" t="s">
        <v>150</v>
      </c>
      <c r="B4" s="198" t="s">
        <v>908</v>
      </c>
      <c r="C4" s="204" t="s">
        <v>928</v>
      </c>
    </row>
    <row r="5" spans="1:3" ht="15" customHeight="1">
      <c r="A5" s="198" t="s">
        <v>51</v>
      </c>
      <c r="B5" s="198" t="s">
        <v>908</v>
      </c>
      <c r="C5" s="309" t="s">
        <v>1031</v>
      </c>
    </row>
    <row r="6" spans="1:3" ht="15" customHeight="1">
      <c r="A6" s="198" t="s">
        <v>66</v>
      </c>
      <c r="B6" s="198" t="s">
        <v>908</v>
      </c>
      <c r="C6" s="204" t="s">
        <v>929</v>
      </c>
    </row>
    <row r="7" spans="1:3" ht="15" customHeight="1">
      <c r="A7" s="198" t="s">
        <v>90</v>
      </c>
      <c r="B7" s="198" t="s">
        <v>908</v>
      </c>
      <c r="C7" s="309" t="s">
        <v>1009</v>
      </c>
    </row>
    <row r="8" spans="1:3" ht="15" customHeight="1">
      <c r="A8" s="198" t="s">
        <v>64</v>
      </c>
      <c r="B8" s="198" t="s">
        <v>908</v>
      </c>
      <c r="C8" s="371" t="s">
        <v>1283</v>
      </c>
    </row>
    <row r="9" spans="1:3" ht="15" customHeight="1">
      <c r="A9" s="198" t="s">
        <v>59</v>
      </c>
      <c r="B9" s="198" t="s">
        <v>908</v>
      </c>
      <c r="C9" s="371" t="s">
        <v>1284</v>
      </c>
    </row>
    <row r="10" spans="1:3" ht="15" customHeight="1">
      <c r="A10" s="198" t="s">
        <v>31</v>
      </c>
      <c r="B10" s="198" t="s">
        <v>908</v>
      </c>
      <c r="C10" s="371" t="s">
        <v>1285</v>
      </c>
    </row>
    <row r="11" spans="1:3" ht="15" customHeight="1">
      <c r="A11" s="198" t="s">
        <v>37</v>
      </c>
      <c r="B11" s="198" t="s">
        <v>908</v>
      </c>
      <c r="C11" s="309" t="s">
        <v>1026</v>
      </c>
    </row>
    <row r="12" spans="1:3" ht="15" customHeight="1">
      <c r="A12" s="198" t="s">
        <v>623</v>
      </c>
      <c r="B12" s="198" t="s">
        <v>908</v>
      </c>
      <c r="C12" s="309" t="s">
        <v>1032</v>
      </c>
    </row>
    <row r="13" spans="1:3" ht="15" customHeight="1">
      <c r="A13" s="198" t="s">
        <v>40</v>
      </c>
      <c r="B13" s="198" t="s">
        <v>908</v>
      </c>
      <c r="C13" s="309" t="s">
        <v>1033</v>
      </c>
    </row>
    <row r="14" spans="1:3" ht="15" customHeight="1">
      <c r="A14" s="198" t="s">
        <v>27</v>
      </c>
      <c r="B14" s="198" t="s">
        <v>908</v>
      </c>
      <c r="C14" s="371" t="s">
        <v>1286</v>
      </c>
    </row>
    <row r="15" spans="1:3" ht="15" customHeight="1">
      <c r="A15" s="198" t="s">
        <v>85</v>
      </c>
      <c r="B15" s="198" t="s">
        <v>908</v>
      </c>
      <c r="C15" s="371" t="s">
        <v>1287</v>
      </c>
    </row>
    <row r="16" spans="1:3">
      <c r="A16" s="198" t="s">
        <v>143</v>
      </c>
      <c r="B16" s="198" t="s">
        <v>908</v>
      </c>
      <c r="C16" s="371" t="s">
        <v>1288</v>
      </c>
    </row>
  </sheetData>
  <pageMargins left="0.7" right="0.7" top="0.75" bottom="0.75" header="0.3" footer="0.3"/>
  <pageSetup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2433</v>
      </c>
      <c r="B3" t="str">
        <f>IF(ISNA(VLOOKUP($A3,Councils!$B$6:$AE$841,3,0)),0,VLOOKUP($A3,Councils!$B$6:$AE$841,3,0))</f>
        <v>Hallettsville</v>
      </c>
      <c r="C3">
        <f>IF(ISNA(VLOOKUP($A3,Councils!$B$6:$AE$841,4,0)),0,VLOOKUP($A3,Councils!$B$6:$AE$841,4,0))</f>
        <v>655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3081</v>
      </c>
      <c r="B4" t="str">
        <f>IF(ISNA(VLOOKUP($A4,Councils!$B$6:$AE$841,3,0)),0,VLOOKUP($A4,Councils!$B$6:$AE$841,3,0))</f>
        <v>Shiner</v>
      </c>
      <c r="C4">
        <f>IF(ISNA(VLOOKUP($A4,Councils!$B$6:$AE$841,4,0)),0,VLOOKUP($A4,Councils!$B$6:$AE$841,4,0))</f>
        <v>301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3244</v>
      </c>
      <c r="B5" t="str">
        <f>IF(ISNA(VLOOKUP($A5,Councils!$B$6:$AE$841,3,0)),0,VLOOKUP($A5,Councils!$B$6:$AE$841,3,0))</f>
        <v>Moulton</v>
      </c>
      <c r="C5">
        <f>IF(ISNA(VLOOKUP($A5,Councils!$B$6:$AE$841,4,0)),0,VLOOKUP($A5,Councils!$B$6:$AE$841,4,0))</f>
        <v>167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3295</v>
      </c>
      <c r="B6" t="str">
        <f>IF(ISNA(VLOOKUP($A6,Councils!$B$6:$AE$841,3,0)),0,VLOOKUP($A6,Councils!$B$6:$AE$841,3,0))</f>
        <v>Flatonia</v>
      </c>
      <c r="C6">
        <f>IF(ISNA(VLOOKUP($A6,Councils!$B$6:$AE$841,4,0)),0,VLOOKUP($A6,Councils!$B$6:$AE$841,4,0))</f>
        <v>179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0.1111111111111111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1582</v>
      </c>
      <c r="B3" t="str">
        <f>IF(ISNA(VLOOKUP($A3,Councils!$B$6:$AE$841,3,0)),0,VLOOKUP($A3,Councils!$B$6:$AE$841,3,0))</f>
        <v>Yoakum</v>
      </c>
      <c r="C3">
        <f>IF(ISNA(VLOOKUP($A3,Councils!$B$6:$AE$841,4,0)),0,VLOOKUP($A3,Councils!$B$6:$AE$841,4,0))</f>
        <v>317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-6.25E-2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1682</v>
      </c>
      <c r="B4" t="str">
        <f>IF(ISNA(VLOOKUP($A4,Councils!$B$6:$AE$841,3,0)),0,VLOOKUP($A4,Councils!$B$6:$AE$841,3,0))</f>
        <v>Cuero</v>
      </c>
      <c r="C4">
        <f>IF(ISNA(VLOOKUP($A4,Councils!$B$6:$AE$841,4,0)),0,VLOOKUP($A4,Councils!$B$6:$AE$841,4,0))</f>
        <v>98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2480</v>
      </c>
      <c r="B5" t="str">
        <f>IF(ISNA(VLOOKUP($A5,Councils!$B$6:$AE$841,3,0)),0,VLOOKUP($A5,Councils!$B$6:$AE$841,3,0))</f>
        <v>Yorktown</v>
      </c>
      <c r="C5">
        <f>IF(ISNA(VLOOKUP($A5,Councils!$B$6:$AE$841,4,0)),0,VLOOKUP($A5,Councils!$B$6:$AE$841,4,0))</f>
        <v>57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3</v>
      </c>
    </row>
    <row r="6" spans="1:22">
      <c r="A6" s="50">
        <v>13010</v>
      </c>
      <c r="B6" t="str">
        <f>IF(ISNA(VLOOKUP($A6,Councils!$B$6:$AE$841,3,0)),0,VLOOKUP($A6,Councils!$B$6:$AE$841,3,0))</f>
        <v>Meyersville</v>
      </c>
      <c r="C6">
        <f>IF(ISNA(VLOOKUP($A6,Councils!$B$6:$AE$841,4,0)),0,VLOOKUP($A6,Councils!$B$6:$AE$841,4,0))</f>
        <v>52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3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1329</v>
      </c>
      <c r="B3" t="str">
        <f>IF(ISNA(VLOOKUP($A3,Councils!$B$6:$AE$841,3,0)),0,VLOOKUP($A3,Councils!$B$6:$AE$841,3,0))</f>
        <v>Victoria</v>
      </c>
      <c r="C3">
        <f>IF(ISNA(VLOOKUP($A3,Councils!$B$6:$AE$841,4,0)),0,VLOOKUP($A3,Councils!$B$6:$AE$841,4,0))</f>
        <v>419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3</v>
      </c>
      <c r="G3">
        <f>IF(ISNA(VLOOKUP($A3,Councils!$B$6:$AE$81023,0)),0,VLOOKUP($A3,Councils!$B$6:$AE$841,8,0))</f>
        <v>-3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3</v>
      </c>
      <c r="J3">
        <f>IF(ISNA(VLOOKUP($A3,Councils!$B$6:$AE$841,11,0)),0,VLOOKUP($A3,Councils!$B$6:$AE$841,11,0))</f>
        <v>-1</v>
      </c>
      <c r="K3" s="63">
        <f>IFERROR(J3/D3,0)</f>
        <v>-0.05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5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7512</v>
      </c>
      <c r="B4" t="str">
        <f>IF(ISNA(VLOOKUP($A4,Councils!$B$6:$AE$841,3,0)),0,VLOOKUP($A4,Councils!$B$6:$AE$841,3,0))</f>
        <v>Goliad</v>
      </c>
      <c r="C4">
        <f>IF(ISNA(VLOOKUP($A4,Councils!$B$6:$AE$841,4,0)),0,VLOOKUP($A4,Councils!$B$6:$AE$841,4,0))</f>
        <v>101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8388</v>
      </c>
      <c r="B5" t="str">
        <f>IF(ISNA(VLOOKUP($A5,Councils!$B$6:$AE$841,3,0)),0,VLOOKUP($A5,Councils!$B$6:$AE$841,3,0))</f>
        <v>Victoria</v>
      </c>
      <c r="C5">
        <f>IF(ISNA(VLOOKUP($A5,Councils!$B$6:$AE$841,4,0)),0,VLOOKUP($A5,Councils!$B$6:$AE$841,4,0))</f>
        <v>121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0.16666666666666666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9088</v>
      </c>
      <c r="B6" t="str">
        <f>IF(ISNA(VLOOKUP($A6,Councils!$B$6:$AE$841,3,0)),0,VLOOKUP($A6,Councils!$B$6:$AE$841,3,0))</f>
        <v>Victoria</v>
      </c>
      <c r="C6">
        <f>IF(ISNA(VLOOKUP($A6,Councils!$B$6:$AE$841,4,0)),0,VLOOKUP($A6,Councils!$B$6:$AE$841,4,0))</f>
        <v>512</v>
      </c>
      <c r="D6">
        <f>IF(ISNA(VLOOKUP($A6,Councils!$B$6:$AE$841,5,0)),0,VLOOKUP($A6,Councils!$B$6:$AE$841,5,0))</f>
        <v>20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0.15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3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  <row r="7" spans="1:22">
      <c r="A7" s="50">
        <v>10751</v>
      </c>
      <c r="B7" t="str">
        <f>IF(ISNA(VLOOKUP($A7,Councils!$B$6:$AE$841,3,0)),0,VLOOKUP($A7,Councils!$B$6:$AE$841,3,0))</f>
        <v>Bloomington</v>
      </c>
      <c r="C7">
        <f>IF(ISNA(VLOOKUP($A7,Councils!$B$6:$AE$841,4,0)),0,VLOOKUP($A7,Councils!$B$6:$AE$841,4,0))</f>
        <v>62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2654</v>
      </c>
      <c r="B3" t="str">
        <f>IF(ISNA(VLOOKUP($A3,Councils!$B$6:$AE$841,3,0)),0,VLOOKUP($A3,Councils!$B$6:$AE$841,3,0))</f>
        <v>Nazareth</v>
      </c>
      <c r="C3">
        <f>IF(ISNA(VLOOKUP($A3,Councils!$B$6:$AE$841,4,0)),0,VLOOKUP($A3,Councils!$B$6:$AE$841,4,0))</f>
        <v>143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4621</v>
      </c>
      <c r="B4" t="str">
        <f>IF(ISNA(VLOOKUP($A4,Councils!$B$6:$AE$841,3,0)),0,VLOOKUP($A4,Councils!$B$6:$AE$841,3,0))</f>
        <v>Amarillo</v>
      </c>
      <c r="C4">
        <f>IF(ISNA(VLOOKUP($A4,Councils!$B$6:$AE$841,4,0)),0,VLOOKUP($A4,Councils!$B$6:$AE$841,4,0))</f>
        <v>218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50">
        <v>7840</v>
      </c>
      <c r="B5" t="str">
        <f>IF(ISNA(VLOOKUP($A5,Councils!$B$6:$AE$841,3,0)),0,VLOOKUP($A5,Councils!$B$6:$AE$841,3,0))</f>
        <v>Canyon</v>
      </c>
      <c r="C5">
        <f>IF(ISNA(VLOOKUP($A5,Councils!$B$6:$AE$841,4,0)),0,VLOOKUP($A5,Councils!$B$6:$AE$841,4,0))</f>
        <v>162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  <row r="6" spans="1:22">
      <c r="A6" s="50">
        <v>12534</v>
      </c>
      <c r="B6" t="str">
        <f>IF(ISNA(VLOOKUP($A6,Councils!$B$6:$AE$841,3,0)),0,VLOOKUP($A6,Councils!$B$6:$AE$841,3,0))</f>
        <v>Tulia</v>
      </c>
      <c r="C6">
        <f>IF(ISNA(VLOOKUP($A6,Councils!$B$6:$AE$841,4,0)),0,VLOOKUP($A6,Councils!$B$6:$AE$841,4,0))</f>
        <v>62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2767</v>
      </c>
      <c r="B3" t="str">
        <f>IF(ISNA(VLOOKUP($A3,Councils!$B$6:$AE$841,3,0)),0,VLOOKUP($A3,Councils!$B$6:$AE$841,3,0))</f>
        <v>Pampa</v>
      </c>
      <c r="C3">
        <f>IF(ISNA(VLOOKUP($A3,Councils!$B$6:$AE$841,4,0)),0,VLOOKUP($A3,Councils!$B$6:$AE$841,4,0))</f>
        <v>131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3558</v>
      </c>
      <c r="B4" t="str">
        <f>IF(ISNA(VLOOKUP($A4,Councils!$B$6:$AE$841,3,0)),0,VLOOKUP($A4,Councils!$B$6:$AE$841,3,0))</f>
        <v>Borger</v>
      </c>
      <c r="C4">
        <f>IF(ISNA(VLOOKUP($A4,Councils!$B$6:$AE$841,4,0)),0,VLOOKUP($A4,Councils!$B$6:$AE$841,4,0))</f>
        <v>88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12493</v>
      </c>
      <c r="B5" t="str">
        <f>IF(ISNA(VLOOKUP($A5,Councils!$B$6:$AE$841,3,0)),0,VLOOKUP($A5,Councils!$B$6:$AE$841,3,0))</f>
        <v>Canadian</v>
      </c>
      <c r="C5">
        <f>IF(ISNA(VLOOKUP($A5,Councils!$B$6:$AE$841,4,0)),0,VLOOKUP($A5,Councils!$B$6:$AE$841,4,0))</f>
        <v>35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15782</v>
      </c>
      <c r="B6" t="str">
        <f>IF(ISNA(VLOOKUP($A6,Councils!$B$6:$AE$841,3,0)),0,VLOOKUP($A6,Councils!$B$6:$AE$841,3,0))</f>
        <v>Childress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2776</v>
      </c>
      <c r="B3" t="str">
        <f>IF(ISNA(VLOOKUP($A3,Councils!$B$6:$AE$841,3,0)),0,VLOOKUP($A3,Councils!$B$6:$AE$841,3,0))</f>
        <v>Dalhart</v>
      </c>
      <c r="C3">
        <f>IF(ISNA(VLOOKUP($A3,Councils!$B$6:$AE$841,4,0)),0,VLOOKUP($A3,Councils!$B$6:$AE$841,4,0))</f>
        <v>136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5061</v>
      </c>
      <c r="B4" t="str">
        <f>IF(ISNA(VLOOKUP($A4,Councils!$B$6:$AE$841,3,0)),0,VLOOKUP($A4,Councils!$B$6:$AE$841,3,0))</f>
        <v>Dumas</v>
      </c>
      <c r="C4">
        <f>IF(ISNA(VLOOKUP($A4,Councils!$B$6:$AE$841,4,0)),0,VLOOKUP($A4,Councils!$B$6:$AE$841,4,0))</f>
        <v>135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5552</v>
      </c>
      <c r="B5" t="str">
        <f>IF(ISNA(VLOOKUP($A5,Councils!$B$6:$AE$841,3,0)),0,VLOOKUP($A5,Councils!$B$6:$AE$841,3,0))</f>
        <v>Spearman</v>
      </c>
      <c r="C5">
        <f>IF(ISNA(VLOOKUP($A5,Councils!$B$6:$AE$841,4,0)),0,VLOOKUP($A5,Councils!$B$6:$AE$841,4,0))</f>
        <v>59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1450</v>
      </c>
      <c r="B3" t="str">
        <f>IF(ISNA(VLOOKUP($A3,Councils!$B$6:$AE$841,3,0)),0,VLOOKUP($A3,Councils!$B$6:$AE$841,3,0))</f>
        <v>Amarillo</v>
      </c>
      <c r="C3">
        <f>IF(ISNA(VLOOKUP($A3,Councils!$B$6:$AE$841,4,0)),0,VLOOKUP($A3,Councils!$B$6:$AE$841,4,0))</f>
        <v>199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-1</v>
      </c>
      <c r="K3" s="63">
        <f t="shared" ref="K3" si="0">IFERROR(J3/D3,0)</f>
        <v>-0.1111111111111111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-2</v>
      </c>
      <c r="T3" s="63">
        <f t="shared" ref="T3" si="1"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7573</v>
      </c>
      <c r="B4" t="str">
        <f>IF(ISNA(VLOOKUP($A4,Councils!$B$6:$AE$841,3,0)),0,VLOOKUP($A4,Councils!$B$6:$AE$841,3,0))</f>
        <v>Amarillo</v>
      </c>
      <c r="C4">
        <f>IF(ISNA(VLOOKUP($A4,Councils!$B$6:$AE$841,4,0)),0,VLOOKUP($A4,Councils!$B$6:$AE$841,4,0))</f>
        <v>61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-2</v>
      </c>
      <c r="K4" s="63">
        <f>IFERROR(J4/D4,0)</f>
        <v>-0.66666666666666663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9413</v>
      </c>
      <c r="B5" t="str">
        <f>IF(ISNA(VLOOKUP($A5,Councils!$B$6:$AE$841,3,0)),0,VLOOKUP($A5,Councils!$B$6:$AE$841,3,0))</f>
        <v>Amarillo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16666</v>
      </c>
      <c r="B6" t="str">
        <f>IF(ISNA(VLOOKUP($A6,Councils!$B$6:$AE$841,3,0)),0,VLOOKUP($A6,Councils!$B$6:$AE$841,3,0))</f>
        <v>Amarillo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8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8</v>
      </c>
      <c r="K6" s="63">
        <f>IFERROR(J6/D6,0)</f>
        <v>2.6666666666666665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:A4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2778</v>
      </c>
      <c r="B3" t="str">
        <f>IF(ISNA(VLOOKUP($A3,Councils!$B$6:$AE$841,3,0)),0,VLOOKUP($A3,Councils!$B$6:$AE$841,3,0))</f>
        <v>Hereford</v>
      </c>
      <c r="C3">
        <f>IF(ISNA(VLOOKUP($A3,Councils!$B$6:$AE$841,4,0)),0,VLOOKUP($A3,Councils!$B$6:$AE$841,4,0))</f>
        <v>152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2808</v>
      </c>
      <c r="B4" t="str">
        <f>IF(ISNA(VLOOKUP($A4,Councils!$B$6:$AE$841,3,0)),0,VLOOKUP($A4,Councils!$B$6:$AE$841,3,0))</f>
        <v>Umbarger</v>
      </c>
      <c r="C4">
        <f>IF(ISNA(VLOOKUP($A4,Councils!$B$6:$AE$841,4,0)),0,VLOOKUP($A4,Councils!$B$6:$AE$841,4,0))</f>
        <v>50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5426</v>
      </c>
      <c r="B5" t="str">
        <f>IF(ISNA(VLOOKUP($A5,Councils!$B$6:$AE$841,3,0)),0,VLOOKUP($A5,Councils!$B$6:$AE$841,3,0))</f>
        <v>Bovina</v>
      </c>
      <c r="C5">
        <f>IF(ISNA(VLOOKUP($A5,Councils!$B$6:$AE$841,4,0)),0,VLOOKUP($A5,Councils!$B$6:$AE$841,4,0))</f>
        <v>47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8938</v>
      </c>
      <c r="B6" t="str">
        <f>IF(ISNA(VLOOKUP($A6,Councils!$B$6:$AE$841,3,0)),0,VLOOKUP($A6,Councils!$B$6:$AE$841,3,0))</f>
        <v>Hereford</v>
      </c>
      <c r="C6">
        <f>IF(ISNA(VLOOKUP($A6,Councils!$B$6:$AE$841,4,0)),0,VLOOKUP($A6,Councils!$B$6:$AE$841,4,0))</f>
        <v>75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4635</v>
      </c>
      <c r="B3" t="str">
        <f>IF(ISNA(VLOOKUP($A3,Councils!$B$6:$AE$841,3,0)),0,VLOOKUP($A3,Councils!$B$6:$AE$841,3,0))</f>
        <v>Amarillo</v>
      </c>
      <c r="C3">
        <f>IF(ISNA(VLOOKUP($A3,Councils!$B$6:$AE$841,4,0)),0,VLOOKUP($A3,Councils!$B$6:$AE$841,4,0))</f>
        <v>117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12563</v>
      </c>
      <c r="B4" t="str">
        <f>IF(ISNA(VLOOKUP($A4,Councils!$B$6:$AE$841,3,0)),0,VLOOKUP($A4,Councils!$B$6:$AE$841,3,0))</f>
        <v>Amarillo</v>
      </c>
      <c r="C4">
        <f>IF(ISNA(VLOOKUP($A4,Councils!$B$6:$AE$841,4,0)),0,VLOOKUP($A4,Councils!$B$6:$AE$841,4,0))</f>
        <v>73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13134</v>
      </c>
      <c r="B5" t="str">
        <f>IF(ISNA(VLOOKUP($A5,Councils!$B$6:$AE$841,3,0)),0,VLOOKUP($A5,Councils!$B$6:$AE$841,3,0))</f>
        <v>Amarillo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16205</v>
      </c>
      <c r="B6" t="str">
        <f>IF(ISNA(VLOOKUP($A6,Councils!$B$6:$AE$841,3,0)),0,VLOOKUP($A6,Councils!$B$6:$AE$841,3,0))</f>
        <v>Amarillo</v>
      </c>
      <c r="C6">
        <f>IF(ISNA(VLOOKUP($A6,Councils!$B$6:$AE$841,4,0)),0,VLOOKUP($A6,Councils!$B$6:$AE$841,4,0))</f>
        <v>47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353C7-334B-4644-A7D4-D17DE6E23D81}">
  <dimension ref="A1:V3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9600</v>
      </c>
      <c r="B3" t="str">
        <f>IF(ISNA(VLOOKUP($A3,Councils!$B$6:$AE$841,3,0)),0,VLOOKUP($A3,Councils!$B$6:$AE$841,3,0))</f>
        <v>Perryton</v>
      </c>
      <c r="C3">
        <f>IF(ISNA(VLOOKUP($A3,Councils!$B$6:$AE$841,4,0)),0,VLOOKUP($A3,Councils!$B$6:$AE$841,4,0))</f>
        <v>84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</sheetData>
  <hyperlinks>
    <hyperlink ref="A1" location="AMA!A1" tooltip="Back to AMA DD Page" display="AMA DDs" xr:uid="{74FD528C-B7F0-460A-8A17-F743A323713A}"/>
    <hyperlink ref="C1" location="'State Summary'!A1" tooltip="Link back to Diocesan Page" display="State Summary" xr:uid="{24AF6A07-C3B4-44DC-9A02-3E45B56D311C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6" bestFit="1" customWidth="1"/>
    <col min="2" max="2" width="26" style="266" bestFit="1" customWidth="1"/>
    <col min="3" max="3" width="8.28515625" style="266" bestFit="1" customWidth="1"/>
    <col min="4" max="4" width="9.140625" style="266" bestFit="1" customWidth="1"/>
    <col min="5" max="5" width="10" style="375" bestFit="1" customWidth="1"/>
    <col min="6" max="16384" width="9.140625" style="266"/>
  </cols>
  <sheetData>
    <row r="1" spans="1:5" ht="15.95" customHeight="1">
      <c r="A1" s="264" t="s">
        <v>983</v>
      </c>
      <c r="B1" s="265" t="s">
        <v>984</v>
      </c>
      <c r="C1" s="265" t="s">
        <v>600</v>
      </c>
      <c r="D1" s="265" t="s">
        <v>621</v>
      </c>
      <c r="E1" s="265" t="s">
        <v>985</v>
      </c>
    </row>
    <row r="2" spans="1:5" ht="15.95" customHeight="1">
      <c r="A2" s="267">
        <v>1304</v>
      </c>
      <c r="B2" s="268" t="s">
        <v>47</v>
      </c>
      <c r="C2" s="267">
        <v>127</v>
      </c>
      <c r="D2" s="268" t="s">
        <v>986</v>
      </c>
      <c r="E2" s="267" t="s">
        <v>920</v>
      </c>
    </row>
    <row r="3" spans="1:5" ht="15.95" customHeight="1">
      <c r="A3" s="267">
        <v>2559</v>
      </c>
      <c r="B3" s="268" t="s">
        <v>40</v>
      </c>
      <c r="C3" s="267">
        <v>162</v>
      </c>
      <c r="D3" s="268" t="s">
        <v>987</v>
      </c>
      <c r="E3" s="267" t="s">
        <v>920</v>
      </c>
    </row>
    <row r="4" spans="1:5" ht="15.95" customHeight="1">
      <c r="A4" s="267">
        <v>3460</v>
      </c>
      <c r="B4" s="268" t="s">
        <v>199</v>
      </c>
      <c r="C4" s="267">
        <v>116</v>
      </c>
      <c r="D4" s="268" t="s">
        <v>989</v>
      </c>
      <c r="E4" s="267" t="s">
        <v>920</v>
      </c>
    </row>
    <row r="5" spans="1:5" ht="15.95" customHeight="1">
      <c r="A5" s="267">
        <v>4329</v>
      </c>
      <c r="B5" s="268" t="s">
        <v>225</v>
      </c>
      <c r="C5" s="267">
        <v>145</v>
      </c>
      <c r="D5" s="268" t="s">
        <v>987</v>
      </c>
      <c r="E5" s="267" t="s">
        <v>920</v>
      </c>
    </row>
    <row r="6" spans="1:5" ht="15.95" customHeight="1">
      <c r="A6" s="373">
        <v>4412</v>
      </c>
      <c r="B6" s="373" t="s">
        <v>228</v>
      </c>
      <c r="C6" s="373">
        <v>241</v>
      </c>
      <c r="D6" s="373" t="s">
        <v>990</v>
      </c>
      <c r="E6" s="374" t="s">
        <v>920</v>
      </c>
    </row>
    <row r="7" spans="1:5" ht="15.95" customHeight="1">
      <c r="A7" s="267">
        <v>5053</v>
      </c>
      <c r="B7" s="268" t="s">
        <v>249</v>
      </c>
      <c r="C7" s="267">
        <v>163</v>
      </c>
      <c r="D7" s="268" t="s">
        <v>987</v>
      </c>
      <c r="E7" s="267" t="s">
        <v>920</v>
      </c>
    </row>
    <row r="8" spans="1:5" ht="15.95" customHeight="1">
      <c r="A8" s="267">
        <v>5348</v>
      </c>
      <c r="B8" s="268" t="s">
        <v>264</v>
      </c>
      <c r="C8" s="267">
        <v>179</v>
      </c>
      <c r="D8" s="268" t="s">
        <v>988</v>
      </c>
      <c r="E8" s="267" t="s">
        <v>920</v>
      </c>
    </row>
    <row r="9" spans="1:5" ht="15.95" customHeight="1">
      <c r="A9" s="267">
        <v>6634</v>
      </c>
      <c r="B9" s="268" t="s">
        <v>298</v>
      </c>
      <c r="C9" s="267">
        <v>228</v>
      </c>
      <c r="D9" s="268" t="s">
        <v>993</v>
      </c>
      <c r="E9" s="267" t="s">
        <v>920</v>
      </c>
    </row>
    <row r="10" spans="1:5" ht="15.95" customHeight="1">
      <c r="A10" s="373">
        <v>7094</v>
      </c>
      <c r="B10" s="373" t="s">
        <v>319</v>
      </c>
      <c r="C10" s="373">
        <v>241</v>
      </c>
      <c r="D10" s="373" t="s">
        <v>990</v>
      </c>
      <c r="E10" s="374" t="s">
        <v>920</v>
      </c>
    </row>
    <row r="11" spans="1:5" ht="15.95" customHeight="1">
      <c r="A11" s="267">
        <v>7185</v>
      </c>
      <c r="B11" s="268" t="s">
        <v>43</v>
      </c>
      <c r="C11" s="267">
        <v>168</v>
      </c>
      <c r="D11" s="268" t="s">
        <v>988</v>
      </c>
      <c r="E11" s="267" t="s">
        <v>920</v>
      </c>
    </row>
    <row r="12" spans="1:5" ht="15.95" customHeight="1">
      <c r="A12" s="267">
        <v>7362</v>
      </c>
      <c r="B12" s="268" t="s">
        <v>335</v>
      </c>
      <c r="C12" s="267">
        <v>180</v>
      </c>
      <c r="D12" s="268" t="s">
        <v>988</v>
      </c>
      <c r="E12" s="267" t="s">
        <v>920</v>
      </c>
    </row>
    <row r="13" spans="1:5" ht="15.95" customHeight="1">
      <c r="A13" s="267">
        <v>7468</v>
      </c>
      <c r="B13" s="268" t="s">
        <v>135</v>
      </c>
      <c r="C13" s="267">
        <v>96</v>
      </c>
      <c r="D13" s="268" t="s">
        <v>994</v>
      </c>
      <c r="E13" s="267" t="s">
        <v>920</v>
      </c>
    </row>
    <row r="14" spans="1:5" ht="15.95" customHeight="1">
      <c r="A14" s="373">
        <v>7692</v>
      </c>
      <c r="B14" s="373" t="s">
        <v>90</v>
      </c>
      <c r="C14" s="373">
        <v>233</v>
      </c>
      <c r="D14" s="373" t="s">
        <v>995</v>
      </c>
      <c r="E14" s="374" t="s">
        <v>920</v>
      </c>
    </row>
    <row r="15" spans="1:5" ht="15.95" customHeight="1">
      <c r="A15" s="267">
        <v>7713</v>
      </c>
      <c r="B15" s="268" t="s">
        <v>351</v>
      </c>
      <c r="C15" s="267">
        <v>13</v>
      </c>
      <c r="D15" s="268" t="s">
        <v>992</v>
      </c>
      <c r="E15" s="267" t="s">
        <v>920</v>
      </c>
    </row>
    <row r="16" spans="1:5" ht="15.95" customHeight="1">
      <c r="A16" s="267">
        <v>7797</v>
      </c>
      <c r="B16" s="268" t="s">
        <v>90</v>
      </c>
      <c r="C16" s="267">
        <v>232</v>
      </c>
      <c r="D16" s="268" t="s">
        <v>995</v>
      </c>
      <c r="E16" s="267" t="s">
        <v>920</v>
      </c>
    </row>
    <row r="17" spans="1:5" ht="15.95" customHeight="1">
      <c r="A17" s="267">
        <v>7946</v>
      </c>
      <c r="B17" s="268" t="s">
        <v>47</v>
      </c>
      <c r="C17" s="267">
        <v>127</v>
      </c>
      <c r="D17" s="268" t="s">
        <v>986</v>
      </c>
      <c r="E17" s="267" t="s">
        <v>920</v>
      </c>
    </row>
    <row r="18" spans="1:5" ht="15.95" customHeight="1">
      <c r="A18" s="267">
        <v>8223</v>
      </c>
      <c r="B18" s="268" t="s">
        <v>377</v>
      </c>
      <c r="C18" s="267">
        <v>63</v>
      </c>
      <c r="D18" s="268" t="s">
        <v>991</v>
      </c>
      <c r="E18" s="267" t="s">
        <v>920</v>
      </c>
    </row>
    <row r="19" spans="1:5" ht="15.95" customHeight="1">
      <c r="A19" s="267">
        <v>8416</v>
      </c>
      <c r="B19" s="268" t="s">
        <v>27</v>
      </c>
      <c r="C19" s="267">
        <v>61</v>
      </c>
      <c r="D19" s="268" t="s">
        <v>991</v>
      </c>
      <c r="E19" s="267" t="s">
        <v>920</v>
      </c>
    </row>
    <row r="20" spans="1:5" ht="15.95" customHeight="1">
      <c r="A20" s="267">
        <v>8574</v>
      </c>
      <c r="B20" s="268" t="s">
        <v>400</v>
      </c>
      <c r="C20" s="267">
        <v>227</v>
      </c>
      <c r="D20" s="268" t="s">
        <v>993</v>
      </c>
      <c r="E20" s="267" t="s">
        <v>920</v>
      </c>
    </row>
    <row r="21" spans="1:5" ht="15.95" customHeight="1">
      <c r="A21" s="267">
        <v>8717</v>
      </c>
      <c r="B21" s="268" t="s">
        <v>403</v>
      </c>
      <c r="C21" s="267">
        <v>178</v>
      </c>
      <c r="D21" s="268" t="s">
        <v>988</v>
      </c>
      <c r="E21" s="267" t="s">
        <v>920</v>
      </c>
    </row>
    <row r="22" spans="1:5" ht="15.95" customHeight="1">
      <c r="A22" s="267">
        <v>8769</v>
      </c>
      <c r="B22" s="268" t="s">
        <v>27</v>
      </c>
      <c r="C22" s="267">
        <v>53</v>
      </c>
      <c r="D22" s="268" t="s">
        <v>991</v>
      </c>
      <c r="E22" s="267" t="s">
        <v>920</v>
      </c>
    </row>
    <row r="23" spans="1:5" ht="15.95" customHeight="1">
      <c r="A23" s="267">
        <v>8787</v>
      </c>
      <c r="B23" s="268" t="s">
        <v>997</v>
      </c>
      <c r="C23" s="267">
        <v>116</v>
      </c>
      <c r="D23" s="268" t="s">
        <v>989</v>
      </c>
      <c r="E23" s="267" t="s">
        <v>920</v>
      </c>
    </row>
    <row r="24" spans="1:5" ht="15.95" customHeight="1">
      <c r="A24" s="267">
        <v>9017</v>
      </c>
      <c r="B24" s="268" t="s">
        <v>27</v>
      </c>
      <c r="C24" s="267">
        <v>61</v>
      </c>
      <c r="D24" s="268" t="s">
        <v>991</v>
      </c>
      <c r="E24" s="267" t="s">
        <v>920</v>
      </c>
    </row>
    <row r="25" spans="1:5" ht="15.95" customHeight="1">
      <c r="A25" s="267">
        <v>9067</v>
      </c>
      <c r="B25" s="268" t="s">
        <v>23</v>
      </c>
      <c r="C25" s="267">
        <v>13</v>
      </c>
      <c r="D25" s="268" t="s">
        <v>992</v>
      </c>
      <c r="E25" s="267" t="s">
        <v>920</v>
      </c>
    </row>
    <row r="26" spans="1:5" ht="15.95" customHeight="1">
      <c r="A26" s="267">
        <v>9321</v>
      </c>
      <c r="B26" s="268" t="s">
        <v>33</v>
      </c>
      <c r="C26" s="267">
        <v>97</v>
      </c>
      <c r="D26" s="268" t="s">
        <v>994</v>
      </c>
      <c r="E26" s="267" t="s">
        <v>920</v>
      </c>
    </row>
    <row r="27" spans="1:5" ht="15.95" customHeight="1">
      <c r="A27" s="267">
        <v>9600</v>
      </c>
      <c r="B27" s="268" t="s">
        <v>431</v>
      </c>
      <c r="C27" s="267">
        <v>202</v>
      </c>
      <c r="D27" s="268" t="s">
        <v>1292</v>
      </c>
      <c r="E27" s="267" t="s">
        <v>920</v>
      </c>
    </row>
    <row r="28" spans="1:5" ht="15.95" customHeight="1">
      <c r="A28" s="267">
        <v>9624</v>
      </c>
      <c r="B28" s="268" t="s">
        <v>27</v>
      </c>
      <c r="C28" s="267">
        <v>62</v>
      </c>
      <c r="D28" s="268" t="s">
        <v>991</v>
      </c>
      <c r="E28" s="267" t="s">
        <v>920</v>
      </c>
    </row>
    <row r="29" spans="1:5" ht="15.95" customHeight="1">
      <c r="A29" s="373">
        <v>9626</v>
      </c>
      <c r="B29" s="373" t="s">
        <v>90</v>
      </c>
      <c r="C29" s="373">
        <v>234</v>
      </c>
      <c r="D29" s="373" t="s">
        <v>995</v>
      </c>
      <c r="E29" s="374" t="s">
        <v>920</v>
      </c>
    </row>
    <row r="30" spans="1:5" ht="15.95" customHeight="1">
      <c r="A30" s="373">
        <v>9650</v>
      </c>
      <c r="B30" s="373" t="s">
        <v>437</v>
      </c>
      <c r="C30" s="373">
        <v>238</v>
      </c>
      <c r="D30" s="373" t="s">
        <v>995</v>
      </c>
      <c r="E30" s="374" t="s">
        <v>920</v>
      </c>
    </row>
    <row r="31" spans="1:5" ht="15.95" customHeight="1">
      <c r="A31" s="267">
        <v>9730</v>
      </c>
      <c r="B31" s="268" t="s">
        <v>27</v>
      </c>
      <c r="C31" s="267">
        <v>65</v>
      </c>
      <c r="D31" s="268" t="s">
        <v>991</v>
      </c>
      <c r="E31" s="267" t="s">
        <v>920</v>
      </c>
    </row>
    <row r="32" spans="1:5" ht="15.95" customHeight="1">
      <c r="A32" s="267">
        <v>9743</v>
      </c>
      <c r="B32" s="268" t="s">
        <v>443</v>
      </c>
      <c r="C32" s="267">
        <v>162</v>
      </c>
      <c r="D32" s="268" t="s">
        <v>987</v>
      </c>
      <c r="E32" s="267" t="s">
        <v>920</v>
      </c>
    </row>
    <row r="33" spans="1:5" ht="15.95" customHeight="1">
      <c r="A33" s="267">
        <v>10040</v>
      </c>
      <c r="B33" s="268" t="s">
        <v>66</v>
      </c>
      <c r="C33" s="267">
        <v>206</v>
      </c>
      <c r="D33" s="268" t="s">
        <v>998</v>
      </c>
      <c r="E33" s="267" t="s">
        <v>920</v>
      </c>
    </row>
    <row r="34" spans="1:5" ht="15.95" customHeight="1">
      <c r="A34" s="267">
        <v>10129</v>
      </c>
      <c r="B34" s="268" t="s">
        <v>455</v>
      </c>
      <c r="C34" s="267">
        <v>12</v>
      </c>
      <c r="D34" s="268" t="s">
        <v>992</v>
      </c>
      <c r="E34" s="267" t="s">
        <v>920</v>
      </c>
    </row>
    <row r="35" spans="1:5" ht="15.95" customHeight="1">
      <c r="A35" s="267">
        <v>10295</v>
      </c>
      <c r="B35" s="268" t="s">
        <v>27</v>
      </c>
      <c r="C35" s="267">
        <v>63</v>
      </c>
      <c r="D35" s="268" t="s">
        <v>991</v>
      </c>
      <c r="E35" s="267" t="s">
        <v>920</v>
      </c>
    </row>
    <row r="36" spans="1:5" ht="15.95" customHeight="1">
      <c r="A36" s="267">
        <v>10309</v>
      </c>
      <c r="B36" s="268" t="s">
        <v>465</v>
      </c>
      <c r="C36" s="267">
        <v>148</v>
      </c>
      <c r="D36" s="268" t="s">
        <v>987</v>
      </c>
      <c r="E36" s="267" t="s">
        <v>920</v>
      </c>
    </row>
    <row r="37" spans="1:5" ht="15.95" customHeight="1">
      <c r="A37" s="267">
        <v>10372</v>
      </c>
      <c r="B37" s="268" t="s">
        <v>466</v>
      </c>
      <c r="C37" s="267">
        <v>206</v>
      </c>
      <c r="D37" s="268" t="s">
        <v>998</v>
      </c>
      <c r="E37" s="267" t="s">
        <v>920</v>
      </c>
    </row>
    <row r="38" spans="1:5" ht="15.95" customHeight="1">
      <c r="A38" s="267">
        <v>10391</v>
      </c>
      <c r="B38" s="268" t="s">
        <v>55</v>
      </c>
      <c r="C38" s="267">
        <v>145</v>
      </c>
      <c r="D38" s="268" t="s">
        <v>987</v>
      </c>
      <c r="E38" s="267" t="s">
        <v>920</v>
      </c>
    </row>
    <row r="39" spans="1:5" ht="15.95" customHeight="1">
      <c r="A39" s="267">
        <v>10405</v>
      </c>
      <c r="B39" s="268" t="s">
        <v>471</v>
      </c>
      <c r="C39" s="267">
        <v>126</v>
      </c>
      <c r="D39" s="268" t="s">
        <v>986</v>
      </c>
      <c r="E39" s="267" t="s">
        <v>920</v>
      </c>
    </row>
    <row r="40" spans="1:5" ht="15.95" customHeight="1">
      <c r="A40" s="267">
        <v>10433</v>
      </c>
      <c r="B40" s="268" t="s">
        <v>474</v>
      </c>
      <c r="C40" s="267">
        <v>64</v>
      </c>
      <c r="D40" s="268" t="s">
        <v>991</v>
      </c>
      <c r="E40" s="267" t="s">
        <v>920</v>
      </c>
    </row>
    <row r="41" spans="1:5" ht="15.95" customHeight="1">
      <c r="A41" s="267">
        <v>10600</v>
      </c>
      <c r="B41" s="268" t="s">
        <v>269</v>
      </c>
      <c r="C41" s="267">
        <v>219</v>
      </c>
      <c r="D41" s="268" t="s">
        <v>998</v>
      </c>
      <c r="E41" s="267" t="s">
        <v>920</v>
      </c>
    </row>
    <row r="42" spans="1:5" ht="15.95" customHeight="1">
      <c r="A42" s="267">
        <v>10656</v>
      </c>
      <c r="B42" s="268" t="s">
        <v>33</v>
      </c>
      <c r="C42" s="267">
        <v>99</v>
      </c>
      <c r="D42" s="268" t="s">
        <v>994</v>
      </c>
      <c r="E42" s="267" t="s">
        <v>920</v>
      </c>
    </row>
    <row r="43" spans="1:5" ht="15.95" customHeight="1">
      <c r="A43" s="267">
        <v>10750</v>
      </c>
      <c r="B43" s="268" t="s">
        <v>154</v>
      </c>
      <c r="C43" s="267">
        <v>230</v>
      </c>
      <c r="D43" s="268" t="s">
        <v>993</v>
      </c>
      <c r="E43" s="267" t="s">
        <v>920</v>
      </c>
    </row>
    <row r="44" spans="1:5" ht="15.95" customHeight="1">
      <c r="A44" s="267">
        <v>10764</v>
      </c>
      <c r="B44" s="268" t="s">
        <v>487</v>
      </c>
      <c r="C44" s="267">
        <v>180</v>
      </c>
      <c r="D44" s="268" t="s">
        <v>988</v>
      </c>
      <c r="E44" s="267" t="s">
        <v>920</v>
      </c>
    </row>
    <row r="45" spans="1:5" ht="15.95" customHeight="1">
      <c r="A45" s="267">
        <v>10862</v>
      </c>
      <c r="B45" s="268" t="s">
        <v>23</v>
      </c>
      <c r="C45" s="267">
        <v>5</v>
      </c>
      <c r="D45" s="268" t="s">
        <v>992</v>
      </c>
      <c r="E45" s="267" t="s">
        <v>920</v>
      </c>
    </row>
    <row r="46" spans="1:5" ht="15.95" customHeight="1">
      <c r="A46" s="267">
        <v>10997</v>
      </c>
      <c r="B46" s="268" t="s">
        <v>23</v>
      </c>
      <c r="C46" s="267">
        <v>13</v>
      </c>
      <c r="D46" s="268" t="s">
        <v>992</v>
      </c>
      <c r="E46" s="267" t="s">
        <v>920</v>
      </c>
    </row>
    <row r="47" spans="1:5" ht="15.95" customHeight="1">
      <c r="A47" s="267">
        <v>11121</v>
      </c>
      <c r="B47" s="268" t="s">
        <v>497</v>
      </c>
      <c r="C47" s="267">
        <v>179</v>
      </c>
      <c r="D47" s="268" t="s">
        <v>988</v>
      </c>
      <c r="E47" s="267" t="s">
        <v>920</v>
      </c>
    </row>
    <row r="48" spans="1:5" ht="15.95" customHeight="1">
      <c r="A48" s="267">
        <v>11282</v>
      </c>
      <c r="B48" s="268" t="s">
        <v>501</v>
      </c>
      <c r="C48" s="267">
        <v>225</v>
      </c>
      <c r="D48" s="268" t="s">
        <v>993</v>
      </c>
      <c r="E48" s="267" t="s">
        <v>920</v>
      </c>
    </row>
    <row r="49" spans="1:5" ht="15.95" customHeight="1">
      <c r="A49" s="267">
        <v>11420</v>
      </c>
      <c r="B49" s="268" t="s">
        <v>506</v>
      </c>
      <c r="C49" s="267">
        <v>171</v>
      </c>
      <c r="D49" s="268" t="s">
        <v>988</v>
      </c>
      <c r="E49" s="267" t="s">
        <v>920</v>
      </c>
    </row>
    <row r="50" spans="1:5" ht="15.95" customHeight="1">
      <c r="A50" s="373">
        <v>11620</v>
      </c>
      <c r="B50" s="373" t="s">
        <v>90</v>
      </c>
      <c r="C50" s="373">
        <v>237</v>
      </c>
      <c r="D50" s="373" t="s">
        <v>995</v>
      </c>
      <c r="E50" s="374" t="s">
        <v>920</v>
      </c>
    </row>
    <row r="51" spans="1:5" ht="15.95" customHeight="1">
      <c r="A51" s="267">
        <v>11662</v>
      </c>
      <c r="B51" s="268" t="s">
        <v>515</v>
      </c>
      <c r="C51" s="267">
        <v>97</v>
      </c>
      <c r="D51" s="268" t="s">
        <v>994</v>
      </c>
      <c r="E51" s="267" t="s">
        <v>920</v>
      </c>
    </row>
    <row r="52" spans="1:5" ht="15.95" customHeight="1">
      <c r="A52" s="267">
        <v>11771</v>
      </c>
      <c r="B52" s="268" t="s">
        <v>263</v>
      </c>
      <c r="C52" s="267">
        <v>116</v>
      </c>
      <c r="D52" s="268" t="s">
        <v>989</v>
      </c>
      <c r="E52" s="267" t="s">
        <v>920</v>
      </c>
    </row>
    <row r="53" spans="1:5" ht="15.95" customHeight="1">
      <c r="A53" s="267">
        <v>11869</v>
      </c>
      <c r="B53" s="268" t="s">
        <v>524</v>
      </c>
      <c r="C53" s="267">
        <v>124</v>
      </c>
      <c r="D53" s="268" t="s">
        <v>986</v>
      </c>
      <c r="E53" s="267" t="s">
        <v>920</v>
      </c>
    </row>
    <row r="54" spans="1:5" ht="15.95" customHeight="1">
      <c r="A54" s="267">
        <v>12034</v>
      </c>
      <c r="B54" s="268" t="s">
        <v>66</v>
      </c>
      <c r="C54" s="267">
        <v>206</v>
      </c>
      <c r="D54" s="268" t="s">
        <v>998</v>
      </c>
      <c r="E54" s="267" t="s">
        <v>920</v>
      </c>
    </row>
    <row r="55" spans="1:5" ht="15.95" customHeight="1">
      <c r="A55" s="267">
        <v>12081</v>
      </c>
      <c r="B55" s="268" t="s">
        <v>43</v>
      </c>
      <c r="C55" s="267">
        <v>180</v>
      </c>
      <c r="D55" s="268" t="s">
        <v>988</v>
      </c>
      <c r="E55" s="267" t="s">
        <v>920</v>
      </c>
    </row>
    <row r="56" spans="1:5" ht="15.95" customHeight="1">
      <c r="A56" s="267">
        <v>12234</v>
      </c>
      <c r="B56" s="268" t="s">
        <v>999</v>
      </c>
      <c r="C56" s="267">
        <v>218</v>
      </c>
      <c r="D56" s="268" t="s">
        <v>998</v>
      </c>
      <c r="E56" s="267" t="s">
        <v>920</v>
      </c>
    </row>
    <row r="57" spans="1:5" ht="15.95" customHeight="1">
      <c r="A57" s="267">
        <v>12474</v>
      </c>
      <c r="B57" s="268" t="s">
        <v>33</v>
      </c>
      <c r="C57" s="267">
        <v>97</v>
      </c>
      <c r="D57" s="268" t="s">
        <v>994</v>
      </c>
      <c r="E57" s="267" t="s">
        <v>920</v>
      </c>
    </row>
    <row r="58" spans="1:5" ht="15.95" customHeight="1">
      <c r="A58" s="267">
        <v>12500</v>
      </c>
      <c r="B58" s="268" t="s">
        <v>29</v>
      </c>
      <c r="C58" s="267">
        <v>99</v>
      </c>
      <c r="D58" s="268" t="s">
        <v>994</v>
      </c>
      <c r="E58" s="267" t="s">
        <v>920</v>
      </c>
    </row>
    <row r="59" spans="1:5" ht="15.95" customHeight="1">
      <c r="A59" s="267">
        <v>12552</v>
      </c>
      <c r="B59" s="268" t="s">
        <v>547</v>
      </c>
      <c r="C59" s="267">
        <v>214</v>
      </c>
      <c r="D59" s="268" t="s">
        <v>998</v>
      </c>
      <c r="E59" s="267" t="s">
        <v>920</v>
      </c>
    </row>
    <row r="60" spans="1:5" ht="15.95" customHeight="1">
      <c r="A60" s="267">
        <v>12575</v>
      </c>
      <c r="B60" s="268" t="s">
        <v>143</v>
      </c>
      <c r="C60" s="267">
        <v>31</v>
      </c>
      <c r="D60" s="268" t="s">
        <v>996</v>
      </c>
      <c r="E60" s="267" t="s">
        <v>920</v>
      </c>
    </row>
    <row r="61" spans="1:5" ht="15.95" customHeight="1">
      <c r="A61" s="267">
        <v>12602</v>
      </c>
      <c r="B61" s="268" t="s">
        <v>33</v>
      </c>
      <c r="C61" s="267">
        <v>98</v>
      </c>
      <c r="D61" s="268" t="s">
        <v>994</v>
      </c>
      <c r="E61" s="267" t="s">
        <v>920</v>
      </c>
    </row>
    <row r="62" spans="1:5" ht="15.95" customHeight="1">
      <c r="A62" s="267">
        <v>12789</v>
      </c>
      <c r="B62" s="268" t="s">
        <v>999</v>
      </c>
      <c r="C62" s="267">
        <v>219</v>
      </c>
      <c r="D62" s="268" t="s">
        <v>998</v>
      </c>
      <c r="E62" s="267" t="s">
        <v>920</v>
      </c>
    </row>
    <row r="63" spans="1:5" ht="15.95" customHeight="1">
      <c r="A63" s="373">
        <v>12828</v>
      </c>
      <c r="B63" s="373" t="s">
        <v>228</v>
      </c>
      <c r="C63" s="373">
        <v>241</v>
      </c>
      <c r="D63" s="373" t="s">
        <v>990</v>
      </c>
      <c r="E63" s="374" t="s">
        <v>920</v>
      </c>
    </row>
    <row r="64" spans="1:5" ht="15.95" customHeight="1">
      <c r="A64" s="267">
        <v>12837</v>
      </c>
      <c r="B64" s="268" t="s">
        <v>33</v>
      </c>
      <c r="C64" s="267">
        <v>98</v>
      </c>
      <c r="D64" s="268" t="s">
        <v>994</v>
      </c>
      <c r="E64" s="267" t="s">
        <v>920</v>
      </c>
    </row>
    <row r="65" spans="1:5" ht="15.95" customHeight="1">
      <c r="A65" s="267">
        <v>13041</v>
      </c>
      <c r="B65" s="268" t="s">
        <v>27</v>
      </c>
      <c r="C65" s="267">
        <v>62</v>
      </c>
      <c r="D65" s="268" t="s">
        <v>991</v>
      </c>
      <c r="E65" s="267" t="s">
        <v>920</v>
      </c>
    </row>
    <row r="66" spans="1:5" ht="15.95" customHeight="1">
      <c r="A66" s="267">
        <v>13135</v>
      </c>
      <c r="B66" s="268" t="s">
        <v>562</v>
      </c>
      <c r="C66" s="267">
        <v>218</v>
      </c>
      <c r="D66" s="268" t="s">
        <v>998</v>
      </c>
      <c r="E66" s="267" t="s">
        <v>920</v>
      </c>
    </row>
    <row r="67" spans="1:5" ht="15.95" customHeight="1">
      <c r="A67" s="267">
        <v>13173</v>
      </c>
      <c r="B67" s="268" t="s">
        <v>235</v>
      </c>
      <c r="C67" s="267">
        <v>218</v>
      </c>
      <c r="D67" s="268" t="s">
        <v>998</v>
      </c>
      <c r="E67" s="267" t="s">
        <v>920</v>
      </c>
    </row>
    <row r="68" spans="1:5" ht="15.95" customHeight="1">
      <c r="A68" s="267">
        <v>13245</v>
      </c>
      <c r="B68" s="268" t="s">
        <v>567</v>
      </c>
      <c r="C68" s="267">
        <v>162</v>
      </c>
      <c r="D68" s="268" t="s">
        <v>987</v>
      </c>
      <c r="E68" s="267" t="s">
        <v>920</v>
      </c>
    </row>
    <row r="69" spans="1:5" ht="15.95" customHeight="1">
      <c r="A69" s="267">
        <v>13257</v>
      </c>
      <c r="B69" s="268" t="s">
        <v>569</v>
      </c>
      <c r="C69" s="267">
        <v>177</v>
      </c>
      <c r="D69" s="268" t="s">
        <v>988</v>
      </c>
      <c r="E69" s="267" t="s">
        <v>920</v>
      </c>
    </row>
    <row r="70" spans="1:5" ht="15.95" customHeight="1">
      <c r="A70" s="267">
        <v>13287</v>
      </c>
      <c r="B70" s="268" t="s">
        <v>999</v>
      </c>
      <c r="C70" s="267">
        <v>219</v>
      </c>
      <c r="D70" s="268" t="s">
        <v>998</v>
      </c>
      <c r="E70" s="267" t="s">
        <v>920</v>
      </c>
    </row>
    <row r="71" spans="1:5" ht="15.95" customHeight="1">
      <c r="A71" s="267">
        <v>13317</v>
      </c>
      <c r="B71" s="268" t="s">
        <v>143</v>
      </c>
      <c r="C71" s="267">
        <v>31</v>
      </c>
      <c r="D71" s="268" t="s">
        <v>996</v>
      </c>
      <c r="E71" s="267" t="s">
        <v>920</v>
      </c>
    </row>
    <row r="72" spans="1:5" ht="15.95" customHeight="1">
      <c r="A72" s="267">
        <v>13439</v>
      </c>
      <c r="B72" s="268" t="s">
        <v>90</v>
      </c>
      <c r="C72" s="267">
        <v>232</v>
      </c>
      <c r="D72" s="268" t="s">
        <v>995</v>
      </c>
      <c r="E72" s="267" t="s">
        <v>920</v>
      </c>
    </row>
    <row r="73" spans="1:5" ht="15.95" customHeight="1">
      <c r="A73" s="267">
        <v>13572</v>
      </c>
      <c r="B73" s="268" t="s">
        <v>1291</v>
      </c>
      <c r="C73" s="267">
        <v>61</v>
      </c>
      <c r="D73" s="268" t="s">
        <v>991</v>
      </c>
      <c r="E73" s="267" t="s">
        <v>920</v>
      </c>
    </row>
    <row r="74" spans="1:5" ht="15.95" customHeight="1">
      <c r="A74" s="267">
        <v>13876</v>
      </c>
      <c r="B74" s="268" t="s">
        <v>123</v>
      </c>
      <c r="C74" s="267">
        <v>219</v>
      </c>
      <c r="D74" s="268" t="s">
        <v>998</v>
      </c>
      <c r="E74" s="267" t="s">
        <v>920</v>
      </c>
    </row>
    <row r="75" spans="1:5" ht="15.95" customHeight="1">
      <c r="A75" s="267">
        <v>13940</v>
      </c>
      <c r="B75" s="268" t="s">
        <v>33</v>
      </c>
      <c r="C75" s="267">
        <v>96</v>
      </c>
      <c r="D75" s="268" t="s">
        <v>994</v>
      </c>
      <c r="E75" s="267" t="s">
        <v>920</v>
      </c>
    </row>
    <row r="76" spans="1:5" ht="15.95" customHeight="1">
      <c r="A76" s="267">
        <v>13957</v>
      </c>
      <c r="B76" s="268" t="s">
        <v>582</v>
      </c>
      <c r="C76" s="267">
        <v>57</v>
      </c>
      <c r="D76" s="268" t="s">
        <v>991</v>
      </c>
      <c r="E76" s="267" t="s">
        <v>920</v>
      </c>
    </row>
    <row r="77" spans="1:5" ht="15.95" customHeight="1">
      <c r="A77" s="267">
        <v>13970</v>
      </c>
      <c r="B77" s="268" t="s">
        <v>43</v>
      </c>
      <c r="C77" s="267">
        <v>169</v>
      </c>
      <c r="D77" s="268" t="s">
        <v>988</v>
      </c>
      <c r="E77" s="267" t="s">
        <v>920</v>
      </c>
    </row>
    <row r="78" spans="1:5" ht="15.95" customHeight="1">
      <c r="A78" s="267">
        <v>14058</v>
      </c>
      <c r="B78" s="268" t="s">
        <v>33</v>
      </c>
      <c r="C78" s="267">
        <v>98</v>
      </c>
      <c r="D78" s="268" t="s">
        <v>994</v>
      </c>
      <c r="E78" s="267" t="s">
        <v>920</v>
      </c>
    </row>
    <row r="79" spans="1:5" ht="15.95" customHeight="1">
      <c r="A79" s="373">
        <v>14316</v>
      </c>
      <c r="B79" s="373" t="s">
        <v>90</v>
      </c>
      <c r="C79" s="373">
        <v>234</v>
      </c>
      <c r="D79" s="373" t="s">
        <v>995</v>
      </c>
      <c r="E79" s="374" t="s">
        <v>920</v>
      </c>
    </row>
    <row r="80" spans="1:5" ht="15.95" customHeight="1">
      <c r="A80" s="267">
        <v>14355</v>
      </c>
      <c r="B80" s="268" t="s">
        <v>47</v>
      </c>
      <c r="C80" s="267">
        <v>123</v>
      </c>
      <c r="D80" s="268" t="s">
        <v>986</v>
      </c>
      <c r="E80" s="267" t="s">
        <v>920</v>
      </c>
    </row>
    <row r="81" spans="1:5" ht="15.95" customHeight="1">
      <c r="A81" s="267">
        <v>14369</v>
      </c>
      <c r="B81" s="268" t="s">
        <v>584</v>
      </c>
      <c r="C81" s="267">
        <v>166</v>
      </c>
      <c r="D81" s="268" t="s">
        <v>988</v>
      </c>
      <c r="E81" s="267" t="s">
        <v>920</v>
      </c>
    </row>
    <row r="82" spans="1:5">
      <c r="A82" s="267">
        <v>14741</v>
      </c>
      <c r="B82" s="268" t="s">
        <v>592</v>
      </c>
      <c r="C82" s="267">
        <v>159</v>
      </c>
      <c r="D82" s="268" t="s">
        <v>987</v>
      </c>
      <c r="E82" s="267" t="s">
        <v>920</v>
      </c>
    </row>
    <row r="83" spans="1:5">
      <c r="A83" s="373">
        <v>14805</v>
      </c>
      <c r="B83" s="373" t="s">
        <v>593</v>
      </c>
      <c r="C83" s="373">
        <v>238</v>
      </c>
      <c r="D83" s="373" t="s">
        <v>995</v>
      </c>
      <c r="E83" s="374" t="s">
        <v>920</v>
      </c>
    </row>
    <row r="84" spans="1:5">
      <c r="A84" s="267">
        <v>14872</v>
      </c>
      <c r="B84" s="268" t="s">
        <v>263</v>
      </c>
      <c r="C84" s="267">
        <v>116</v>
      </c>
      <c r="D84" s="268" t="s">
        <v>989</v>
      </c>
      <c r="E84" s="267" t="s">
        <v>920</v>
      </c>
    </row>
    <row r="85" spans="1:5">
      <c r="A85" s="267">
        <v>15104</v>
      </c>
      <c r="B85" s="268" t="s">
        <v>43</v>
      </c>
      <c r="C85" s="267">
        <v>180</v>
      </c>
      <c r="D85" s="268" t="s">
        <v>988</v>
      </c>
      <c r="E85" s="267" t="s">
        <v>920</v>
      </c>
    </row>
    <row r="86" spans="1:5">
      <c r="A86" s="267">
        <v>15233</v>
      </c>
      <c r="B86" s="268" t="s">
        <v>66</v>
      </c>
      <c r="C86" s="267">
        <v>206</v>
      </c>
      <c r="D86" s="268" t="s">
        <v>998</v>
      </c>
      <c r="E86" s="267" t="s">
        <v>920</v>
      </c>
    </row>
    <row r="87" spans="1:5">
      <c r="A87" s="267">
        <v>15246</v>
      </c>
      <c r="B87" s="268" t="s">
        <v>90</v>
      </c>
      <c r="C87" s="267">
        <v>232</v>
      </c>
      <c r="D87" s="268" t="s">
        <v>995</v>
      </c>
      <c r="E87" s="267" t="s">
        <v>920</v>
      </c>
    </row>
    <row r="88" spans="1:5">
      <c r="A88" s="267">
        <v>15828</v>
      </c>
      <c r="B88" s="268" t="s">
        <v>43</v>
      </c>
      <c r="C88" s="267">
        <v>168</v>
      </c>
      <c r="D88" s="268" t="s">
        <v>988</v>
      </c>
      <c r="E88" s="267" t="s">
        <v>920</v>
      </c>
    </row>
    <row r="89" spans="1:5">
      <c r="A89" s="267">
        <v>16063</v>
      </c>
      <c r="B89" s="268" t="s">
        <v>27</v>
      </c>
      <c r="C89" s="267">
        <v>64</v>
      </c>
      <c r="D89" s="268" t="s">
        <v>991</v>
      </c>
      <c r="E89" s="267" t="s">
        <v>920</v>
      </c>
    </row>
    <row r="90" spans="1:5">
      <c r="A90" s="373">
        <v>16074</v>
      </c>
      <c r="B90" s="373" t="s">
        <v>90</v>
      </c>
      <c r="C90" s="373">
        <v>236</v>
      </c>
      <c r="D90" s="373" t="s">
        <v>995</v>
      </c>
      <c r="E90" s="374" t="s">
        <v>920</v>
      </c>
    </row>
    <row r="91" spans="1:5">
      <c r="A91" s="267">
        <v>16158</v>
      </c>
      <c r="B91" s="268" t="s">
        <v>33</v>
      </c>
      <c r="C91" s="267">
        <v>99</v>
      </c>
      <c r="D91" s="268" t="s">
        <v>994</v>
      </c>
      <c r="E91" s="267" t="s">
        <v>920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10040</v>
      </c>
      <c r="B3" t="str">
        <f>IF(ISNA(VLOOKUP($A3,Councils!$B$6:$AE$841,3,0)),0,VLOOKUP($A3,Councils!$B$6:$AE$841,3,0))</f>
        <v>Brownsville</v>
      </c>
      <c r="C3">
        <f>IF(ISNA(VLOOKUP($A3,Councils!$B$6:$AE$841,4,0)),0,VLOOKUP($A3,Councils!$B$6:$AE$841,4,0))</f>
        <v>24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 t="shared" ref="K3:K6" si="0"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 t="shared" ref="T3:T6" si="1"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10372</v>
      </c>
      <c r="B4" t="str">
        <f>IF(ISNA(VLOOKUP($A4,Councils!$B$6:$AE$841,3,0)),0,VLOOKUP($A4,Councils!$B$6:$AE$841,3,0))</f>
        <v>Los Fresnos</v>
      </c>
      <c r="C4">
        <f>IF(ISNA(VLOOKUP($A4,Councils!$B$6:$AE$841,4,0)),0,VLOOKUP($A4,Councils!$B$6:$AE$841,4,0))</f>
        <v>64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 t="shared" si="0"/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 t="shared" si="1"/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12034</v>
      </c>
      <c r="B5" t="str">
        <f>IF(ISNA(VLOOKUP($A5,Councils!$B$6:$AE$841,3,0)),0,VLOOKUP($A5,Councils!$B$6:$AE$841,3,0))</f>
        <v>Brownsville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si="0"/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 t="shared" si="1"/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15233</v>
      </c>
      <c r="B6" t="str">
        <f>IF(ISNA(VLOOKUP($A6,Councils!$B$6:$AE$841,3,0)),0,VLOOKUP($A6,Councils!$B$6:$AE$841,3,0))</f>
        <v>Brownsville</v>
      </c>
      <c r="C6">
        <f>IF(ISNA(VLOOKUP($A6,Councils!$B$6:$AE$841,4,0)),0,VLOOKUP($A6,Councils!$B$6:$AE$841,4,0))</f>
        <v>43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 t="shared" si="1"/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8298</v>
      </c>
      <c r="B3" t="str">
        <f>IF(ISNA(VLOOKUP($A3,Councils!$B$6:$AE$841,3,0)),0,VLOOKUP($A3,Councils!$B$6:$AE$841,3,0))</f>
        <v>Mcallen</v>
      </c>
      <c r="C3">
        <f>IF(ISNA(VLOOKUP($A3,Councils!$B$6:$AE$841,4,0)),0,VLOOKUP($A3,Councils!$B$6:$AE$841,4,0))</f>
        <v>335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3</v>
      </c>
      <c r="K3" s="63">
        <f>IFERROR(J3/D3,0)</f>
        <v>0.17647058823529413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12040</v>
      </c>
      <c r="B4" t="str">
        <f>IF(ISNA(VLOOKUP($A4,Councils!$B$6:$AE$841,3,0)),0,VLOOKUP($A4,Councils!$B$6:$AE$841,3,0))</f>
        <v>Mcallen</v>
      </c>
      <c r="C4">
        <f>IF(ISNA(VLOOKUP($A4,Councils!$B$6:$AE$841,4,0)),0,VLOOKUP($A4,Councils!$B$6:$AE$841,4,0))</f>
        <v>243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1</v>
      </c>
    </row>
    <row r="5" spans="1:22">
      <c r="A5" s="50">
        <v>15362</v>
      </c>
      <c r="B5" t="str">
        <f>IF(ISNA(VLOOKUP($A5,Councils!$B$6:$AE$841,3,0)),0,VLOOKUP($A5,Councils!$B$6:$AE$841,3,0))</f>
        <v>Mcallen</v>
      </c>
      <c r="C5">
        <f>IF(ISNA(VLOOKUP($A5,Councils!$B$6:$AE$841,4,0)),0,VLOOKUP($A5,Councils!$B$6:$AE$841,4,0))</f>
        <v>140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0.5714285714285714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3493</v>
      </c>
      <c r="B3" t="str">
        <f>IF(ISNA(VLOOKUP($A3,Councils!$B$6:$AE$841,3,0)),0,VLOOKUP($A3,Councils!$B$6:$AE$841,3,0))</f>
        <v>San Benito</v>
      </c>
      <c r="C3">
        <f>IF(ISNA(VLOOKUP($A3,Councils!$B$6:$AE$841,4,0)),0,VLOOKUP($A3,Councils!$B$6:$AE$841,4,0))</f>
        <v>283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11070</v>
      </c>
      <c r="B4" t="str">
        <f>IF(ISNA(VLOOKUP($A4,Councils!$B$6:$AE$841,3,0)),0,VLOOKUP($A4,Councils!$B$6:$AE$841,3,0))</f>
        <v>Harlingen</v>
      </c>
      <c r="C4">
        <f>IF(ISNA(VLOOKUP($A4,Councils!$B$6:$AE$841,4,0)),0,VLOOKUP($A4,Councils!$B$6:$AE$841,4,0))</f>
        <v>116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12535</v>
      </c>
      <c r="B5" t="str">
        <f>IF(ISNA(VLOOKUP($A5,Councils!$B$6:$AE$841,3,0)),0,VLOOKUP($A5,Councils!$B$6:$AE$841,3,0))</f>
        <v>Harlingen</v>
      </c>
      <c r="C5">
        <f>IF(ISNA(VLOOKUP($A5,Councils!$B$6:$AE$841,4,0)),0,VLOOKUP($A5,Councils!$B$6:$AE$841,4,0))</f>
        <v>48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15301</v>
      </c>
      <c r="B6" t="str">
        <f>IF(ISNA(VLOOKUP($A6,Councils!$B$6:$AE$841,3,0)),0,VLOOKUP($A6,Councils!$B$6:$AE$841,3,0))</f>
        <v>Harlingen</v>
      </c>
      <c r="C6">
        <f>IF(ISNA(VLOOKUP($A6,Councils!$B$6:$AE$841,4,0)),0,VLOOKUP($A6,Councils!$B$6:$AE$841,4,0))</f>
        <v>65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5598</v>
      </c>
      <c r="B3" t="str">
        <f>IF(ISNA(VLOOKUP($A3,Councils!$B$6:$AE$841,3,0)),0,VLOOKUP($A3,Councils!$B$6:$AE$841,3,0))</f>
        <v>Edinburg</v>
      </c>
      <c r="C3">
        <f>IF(ISNA(VLOOKUP($A3,Councils!$B$6:$AE$841,4,0)),0,VLOOKUP($A3,Councils!$B$6:$AE$841,4,0))</f>
        <v>118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1</v>
      </c>
      <c r="K3" s="63">
        <f>IFERROR(J3/D3,0)</f>
        <v>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11840</v>
      </c>
      <c r="B4" t="str">
        <f>IF(ISNA(VLOOKUP($A4,Councils!$B$6:$AE$841,3,0)),0,VLOOKUP($A4,Councils!$B$6:$AE$841,3,0))</f>
        <v>Alton</v>
      </c>
      <c r="C4">
        <f>IF(ISNA(VLOOKUP($A4,Councils!$B$6:$AE$841,4,0)),0,VLOOKUP($A4,Councils!$B$6:$AE$841,4,0))</f>
        <v>54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15262</v>
      </c>
      <c r="B5" t="str">
        <f>IF(ISNA(VLOOKUP($A5,Councils!$B$6:$AE$841,3,0)),0,VLOOKUP($A5,Councils!$B$6:$AE$841,3,0))</f>
        <v>Edinburg</v>
      </c>
      <c r="C5">
        <f>IF(ISNA(VLOOKUP($A5,Councils!$B$6:$AE$841,4,0)),0,VLOOKUP($A5,Councils!$B$6:$AE$841,4,0))</f>
        <v>184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5</v>
      </c>
      <c r="J5">
        <f>IF(ISNA(VLOOKUP($A5,Councils!$B$6:$AE$841,11,0)),0,VLOOKUP($A5,Councils!$B$6:$AE$841,11,0))</f>
        <v>-1</v>
      </c>
      <c r="K5" s="63">
        <f>IFERROR(J5/D5,0)</f>
        <v>-0.1111111111111111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15661</v>
      </c>
      <c r="B6" t="str">
        <f>IF(ISNA(VLOOKUP($A6,Councils!$B$6:$AE$841,3,0)),0,VLOOKUP($A6,Councils!$B$6:$AE$841,3,0))</f>
        <v>Edinburg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1553</v>
      </c>
      <c r="B3" t="str">
        <f>IF(ISNA(VLOOKUP($A3,Councils!$B$6:$AE$841,3,0)),0,VLOOKUP($A3,Councils!$B$6:$AE$841,3,0))</f>
        <v>Brownsville</v>
      </c>
      <c r="C3">
        <f>IF(ISNA(VLOOKUP($A3,Councils!$B$6:$AE$841,4,0)),0,VLOOKUP($A3,Councils!$B$6:$AE$841,4,0))</f>
        <v>254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4779</v>
      </c>
      <c r="B4" t="str">
        <f>IF(ISNA(VLOOKUP($A4,Councils!$B$6:$AE$841,3,0)),0,VLOOKUP($A4,Councils!$B$6:$AE$841,3,0))</f>
        <v>Port Isabel</v>
      </c>
      <c r="C4">
        <f>IF(ISNA(VLOOKUP($A4,Councils!$B$6:$AE$841,4,0)),0,VLOOKUP($A4,Councils!$B$6:$AE$841,4,0))</f>
        <v>68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13978</v>
      </c>
      <c r="B5" t="str">
        <f>IF(ISNA(VLOOKUP($A5,Councils!$B$6:$AE$841,3,0)),0,VLOOKUP($A5,Councils!$B$6:$AE$841,3,0))</f>
        <v>Brownsville</v>
      </c>
      <c r="C5">
        <f>IF(ISNA(VLOOKUP($A5,Councils!$B$6:$AE$841,4,0)),0,VLOOKUP($A5,Councils!$B$6:$AE$841,4,0))</f>
        <v>78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2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2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0.75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15448</v>
      </c>
      <c r="B6" t="str">
        <f>IF(ISNA(VLOOKUP($A6,Councils!$B$6:$AE$841,3,0)),0,VLOOKUP($A6,Councils!$B$6:$AE$841,3,0))</f>
        <v>Brownsville</v>
      </c>
      <c r="C6">
        <f>IF(ISNA(VLOOKUP($A6,Councils!$B$6:$AE$841,4,0)),0,VLOOKUP($A6,Councils!$B$6:$AE$841,4,0))</f>
        <v>174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10</v>
      </c>
      <c r="K6" s="63">
        <f>IFERROR(J6/D6,0)</f>
        <v>1.1111111111111112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1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9698</v>
      </c>
      <c r="B3" t="str">
        <f>IF(ISNA(VLOOKUP($A3,Councils!$B$6:$AE$841,3,0)),0,VLOOKUP($A3,Councils!$B$6:$AE$841,3,0))</f>
        <v>Elsa</v>
      </c>
      <c r="C3">
        <f>IF(ISNA(VLOOKUP($A3,Councils!$B$6:$AE$841,4,0)),0,VLOOKUP($A3,Councils!$B$6:$AE$841,4,0))</f>
        <v>52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11897</v>
      </c>
      <c r="B4" t="str">
        <f>IF(ISNA(VLOOKUP($A4,Councils!$B$6:$AE$841,3,0)),0,VLOOKUP($A4,Councils!$B$6:$AE$841,3,0))</f>
        <v>Edcouch/La Villa</v>
      </c>
      <c r="C4">
        <f>IF(ISNA(VLOOKUP($A4,Councils!$B$6:$AE$841,4,0)),0,VLOOKUP($A4,Councils!$B$6:$AE$841,4,0))</f>
        <v>47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15776</v>
      </c>
      <c r="B5" t="str">
        <f>IF(ISNA(VLOOKUP($A5,Councils!$B$6:$AE$841,3,0)),0,VLOOKUP($A5,Councils!$B$6:$AE$841,3,0))</f>
        <v>La Villa</v>
      </c>
      <c r="C5">
        <f>IF(ISNA(VLOOKUP($A5,Councils!$B$6:$AE$841,4,0)),0,VLOOKUP($A5,Councils!$B$6:$AE$841,4,0))</f>
        <v>30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2597</v>
      </c>
      <c r="B3" t="str">
        <f>IF(ISNA(VLOOKUP($A3,Councils!$B$6:$AE$841,3,0)),0,VLOOKUP($A3,Councils!$B$6:$AE$841,3,0))</f>
        <v>Rio Grande City</v>
      </c>
      <c r="C3">
        <f>IF(ISNA(VLOOKUP($A3,Councils!$B$6:$AE$841,4,0)),0,VLOOKUP($A3,Councils!$B$6:$AE$841,4,0))</f>
        <v>344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5.8823529411764705E-2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3367</v>
      </c>
      <c r="B4" t="str">
        <f>IF(ISNA(VLOOKUP($A4,Councils!$B$6:$AE$841,3,0)),0,VLOOKUP($A4,Councils!$B$6:$AE$841,3,0))</f>
        <v>Roma</v>
      </c>
      <c r="C4">
        <f>IF(ISNA(VLOOKUP($A4,Councils!$B$6:$AE$841,4,0)),0,VLOOKUP($A4,Councils!$B$6:$AE$841,4,0))</f>
        <v>156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1</v>
      </c>
    </row>
    <row r="5" spans="1:22">
      <c r="A5" s="50">
        <v>3919</v>
      </c>
      <c r="B5" t="str">
        <f>IF(ISNA(VLOOKUP($A5,Councils!$B$6:$AE$841,3,0)),0,VLOOKUP($A5,Councils!$B$6:$AE$841,3,0))</f>
        <v>San Isidro</v>
      </c>
      <c r="C5">
        <f>IF(ISNA(VLOOKUP($A5,Councils!$B$6:$AE$841,4,0)),0,VLOOKUP($A5,Councils!$B$6:$AE$841,4,0))</f>
        <v>40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9982</v>
      </c>
      <c r="B6" t="str">
        <f>IF(ISNA(VLOOKUP($A6,Councils!$B$6:$AE$841,3,0)),0,VLOOKUP($A6,Councils!$B$6:$AE$841,3,0))</f>
        <v>Escobares</v>
      </c>
      <c r="C6">
        <f>IF(ISNA(VLOOKUP($A6,Councils!$B$6:$AE$841,4,0)),0,VLOOKUP($A6,Councils!$B$6:$AE$841,4,0))</f>
        <v>97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4554</v>
      </c>
      <c r="B3" t="str">
        <f>IF(ISNA(VLOOKUP($A3,Councils!$B$6:$AE$841,3,0)),0,VLOOKUP($A3,Councils!$B$6:$AE$841,3,0))</f>
        <v>Mercedes</v>
      </c>
      <c r="C3">
        <f>IF(ISNA(VLOOKUP($A3,Councils!$B$6:$AE$841,4,0)),0,VLOOKUP($A3,Councils!$B$6:$AE$841,4,0))</f>
        <v>135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12869</v>
      </c>
      <c r="B4" t="str">
        <f>IF(ISNA(VLOOKUP($A4,Councils!$B$6:$AE$841,3,0)),0,VLOOKUP($A4,Councils!$B$6:$AE$841,3,0))</f>
        <v>Mercedes</v>
      </c>
      <c r="C4">
        <f>IF(ISNA(VLOOKUP($A4,Councils!$B$6:$AE$841,4,0)),0,VLOOKUP($A4,Councils!$B$6:$AE$841,4,0))</f>
        <v>89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6</v>
      </c>
      <c r="J4">
        <f>IF(ISNA(VLOOKUP($A4,Councils!$B$6:$AE$841,11,0)),0,VLOOKUP($A4,Councils!$B$6:$AE$841,11,0))</f>
        <v>-5</v>
      </c>
      <c r="K4" s="63">
        <f>IFERROR(J4/D4,0)</f>
        <v>-1.25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-3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13232</v>
      </c>
      <c r="B5" t="str">
        <f>IF(ISNA(VLOOKUP($A5,Councils!$B$6:$AE$841,3,0)),0,VLOOKUP($A5,Councils!$B$6:$AE$841,3,0))</f>
        <v>Weslaco</v>
      </c>
      <c r="C5">
        <f>IF(ISNA(VLOOKUP($A5,Councils!$B$6:$AE$841,4,0)),0,VLOOKUP($A5,Councils!$B$6:$AE$841,4,0))</f>
        <v>126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16917</v>
      </c>
      <c r="B6" t="str">
        <f>IF(ISNA(VLOOKUP($A6,Councils!$B$6:$AE$841,3,0)),0,VLOOKUP($A6,Councils!$B$6:$AE$841,3,0))</f>
        <v>Weslaco</v>
      </c>
      <c r="C6">
        <f>IF(ISNA(VLOOKUP($A6,Councils!$B$6:$AE$841,4,0)),0,VLOOKUP($A6,Councils!$B$6:$AE$841,4,0))</f>
        <v>34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3098</v>
      </c>
      <c r="B3" t="str">
        <f>IF(ISNA(VLOOKUP($A3,Councils!$B$6:$AE$841,3,0)),0,VLOOKUP($A3,Councils!$B$6:$AE$841,3,0))</f>
        <v>Weslaco</v>
      </c>
      <c r="C3">
        <f>IF(ISNA(VLOOKUP($A3,Councils!$B$6:$AE$841,4,0)),0,VLOOKUP($A3,Councils!$B$6:$AE$841,4,0))</f>
        <v>133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10380</v>
      </c>
      <c r="B4" t="str">
        <f>IF(ISNA(VLOOKUP($A4,Councils!$B$6:$AE$841,3,0)),0,VLOOKUP($A4,Councils!$B$6:$AE$841,3,0))</f>
        <v>Alamo</v>
      </c>
      <c r="C4">
        <f>IF(ISNA(VLOOKUP($A4,Councils!$B$6:$AE$841,4,0)),0,VLOOKUP($A4,Councils!$B$6:$AE$841,4,0))</f>
        <v>88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12091</v>
      </c>
      <c r="B5" t="str">
        <f>IF(ISNA(VLOOKUP($A5,Councils!$B$6:$AE$841,3,0)),0,VLOOKUP($A5,Councils!$B$6:$AE$841,3,0))</f>
        <v>Donna</v>
      </c>
      <c r="C5">
        <f>IF(ISNA(VLOOKUP($A5,Councils!$B$6:$AE$841,4,0)),0,VLOOKUP($A5,Councils!$B$6:$AE$841,4,0))</f>
        <v>56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12552</v>
      </c>
      <c r="B6" t="str">
        <f>IF(ISNA(VLOOKUP($A6,Councils!$B$6:$AE$841,3,0)),0,VLOOKUP($A6,Councils!$B$6:$AE$841,3,0))</f>
        <v>San Juan</v>
      </c>
      <c r="C6">
        <f>IF(ISNA(VLOOKUP($A6,Councils!$B$6:$AE$841,4,0)),0,VLOOKUP($A6,Councils!$B$6:$AE$841,4,0))</f>
        <v>61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2698</v>
      </c>
      <c r="B3" t="str">
        <f>IF(ISNA(VLOOKUP($A3,Councils!$B$6:$AE$841,3,0)),0,VLOOKUP($A3,Councils!$B$6:$AE$841,3,0))</f>
        <v>Mission</v>
      </c>
      <c r="C3">
        <f>IF(ISNA(VLOOKUP($A3,Councils!$B$6:$AE$841,4,0)),0,VLOOKUP($A3,Councils!$B$6:$AE$841,4,0))</f>
        <v>158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3</v>
      </c>
      <c r="G3">
        <f>IF(ISNA(VLOOKUP($A3,Councils!$B$6:$AE$81023,0)),0,VLOOKUP($A3,Councils!$B$6:$AE$841,8,0))</f>
        <v>-3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3</v>
      </c>
      <c r="J3">
        <f>IF(ISNA(VLOOKUP($A3,Councils!$B$6:$AE$841,11,0)),0,VLOOKUP($A3,Councils!$B$6:$AE$841,11,0))</f>
        <v>-3</v>
      </c>
      <c r="K3" s="63">
        <f>IFERROR(J3/D3,0)</f>
        <v>-0.375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10887</v>
      </c>
      <c r="B4" t="str">
        <f>IF(ISNA(VLOOKUP($A4,Councils!$B$6:$AE$841,3,0)),0,VLOOKUP($A4,Councils!$B$6:$AE$841,3,0))</f>
        <v>Mission</v>
      </c>
      <c r="C4">
        <f>IF(ISNA(VLOOKUP($A4,Councils!$B$6:$AE$841,4,0)),0,VLOOKUP($A4,Councils!$B$6:$AE$841,4,0))</f>
        <v>45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12661</v>
      </c>
      <c r="B5" t="str">
        <f>IF(ISNA(VLOOKUP($A5,Councils!$B$6:$AE$841,3,0)),0,VLOOKUP($A5,Councils!$B$6:$AE$841,3,0))</f>
        <v>La Joya</v>
      </c>
      <c r="C5">
        <f>IF(ISNA(VLOOKUP($A5,Councils!$B$6:$AE$841,4,0)),0,VLOOKUP($A5,Councils!$B$6:$AE$841,4,0))</f>
        <v>98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2</v>
      </c>
      <c r="J5">
        <f>IF(ISNA(VLOOKUP($A5,Councils!$B$6:$AE$841,11,0)),0,VLOOKUP($A5,Councils!$B$6:$AE$841,11,0))</f>
        <v>-2</v>
      </c>
      <c r="K5" s="63">
        <f>IFERROR(J5/D5,0)</f>
        <v>-0.4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14261</v>
      </c>
      <c r="B6" t="str">
        <f>IF(ISNA(VLOOKUP($A6,Councils!$B$6:$AE$841,3,0)),0,VLOOKUP($A6,Councils!$B$6:$AE$841,3,0))</f>
        <v>Mission</v>
      </c>
      <c r="C6">
        <f>IF(ISNA(VLOOKUP($A6,Councils!$B$6:$AE$841,4,0)),0,VLOOKUP($A6,Councils!$B$6:$AE$841,4,0))</f>
        <v>66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34"/>
  <sheetViews>
    <sheetView topLeftCell="A817" zoomScaleNormal="100" workbookViewId="0">
      <selection activeCell="A835" sqref="A835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7" t="s">
        <v>822</v>
      </c>
      <c r="C1" s="74" t="s">
        <v>823</v>
      </c>
      <c r="D1" s="74" t="s">
        <v>824</v>
      </c>
      <c r="E1" s="75" t="s">
        <v>826</v>
      </c>
    </row>
    <row r="2" spans="1:5">
      <c r="A2" s="87">
        <v>759</v>
      </c>
      <c r="B2" s="277" t="s">
        <v>1001</v>
      </c>
      <c r="C2" s="74" t="s">
        <v>1003</v>
      </c>
      <c r="D2" s="74" t="s">
        <v>1004</v>
      </c>
      <c r="E2" s="75" t="s">
        <v>1005</v>
      </c>
    </row>
    <row r="3" spans="1:5">
      <c r="A3" s="87">
        <v>786</v>
      </c>
      <c r="B3" s="277" t="s">
        <v>1065</v>
      </c>
      <c r="C3" s="74" t="s">
        <v>1066</v>
      </c>
      <c r="D3" s="74" t="s">
        <v>1067</v>
      </c>
      <c r="E3" s="75" t="s">
        <v>1068</v>
      </c>
    </row>
    <row r="4" spans="1:5">
      <c r="A4" s="275">
        <v>787</v>
      </c>
      <c r="B4" s="277" t="s">
        <v>635</v>
      </c>
      <c r="C4" s="74" t="s">
        <v>636</v>
      </c>
      <c r="D4" s="74" t="s">
        <v>637</v>
      </c>
      <c r="E4" s="75" t="s">
        <v>827</v>
      </c>
    </row>
    <row r="5" spans="1:5">
      <c r="A5" s="87">
        <v>799</v>
      </c>
      <c r="B5" s="277" t="s">
        <v>632</v>
      </c>
      <c r="C5" s="74" t="s">
        <v>633</v>
      </c>
      <c r="D5" s="74" t="s">
        <v>634</v>
      </c>
      <c r="E5" s="75" t="s">
        <v>825</v>
      </c>
    </row>
    <row r="6" spans="1:5">
      <c r="A6" s="87">
        <v>803</v>
      </c>
      <c r="B6" s="277" t="s">
        <v>635</v>
      </c>
      <c r="C6" s="74" t="s">
        <v>636</v>
      </c>
      <c r="D6" s="74" t="s">
        <v>637</v>
      </c>
      <c r="E6" s="75" t="s">
        <v>827</v>
      </c>
    </row>
    <row r="7" spans="1:5">
      <c r="A7" s="87">
        <v>830</v>
      </c>
      <c r="B7" s="277" t="s">
        <v>632</v>
      </c>
      <c r="C7" s="74" t="s">
        <v>633</v>
      </c>
      <c r="D7" s="74" t="s">
        <v>634</v>
      </c>
      <c r="E7" s="75" t="s">
        <v>825</v>
      </c>
    </row>
    <row r="8" spans="1:5">
      <c r="A8" s="84">
        <v>951</v>
      </c>
      <c r="B8" s="277" t="s">
        <v>635</v>
      </c>
      <c r="C8" s="74" t="s">
        <v>636</v>
      </c>
      <c r="D8" s="74" t="s">
        <v>637</v>
      </c>
      <c r="E8" s="75" t="s">
        <v>827</v>
      </c>
    </row>
    <row r="9" spans="1:5">
      <c r="A9" s="87">
        <v>1003</v>
      </c>
      <c r="B9" s="277" t="s">
        <v>632</v>
      </c>
      <c r="C9" s="74" t="s">
        <v>633</v>
      </c>
      <c r="D9" s="74" t="s">
        <v>634</v>
      </c>
      <c r="E9" s="75" t="s">
        <v>825</v>
      </c>
    </row>
    <row r="10" spans="1:5">
      <c r="A10" s="87">
        <v>1017</v>
      </c>
      <c r="B10" s="277" t="s">
        <v>1002</v>
      </c>
      <c r="C10" s="74" t="s">
        <v>1006</v>
      </c>
      <c r="D10" s="74" t="s">
        <v>1007</v>
      </c>
      <c r="E10" s="75" t="s">
        <v>1008</v>
      </c>
    </row>
    <row r="11" spans="1:5">
      <c r="A11" s="87">
        <v>1167</v>
      </c>
      <c r="B11" s="277" t="s">
        <v>1001</v>
      </c>
      <c r="C11" s="74" t="s">
        <v>1003</v>
      </c>
      <c r="D11" s="74" t="s">
        <v>1004</v>
      </c>
      <c r="E11" s="75" t="s">
        <v>1005</v>
      </c>
    </row>
    <row r="12" spans="1:5">
      <c r="A12" s="87">
        <v>1202</v>
      </c>
      <c r="B12" s="277" t="s">
        <v>1042</v>
      </c>
      <c r="C12" s="74" t="s">
        <v>1043</v>
      </c>
      <c r="D12" s="74" t="s">
        <v>1044</v>
      </c>
      <c r="E12" s="75" t="s">
        <v>1045</v>
      </c>
    </row>
    <row r="13" spans="1:5">
      <c r="A13" s="87">
        <v>1235</v>
      </c>
      <c r="B13" s="277" t="s">
        <v>1002</v>
      </c>
      <c r="C13" s="74" t="s">
        <v>1006</v>
      </c>
      <c r="D13" s="74" t="s">
        <v>1007</v>
      </c>
      <c r="E13" s="75" t="s">
        <v>1008</v>
      </c>
    </row>
    <row r="14" spans="1:5">
      <c r="A14" s="87">
        <v>1289</v>
      </c>
      <c r="B14" s="277" t="s">
        <v>632</v>
      </c>
      <c r="C14" s="74" t="s">
        <v>633</v>
      </c>
      <c r="D14" s="74" t="s">
        <v>634</v>
      </c>
      <c r="E14" s="75" t="s">
        <v>825</v>
      </c>
    </row>
    <row r="15" spans="1:5">
      <c r="A15" s="87">
        <v>1304</v>
      </c>
      <c r="B15" s="277" t="s">
        <v>635</v>
      </c>
      <c r="C15" s="74" t="s">
        <v>636</v>
      </c>
      <c r="D15" s="74" t="s">
        <v>637</v>
      </c>
      <c r="E15" s="75" t="s">
        <v>827</v>
      </c>
    </row>
    <row r="16" spans="1:5">
      <c r="A16" s="87">
        <v>1323</v>
      </c>
      <c r="B16" s="277" t="s">
        <v>632</v>
      </c>
      <c r="C16" s="74" t="s">
        <v>633</v>
      </c>
      <c r="D16" s="74" t="s">
        <v>634</v>
      </c>
      <c r="E16" s="75" t="s">
        <v>825</v>
      </c>
    </row>
    <row r="17" spans="1:5">
      <c r="A17" s="87">
        <v>1329</v>
      </c>
      <c r="B17" s="277" t="s">
        <v>638</v>
      </c>
      <c r="C17" s="74" t="s">
        <v>639</v>
      </c>
      <c r="D17" s="74" t="s">
        <v>640</v>
      </c>
      <c r="E17" s="75" t="s">
        <v>828</v>
      </c>
    </row>
    <row r="18" spans="1:5">
      <c r="A18" s="87">
        <v>1353</v>
      </c>
      <c r="B18" s="277" t="s">
        <v>632</v>
      </c>
      <c r="C18" s="74" t="s">
        <v>633</v>
      </c>
      <c r="D18" s="74" t="s">
        <v>634</v>
      </c>
      <c r="E18" s="75" t="s">
        <v>825</v>
      </c>
    </row>
    <row r="19" spans="1:5">
      <c r="A19" s="275">
        <v>1358</v>
      </c>
      <c r="B19" s="277" t="s">
        <v>635</v>
      </c>
      <c r="C19" s="74" t="s">
        <v>636</v>
      </c>
      <c r="D19" s="74" t="s">
        <v>637</v>
      </c>
      <c r="E19" s="75" t="s">
        <v>827</v>
      </c>
    </row>
    <row r="20" spans="1:5">
      <c r="A20" s="87">
        <v>1422</v>
      </c>
      <c r="B20" s="277" t="s">
        <v>632</v>
      </c>
      <c r="C20" s="74" t="s">
        <v>633</v>
      </c>
      <c r="D20" s="74" t="s">
        <v>634</v>
      </c>
      <c r="E20" s="75" t="s">
        <v>825</v>
      </c>
    </row>
    <row r="21" spans="1:5">
      <c r="A21" s="87">
        <v>1450</v>
      </c>
      <c r="B21" s="277" t="s">
        <v>822</v>
      </c>
      <c r="C21" s="74" t="s">
        <v>823</v>
      </c>
      <c r="D21" s="74" t="s">
        <v>824</v>
      </c>
      <c r="E21" s="75" t="s">
        <v>826</v>
      </c>
    </row>
    <row r="22" spans="1:5">
      <c r="A22" s="87">
        <v>1459</v>
      </c>
      <c r="B22" s="277" t="s">
        <v>1001</v>
      </c>
      <c r="C22" s="74" t="s">
        <v>1003</v>
      </c>
      <c r="D22" s="74" t="s">
        <v>1004</v>
      </c>
      <c r="E22" s="75" t="s">
        <v>1005</v>
      </c>
    </row>
    <row r="23" spans="1:5">
      <c r="A23" s="87">
        <v>1473</v>
      </c>
      <c r="B23" s="277" t="s">
        <v>1001</v>
      </c>
      <c r="C23" s="74" t="s">
        <v>1003</v>
      </c>
      <c r="D23" s="74" t="s">
        <v>1004</v>
      </c>
      <c r="E23" s="75" t="s">
        <v>1005</v>
      </c>
    </row>
    <row r="24" spans="1:5">
      <c r="A24" s="87">
        <v>1502</v>
      </c>
      <c r="B24" s="277" t="s">
        <v>632</v>
      </c>
      <c r="C24" s="74" t="s">
        <v>633</v>
      </c>
      <c r="D24" s="74" t="s">
        <v>634</v>
      </c>
      <c r="E24" s="75" t="s">
        <v>825</v>
      </c>
    </row>
    <row r="25" spans="1:5">
      <c r="A25" s="274">
        <v>1553</v>
      </c>
      <c r="B25" s="277" t="s">
        <v>1042</v>
      </c>
      <c r="C25" s="74" t="s">
        <v>1043</v>
      </c>
      <c r="D25" s="74" t="s">
        <v>1044</v>
      </c>
      <c r="E25" s="75" t="s">
        <v>1045</v>
      </c>
    </row>
    <row r="26" spans="1:5">
      <c r="A26" s="87">
        <v>1582</v>
      </c>
      <c r="B26" s="277" t="s">
        <v>638</v>
      </c>
      <c r="C26" s="74" t="s">
        <v>639</v>
      </c>
      <c r="D26" s="74" t="s">
        <v>640</v>
      </c>
      <c r="E26" s="75" t="s">
        <v>828</v>
      </c>
    </row>
    <row r="27" spans="1:5">
      <c r="A27" s="87">
        <v>1651</v>
      </c>
      <c r="B27" s="277" t="s">
        <v>1042</v>
      </c>
      <c r="C27" s="74" t="s">
        <v>1043</v>
      </c>
      <c r="D27" s="74" t="s">
        <v>1044</v>
      </c>
      <c r="E27" s="75" t="s">
        <v>1045</v>
      </c>
    </row>
    <row r="28" spans="1:5">
      <c r="A28" s="87">
        <v>1653</v>
      </c>
      <c r="B28" s="277" t="s">
        <v>1042</v>
      </c>
      <c r="C28" s="74" t="s">
        <v>1043</v>
      </c>
      <c r="D28" s="74" t="s">
        <v>1044</v>
      </c>
      <c r="E28" s="75" t="s">
        <v>1045</v>
      </c>
    </row>
    <row r="29" spans="1:5">
      <c r="A29" s="87">
        <v>1680</v>
      </c>
      <c r="B29" s="277" t="s">
        <v>635</v>
      </c>
      <c r="C29" s="74" t="s">
        <v>636</v>
      </c>
      <c r="D29" s="74" t="s">
        <v>637</v>
      </c>
      <c r="E29" s="75" t="s">
        <v>827</v>
      </c>
    </row>
    <row r="30" spans="1:5">
      <c r="A30" s="87">
        <v>1682</v>
      </c>
      <c r="B30" s="277" t="s">
        <v>638</v>
      </c>
      <c r="C30" s="74" t="s">
        <v>639</v>
      </c>
      <c r="D30" s="74" t="s">
        <v>640</v>
      </c>
      <c r="E30" s="75" t="s">
        <v>828</v>
      </c>
    </row>
    <row r="31" spans="1:5">
      <c r="A31" s="87">
        <v>1715</v>
      </c>
      <c r="B31" s="277" t="s">
        <v>1001</v>
      </c>
      <c r="C31" s="74" t="s">
        <v>1003</v>
      </c>
      <c r="D31" s="74" t="s">
        <v>1004</v>
      </c>
      <c r="E31" s="75" t="s">
        <v>1005</v>
      </c>
    </row>
    <row r="32" spans="1:5">
      <c r="A32" s="87">
        <v>1766</v>
      </c>
      <c r="B32" s="277" t="s">
        <v>1001</v>
      </c>
      <c r="C32" s="74" t="s">
        <v>1003</v>
      </c>
      <c r="D32" s="74" t="s">
        <v>1004</v>
      </c>
      <c r="E32" s="75" t="s">
        <v>1005</v>
      </c>
    </row>
    <row r="33" spans="1:5">
      <c r="A33" s="87">
        <v>1824</v>
      </c>
      <c r="B33" s="277" t="s">
        <v>1001</v>
      </c>
      <c r="C33" s="74" t="s">
        <v>1003</v>
      </c>
      <c r="D33" s="74" t="s">
        <v>1004</v>
      </c>
      <c r="E33" s="75" t="s">
        <v>1005</v>
      </c>
    </row>
    <row r="34" spans="1:5">
      <c r="A34" s="275">
        <v>1834</v>
      </c>
      <c r="B34" s="277" t="s">
        <v>1002</v>
      </c>
      <c r="C34" s="74" t="s">
        <v>1006</v>
      </c>
      <c r="D34" s="74" t="s">
        <v>1007</v>
      </c>
      <c r="E34" s="75" t="s">
        <v>1008</v>
      </c>
    </row>
    <row r="35" spans="1:5">
      <c r="A35" s="87">
        <v>2045</v>
      </c>
      <c r="B35" s="277" t="s">
        <v>1001</v>
      </c>
      <c r="C35" s="74" t="s">
        <v>1003</v>
      </c>
      <c r="D35" s="74" t="s">
        <v>1004</v>
      </c>
      <c r="E35" s="75" t="s">
        <v>1005</v>
      </c>
    </row>
    <row r="36" spans="1:5">
      <c r="A36" s="87">
        <v>2123</v>
      </c>
      <c r="B36" s="277" t="s">
        <v>1001</v>
      </c>
      <c r="C36" s="74" t="s">
        <v>1003</v>
      </c>
      <c r="D36" s="74" t="s">
        <v>1004</v>
      </c>
      <c r="E36" s="75" t="s">
        <v>1005</v>
      </c>
    </row>
    <row r="37" spans="1:5">
      <c r="A37" s="87">
        <v>2136</v>
      </c>
      <c r="B37" s="277" t="s">
        <v>822</v>
      </c>
      <c r="C37" s="74" t="s">
        <v>823</v>
      </c>
      <c r="D37" s="74" t="s">
        <v>824</v>
      </c>
      <c r="E37" s="75" t="s">
        <v>826</v>
      </c>
    </row>
    <row r="38" spans="1:5">
      <c r="A38" s="87">
        <v>2153</v>
      </c>
      <c r="B38" s="277" t="s">
        <v>638</v>
      </c>
      <c r="C38" s="74" t="s">
        <v>639</v>
      </c>
      <c r="D38" s="74" t="s">
        <v>640</v>
      </c>
      <c r="E38" s="75" t="s">
        <v>828</v>
      </c>
    </row>
    <row r="39" spans="1:5">
      <c r="A39" s="87">
        <v>2163</v>
      </c>
      <c r="B39" s="277" t="s">
        <v>822</v>
      </c>
      <c r="C39" s="74" t="s">
        <v>823</v>
      </c>
      <c r="D39" s="74" t="s">
        <v>824</v>
      </c>
      <c r="E39" s="75" t="s">
        <v>826</v>
      </c>
    </row>
    <row r="40" spans="1:5">
      <c r="A40" s="87">
        <v>2304</v>
      </c>
      <c r="B40" s="277" t="s">
        <v>1042</v>
      </c>
      <c r="C40" s="74" t="s">
        <v>1043</v>
      </c>
      <c r="D40" s="74" t="s">
        <v>1044</v>
      </c>
      <c r="E40" s="75" t="s">
        <v>1045</v>
      </c>
    </row>
    <row r="41" spans="1:5">
      <c r="A41" s="274">
        <v>2305</v>
      </c>
      <c r="B41" s="277" t="s">
        <v>1002</v>
      </c>
      <c r="C41" s="74" t="s">
        <v>1006</v>
      </c>
      <c r="D41" s="74" t="s">
        <v>1007</v>
      </c>
      <c r="E41" s="75" t="s">
        <v>1008</v>
      </c>
    </row>
    <row r="42" spans="1:5">
      <c r="A42" s="274">
        <v>2433</v>
      </c>
      <c r="B42" s="277" t="s">
        <v>638</v>
      </c>
      <c r="C42" s="74" t="s">
        <v>639</v>
      </c>
      <c r="D42" s="74" t="s">
        <v>640</v>
      </c>
      <c r="E42" s="75" t="s">
        <v>828</v>
      </c>
    </row>
    <row r="43" spans="1:5">
      <c r="A43" s="87">
        <v>2461</v>
      </c>
      <c r="B43" s="277" t="s">
        <v>635</v>
      </c>
      <c r="C43" s="74" t="s">
        <v>636</v>
      </c>
      <c r="D43" s="74" t="s">
        <v>637</v>
      </c>
      <c r="E43" s="75" t="s">
        <v>827</v>
      </c>
    </row>
    <row r="44" spans="1:5">
      <c r="A44" s="87">
        <v>2480</v>
      </c>
      <c r="B44" s="277" t="s">
        <v>638</v>
      </c>
      <c r="C44" s="74" t="s">
        <v>639</v>
      </c>
      <c r="D44" s="74" t="s">
        <v>640</v>
      </c>
      <c r="E44" s="75" t="s">
        <v>828</v>
      </c>
    </row>
    <row r="45" spans="1:5">
      <c r="A45" s="87">
        <v>2490</v>
      </c>
      <c r="B45" s="277" t="s">
        <v>638</v>
      </c>
      <c r="C45" s="74" t="s">
        <v>639</v>
      </c>
      <c r="D45" s="74" t="s">
        <v>640</v>
      </c>
      <c r="E45" s="75" t="s">
        <v>828</v>
      </c>
    </row>
    <row r="46" spans="1:5">
      <c r="A46" s="87">
        <v>2500</v>
      </c>
      <c r="B46" s="277" t="s">
        <v>638</v>
      </c>
      <c r="C46" s="74" t="s">
        <v>639</v>
      </c>
      <c r="D46" s="74" t="s">
        <v>640</v>
      </c>
      <c r="E46" s="75" t="s">
        <v>828</v>
      </c>
    </row>
    <row r="47" spans="1:5">
      <c r="A47" s="87">
        <v>2512</v>
      </c>
      <c r="B47" s="277" t="s">
        <v>1065</v>
      </c>
      <c r="C47" s="74" t="s">
        <v>1066</v>
      </c>
      <c r="D47" s="74" t="s">
        <v>1067</v>
      </c>
      <c r="E47" s="75" t="s">
        <v>1068</v>
      </c>
    </row>
    <row r="48" spans="1:5">
      <c r="A48" s="87">
        <v>2543</v>
      </c>
      <c r="B48" s="277" t="s">
        <v>1042</v>
      </c>
      <c r="C48" s="74" t="s">
        <v>1043</v>
      </c>
      <c r="D48" s="74" t="s">
        <v>1044</v>
      </c>
      <c r="E48" s="75" t="s">
        <v>1045</v>
      </c>
    </row>
    <row r="49" spans="1:5">
      <c r="A49" s="87">
        <v>2559</v>
      </c>
      <c r="B49" s="277" t="s">
        <v>1002</v>
      </c>
      <c r="C49" s="74" t="s">
        <v>1006</v>
      </c>
      <c r="D49" s="74" t="s">
        <v>1007</v>
      </c>
      <c r="E49" s="75" t="s">
        <v>1008</v>
      </c>
    </row>
    <row r="50" spans="1:5">
      <c r="A50" s="87">
        <v>2571</v>
      </c>
      <c r="B50" s="277" t="s">
        <v>822</v>
      </c>
      <c r="C50" s="74" t="s">
        <v>823</v>
      </c>
      <c r="D50" s="74" t="s">
        <v>824</v>
      </c>
      <c r="E50" s="75" t="s">
        <v>826</v>
      </c>
    </row>
    <row r="51" spans="1:5">
      <c r="A51" s="87">
        <v>2574</v>
      </c>
      <c r="B51" s="277" t="s">
        <v>638</v>
      </c>
      <c r="C51" s="74" t="s">
        <v>639</v>
      </c>
      <c r="D51" s="74" t="s">
        <v>640</v>
      </c>
      <c r="E51" s="75" t="s">
        <v>828</v>
      </c>
    </row>
    <row r="52" spans="1:5">
      <c r="A52" s="87">
        <v>2592</v>
      </c>
      <c r="B52" s="277" t="s">
        <v>822</v>
      </c>
      <c r="C52" s="74" t="s">
        <v>823</v>
      </c>
      <c r="D52" s="74" t="s">
        <v>824</v>
      </c>
      <c r="E52" s="75" t="s">
        <v>826</v>
      </c>
    </row>
    <row r="53" spans="1:5">
      <c r="A53" s="87">
        <v>2597</v>
      </c>
      <c r="B53" s="277" t="s">
        <v>1042</v>
      </c>
      <c r="C53" s="74" t="s">
        <v>1043</v>
      </c>
      <c r="D53" s="74" t="s">
        <v>1044</v>
      </c>
      <c r="E53" s="75" t="s">
        <v>1045</v>
      </c>
    </row>
    <row r="54" spans="1:5">
      <c r="A54" s="275">
        <v>2618</v>
      </c>
      <c r="B54" s="277" t="s">
        <v>1065</v>
      </c>
      <c r="C54" s="74" t="s">
        <v>1066</v>
      </c>
      <c r="D54" s="74" t="s">
        <v>1067</v>
      </c>
      <c r="E54" s="75" t="s">
        <v>1068</v>
      </c>
    </row>
    <row r="55" spans="1:5">
      <c r="A55" s="87">
        <v>2623</v>
      </c>
      <c r="B55" s="277" t="s">
        <v>1042</v>
      </c>
      <c r="C55" s="74" t="s">
        <v>1043</v>
      </c>
      <c r="D55" s="74" t="s">
        <v>1044</v>
      </c>
      <c r="E55" s="75" t="s">
        <v>1045</v>
      </c>
    </row>
    <row r="56" spans="1:5">
      <c r="A56" s="87">
        <v>2636</v>
      </c>
      <c r="B56" s="277" t="s">
        <v>822</v>
      </c>
      <c r="C56" s="74" t="s">
        <v>823</v>
      </c>
      <c r="D56" s="74" t="s">
        <v>824</v>
      </c>
      <c r="E56" s="75" t="s">
        <v>826</v>
      </c>
    </row>
    <row r="57" spans="1:5">
      <c r="A57" s="274">
        <v>2654</v>
      </c>
      <c r="B57" s="277" t="s">
        <v>822</v>
      </c>
      <c r="C57" s="74" t="s">
        <v>823</v>
      </c>
      <c r="D57" s="74" t="s">
        <v>824</v>
      </c>
      <c r="E57" s="75" t="s">
        <v>826</v>
      </c>
    </row>
    <row r="58" spans="1:5">
      <c r="A58" s="87">
        <v>2687</v>
      </c>
      <c r="B58" s="277" t="s">
        <v>1065</v>
      </c>
      <c r="C58" s="74" t="s">
        <v>1066</v>
      </c>
      <c r="D58" s="74" t="s">
        <v>1067</v>
      </c>
      <c r="E58" s="75" t="s">
        <v>1068</v>
      </c>
    </row>
    <row r="59" spans="1:5">
      <c r="A59" s="87">
        <v>2698</v>
      </c>
      <c r="B59" s="277" t="s">
        <v>1042</v>
      </c>
      <c r="C59" s="74" t="s">
        <v>1043</v>
      </c>
      <c r="D59" s="74" t="s">
        <v>1044</v>
      </c>
      <c r="E59" s="75" t="s">
        <v>1045</v>
      </c>
    </row>
    <row r="60" spans="1:5">
      <c r="A60" s="87">
        <v>2701</v>
      </c>
      <c r="B60" s="277" t="s">
        <v>1042</v>
      </c>
      <c r="C60" s="74" t="s">
        <v>1043</v>
      </c>
      <c r="D60" s="74" t="s">
        <v>1044</v>
      </c>
      <c r="E60" s="75" t="s">
        <v>1045</v>
      </c>
    </row>
    <row r="61" spans="1:5">
      <c r="A61" s="87">
        <v>2710</v>
      </c>
      <c r="B61" s="277" t="s">
        <v>1042</v>
      </c>
      <c r="C61" s="74" t="s">
        <v>1043</v>
      </c>
      <c r="D61" s="74" t="s">
        <v>1044</v>
      </c>
      <c r="E61" s="75" t="s">
        <v>1045</v>
      </c>
    </row>
    <row r="62" spans="1:5">
      <c r="A62" s="87">
        <v>2767</v>
      </c>
      <c r="B62" s="277" t="s">
        <v>822</v>
      </c>
      <c r="C62" s="74" t="s">
        <v>823</v>
      </c>
      <c r="D62" s="74" t="s">
        <v>824</v>
      </c>
      <c r="E62" s="75" t="s">
        <v>826</v>
      </c>
    </row>
    <row r="63" spans="1:5">
      <c r="A63" s="87">
        <v>2771</v>
      </c>
      <c r="B63" s="277" t="s">
        <v>632</v>
      </c>
      <c r="C63" s="74" t="s">
        <v>633</v>
      </c>
      <c r="D63" s="74" t="s">
        <v>634</v>
      </c>
      <c r="E63" s="75" t="s">
        <v>825</v>
      </c>
    </row>
    <row r="64" spans="1:5">
      <c r="A64" s="87">
        <v>2772</v>
      </c>
      <c r="B64" s="277" t="s">
        <v>822</v>
      </c>
      <c r="C64" s="74" t="s">
        <v>823</v>
      </c>
      <c r="D64" s="74" t="s">
        <v>824</v>
      </c>
      <c r="E64" s="75" t="s">
        <v>826</v>
      </c>
    </row>
    <row r="65" spans="1:5">
      <c r="A65" s="87">
        <v>2776</v>
      </c>
      <c r="B65" s="277" t="s">
        <v>822</v>
      </c>
      <c r="C65" s="74" t="s">
        <v>823</v>
      </c>
      <c r="D65" s="74" t="s">
        <v>824</v>
      </c>
      <c r="E65" s="75" t="s">
        <v>826</v>
      </c>
    </row>
    <row r="66" spans="1:5">
      <c r="A66" s="87">
        <v>2778</v>
      </c>
      <c r="B66" s="277" t="s">
        <v>822</v>
      </c>
      <c r="C66" s="74" t="s">
        <v>823</v>
      </c>
      <c r="D66" s="74" t="s">
        <v>824</v>
      </c>
      <c r="E66" s="75" t="s">
        <v>826</v>
      </c>
    </row>
    <row r="67" spans="1:5">
      <c r="A67" s="87">
        <v>2785</v>
      </c>
      <c r="B67" s="277" t="s">
        <v>1042</v>
      </c>
      <c r="C67" s="74" t="s">
        <v>1043</v>
      </c>
      <c r="D67" s="74" t="s">
        <v>1044</v>
      </c>
      <c r="E67" s="75" t="s">
        <v>1045</v>
      </c>
    </row>
    <row r="68" spans="1:5">
      <c r="A68" s="275">
        <v>2788</v>
      </c>
      <c r="B68" s="277" t="s">
        <v>635</v>
      </c>
      <c r="C68" s="74" t="s">
        <v>636</v>
      </c>
      <c r="D68" s="74" t="s">
        <v>637</v>
      </c>
      <c r="E68" s="75" t="s">
        <v>827</v>
      </c>
    </row>
    <row r="69" spans="1:5">
      <c r="A69" s="87">
        <v>2791</v>
      </c>
      <c r="B69" s="277" t="s">
        <v>1042</v>
      </c>
      <c r="C69" s="74" t="s">
        <v>1043</v>
      </c>
      <c r="D69" s="74" t="s">
        <v>1044</v>
      </c>
      <c r="E69" s="75" t="s">
        <v>1045</v>
      </c>
    </row>
    <row r="70" spans="1:5">
      <c r="A70" s="87">
        <v>2801</v>
      </c>
      <c r="B70" s="277" t="s">
        <v>638</v>
      </c>
      <c r="C70" s="74" t="s">
        <v>639</v>
      </c>
      <c r="D70" s="74" t="s">
        <v>640</v>
      </c>
      <c r="E70" s="75" t="s">
        <v>828</v>
      </c>
    </row>
    <row r="71" spans="1:5">
      <c r="A71" s="274">
        <v>2808</v>
      </c>
      <c r="B71" s="277" t="s">
        <v>822</v>
      </c>
      <c r="C71" s="74" t="s">
        <v>823</v>
      </c>
      <c r="D71" s="74" t="s">
        <v>824</v>
      </c>
      <c r="E71" s="75" t="s">
        <v>826</v>
      </c>
    </row>
    <row r="72" spans="1:5">
      <c r="A72" s="87">
        <v>2810</v>
      </c>
      <c r="B72" s="277" t="s">
        <v>1042</v>
      </c>
      <c r="C72" s="74" t="s">
        <v>1043</v>
      </c>
      <c r="D72" s="74" t="s">
        <v>1044</v>
      </c>
      <c r="E72" s="75" t="s">
        <v>1045</v>
      </c>
    </row>
    <row r="73" spans="1:5">
      <c r="A73" s="87">
        <v>2813</v>
      </c>
      <c r="B73" s="277" t="s">
        <v>1001</v>
      </c>
      <c r="C73" s="74" t="s">
        <v>1003</v>
      </c>
      <c r="D73" s="74" t="s">
        <v>1004</v>
      </c>
      <c r="E73" s="75" t="s">
        <v>1005</v>
      </c>
    </row>
    <row r="74" spans="1:5">
      <c r="A74" s="87">
        <v>2902</v>
      </c>
      <c r="B74" s="277" t="s">
        <v>638</v>
      </c>
      <c r="C74" s="74" t="s">
        <v>639</v>
      </c>
      <c r="D74" s="74" t="s">
        <v>640</v>
      </c>
      <c r="E74" s="75" t="s">
        <v>828</v>
      </c>
    </row>
    <row r="75" spans="1:5">
      <c r="A75" s="275">
        <v>2917</v>
      </c>
      <c r="B75" s="277" t="s">
        <v>635</v>
      </c>
      <c r="C75" s="74" t="s">
        <v>636</v>
      </c>
      <c r="D75" s="74" t="s">
        <v>637</v>
      </c>
      <c r="E75" s="75" t="s">
        <v>827</v>
      </c>
    </row>
    <row r="76" spans="1:5">
      <c r="A76" s="87">
        <v>2971</v>
      </c>
      <c r="B76" s="277" t="s">
        <v>638</v>
      </c>
      <c r="C76" s="74" t="s">
        <v>639</v>
      </c>
      <c r="D76" s="74" t="s">
        <v>640</v>
      </c>
      <c r="E76" s="75" t="s">
        <v>828</v>
      </c>
    </row>
    <row r="77" spans="1:5">
      <c r="A77" s="87">
        <v>2992</v>
      </c>
      <c r="B77" s="277" t="s">
        <v>1042</v>
      </c>
      <c r="C77" s="74" t="s">
        <v>1043</v>
      </c>
      <c r="D77" s="74" t="s">
        <v>1044</v>
      </c>
      <c r="E77" s="75" t="s">
        <v>1045</v>
      </c>
    </row>
    <row r="78" spans="1:5">
      <c r="A78" s="87">
        <v>3003</v>
      </c>
      <c r="B78" s="277" t="s">
        <v>1042</v>
      </c>
      <c r="C78" s="74" t="s">
        <v>1043</v>
      </c>
      <c r="D78" s="74" t="s">
        <v>1044</v>
      </c>
      <c r="E78" s="75" t="s">
        <v>1045</v>
      </c>
    </row>
    <row r="79" spans="1:5">
      <c r="A79" s="87">
        <v>3008</v>
      </c>
      <c r="B79" s="277" t="s">
        <v>822</v>
      </c>
      <c r="C79" s="74" t="s">
        <v>823</v>
      </c>
      <c r="D79" s="74" t="s">
        <v>824</v>
      </c>
      <c r="E79" s="75" t="s">
        <v>826</v>
      </c>
    </row>
    <row r="80" spans="1:5">
      <c r="A80" s="87">
        <v>3070</v>
      </c>
      <c r="B80" s="277" t="s">
        <v>638</v>
      </c>
      <c r="C80" s="74" t="s">
        <v>639</v>
      </c>
      <c r="D80" s="74" t="s">
        <v>640</v>
      </c>
      <c r="E80" s="75" t="s">
        <v>828</v>
      </c>
    </row>
    <row r="81" spans="1:5">
      <c r="A81" s="87">
        <v>3071</v>
      </c>
      <c r="B81" s="277" t="s">
        <v>822</v>
      </c>
      <c r="C81" s="74" t="s">
        <v>823</v>
      </c>
      <c r="D81" s="74" t="s">
        <v>824</v>
      </c>
      <c r="E81" s="75" t="s">
        <v>826</v>
      </c>
    </row>
    <row r="82" spans="1:5">
      <c r="A82" s="274">
        <v>3077</v>
      </c>
      <c r="B82" s="277" t="s">
        <v>635</v>
      </c>
      <c r="C82" s="74" t="s">
        <v>636</v>
      </c>
      <c r="D82" s="74" t="s">
        <v>637</v>
      </c>
      <c r="E82" s="75" t="s">
        <v>827</v>
      </c>
    </row>
    <row r="83" spans="1:5">
      <c r="A83" s="274">
        <v>3081</v>
      </c>
      <c r="B83" s="277" t="s">
        <v>638</v>
      </c>
      <c r="C83" s="74" t="s">
        <v>639</v>
      </c>
      <c r="D83" s="74" t="s">
        <v>640</v>
      </c>
      <c r="E83" s="75" t="s">
        <v>828</v>
      </c>
    </row>
    <row r="84" spans="1:5">
      <c r="A84" s="87">
        <v>3098</v>
      </c>
      <c r="B84" s="277" t="s">
        <v>1042</v>
      </c>
      <c r="C84" s="74" t="s">
        <v>1043</v>
      </c>
      <c r="D84" s="74" t="s">
        <v>1044</v>
      </c>
      <c r="E84" s="75" t="s">
        <v>1045</v>
      </c>
    </row>
    <row r="85" spans="1:5">
      <c r="A85" s="87">
        <v>3110</v>
      </c>
      <c r="B85" s="277" t="s">
        <v>1042</v>
      </c>
      <c r="C85" s="74" t="s">
        <v>1043</v>
      </c>
      <c r="D85" s="74" t="s">
        <v>1044</v>
      </c>
      <c r="E85" s="75" t="s">
        <v>1045</v>
      </c>
    </row>
    <row r="86" spans="1:5">
      <c r="A86" s="275">
        <v>3168</v>
      </c>
      <c r="B86" s="277" t="s">
        <v>638</v>
      </c>
      <c r="C86" s="74" t="s">
        <v>639</v>
      </c>
      <c r="D86" s="74" t="s">
        <v>640</v>
      </c>
      <c r="E86" s="75" t="s">
        <v>828</v>
      </c>
    </row>
    <row r="87" spans="1:5">
      <c r="A87" s="87">
        <v>3169</v>
      </c>
      <c r="B87" s="277" t="s">
        <v>1042</v>
      </c>
      <c r="C87" s="74" t="s">
        <v>1043</v>
      </c>
      <c r="D87" s="74" t="s">
        <v>1044</v>
      </c>
      <c r="E87" s="75" t="s">
        <v>1045</v>
      </c>
    </row>
    <row r="88" spans="1:5">
      <c r="A88" s="87">
        <v>3195</v>
      </c>
      <c r="B88" s="277" t="s">
        <v>635</v>
      </c>
      <c r="C88" s="74" t="s">
        <v>636</v>
      </c>
      <c r="D88" s="74" t="s">
        <v>637</v>
      </c>
      <c r="E88" s="75" t="s">
        <v>827</v>
      </c>
    </row>
    <row r="89" spans="1:5">
      <c r="A89" s="87">
        <v>3201</v>
      </c>
      <c r="B89" s="277" t="s">
        <v>635</v>
      </c>
      <c r="C89" s="74" t="s">
        <v>636</v>
      </c>
      <c r="D89" s="74" t="s">
        <v>637</v>
      </c>
      <c r="E89" s="75" t="s">
        <v>827</v>
      </c>
    </row>
    <row r="90" spans="1:5">
      <c r="A90" s="274">
        <v>3203</v>
      </c>
      <c r="B90" s="277" t="s">
        <v>822</v>
      </c>
      <c r="C90" s="74" t="s">
        <v>823</v>
      </c>
      <c r="D90" s="74" t="s">
        <v>824</v>
      </c>
      <c r="E90" s="75" t="s">
        <v>826</v>
      </c>
    </row>
    <row r="91" spans="1:5">
      <c r="A91" s="87">
        <v>3204</v>
      </c>
      <c r="B91" s="277" t="s">
        <v>638</v>
      </c>
      <c r="C91" s="74" t="s">
        <v>639</v>
      </c>
      <c r="D91" s="74" t="s">
        <v>640</v>
      </c>
      <c r="E91" s="75" t="s">
        <v>828</v>
      </c>
    </row>
    <row r="92" spans="1:5">
      <c r="A92" s="87">
        <v>3205</v>
      </c>
      <c r="B92" s="277" t="s">
        <v>1002</v>
      </c>
      <c r="C92" s="74" t="s">
        <v>1006</v>
      </c>
      <c r="D92" s="74" t="s">
        <v>1007</v>
      </c>
      <c r="E92" s="75" t="s">
        <v>1008</v>
      </c>
    </row>
    <row r="93" spans="1:5">
      <c r="A93" s="87">
        <v>3217</v>
      </c>
      <c r="B93" s="277" t="s">
        <v>635</v>
      </c>
      <c r="C93" s="74" t="s">
        <v>636</v>
      </c>
      <c r="D93" s="74" t="s">
        <v>637</v>
      </c>
      <c r="E93" s="75" t="s">
        <v>827</v>
      </c>
    </row>
    <row r="94" spans="1:5">
      <c r="A94" s="275">
        <v>3229</v>
      </c>
      <c r="B94" s="277" t="s">
        <v>635</v>
      </c>
      <c r="C94" s="74" t="s">
        <v>636</v>
      </c>
      <c r="D94" s="74" t="s">
        <v>637</v>
      </c>
      <c r="E94" s="75" t="s">
        <v>827</v>
      </c>
    </row>
    <row r="95" spans="1:5">
      <c r="A95" s="275">
        <v>3244</v>
      </c>
      <c r="B95" s="277" t="s">
        <v>638</v>
      </c>
      <c r="C95" s="74" t="s">
        <v>639</v>
      </c>
      <c r="D95" s="74" t="s">
        <v>640</v>
      </c>
      <c r="E95" s="75" t="s">
        <v>828</v>
      </c>
    </row>
    <row r="96" spans="1:5">
      <c r="A96" s="275">
        <v>3245</v>
      </c>
      <c r="B96" s="277" t="s">
        <v>1065</v>
      </c>
      <c r="C96" s="74" t="s">
        <v>1066</v>
      </c>
      <c r="D96" s="74" t="s">
        <v>1067</v>
      </c>
      <c r="E96" s="75" t="s">
        <v>1068</v>
      </c>
    </row>
    <row r="97" spans="1:5">
      <c r="A97" s="87">
        <v>3253</v>
      </c>
      <c r="B97" s="277" t="s">
        <v>638</v>
      </c>
      <c r="C97" s="74" t="s">
        <v>639</v>
      </c>
      <c r="D97" s="74" t="s">
        <v>640</v>
      </c>
      <c r="E97" s="75" t="s">
        <v>828</v>
      </c>
    </row>
    <row r="98" spans="1:5">
      <c r="A98" s="87">
        <v>3262</v>
      </c>
      <c r="B98" s="277" t="s">
        <v>638</v>
      </c>
      <c r="C98" s="74" t="s">
        <v>639</v>
      </c>
      <c r="D98" s="74" t="s">
        <v>640</v>
      </c>
      <c r="E98" s="75" t="s">
        <v>828</v>
      </c>
    </row>
    <row r="99" spans="1:5">
      <c r="A99" s="87">
        <v>3266</v>
      </c>
      <c r="B99" s="277" t="s">
        <v>1065</v>
      </c>
      <c r="C99" s="74" t="s">
        <v>1066</v>
      </c>
      <c r="D99" s="74" t="s">
        <v>1067</v>
      </c>
      <c r="E99" s="75" t="s">
        <v>1068</v>
      </c>
    </row>
    <row r="100" spans="1:5">
      <c r="A100" s="275">
        <v>3287</v>
      </c>
      <c r="B100" s="277" t="s">
        <v>638</v>
      </c>
      <c r="C100" s="74" t="s">
        <v>639</v>
      </c>
      <c r="D100" s="74" t="s">
        <v>640</v>
      </c>
      <c r="E100" s="75" t="s">
        <v>828</v>
      </c>
    </row>
    <row r="101" spans="1:5">
      <c r="A101" s="275">
        <v>3295</v>
      </c>
      <c r="B101" s="277" t="s">
        <v>638</v>
      </c>
      <c r="C101" s="74" t="s">
        <v>639</v>
      </c>
      <c r="D101" s="74" t="s">
        <v>640</v>
      </c>
      <c r="E101" s="75" t="s">
        <v>828</v>
      </c>
    </row>
    <row r="102" spans="1:5">
      <c r="A102" s="275">
        <v>3313</v>
      </c>
      <c r="B102" s="277" t="s">
        <v>638</v>
      </c>
      <c r="C102" s="74" t="s">
        <v>639</v>
      </c>
      <c r="D102" s="74" t="s">
        <v>640</v>
      </c>
      <c r="E102" s="75" t="s">
        <v>828</v>
      </c>
    </row>
    <row r="103" spans="1:5">
      <c r="A103" s="87">
        <v>3345</v>
      </c>
      <c r="B103" s="277" t="s">
        <v>1065</v>
      </c>
      <c r="C103" s="74" t="s">
        <v>1066</v>
      </c>
      <c r="D103" s="74" t="s">
        <v>1067</v>
      </c>
      <c r="E103" s="75" t="s">
        <v>1068</v>
      </c>
    </row>
    <row r="104" spans="1:5">
      <c r="A104" s="275">
        <v>3365</v>
      </c>
      <c r="B104" s="277" t="s">
        <v>638</v>
      </c>
      <c r="C104" s="74" t="s">
        <v>639</v>
      </c>
      <c r="D104" s="74" t="s">
        <v>640</v>
      </c>
      <c r="E104" s="75" t="s">
        <v>828</v>
      </c>
    </row>
    <row r="105" spans="1:5">
      <c r="A105" s="87">
        <v>3367</v>
      </c>
      <c r="B105" s="277" t="s">
        <v>1042</v>
      </c>
      <c r="C105" s="74" t="s">
        <v>1043</v>
      </c>
      <c r="D105" s="74" t="s">
        <v>1044</v>
      </c>
      <c r="E105" s="75" t="s">
        <v>1045</v>
      </c>
    </row>
    <row r="106" spans="1:5">
      <c r="A106" s="275">
        <v>3371</v>
      </c>
      <c r="B106" s="277" t="s">
        <v>638</v>
      </c>
      <c r="C106" s="74" t="s">
        <v>639</v>
      </c>
      <c r="D106" s="74" t="s">
        <v>640</v>
      </c>
      <c r="E106" s="75" t="s">
        <v>828</v>
      </c>
    </row>
    <row r="107" spans="1:5">
      <c r="A107" s="87">
        <v>3389</v>
      </c>
      <c r="B107" s="277" t="s">
        <v>1042</v>
      </c>
      <c r="C107" s="74" t="s">
        <v>1043</v>
      </c>
      <c r="D107" s="74" t="s">
        <v>1044</v>
      </c>
      <c r="E107" s="75" t="s">
        <v>1045</v>
      </c>
    </row>
    <row r="108" spans="1:5">
      <c r="A108" s="87">
        <v>3404</v>
      </c>
      <c r="B108" s="277" t="s">
        <v>632</v>
      </c>
      <c r="C108" s="74" t="s">
        <v>633</v>
      </c>
      <c r="D108" s="74" t="s">
        <v>634</v>
      </c>
      <c r="E108" s="75" t="s">
        <v>825</v>
      </c>
    </row>
    <row r="109" spans="1:5">
      <c r="A109" s="87">
        <v>3406</v>
      </c>
      <c r="B109" s="277" t="s">
        <v>635</v>
      </c>
      <c r="C109" s="74" t="s">
        <v>636</v>
      </c>
      <c r="D109" s="74" t="s">
        <v>637</v>
      </c>
      <c r="E109" s="75" t="s">
        <v>827</v>
      </c>
    </row>
    <row r="110" spans="1:5">
      <c r="A110" s="87">
        <v>3412</v>
      </c>
      <c r="B110" s="277" t="s">
        <v>1065</v>
      </c>
      <c r="C110" s="74" t="s">
        <v>1066</v>
      </c>
      <c r="D110" s="74" t="s">
        <v>1067</v>
      </c>
      <c r="E110" s="75" t="s">
        <v>1068</v>
      </c>
    </row>
    <row r="111" spans="1:5">
      <c r="A111" s="87">
        <v>3421</v>
      </c>
      <c r="B111" s="277" t="s">
        <v>638</v>
      </c>
      <c r="C111" s="74" t="s">
        <v>639</v>
      </c>
      <c r="D111" s="74" t="s">
        <v>640</v>
      </c>
      <c r="E111" s="75" t="s">
        <v>828</v>
      </c>
    </row>
    <row r="112" spans="1:5">
      <c r="A112" s="275">
        <v>3444</v>
      </c>
      <c r="B112" s="277" t="s">
        <v>1002</v>
      </c>
      <c r="C112" s="74" t="s">
        <v>1006</v>
      </c>
      <c r="D112" s="74" t="s">
        <v>1007</v>
      </c>
      <c r="E112" s="75" t="s">
        <v>1008</v>
      </c>
    </row>
    <row r="113" spans="1:5">
      <c r="A113" s="87">
        <v>3452</v>
      </c>
      <c r="B113" s="277" t="s">
        <v>635</v>
      </c>
      <c r="C113" s="74" t="s">
        <v>636</v>
      </c>
      <c r="D113" s="74" t="s">
        <v>637</v>
      </c>
      <c r="E113" s="75" t="s">
        <v>827</v>
      </c>
    </row>
    <row r="114" spans="1:5">
      <c r="A114" s="87">
        <v>3458</v>
      </c>
      <c r="B114" s="277" t="s">
        <v>1002</v>
      </c>
      <c r="C114" s="74" t="s">
        <v>1006</v>
      </c>
      <c r="D114" s="74" t="s">
        <v>1007</v>
      </c>
      <c r="E114" s="75" t="s">
        <v>1008</v>
      </c>
    </row>
    <row r="115" spans="1:5">
      <c r="A115" s="87">
        <v>3460</v>
      </c>
      <c r="B115" s="277" t="s">
        <v>1001</v>
      </c>
      <c r="C115" s="74" t="s">
        <v>1003</v>
      </c>
      <c r="D115" s="74" t="s">
        <v>1004</v>
      </c>
      <c r="E115" s="75" t="s">
        <v>1005</v>
      </c>
    </row>
    <row r="116" spans="1:5">
      <c r="A116" s="275">
        <v>3491</v>
      </c>
      <c r="B116" s="277" t="s">
        <v>635</v>
      </c>
      <c r="C116" s="74" t="s">
        <v>636</v>
      </c>
      <c r="D116" s="74" t="s">
        <v>637</v>
      </c>
      <c r="E116" s="75" t="s">
        <v>827</v>
      </c>
    </row>
    <row r="117" spans="1:5">
      <c r="A117" s="274">
        <v>3493</v>
      </c>
      <c r="B117" s="277" t="s">
        <v>1042</v>
      </c>
      <c r="C117" s="74" t="s">
        <v>1043</v>
      </c>
      <c r="D117" s="74" t="s">
        <v>1044</v>
      </c>
      <c r="E117" s="75" t="s">
        <v>1045</v>
      </c>
    </row>
    <row r="118" spans="1:5">
      <c r="A118" s="87">
        <v>3494</v>
      </c>
      <c r="B118" s="277" t="s">
        <v>1042</v>
      </c>
      <c r="C118" s="74" t="s">
        <v>1043</v>
      </c>
      <c r="D118" s="74" t="s">
        <v>1044</v>
      </c>
      <c r="E118" s="75" t="s">
        <v>1045</v>
      </c>
    </row>
    <row r="119" spans="1:5">
      <c r="A119" s="87">
        <v>3499</v>
      </c>
      <c r="B119" s="277" t="s">
        <v>1042</v>
      </c>
      <c r="C119" s="74" t="s">
        <v>1043</v>
      </c>
      <c r="D119" s="74" t="s">
        <v>1044</v>
      </c>
      <c r="E119" s="75" t="s">
        <v>1045</v>
      </c>
    </row>
    <row r="120" spans="1:5">
      <c r="A120" s="87">
        <v>3558</v>
      </c>
      <c r="B120" s="277" t="s">
        <v>822</v>
      </c>
      <c r="C120" s="74" t="s">
        <v>823</v>
      </c>
      <c r="D120" s="74" t="s">
        <v>824</v>
      </c>
      <c r="E120" s="75" t="s">
        <v>826</v>
      </c>
    </row>
    <row r="121" spans="1:5">
      <c r="A121" s="87">
        <v>3593</v>
      </c>
      <c r="B121" s="277" t="s">
        <v>632</v>
      </c>
      <c r="C121" s="74" t="s">
        <v>633</v>
      </c>
      <c r="D121" s="74" t="s">
        <v>634</v>
      </c>
      <c r="E121" s="75" t="s">
        <v>825</v>
      </c>
    </row>
    <row r="122" spans="1:5">
      <c r="A122" s="87">
        <v>3686</v>
      </c>
      <c r="B122" s="277" t="s">
        <v>822</v>
      </c>
      <c r="C122" s="74" t="s">
        <v>823</v>
      </c>
      <c r="D122" s="74" t="s">
        <v>824</v>
      </c>
      <c r="E122" s="75" t="s">
        <v>826</v>
      </c>
    </row>
    <row r="123" spans="1:5">
      <c r="A123" s="87">
        <v>3700</v>
      </c>
      <c r="B123" s="277" t="s">
        <v>635</v>
      </c>
      <c r="C123" s="74" t="s">
        <v>636</v>
      </c>
      <c r="D123" s="74" t="s">
        <v>637</v>
      </c>
      <c r="E123" s="75" t="s">
        <v>827</v>
      </c>
    </row>
    <row r="124" spans="1:5">
      <c r="A124" s="87">
        <v>3740</v>
      </c>
      <c r="B124" s="277" t="s">
        <v>1001</v>
      </c>
      <c r="C124" s="74" t="s">
        <v>1003</v>
      </c>
      <c r="D124" s="74" t="s">
        <v>1004</v>
      </c>
      <c r="E124" s="75" t="s">
        <v>1005</v>
      </c>
    </row>
    <row r="125" spans="1:5">
      <c r="A125" s="275">
        <v>3793</v>
      </c>
      <c r="B125" s="277" t="s">
        <v>638</v>
      </c>
      <c r="C125" s="74" t="s">
        <v>639</v>
      </c>
      <c r="D125" s="74" t="s">
        <v>640</v>
      </c>
      <c r="E125" s="75" t="s">
        <v>828</v>
      </c>
    </row>
    <row r="126" spans="1:5">
      <c r="A126" s="87">
        <v>3867</v>
      </c>
      <c r="B126" s="277" t="s">
        <v>822</v>
      </c>
      <c r="C126" s="74" t="s">
        <v>823</v>
      </c>
      <c r="D126" s="74" t="s">
        <v>824</v>
      </c>
      <c r="E126" s="75" t="s">
        <v>826</v>
      </c>
    </row>
    <row r="127" spans="1:5">
      <c r="A127" s="87">
        <v>3910</v>
      </c>
      <c r="B127" s="277" t="s">
        <v>638</v>
      </c>
      <c r="C127" s="74" t="s">
        <v>639</v>
      </c>
      <c r="D127" s="74" t="s">
        <v>640</v>
      </c>
      <c r="E127" s="75" t="s">
        <v>828</v>
      </c>
    </row>
    <row r="128" spans="1:5">
      <c r="A128" s="87">
        <v>3919</v>
      </c>
      <c r="B128" s="277" t="s">
        <v>1042</v>
      </c>
      <c r="C128" s="74" t="s">
        <v>1043</v>
      </c>
      <c r="D128" s="74" t="s">
        <v>1044</v>
      </c>
      <c r="E128" s="75" t="s">
        <v>1045</v>
      </c>
    </row>
    <row r="129" spans="1:5">
      <c r="A129" s="87">
        <v>3952</v>
      </c>
      <c r="B129" s="277" t="s">
        <v>632</v>
      </c>
      <c r="C129" s="74" t="s">
        <v>633</v>
      </c>
      <c r="D129" s="74" t="s">
        <v>634</v>
      </c>
      <c r="E129" s="75" t="s">
        <v>825</v>
      </c>
    </row>
    <row r="130" spans="1:5">
      <c r="A130" s="87">
        <v>4054</v>
      </c>
      <c r="B130" s="277" t="s">
        <v>635</v>
      </c>
      <c r="C130" s="74" t="s">
        <v>636</v>
      </c>
      <c r="D130" s="74" t="s">
        <v>637</v>
      </c>
      <c r="E130" s="75" t="s">
        <v>827</v>
      </c>
    </row>
    <row r="131" spans="1:5">
      <c r="A131" s="87">
        <v>4101</v>
      </c>
      <c r="B131" s="277" t="s">
        <v>1001</v>
      </c>
      <c r="C131" s="74" t="s">
        <v>1003</v>
      </c>
      <c r="D131" s="74" t="s">
        <v>1004</v>
      </c>
      <c r="E131" s="75" t="s">
        <v>1005</v>
      </c>
    </row>
    <row r="132" spans="1:5">
      <c r="A132" s="87">
        <v>4140</v>
      </c>
      <c r="B132" s="277" t="s">
        <v>1065</v>
      </c>
      <c r="C132" s="74" t="s">
        <v>1066</v>
      </c>
      <c r="D132" s="74" t="s">
        <v>1067</v>
      </c>
      <c r="E132" s="75" t="s">
        <v>1068</v>
      </c>
    </row>
    <row r="133" spans="1:5">
      <c r="A133" s="87">
        <v>4157</v>
      </c>
      <c r="B133" s="277" t="s">
        <v>1042</v>
      </c>
      <c r="C133" s="74" t="s">
        <v>1043</v>
      </c>
      <c r="D133" s="74" t="s">
        <v>1044</v>
      </c>
      <c r="E133" s="75" t="s">
        <v>1045</v>
      </c>
    </row>
    <row r="134" spans="1:5">
      <c r="A134" s="87">
        <v>4183</v>
      </c>
      <c r="B134" s="277" t="s">
        <v>1065</v>
      </c>
      <c r="C134" s="74" t="s">
        <v>1066</v>
      </c>
      <c r="D134" s="74" t="s">
        <v>1067</v>
      </c>
      <c r="E134" s="75" t="s">
        <v>1068</v>
      </c>
    </row>
    <row r="135" spans="1:5">
      <c r="A135" s="87">
        <v>4204</v>
      </c>
      <c r="B135" s="277" t="s">
        <v>638</v>
      </c>
      <c r="C135" s="74" t="s">
        <v>639</v>
      </c>
      <c r="D135" s="74" t="s">
        <v>640</v>
      </c>
      <c r="E135" s="75" t="s">
        <v>828</v>
      </c>
    </row>
    <row r="136" spans="1:5">
      <c r="A136" s="274">
        <v>4298</v>
      </c>
      <c r="B136" s="277" t="s">
        <v>1065</v>
      </c>
      <c r="C136" s="74" t="s">
        <v>1066</v>
      </c>
      <c r="D136" s="74" t="s">
        <v>1067</v>
      </c>
      <c r="E136" s="75" t="s">
        <v>1068</v>
      </c>
    </row>
    <row r="137" spans="1:5">
      <c r="A137" s="87">
        <v>4307</v>
      </c>
      <c r="B137" s="277" t="s">
        <v>638</v>
      </c>
      <c r="C137" s="74" t="s">
        <v>639</v>
      </c>
      <c r="D137" s="74" t="s">
        <v>640</v>
      </c>
      <c r="E137" s="75" t="s">
        <v>828</v>
      </c>
    </row>
    <row r="138" spans="1:5">
      <c r="A138" s="87">
        <v>4315</v>
      </c>
      <c r="B138" s="277" t="s">
        <v>1065</v>
      </c>
      <c r="C138" s="74" t="s">
        <v>1066</v>
      </c>
      <c r="D138" s="74" t="s">
        <v>1067</v>
      </c>
      <c r="E138" s="75" t="s">
        <v>1068</v>
      </c>
    </row>
    <row r="139" spans="1:5">
      <c r="A139" s="87">
        <v>4316</v>
      </c>
      <c r="B139" s="277" t="s">
        <v>822</v>
      </c>
      <c r="C139" s="74" t="s">
        <v>823</v>
      </c>
      <c r="D139" s="74" t="s">
        <v>824</v>
      </c>
      <c r="E139" s="75" t="s">
        <v>826</v>
      </c>
    </row>
    <row r="140" spans="1:5">
      <c r="A140" s="275">
        <v>4329</v>
      </c>
      <c r="B140" s="277" t="s">
        <v>1002</v>
      </c>
      <c r="C140" s="74" t="s">
        <v>1006</v>
      </c>
      <c r="D140" s="74" t="s">
        <v>1007</v>
      </c>
      <c r="E140" s="75" t="s">
        <v>1008</v>
      </c>
    </row>
    <row r="141" spans="1:5">
      <c r="A141" s="87">
        <v>4370</v>
      </c>
      <c r="B141" s="277" t="s">
        <v>632</v>
      </c>
      <c r="C141" s="74" t="s">
        <v>633</v>
      </c>
      <c r="D141" s="74" t="s">
        <v>634</v>
      </c>
      <c r="E141" s="75" t="s">
        <v>825</v>
      </c>
    </row>
    <row r="142" spans="1:5">
      <c r="A142" s="87">
        <v>4412</v>
      </c>
      <c r="B142" s="277" t="s">
        <v>822</v>
      </c>
      <c r="C142" s="74" t="s">
        <v>823</v>
      </c>
      <c r="D142" s="74" t="s">
        <v>824</v>
      </c>
      <c r="E142" s="75" t="s">
        <v>826</v>
      </c>
    </row>
    <row r="143" spans="1:5">
      <c r="A143" s="87">
        <v>4457</v>
      </c>
      <c r="B143" s="277" t="s">
        <v>1002</v>
      </c>
      <c r="C143" s="74" t="s">
        <v>1006</v>
      </c>
      <c r="D143" s="74" t="s">
        <v>1007</v>
      </c>
      <c r="E143" s="75" t="s">
        <v>1008</v>
      </c>
    </row>
    <row r="144" spans="1:5">
      <c r="A144" s="87">
        <v>4497</v>
      </c>
      <c r="B144" s="277" t="s">
        <v>822</v>
      </c>
      <c r="C144" s="74" t="s">
        <v>823</v>
      </c>
      <c r="D144" s="74" t="s">
        <v>824</v>
      </c>
      <c r="E144" s="75" t="s">
        <v>826</v>
      </c>
    </row>
    <row r="145" spans="1:5">
      <c r="A145" s="87">
        <v>4542</v>
      </c>
      <c r="B145" s="277" t="s">
        <v>822</v>
      </c>
      <c r="C145" s="74" t="s">
        <v>823</v>
      </c>
      <c r="D145" s="74" t="s">
        <v>824</v>
      </c>
      <c r="E145" s="75" t="s">
        <v>826</v>
      </c>
    </row>
    <row r="146" spans="1:5">
      <c r="A146" s="87">
        <v>4550</v>
      </c>
      <c r="B146" s="277" t="s">
        <v>635</v>
      </c>
      <c r="C146" s="74" t="s">
        <v>636</v>
      </c>
      <c r="D146" s="74" t="s">
        <v>637</v>
      </c>
      <c r="E146" s="75" t="s">
        <v>827</v>
      </c>
    </row>
    <row r="147" spans="1:5">
      <c r="A147" s="87">
        <v>4554</v>
      </c>
      <c r="B147" s="277" t="s">
        <v>1042</v>
      </c>
      <c r="C147" s="74" t="s">
        <v>1043</v>
      </c>
      <c r="D147" s="74" t="s">
        <v>1044</v>
      </c>
      <c r="E147" s="75" t="s">
        <v>1045</v>
      </c>
    </row>
    <row r="148" spans="1:5">
      <c r="A148" s="275">
        <v>4577</v>
      </c>
      <c r="B148" s="277" t="s">
        <v>635</v>
      </c>
      <c r="C148" s="74" t="s">
        <v>636</v>
      </c>
      <c r="D148" s="74" t="s">
        <v>637</v>
      </c>
      <c r="E148" s="75" t="s">
        <v>827</v>
      </c>
    </row>
    <row r="149" spans="1:5">
      <c r="A149" s="87">
        <v>4621</v>
      </c>
      <c r="B149" s="277" t="s">
        <v>822</v>
      </c>
      <c r="C149" s="74" t="s">
        <v>823</v>
      </c>
      <c r="D149" s="74" t="s">
        <v>824</v>
      </c>
      <c r="E149" s="75" t="s">
        <v>826</v>
      </c>
    </row>
    <row r="150" spans="1:5">
      <c r="A150" s="87">
        <v>4635</v>
      </c>
      <c r="B150" s="277" t="s">
        <v>822</v>
      </c>
      <c r="C150" s="74" t="s">
        <v>823</v>
      </c>
      <c r="D150" s="74" t="s">
        <v>824</v>
      </c>
      <c r="E150" s="75" t="s">
        <v>826</v>
      </c>
    </row>
    <row r="151" spans="1:5">
      <c r="A151" s="87">
        <v>4709</v>
      </c>
      <c r="B151" s="277" t="s">
        <v>1001</v>
      </c>
      <c r="C151" s="74" t="s">
        <v>1003</v>
      </c>
      <c r="D151" s="74" t="s">
        <v>1004</v>
      </c>
      <c r="E151" s="75" t="s">
        <v>1005</v>
      </c>
    </row>
    <row r="152" spans="1:5">
      <c r="A152" s="275">
        <v>4724</v>
      </c>
      <c r="B152" s="277" t="s">
        <v>1002</v>
      </c>
      <c r="C152" s="74" t="s">
        <v>1006</v>
      </c>
      <c r="D152" s="74" t="s">
        <v>1007</v>
      </c>
      <c r="E152" s="75" t="s">
        <v>1008</v>
      </c>
    </row>
    <row r="153" spans="1:5">
      <c r="A153" s="87">
        <v>4771</v>
      </c>
      <c r="B153" s="277" t="s">
        <v>1001</v>
      </c>
      <c r="C153" s="74" t="s">
        <v>1003</v>
      </c>
      <c r="D153" s="74" t="s">
        <v>1004</v>
      </c>
      <c r="E153" s="75" t="s">
        <v>1005</v>
      </c>
    </row>
    <row r="154" spans="1:5">
      <c r="A154" s="87">
        <v>4779</v>
      </c>
      <c r="B154" s="277" t="s">
        <v>1042</v>
      </c>
      <c r="C154" s="74" t="s">
        <v>1043</v>
      </c>
      <c r="D154" s="74" t="s">
        <v>1044</v>
      </c>
      <c r="E154" s="75" t="s">
        <v>1045</v>
      </c>
    </row>
    <row r="155" spans="1:5">
      <c r="A155" s="87">
        <v>4786</v>
      </c>
      <c r="B155" s="277" t="s">
        <v>1065</v>
      </c>
      <c r="C155" s="74" t="s">
        <v>1066</v>
      </c>
      <c r="D155" s="74" t="s">
        <v>1067</v>
      </c>
      <c r="E155" s="75" t="s">
        <v>1068</v>
      </c>
    </row>
    <row r="156" spans="1:5">
      <c r="A156" s="87">
        <v>4843</v>
      </c>
      <c r="B156" s="277" t="s">
        <v>638</v>
      </c>
      <c r="C156" s="74" t="s">
        <v>639</v>
      </c>
      <c r="D156" s="74" t="s">
        <v>640</v>
      </c>
      <c r="E156" s="75" t="s">
        <v>828</v>
      </c>
    </row>
    <row r="157" spans="1:5">
      <c r="A157" s="275">
        <v>4868</v>
      </c>
      <c r="B157" s="277" t="s">
        <v>1002</v>
      </c>
      <c r="C157" s="74" t="s">
        <v>1006</v>
      </c>
      <c r="D157" s="74" t="s">
        <v>1007</v>
      </c>
      <c r="E157" s="75" t="s">
        <v>1008</v>
      </c>
    </row>
    <row r="158" spans="1:5">
      <c r="A158" s="87">
        <v>5035</v>
      </c>
      <c r="B158" s="277" t="s">
        <v>635</v>
      </c>
      <c r="C158" s="74" t="s">
        <v>636</v>
      </c>
      <c r="D158" s="74" t="s">
        <v>637</v>
      </c>
      <c r="E158" s="75" t="s">
        <v>827</v>
      </c>
    </row>
    <row r="159" spans="1:5">
      <c r="A159" s="87">
        <v>5052</v>
      </c>
      <c r="B159" s="277" t="s">
        <v>632</v>
      </c>
      <c r="C159" s="74" t="s">
        <v>633</v>
      </c>
      <c r="D159" s="74" t="s">
        <v>634</v>
      </c>
      <c r="E159" s="75" t="s">
        <v>825</v>
      </c>
    </row>
    <row r="160" spans="1:5">
      <c r="A160" s="87">
        <v>5053</v>
      </c>
      <c r="B160" s="277" t="s">
        <v>1002</v>
      </c>
      <c r="C160" s="74" t="s">
        <v>1006</v>
      </c>
      <c r="D160" s="74" t="s">
        <v>1007</v>
      </c>
      <c r="E160" s="75" t="s">
        <v>1008</v>
      </c>
    </row>
    <row r="161" spans="1:5">
      <c r="A161" s="87">
        <v>5061</v>
      </c>
      <c r="B161" s="277" t="s">
        <v>822</v>
      </c>
      <c r="C161" s="74" t="s">
        <v>823</v>
      </c>
      <c r="D161" s="74" t="s">
        <v>824</v>
      </c>
      <c r="E161" s="75" t="s">
        <v>826</v>
      </c>
    </row>
    <row r="162" spans="1:5">
      <c r="A162" s="87">
        <v>5077</v>
      </c>
      <c r="B162" s="277" t="s">
        <v>635</v>
      </c>
      <c r="C162" s="74" t="s">
        <v>636</v>
      </c>
      <c r="D162" s="74" t="s">
        <v>637</v>
      </c>
      <c r="E162" s="75" t="s">
        <v>827</v>
      </c>
    </row>
    <row r="163" spans="1:5">
      <c r="A163" s="87">
        <v>5090</v>
      </c>
      <c r="B163" s="277" t="s">
        <v>1065</v>
      </c>
      <c r="C163" s="74" t="s">
        <v>1066</v>
      </c>
      <c r="D163" s="74" t="s">
        <v>1067</v>
      </c>
      <c r="E163" s="75" t="s">
        <v>1068</v>
      </c>
    </row>
    <row r="164" spans="1:5">
      <c r="A164" s="87">
        <v>5096</v>
      </c>
      <c r="B164" s="277" t="s">
        <v>822</v>
      </c>
      <c r="C164" s="74" t="s">
        <v>823</v>
      </c>
      <c r="D164" s="74" t="s">
        <v>824</v>
      </c>
      <c r="E164" s="75" t="s">
        <v>826</v>
      </c>
    </row>
    <row r="165" spans="1:5">
      <c r="A165" s="275">
        <v>5145</v>
      </c>
      <c r="B165" s="277" t="s">
        <v>635</v>
      </c>
      <c r="C165" s="74" t="s">
        <v>636</v>
      </c>
      <c r="D165" s="74" t="s">
        <v>637</v>
      </c>
      <c r="E165" s="75" t="s">
        <v>827</v>
      </c>
    </row>
    <row r="166" spans="1:5">
      <c r="A166" s="87">
        <v>5155</v>
      </c>
      <c r="B166" s="277" t="s">
        <v>638</v>
      </c>
      <c r="C166" s="74" t="s">
        <v>639</v>
      </c>
      <c r="D166" s="74" t="s">
        <v>640</v>
      </c>
      <c r="E166" s="75" t="s">
        <v>828</v>
      </c>
    </row>
    <row r="167" spans="1:5">
      <c r="A167" s="87">
        <v>5157</v>
      </c>
      <c r="B167" s="277" t="s">
        <v>638</v>
      </c>
      <c r="C167" s="74" t="s">
        <v>639</v>
      </c>
      <c r="D167" s="74" t="s">
        <v>640</v>
      </c>
      <c r="E167" s="75" t="s">
        <v>828</v>
      </c>
    </row>
    <row r="168" spans="1:5">
      <c r="A168" s="87">
        <v>5192</v>
      </c>
      <c r="B168" s="277" t="s">
        <v>1065</v>
      </c>
      <c r="C168" s="74" t="s">
        <v>1066</v>
      </c>
      <c r="D168" s="74" t="s">
        <v>1067</v>
      </c>
      <c r="E168" s="75" t="s">
        <v>1068</v>
      </c>
    </row>
    <row r="169" spans="1:5">
      <c r="A169" s="87">
        <v>5211</v>
      </c>
      <c r="B169" s="277" t="s">
        <v>632</v>
      </c>
      <c r="C169" s="74" t="s">
        <v>633</v>
      </c>
      <c r="D169" s="74" t="s">
        <v>634</v>
      </c>
      <c r="E169" s="75" t="s">
        <v>825</v>
      </c>
    </row>
    <row r="170" spans="1:5">
      <c r="A170" s="274">
        <v>5232</v>
      </c>
      <c r="B170" s="277" t="s">
        <v>635</v>
      </c>
      <c r="C170" s="74" t="s">
        <v>636</v>
      </c>
      <c r="D170" s="74" t="s">
        <v>637</v>
      </c>
      <c r="E170" s="75" t="s">
        <v>827</v>
      </c>
    </row>
    <row r="171" spans="1:5">
      <c r="A171" s="87">
        <v>5236</v>
      </c>
      <c r="B171" s="277" t="s">
        <v>635</v>
      </c>
      <c r="C171" s="74" t="s">
        <v>636</v>
      </c>
      <c r="D171" s="74" t="s">
        <v>637</v>
      </c>
      <c r="E171" s="75" t="s">
        <v>827</v>
      </c>
    </row>
    <row r="172" spans="1:5">
      <c r="A172" s="87">
        <v>5243</v>
      </c>
      <c r="B172" s="277" t="s">
        <v>632</v>
      </c>
      <c r="C172" s="74" t="s">
        <v>633</v>
      </c>
      <c r="D172" s="74" t="s">
        <v>634</v>
      </c>
      <c r="E172" s="75" t="s">
        <v>825</v>
      </c>
    </row>
    <row r="173" spans="1:5">
      <c r="A173" s="87">
        <v>5262</v>
      </c>
      <c r="B173" s="277" t="s">
        <v>1065</v>
      </c>
      <c r="C173" s="74" t="s">
        <v>1066</v>
      </c>
      <c r="D173" s="74" t="s">
        <v>1067</v>
      </c>
      <c r="E173" s="75" t="s">
        <v>1068</v>
      </c>
    </row>
    <row r="174" spans="1:5">
      <c r="A174" s="87">
        <v>5348</v>
      </c>
      <c r="B174" s="277" t="s">
        <v>1042</v>
      </c>
      <c r="C174" s="74" t="s">
        <v>1043</v>
      </c>
      <c r="D174" s="74" t="s">
        <v>1044</v>
      </c>
      <c r="E174" s="75" t="s">
        <v>1045</v>
      </c>
    </row>
    <row r="175" spans="1:5">
      <c r="A175" s="87">
        <v>5426</v>
      </c>
      <c r="B175" s="277" t="s">
        <v>822</v>
      </c>
      <c r="C175" s="74" t="s">
        <v>823</v>
      </c>
      <c r="D175" s="74" t="s">
        <v>824</v>
      </c>
      <c r="E175" s="75" t="s">
        <v>826</v>
      </c>
    </row>
    <row r="176" spans="1:5">
      <c r="A176" s="87">
        <v>5537</v>
      </c>
      <c r="B176" s="277" t="s">
        <v>822</v>
      </c>
      <c r="C176" s="74" t="s">
        <v>823</v>
      </c>
      <c r="D176" s="74" t="s">
        <v>824</v>
      </c>
      <c r="E176" s="75" t="s">
        <v>826</v>
      </c>
    </row>
    <row r="177" spans="1:5">
      <c r="A177" s="87">
        <v>5538</v>
      </c>
      <c r="B177" s="277" t="s">
        <v>632</v>
      </c>
      <c r="C177" s="74" t="s">
        <v>633</v>
      </c>
      <c r="D177" s="74" t="s">
        <v>634</v>
      </c>
      <c r="E177" s="75" t="s">
        <v>825</v>
      </c>
    </row>
    <row r="178" spans="1:5">
      <c r="A178" s="87">
        <v>5552</v>
      </c>
      <c r="B178" s="277" t="s">
        <v>822</v>
      </c>
      <c r="C178" s="74" t="s">
        <v>823</v>
      </c>
      <c r="D178" s="74" t="s">
        <v>824</v>
      </c>
      <c r="E178" s="75" t="s">
        <v>826</v>
      </c>
    </row>
    <row r="179" spans="1:5">
      <c r="A179" s="87">
        <v>5598</v>
      </c>
      <c r="B179" s="277" t="s">
        <v>1042</v>
      </c>
      <c r="C179" s="74" t="s">
        <v>1043</v>
      </c>
      <c r="D179" s="74" t="s">
        <v>1044</v>
      </c>
      <c r="E179" s="75" t="s">
        <v>1045</v>
      </c>
    </row>
    <row r="180" spans="1:5">
      <c r="A180" s="87">
        <v>5656</v>
      </c>
      <c r="B180" s="277" t="s">
        <v>632</v>
      </c>
      <c r="C180" s="74" t="s">
        <v>633</v>
      </c>
      <c r="D180" s="74" t="s">
        <v>634</v>
      </c>
      <c r="E180" s="75" t="s">
        <v>825</v>
      </c>
    </row>
    <row r="181" spans="1:5">
      <c r="A181" s="87">
        <v>5678</v>
      </c>
      <c r="B181" s="277" t="s">
        <v>638</v>
      </c>
      <c r="C181" s="74" t="s">
        <v>639</v>
      </c>
      <c r="D181" s="74" t="s">
        <v>640</v>
      </c>
      <c r="E181" s="75" t="s">
        <v>828</v>
      </c>
    </row>
    <row r="182" spans="1:5">
      <c r="A182" s="87">
        <v>5789</v>
      </c>
      <c r="B182" s="277" t="s">
        <v>635</v>
      </c>
      <c r="C182" s="74" t="s">
        <v>636</v>
      </c>
      <c r="D182" s="74" t="s">
        <v>637</v>
      </c>
      <c r="E182" s="75" t="s">
        <v>827</v>
      </c>
    </row>
    <row r="183" spans="1:5">
      <c r="A183" s="87">
        <v>5919</v>
      </c>
      <c r="B183" s="277" t="s">
        <v>1042</v>
      </c>
      <c r="C183" s="74" t="s">
        <v>1043</v>
      </c>
      <c r="D183" s="74" t="s">
        <v>1044</v>
      </c>
      <c r="E183" s="75" t="s">
        <v>1045</v>
      </c>
    </row>
    <row r="184" spans="1:5">
      <c r="A184" s="87">
        <v>5921</v>
      </c>
      <c r="B184" s="277" t="s">
        <v>635</v>
      </c>
      <c r="C184" s="74" t="s">
        <v>636</v>
      </c>
      <c r="D184" s="74" t="s">
        <v>637</v>
      </c>
      <c r="E184" s="75" t="s">
        <v>827</v>
      </c>
    </row>
    <row r="185" spans="1:5">
      <c r="A185" s="87">
        <v>5967</v>
      </c>
      <c r="B185" s="277" t="s">
        <v>1002</v>
      </c>
      <c r="C185" s="74" t="s">
        <v>1006</v>
      </c>
      <c r="D185" s="74" t="s">
        <v>1007</v>
      </c>
      <c r="E185" s="75" t="s">
        <v>1008</v>
      </c>
    </row>
    <row r="186" spans="1:5">
      <c r="A186" s="274">
        <v>5982</v>
      </c>
      <c r="B186" s="277" t="s">
        <v>1065</v>
      </c>
      <c r="C186" s="74" t="s">
        <v>1066</v>
      </c>
      <c r="D186" s="74" t="s">
        <v>1067</v>
      </c>
      <c r="E186" s="75" t="s">
        <v>1068</v>
      </c>
    </row>
    <row r="187" spans="1:5">
      <c r="A187" s="274">
        <v>6065</v>
      </c>
      <c r="B187" s="277" t="s">
        <v>632</v>
      </c>
      <c r="C187" s="74" t="s">
        <v>633</v>
      </c>
      <c r="D187" s="74" t="s">
        <v>634</v>
      </c>
      <c r="E187" s="75" t="s">
        <v>825</v>
      </c>
    </row>
    <row r="188" spans="1:5">
      <c r="A188" s="87">
        <v>6174</v>
      </c>
      <c r="B188" s="277" t="s">
        <v>1042</v>
      </c>
      <c r="C188" s="74" t="s">
        <v>1043</v>
      </c>
      <c r="D188" s="74" t="s">
        <v>1044</v>
      </c>
      <c r="E188" s="75" t="s">
        <v>1045</v>
      </c>
    </row>
    <row r="189" spans="1:5">
      <c r="A189" s="87">
        <v>6204</v>
      </c>
      <c r="B189" s="277" t="s">
        <v>822</v>
      </c>
      <c r="C189" s="74" t="s">
        <v>823</v>
      </c>
      <c r="D189" s="74" t="s">
        <v>824</v>
      </c>
      <c r="E189" s="75" t="s">
        <v>826</v>
      </c>
    </row>
    <row r="190" spans="1:5">
      <c r="A190" s="87">
        <v>6234</v>
      </c>
      <c r="B190" s="277" t="s">
        <v>635</v>
      </c>
      <c r="C190" s="74" t="s">
        <v>636</v>
      </c>
      <c r="D190" s="74" t="s">
        <v>637</v>
      </c>
      <c r="E190" s="75" t="s">
        <v>827</v>
      </c>
    </row>
    <row r="191" spans="1:5">
      <c r="A191" s="87">
        <v>6269</v>
      </c>
      <c r="B191" s="277" t="s">
        <v>1001</v>
      </c>
      <c r="C191" s="74" t="s">
        <v>1003</v>
      </c>
      <c r="D191" s="74" t="s">
        <v>1004</v>
      </c>
      <c r="E191" s="75" t="s">
        <v>1005</v>
      </c>
    </row>
    <row r="192" spans="1:5">
      <c r="A192" s="87">
        <v>6280</v>
      </c>
      <c r="B192" s="277" t="s">
        <v>1042</v>
      </c>
      <c r="C192" s="74" t="s">
        <v>1043</v>
      </c>
      <c r="D192" s="74" t="s">
        <v>1044</v>
      </c>
      <c r="E192" s="75" t="s">
        <v>1045</v>
      </c>
    </row>
    <row r="193" spans="1:5">
      <c r="A193" s="87">
        <v>6358</v>
      </c>
      <c r="B193" s="277" t="s">
        <v>1065</v>
      </c>
      <c r="C193" s="74" t="s">
        <v>1066</v>
      </c>
      <c r="D193" s="74" t="s">
        <v>1067</v>
      </c>
      <c r="E193" s="75" t="s">
        <v>1068</v>
      </c>
    </row>
    <row r="194" spans="1:5">
      <c r="A194" s="87">
        <v>6366</v>
      </c>
      <c r="B194" s="277" t="s">
        <v>1002</v>
      </c>
      <c r="C194" s="74" t="s">
        <v>1006</v>
      </c>
      <c r="D194" s="74" t="s">
        <v>1007</v>
      </c>
      <c r="E194" s="75" t="s">
        <v>1008</v>
      </c>
    </row>
    <row r="195" spans="1:5">
      <c r="A195" s="87">
        <v>6402</v>
      </c>
      <c r="B195" s="277" t="s">
        <v>632</v>
      </c>
      <c r="C195" s="74" t="s">
        <v>633</v>
      </c>
      <c r="D195" s="74" t="s">
        <v>634</v>
      </c>
      <c r="E195" s="75" t="s">
        <v>825</v>
      </c>
    </row>
    <row r="196" spans="1:5">
      <c r="A196" s="87">
        <v>6403</v>
      </c>
      <c r="B196" s="277" t="s">
        <v>635</v>
      </c>
      <c r="C196" s="74" t="s">
        <v>636</v>
      </c>
      <c r="D196" s="74" t="s">
        <v>637</v>
      </c>
      <c r="E196" s="75" t="s">
        <v>827</v>
      </c>
    </row>
    <row r="197" spans="1:5">
      <c r="A197" s="87">
        <v>6409</v>
      </c>
      <c r="B197" s="277" t="s">
        <v>1065</v>
      </c>
      <c r="C197" s="74" t="s">
        <v>1066</v>
      </c>
      <c r="D197" s="74" t="s">
        <v>1067</v>
      </c>
      <c r="E197" s="75" t="s">
        <v>1068</v>
      </c>
    </row>
    <row r="198" spans="1:5">
      <c r="A198" s="87">
        <v>6413</v>
      </c>
      <c r="B198" s="277" t="s">
        <v>1042</v>
      </c>
      <c r="C198" s="74" t="s">
        <v>1043</v>
      </c>
      <c r="D198" s="74" t="s">
        <v>1044</v>
      </c>
      <c r="E198" s="75" t="s">
        <v>1045</v>
      </c>
    </row>
    <row r="199" spans="1:5">
      <c r="A199" s="87">
        <v>6453</v>
      </c>
      <c r="B199" s="277" t="s">
        <v>1002</v>
      </c>
      <c r="C199" s="74" t="s">
        <v>1006</v>
      </c>
      <c r="D199" s="74" t="s">
        <v>1007</v>
      </c>
      <c r="E199" s="75" t="s">
        <v>1008</v>
      </c>
    </row>
    <row r="200" spans="1:5">
      <c r="A200" s="87">
        <v>6456</v>
      </c>
      <c r="B200" s="277" t="s">
        <v>635</v>
      </c>
      <c r="C200" s="74" t="s">
        <v>636</v>
      </c>
      <c r="D200" s="74" t="s">
        <v>637</v>
      </c>
      <c r="E200" s="75" t="s">
        <v>827</v>
      </c>
    </row>
    <row r="201" spans="1:5">
      <c r="A201" s="274">
        <v>6527</v>
      </c>
      <c r="B201" s="277" t="s">
        <v>638</v>
      </c>
      <c r="C201" s="74" t="s">
        <v>639</v>
      </c>
      <c r="D201" s="74" t="s">
        <v>640</v>
      </c>
      <c r="E201" s="75" t="s">
        <v>828</v>
      </c>
    </row>
    <row r="202" spans="1:5">
      <c r="A202" s="87">
        <v>6557</v>
      </c>
      <c r="B202" s="277" t="s">
        <v>635</v>
      </c>
      <c r="C202" s="74" t="s">
        <v>636</v>
      </c>
      <c r="D202" s="74" t="s">
        <v>637</v>
      </c>
      <c r="E202" s="75" t="s">
        <v>827</v>
      </c>
    </row>
    <row r="203" spans="1:5">
      <c r="A203" s="274">
        <v>6634</v>
      </c>
      <c r="B203" s="277" t="s">
        <v>822</v>
      </c>
      <c r="C203" s="74" t="s">
        <v>823</v>
      </c>
      <c r="D203" s="74" t="s">
        <v>824</v>
      </c>
      <c r="E203" s="75" t="s">
        <v>826</v>
      </c>
    </row>
    <row r="204" spans="1:5">
      <c r="A204" s="274">
        <v>6641</v>
      </c>
      <c r="B204" s="277" t="s">
        <v>1065</v>
      </c>
      <c r="C204" s="74" t="s">
        <v>1066</v>
      </c>
      <c r="D204" s="74" t="s">
        <v>1067</v>
      </c>
      <c r="E204" s="75" t="s">
        <v>1068</v>
      </c>
    </row>
    <row r="205" spans="1:5">
      <c r="A205" s="87">
        <v>6658</v>
      </c>
      <c r="B205" s="277" t="s">
        <v>1002</v>
      </c>
      <c r="C205" s="74" t="s">
        <v>1006</v>
      </c>
      <c r="D205" s="74" t="s">
        <v>1007</v>
      </c>
      <c r="E205" s="75" t="s">
        <v>1008</v>
      </c>
    </row>
    <row r="206" spans="1:5">
      <c r="A206" s="274">
        <v>6699</v>
      </c>
      <c r="B206" s="277" t="s">
        <v>632</v>
      </c>
      <c r="C206" s="74" t="s">
        <v>633</v>
      </c>
      <c r="D206" s="74" t="s">
        <v>634</v>
      </c>
      <c r="E206" s="75" t="s">
        <v>825</v>
      </c>
    </row>
    <row r="207" spans="1:5">
      <c r="A207" s="87">
        <v>6711</v>
      </c>
      <c r="B207" s="277" t="s">
        <v>822</v>
      </c>
      <c r="C207" s="74" t="s">
        <v>823</v>
      </c>
      <c r="D207" s="74" t="s">
        <v>824</v>
      </c>
      <c r="E207" s="75" t="s">
        <v>826</v>
      </c>
    </row>
    <row r="208" spans="1:5">
      <c r="A208" s="87">
        <v>6757</v>
      </c>
      <c r="B208" s="277" t="s">
        <v>1065</v>
      </c>
      <c r="C208" s="74" t="s">
        <v>1066</v>
      </c>
      <c r="D208" s="74" t="s">
        <v>1067</v>
      </c>
      <c r="E208" s="75" t="s">
        <v>1068</v>
      </c>
    </row>
    <row r="209" spans="1:5">
      <c r="A209" s="274">
        <v>6763</v>
      </c>
      <c r="B209" s="277" t="s">
        <v>635</v>
      </c>
      <c r="C209" s="74" t="s">
        <v>636</v>
      </c>
      <c r="D209" s="74" t="s">
        <v>637</v>
      </c>
      <c r="E209" s="75" t="s">
        <v>827</v>
      </c>
    </row>
    <row r="210" spans="1:5">
      <c r="A210" s="274">
        <v>6782</v>
      </c>
      <c r="B210" s="277" t="s">
        <v>1065</v>
      </c>
      <c r="C210" s="74" t="s">
        <v>1066</v>
      </c>
      <c r="D210" s="74" t="s">
        <v>1067</v>
      </c>
      <c r="E210" s="75" t="s">
        <v>1068</v>
      </c>
    </row>
    <row r="211" spans="1:5">
      <c r="A211" s="87">
        <v>6811</v>
      </c>
      <c r="B211" s="277" t="s">
        <v>822</v>
      </c>
      <c r="C211" s="74" t="s">
        <v>823</v>
      </c>
      <c r="D211" s="74" t="s">
        <v>824</v>
      </c>
      <c r="E211" s="75" t="s">
        <v>826</v>
      </c>
    </row>
    <row r="212" spans="1:5">
      <c r="A212" s="87">
        <v>6812</v>
      </c>
      <c r="B212" s="277" t="s">
        <v>638</v>
      </c>
      <c r="C212" s="74" t="s">
        <v>639</v>
      </c>
      <c r="D212" s="74" t="s">
        <v>640</v>
      </c>
      <c r="E212" s="75" t="s">
        <v>828</v>
      </c>
    </row>
    <row r="213" spans="1:5">
      <c r="A213" s="87">
        <v>6826</v>
      </c>
      <c r="B213" s="277" t="s">
        <v>635</v>
      </c>
      <c r="C213" s="74" t="s">
        <v>636</v>
      </c>
      <c r="D213" s="74" t="s">
        <v>637</v>
      </c>
      <c r="E213" s="75" t="s">
        <v>827</v>
      </c>
    </row>
    <row r="214" spans="1:5">
      <c r="A214" s="87">
        <v>6832</v>
      </c>
      <c r="B214" s="277" t="s">
        <v>1042</v>
      </c>
      <c r="C214" s="74" t="s">
        <v>1043</v>
      </c>
      <c r="D214" s="74" t="s">
        <v>1044</v>
      </c>
      <c r="E214" s="75" t="s">
        <v>1045</v>
      </c>
    </row>
    <row r="215" spans="1:5">
      <c r="A215" s="87">
        <v>6833</v>
      </c>
      <c r="B215" s="277" t="s">
        <v>1065</v>
      </c>
      <c r="C215" s="74" t="s">
        <v>1066</v>
      </c>
      <c r="D215" s="74" t="s">
        <v>1067</v>
      </c>
      <c r="E215" s="75" t="s">
        <v>1068</v>
      </c>
    </row>
    <row r="216" spans="1:5">
      <c r="A216" s="274">
        <v>6856</v>
      </c>
      <c r="B216" s="277" t="s">
        <v>1065</v>
      </c>
      <c r="C216" s="74" t="s">
        <v>1066</v>
      </c>
      <c r="D216" s="74" t="s">
        <v>1067</v>
      </c>
      <c r="E216" s="75" t="s">
        <v>1068</v>
      </c>
    </row>
    <row r="217" spans="1:5">
      <c r="A217" s="87">
        <v>6859</v>
      </c>
      <c r="B217" s="277" t="s">
        <v>638</v>
      </c>
      <c r="C217" s="74" t="s">
        <v>639</v>
      </c>
      <c r="D217" s="74" t="s">
        <v>640</v>
      </c>
      <c r="E217" s="75" t="s">
        <v>828</v>
      </c>
    </row>
    <row r="218" spans="1:5">
      <c r="A218" s="274">
        <v>6878</v>
      </c>
      <c r="B218" s="277" t="s">
        <v>635</v>
      </c>
      <c r="C218" s="74" t="s">
        <v>636</v>
      </c>
      <c r="D218" s="74" t="s">
        <v>637</v>
      </c>
      <c r="E218" s="75" t="s">
        <v>827</v>
      </c>
    </row>
    <row r="219" spans="1:5">
      <c r="A219" s="274">
        <v>6887</v>
      </c>
      <c r="B219" s="277" t="s">
        <v>632</v>
      </c>
      <c r="C219" s="74" t="s">
        <v>633</v>
      </c>
      <c r="D219" s="74" t="s">
        <v>634</v>
      </c>
      <c r="E219" s="75" t="s">
        <v>825</v>
      </c>
    </row>
    <row r="220" spans="1:5">
      <c r="A220" s="87">
        <v>6889</v>
      </c>
      <c r="B220" s="277" t="s">
        <v>638</v>
      </c>
      <c r="C220" s="74" t="s">
        <v>639</v>
      </c>
      <c r="D220" s="74" t="s">
        <v>640</v>
      </c>
      <c r="E220" s="75" t="s">
        <v>828</v>
      </c>
    </row>
    <row r="221" spans="1:5">
      <c r="A221" s="87">
        <v>6914</v>
      </c>
      <c r="B221" s="277" t="s">
        <v>822</v>
      </c>
      <c r="C221" s="74" t="s">
        <v>823</v>
      </c>
      <c r="D221" s="74" t="s">
        <v>824</v>
      </c>
      <c r="E221" s="75" t="s">
        <v>826</v>
      </c>
    </row>
    <row r="222" spans="1:5">
      <c r="A222" s="87">
        <v>6950</v>
      </c>
      <c r="B222" s="277" t="s">
        <v>638</v>
      </c>
      <c r="C222" s="74" t="s">
        <v>639</v>
      </c>
      <c r="D222" s="74" t="s">
        <v>640</v>
      </c>
      <c r="E222" s="75" t="s">
        <v>828</v>
      </c>
    </row>
    <row r="223" spans="1:5">
      <c r="A223" s="87">
        <v>6978</v>
      </c>
      <c r="B223" s="277" t="s">
        <v>1002</v>
      </c>
      <c r="C223" s="74" t="s">
        <v>1006</v>
      </c>
      <c r="D223" s="74" t="s">
        <v>1007</v>
      </c>
      <c r="E223" s="75" t="s">
        <v>1008</v>
      </c>
    </row>
    <row r="224" spans="1:5">
      <c r="A224" s="274">
        <v>7014</v>
      </c>
      <c r="B224" s="277" t="s">
        <v>1002</v>
      </c>
      <c r="C224" s="74" t="s">
        <v>1006</v>
      </c>
      <c r="D224" s="74" t="s">
        <v>1007</v>
      </c>
      <c r="E224" s="75" t="s">
        <v>1008</v>
      </c>
    </row>
    <row r="225" spans="1:5">
      <c r="A225" s="87">
        <v>7016</v>
      </c>
      <c r="B225" s="277" t="s">
        <v>1065</v>
      </c>
      <c r="C225" s="74" t="s">
        <v>1066</v>
      </c>
      <c r="D225" s="74" t="s">
        <v>1067</v>
      </c>
      <c r="E225" s="75" t="s">
        <v>1068</v>
      </c>
    </row>
    <row r="226" spans="1:5">
      <c r="A226" s="87">
        <v>7017</v>
      </c>
      <c r="B226" s="277" t="s">
        <v>632</v>
      </c>
      <c r="C226" s="74" t="s">
        <v>633</v>
      </c>
      <c r="D226" s="74" t="s">
        <v>634</v>
      </c>
      <c r="E226" s="75" t="s">
        <v>825</v>
      </c>
    </row>
    <row r="227" spans="1:5">
      <c r="A227" s="274">
        <v>7036</v>
      </c>
      <c r="B227" s="277" t="s">
        <v>638</v>
      </c>
      <c r="C227" s="74" t="s">
        <v>639</v>
      </c>
      <c r="D227" s="74" t="s">
        <v>640</v>
      </c>
      <c r="E227" s="75" t="s">
        <v>828</v>
      </c>
    </row>
    <row r="228" spans="1:5">
      <c r="A228" s="87">
        <v>7038</v>
      </c>
      <c r="B228" s="277" t="s">
        <v>1042</v>
      </c>
      <c r="C228" s="74" t="s">
        <v>1043</v>
      </c>
      <c r="D228" s="74" t="s">
        <v>1044</v>
      </c>
      <c r="E228" s="75" t="s">
        <v>1045</v>
      </c>
    </row>
    <row r="229" spans="1:5">
      <c r="A229" s="87">
        <v>7058</v>
      </c>
      <c r="B229" s="277" t="s">
        <v>635</v>
      </c>
      <c r="C229" s="74" t="s">
        <v>636</v>
      </c>
      <c r="D229" s="74" t="s">
        <v>637</v>
      </c>
      <c r="E229" s="75" t="s">
        <v>827</v>
      </c>
    </row>
    <row r="230" spans="1:5">
      <c r="A230" s="87">
        <v>7067</v>
      </c>
      <c r="B230" s="277" t="s">
        <v>638</v>
      </c>
      <c r="C230" s="74" t="s">
        <v>639</v>
      </c>
      <c r="D230" s="74" t="s">
        <v>640</v>
      </c>
      <c r="E230" s="75" t="s">
        <v>828</v>
      </c>
    </row>
    <row r="231" spans="1:5">
      <c r="A231" s="87">
        <v>7094</v>
      </c>
      <c r="B231" s="277" t="s">
        <v>822</v>
      </c>
      <c r="C231" s="74" t="s">
        <v>823</v>
      </c>
      <c r="D231" s="74" t="s">
        <v>824</v>
      </c>
      <c r="E231" s="75" t="s">
        <v>826</v>
      </c>
    </row>
    <row r="232" spans="1:5">
      <c r="A232" s="87">
        <v>7099</v>
      </c>
      <c r="B232" s="277" t="s">
        <v>1001</v>
      </c>
      <c r="C232" s="74" t="s">
        <v>1003</v>
      </c>
      <c r="D232" s="74" t="s">
        <v>1004</v>
      </c>
      <c r="E232" s="75" t="s">
        <v>1005</v>
      </c>
    </row>
    <row r="233" spans="1:5">
      <c r="A233" s="87">
        <v>7136</v>
      </c>
      <c r="B233" s="277" t="s">
        <v>635</v>
      </c>
      <c r="C233" s="74" t="s">
        <v>636</v>
      </c>
      <c r="D233" s="74" t="s">
        <v>637</v>
      </c>
      <c r="E233" s="75" t="s">
        <v>827</v>
      </c>
    </row>
    <row r="234" spans="1:5">
      <c r="A234" s="275">
        <v>7153</v>
      </c>
      <c r="B234" s="277" t="s">
        <v>635</v>
      </c>
      <c r="C234" s="74" t="s">
        <v>636</v>
      </c>
      <c r="D234" s="74" t="s">
        <v>637</v>
      </c>
      <c r="E234" s="75" t="s">
        <v>827</v>
      </c>
    </row>
    <row r="235" spans="1:5">
      <c r="A235" s="87">
        <v>7163</v>
      </c>
      <c r="B235" s="277" t="s">
        <v>1065</v>
      </c>
      <c r="C235" s="74" t="s">
        <v>1066</v>
      </c>
      <c r="D235" s="74" t="s">
        <v>1067</v>
      </c>
      <c r="E235" s="75" t="s">
        <v>1068</v>
      </c>
    </row>
    <row r="236" spans="1:5">
      <c r="A236" s="87">
        <v>7167</v>
      </c>
      <c r="B236" s="277" t="s">
        <v>1042</v>
      </c>
      <c r="C236" s="74" t="s">
        <v>1043</v>
      </c>
      <c r="D236" s="74" t="s">
        <v>1044</v>
      </c>
      <c r="E236" s="75" t="s">
        <v>1045</v>
      </c>
    </row>
    <row r="237" spans="1:5">
      <c r="A237" s="87">
        <v>7175</v>
      </c>
      <c r="B237" s="277" t="s">
        <v>1001</v>
      </c>
      <c r="C237" s="74" t="s">
        <v>1003</v>
      </c>
      <c r="D237" s="74" t="s">
        <v>1004</v>
      </c>
      <c r="E237" s="75" t="s">
        <v>1005</v>
      </c>
    </row>
    <row r="238" spans="1:5">
      <c r="A238" s="274">
        <v>7185</v>
      </c>
      <c r="B238" s="277" t="s">
        <v>1042</v>
      </c>
      <c r="C238" s="74" t="s">
        <v>1043</v>
      </c>
      <c r="D238" s="74" t="s">
        <v>1044</v>
      </c>
      <c r="E238" s="75" t="s">
        <v>1045</v>
      </c>
    </row>
    <row r="239" spans="1:5">
      <c r="A239" s="275">
        <v>7196</v>
      </c>
      <c r="B239" s="277" t="s">
        <v>1002</v>
      </c>
      <c r="C239" s="74" t="s">
        <v>1006</v>
      </c>
      <c r="D239" s="74" t="s">
        <v>1007</v>
      </c>
      <c r="E239" s="75" t="s">
        <v>1008</v>
      </c>
    </row>
    <row r="240" spans="1:5">
      <c r="A240" s="275">
        <v>7197</v>
      </c>
      <c r="B240" s="277" t="s">
        <v>1002</v>
      </c>
      <c r="C240" s="74" t="s">
        <v>1006</v>
      </c>
      <c r="D240" s="74" t="s">
        <v>1007</v>
      </c>
      <c r="E240" s="75" t="s">
        <v>1008</v>
      </c>
    </row>
    <row r="241" spans="1:5">
      <c r="A241" s="87">
        <v>7202</v>
      </c>
      <c r="B241" s="277" t="s">
        <v>635</v>
      </c>
      <c r="C241" s="74" t="s">
        <v>636</v>
      </c>
      <c r="D241" s="74" t="s">
        <v>637</v>
      </c>
      <c r="E241" s="75" t="s">
        <v>827</v>
      </c>
    </row>
    <row r="242" spans="1:5">
      <c r="A242" s="87">
        <v>7206</v>
      </c>
      <c r="B242" s="277" t="s">
        <v>635</v>
      </c>
      <c r="C242" s="74" t="s">
        <v>636</v>
      </c>
      <c r="D242" s="74" t="s">
        <v>637</v>
      </c>
      <c r="E242" s="75" t="s">
        <v>827</v>
      </c>
    </row>
    <row r="243" spans="1:5">
      <c r="A243" s="87">
        <v>7230</v>
      </c>
      <c r="B243" s="277" t="s">
        <v>635</v>
      </c>
      <c r="C243" s="74" t="s">
        <v>636</v>
      </c>
      <c r="D243" s="74" t="s">
        <v>637</v>
      </c>
      <c r="E243" s="75" t="s">
        <v>827</v>
      </c>
    </row>
    <row r="244" spans="1:5">
      <c r="A244" s="274">
        <v>7256</v>
      </c>
      <c r="B244" s="277" t="s">
        <v>1065</v>
      </c>
      <c r="C244" s="74" t="s">
        <v>1066</v>
      </c>
      <c r="D244" s="74" t="s">
        <v>1067</v>
      </c>
      <c r="E244" s="75" t="s">
        <v>1068</v>
      </c>
    </row>
    <row r="245" spans="1:5">
      <c r="A245" s="274">
        <v>7264</v>
      </c>
      <c r="B245" s="277" t="s">
        <v>1001</v>
      </c>
      <c r="C245" s="74" t="s">
        <v>1003</v>
      </c>
      <c r="D245" s="74" t="s">
        <v>1004</v>
      </c>
      <c r="E245" s="75" t="s">
        <v>1005</v>
      </c>
    </row>
    <row r="246" spans="1:5">
      <c r="A246" s="87">
        <v>7265</v>
      </c>
      <c r="B246" s="277" t="s">
        <v>1065</v>
      </c>
      <c r="C246" s="74" t="s">
        <v>1066</v>
      </c>
      <c r="D246" s="74" t="s">
        <v>1067</v>
      </c>
      <c r="E246" s="75" t="s">
        <v>1068</v>
      </c>
    </row>
    <row r="247" spans="1:5">
      <c r="A247" s="274">
        <v>7290</v>
      </c>
      <c r="B247" s="277" t="s">
        <v>1042</v>
      </c>
      <c r="C247" s="74" t="s">
        <v>1043</v>
      </c>
      <c r="D247" s="74" t="s">
        <v>1044</v>
      </c>
      <c r="E247" s="75" t="s">
        <v>1045</v>
      </c>
    </row>
    <row r="248" spans="1:5">
      <c r="A248" s="87">
        <v>7323</v>
      </c>
      <c r="B248" s="277" t="s">
        <v>1065</v>
      </c>
      <c r="C248" s="74" t="s">
        <v>1066</v>
      </c>
      <c r="D248" s="74" t="s">
        <v>1067</v>
      </c>
      <c r="E248" s="75" t="s">
        <v>1068</v>
      </c>
    </row>
    <row r="249" spans="1:5">
      <c r="A249" s="87">
        <v>7345</v>
      </c>
      <c r="B249" s="277" t="s">
        <v>635</v>
      </c>
      <c r="C249" s="74" t="s">
        <v>636</v>
      </c>
      <c r="D249" s="74" t="s">
        <v>637</v>
      </c>
      <c r="E249" s="75" t="s">
        <v>827</v>
      </c>
    </row>
    <row r="250" spans="1:5">
      <c r="A250" s="87">
        <v>7347</v>
      </c>
      <c r="B250" s="277" t="s">
        <v>1065</v>
      </c>
      <c r="C250" s="74" t="s">
        <v>1066</v>
      </c>
      <c r="D250" s="74" t="s">
        <v>1067</v>
      </c>
      <c r="E250" s="75" t="s">
        <v>1068</v>
      </c>
    </row>
    <row r="251" spans="1:5">
      <c r="A251" s="87">
        <v>7362</v>
      </c>
      <c r="B251" s="277" t="s">
        <v>1042</v>
      </c>
      <c r="C251" s="74" t="s">
        <v>1043</v>
      </c>
      <c r="D251" s="74" t="s">
        <v>1044</v>
      </c>
      <c r="E251" s="75" t="s">
        <v>1045</v>
      </c>
    </row>
    <row r="252" spans="1:5">
      <c r="A252" s="87">
        <v>7371</v>
      </c>
      <c r="B252" s="277" t="s">
        <v>1001</v>
      </c>
      <c r="C252" s="74" t="s">
        <v>1003</v>
      </c>
      <c r="D252" s="74" t="s">
        <v>1004</v>
      </c>
      <c r="E252" s="75" t="s">
        <v>1005</v>
      </c>
    </row>
    <row r="253" spans="1:5">
      <c r="A253" s="275">
        <v>7382</v>
      </c>
      <c r="B253" s="277" t="s">
        <v>638</v>
      </c>
      <c r="C253" s="74" t="s">
        <v>639</v>
      </c>
      <c r="D253" s="74" t="s">
        <v>640</v>
      </c>
      <c r="E253" s="75" t="s">
        <v>828</v>
      </c>
    </row>
    <row r="254" spans="1:5">
      <c r="A254" s="87">
        <v>7386</v>
      </c>
      <c r="B254" s="277" t="s">
        <v>1065</v>
      </c>
      <c r="C254" s="74" t="s">
        <v>1066</v>
      </c>
      <c r="D254" s="74" t="s">
        <v>1067</v>
      </c>
      <c r="E254" s="75" t="s">
        <v>1068</v>
      </c>
    </row>
    <row r="255" spans="1:5">
      <c r="A255" s="87">
        <v>7409</v>
      </c>
      <c r="B255" s="277" t="s">
        <v>1065</v>
      </c>
      <c r="C255" s="74" t="s">
        <v>1066</v>
      </c>
      <c r="D255" s="74" t="s">
        <v>1067</v>
      </c>
      <c r="E255" s="75" t="s">
        <v>1068</v>
      </c>
    </row>
    <row r="256" spans="1:5">
      <c r="A256" s="87">
        <v>7435</v>
      </c>
      <c r="B256" s="277" t="s">
        <v>1001</v>
      </c>
      <c r="C256" s="74" t="s">
        <v>1003</v>
      </c>
      <c r="D256" s="74" t="s">
        <v>1004</v>
      </c>
      <c r="E256" s="75" t="s">
        <v>1005</v>
      </c>
    </row>
    <row r="257" spans="1:5">
      <c r="A257" s="87">
        <v>7438</v>
      </c>
      <c r="B257" s="277" t="s">
        <v>632</v>
      </c>
      <c r="C257" s="74" t="s">
        <v>633</v>
      </c>
      <c r="D257" s="74" t="s">
        <v>634</v>
      </c>
      <c r="E257" s="75" t="s">
        <v>825</v>
      </c>
    </row>
    <row r="258" spans="1:5">
      <c r="A258" s="275">
        <v>7445</v>
      </c>
      <c r="B258" s="277" t="s">
        <v>638</v>
      </c>
      <c r="C258" s="74" t="s">
        <v>639</v>
      </c>
      <c r="D258" s="74" t="s">
        <v>640</v>
      </c>
      <c r="E258" s="75" t="s">
        <v>828</v>
      </c>
    </row>
    <row r="259" spans="1:5">
      <c r="A259" s="87">
        <v>7458</v>
      </c>
      <c r="B259" s="277" t="s">
        <v>1001</v>
      </c>
      <c r="C259" s="74" t="s">
        <v>1003</v>
      </c>
      <c r="D259" s="74" t="s">
        <v>1004</v>
      </c>
      <c r="E259" s="75" t="s">
        <v>1005</v>
      </c>
    </row>
    <row r="260" spans="1:5">
      <c r="A260" s="84">
        <v>7468</v>
      </c>
      <c r="B260" s="277" t="s">
        <v>635</v>
      </c>
      <c r="C260" s="74" t="s">
        <v>636</v>
      </c>
      <c r="D260" s="74" t="s">
        <v>637</v>
      </c>
      <c r="E260" s="75" t="s">
        <v>827</v>
      </c>
    </row>
    <row r="261" spans="1:5">
      <c r="A261" s="87">
        <v>7512</v>
      </c>
      <c r="B261" s="277" t="s">
        <v>638</v>
      </c>
      <c r="C261" s="74" t="s">
        <v>639</v>
      </c>
      <c r="D261" s="74" t="s">
        <v>640</v>
      </c>
      <c r="E261" s="75" t="s">
        <v>828</v>
      </c>
    </row>
    <row r="262" spans="1:5">
      <c r="A262" s="275">
        <v>7532</v>
      </c>
      <c r="B262" s="277" t="s">
        <v>635</v>
      </c>
      <c r="C262" s="74" t="s">
        <v>636</v>
      </c>
      <c r="D262" s="74" t="s">
        <v>637</v>
      </c>
      <c r="E262" s="75" t="s">
        <v>827</v>
      </c>
    </row>
    <row r="263" spans="1:5">
      <c r="A263" s="87">
        <v>7553</v>
      </c>
      <c r="B263" s="277" t="s">
        <v>632</v>
      </c>
      <c r="C263" s="74" t="s">
        <v>633</v>
      </c>
      <c r="D263" s="74" t="s">
        <v>634</v>
      </c>
      <c r="E263" s="75" t="s">
        <v>825</v>
      </c>
    </row>
    <row r="264" spans="1:5">
      <c r="A264" s="87">
        <v>7563</v>
      </c>
      <c r="B264" s="277" t="s">
        <v>822</v>
      </c>
      <c r="C264" s="74" t="s">
        <v>823</v>
      </c>
      <c r="D264" s="74" t="s">
        <v>824</v>
      </c>
      <c r="E264" s="75" t="s">
        <v>826</v>
      </c>
    </row>
    <row r="265" spans="1:5">
      <c r="A265" s="274">
        <v>7573</v>
      </c>
      <c r="B265" s="277" t="s">
        <v>822</v>
      </c>
      <c r="C265" s="74" t="s">
        <v>823</v>
      </c>
      <c r="D265" s="74" t="s">
        <v>824</v>
      </c>
      <c r="E265" s="75" t="s">
        <v>826</v>
      </c>
    </row>
    <row r="266" spans="1:5">
      <c r="A266" s="274">
        <v>7574</v>
      </c>
      <c r="B266" s="277" t="s">
        <v>822</v>
      </c>
      <c r="C266" s="74" t="s">
        <v>823</v>
      </c>
      <c r="D266" s="74" t="s">
        <v>824</v>
      </c>
      <c r="E266" s="75" t="s">
        <v>826</v>
      </c>
    </row>
    <row r="267" spans="1:5">
      <c r="A267" s="274">
        <v>7590</v>
      </c>
      <c r="B267" s="277" t="s">
        <v>822</v>
      </c>
      <c r="C267" s="74" t="s">
        <v>823</v>
      </c>
      <c r="D267" s="74" t="s">
        <v>824</v>
      </c>
      <c r="E267" s="75" t="s">
        <v>826</v>
      </c>
    </row>
    <row r="268" spans="1:5">
      <c r="A268" s="87">
        <v>7600</v>
      </c>
      <c r="B268" s="277" t="s">
        <v>635</v>
      </c>
      <c r="C268" s="74" t="s">
        <v>636</v>
      </c>
      <c r="D268" s="74" t="s">
        <v>637</v>
      </c>
      <c r="E268" s="75" t="s">
        <v>827</v>
      </c>
    </row>
    <row r="269" spans="1:5">
      <c r="A269" s="274">
        <v>7613</v>
      </c>
      <c r="B269" s="277" t="s">
        <v>1065</v>
      </c>
      <c r="C269" s="74" t="s">
        <v>1066</v>
      </c>
      <c r="D269" s="74" t="s">
        <v>1067</v>
      </c>
      <c r="E269" s="75" t="s">
        <v>1068</v>
      </c>
    </row>
    <row r="270" spans="1:5">
      <c r="A270" s="87">
        <v>7641</v>
      </c>
      <c r="B270" s="277" t="s">
        <v>1001</v>
      </c>
      <c r="C270" s="74" t="s">
        <v>1003</v>
      </c>
      <c r="D270" s="74" t="s">
        <v>1004</v>
      </c>
      <c r="E270" s="75" t="s">
        <v>1005</v>
      </c>
    </row>
    <row r="271" spans="1:5">
      <c r="A271" s="275">
        <v>7692</v>
      </c>
      <c r="B271" s="277" t="s">
        <v>1042</v>
      </c>
      <c r="C271" s="74" t="s">
        <v>1043</v>
      </c>
      <c r="D271" s="74" t="s">
        <v>1044</v>
      </c>
      <c r="E271" s="75" t="s">
        <v>1045</v>
      </c>
    </row>
    <row r="272" spans="1:5">
      <c r="A272" s="87">
        <v>7696</v>
      </c>
      <c r="B272" s="277" t="s">
        <v>632</v>
      </c>
      <c r="C272" s="74" t="s">
        <v>633</v>
      </c>
      <c r="D272" s="74" t="s">
        <v>634</v>
      </c>
      <c r="E272" s="75" t="s">
        <v>825</v>
      </c>
    </row>
    <row r="273" spans="1:5">
      <c r="A273" s="87">
        <v>7697</v>
      </c>
      <c r="B273" s="277" t="s">
        <v>1065</v>
      </c>
      <c r="C273" s="74" t="s">
        <v>1066</v>
      </c>
      <c r="D273" s="74" t="s">
        <v>1067</v>
      </c>
      <c r="E273" s="75" t="s">
        <v>1068</v>
      </c>
    </row>
    <row r="274" spans="1:5">
      <c r="A274" s="87">
        <v>7713</v>
      </c>
      <c r="B274" s="277" t="s">
        <v>822</v>
      </c>
      <c r="C274" s="74" t="s">
        <v>823</v>
      </c>
      <c r="D274" s="74" t="s">
        <v>824</v>
      </c>
      <c r="E274" s="75" t="s">
        <v>826</v>
      </c>
    </row>
    <row r="275" spans="1:5">
      <c r="A275" s="87">
        <v>7720</v>
      </c>
      <c r="B275" s="277" t="s">
        <v>822</v>
      </c>
      <c r="C275" s="74" t="s">
        <v>823</v>
      </c>
      <c r="D275" s="74" t="s">
        <v>824</v>
      </c>
      <c r="E275" s="75" t="s">
        <v>826</v>
      </c>
    </row>
    <row r="276" spans="1:5">
      <c r="A276" s="87">
        <v>7728</v>
      </c>
      <c r="B276" s="277" t="s">
        <v>638</v>
      </c>
      <c r="C276" s="74" t="s">
        <v>639</v>
      </c>
      <c r="D276" s="74" t="s">
        <v>640</v>
      </c>
      <c r="E276" s="75" t="s">
        <v>828</v>
      </c>
    </row>
    <row r="277" spans="1:5">
      <c r="A277" s="87">
        <v>7736</v>
      </c>
      <c r="B277" s="277" t="s">
        <v>1001</v>
      </c>
      <c r="C277" s="74" t="s">
        <v>1003</v>
      </c>
      <c r="D277" s="74" t="s">
        <v>1004</v>
      </c>
      <c r="E277" s="75" t="s">
        <v>1005</v>
      </c>
    </row>
    <row r="278" spans="1:5">
      <c r="A278" s="87">
        <v>7770</v>
      </c>
      <c r="B278" s="277" t="s">
        <v>1065</v>
      </c>
      <c r="C278" s="74" t="s">
        <v>1066</v>
      </c>
      <c r="D278" s="74" t="s">
        <v>1067</v>
      </c>
      <c r="E278" s="75" t="s">
        <v>1068</v>
      </c>
    </row>
    <row r="279" spans="1:5">
      <c r="A279" s="275">
        <v>7797</v>
      </c>
      <c r="B279" s="277" t="s">
        <v>1042</v>
      </c>
      <c r="C279" s="74" t="s">
        <v>1043</v>
      </c>
      <c r="D279" s="74" t="s">
        <v>1044</v>
      </c>
      <c r="E279" s="75" t="s">
        <v>1045</v>
      </c>
    </row>
    <row r="280" spans="1:5">
      <c r="A280" s="87">
        <v>7808</v>
      </c>
      <c r="B280" s="277" t="s">
        <v>1065</v>
      </c>
      <c r="C280" s="74" t="s">
        <v>1066</v>
      </c>
      <c r="D280" s="74" t="s">
        <v>1067</v>
      </c>
      <c r="E280" s="75" t="s">
        <v>1068</v>
      </c>
    </row>
    <row r="281" spans="1:5">
      <c r="A281" s="87">
        <v>7819</v>
      </c>
      <c r="B281" s="277" t="s">
        <v>822</v>
      </c>
      <c r="C281" s="74" t="s">
        <v>823</v>
      </c>
      <c r="D281" s="74" t="s">
        <v>824</v>
      </c>
      <c r="E281" s="75" t="s">
        <v>826</v>
      </c>
    </row>
    <row r="282" spans="1:5">
      <c r="A282" s="87">
        <v>7840</v>
      </c>
      <c r="B282" s="277" t="s">
        <v>822</v>
      </c>
      <c r="C282" s="74" t="s">
        <v>823</v>
      </c>
      <c r="D282" s="74" t="s">
        <v>824</v>
      </c>
      <c r="E282" s="75" t="s">
        <v>826</v>
      </c>
    </row>
    <row r="283" spans="1:5">
      <c r="A283" s="87">
        <v>7850</v>
      </c>
      <c r="B283" s="277" t="s">
        <v>632</v>
      </c>
      <c r="C283" s="74" t="s">
        <v>633</v>
      </c>
      <c r="D283" s="74" t="s">
        <v>634</v>
      </c>
      <c r="E283" s="75" t="s">
        <v>825</v>
      </c>
    </row>
    <row r="284" spans="1:5">
      <c r="A284" s="87">
        <v>7865</v>
      </c>
      <c r="B284" s="277" t="s">
        <v>1065</v>
      </c>
      <c r="C284" s="74" t="s">
        <v>1066</v>
      </c>
      <c r="D284" s="74" t="s">
        <v>1067</v>
      </c>
      <c r="E284" s="75" t="s">
        <v>1068</v>
      </c>
    </row>
    <row r="285" spans="1:5">
      <c r="A285" s="87">
        <v>7882</v>
      </c>
      <c r="B285" s="277" t="s">
        <v>822</v>
      </c>
      <c r="C285" s="74" t="s">
        <v>823</v>
      </c>
      <c r="D285" s="74" t="s">
        <v>824</v>
      </c>
      <c r="E285" s="75" t="s">
        <v>826</v>
      </c>
    </row>
    <row r="286" spans="1:5">
      <c r="A286" s="87">
        <v>7901</v>
      </c>
      <c r="B286" s="277" t="s">
        <v>635</v>
      </c>
      <c r="C286" s="74" t="s">
        <v>636</v>
      </c>
      <c r="D286" s="74" t="s">
        <v>637</v>
      </c>
      <c r="E286" s="75" t="s">
        <v>827</v>
      </c>
    </row>
    <row r="287" spans="1:5">
      <c r="A287" s="87">
        <v>7946</v>
      </c>
      <c r="B287" s="277" t="s">
        <v>635</v>
      </c>
      <c r="C287" s="74" t="s">
        <v>636</v>
      </c>
      <c r="D287" s="74" t="s">
        <v>637</v>
      </c>
      <c r="E287" s="75" t="s">
        <v>827</v>
      </c>
    </row>
    <row r="288" spans="1:5">
      <c r="A288" s="87">
        <v>7953</v>
      </c>
      <c r="B288" s="277" t="s">
        <v>822</v>
      </c>
      <c r="C288" s="74" t="s">
        <v>823</v>
      </c>
      <c r="D288" s="74" t="s">
        <v>824</v>
      </c>
      <c r="E288" s="75" t="s">
        <v>826</v>
      </c>
    </row>
    <row r="289" spans="1:5">
      <c r="A289" s="87">
        <v>7965</v>
      </c>
      <c r="B289" s="277" t="s">
        <v>1065</v>
      </c>
      <c r="C289" s="74" t="s">
        <v>1066</v>
      </c>
      <c r="D289" s="74" t="s">
        <v>1067</v>
      </c>
      <c r="E289" s="75" t="s">
        <v>1068</v>
      </c>
    </row>
    <row r="290" spans="1:5">
      <c r="A290" s="87">
        <v>7975</v>
      </c>
      <c r="B290" s="277" t="s">
        <v>635</v>
      </c>
      <c r="C290" s="74" t="s">
        <v>636</v>
      </c>
      <c r="D290" s="74" t="s">
        <v>637</v>
      </c>
      <c r="E290" s="75" t="s">
        <v>827</v>
      </c>
    </row>
    <row r="291" spans="1:5">
      <c r="A291" s="87">
        <v>7983</v>
      </c>
      <c r="B291" s="277" t="s">
        <v>1065</v>
      </c>
      <c r="C291" s="74" t="s">
        <v>1066</v>
      </c>
      <c r="D291" s="74" t="s">
        <v>1067</v>
      </c>
      <c r="E291" s="75" t="s">
        <v>1068</v>
      </c>
    </row>
    <row r="292" spans="1:5">
      <c r="A292" s="87">
        <v>8001</v>
      </c>
      <c r="B292" s="277" t="s">
        <v>1065</v>
      </c>
      <c r="C292" s="74" t="s">
        <v>1066</v>
      </c>
      <c r="D292" s="74" t="s">
        <v>1067</v>
      </c>
      <c r="E292" s="75" t="s">
        <v>1068</v>
      </c>
    </row>
    <row r="293" spans="1:5">
      <c r="A293" s="87">
        <v>8024</v>
      </c>
      <c r="B293" s="277" t="s">
        <v>638</v>
      </c>
      <c r="C293" s="74" t="s">
        <v>639</v>
      </c>
      <c r="D293" s="74" t="s">
        <v>640</v>
      </c>
      <c r="E293" s="75" t="s">
        <v>828</v>
      </c>
    </row>
    <row r="294" spans="1:5">
      <c r="A294" s="87">
        <v>8028</v>
      </c>
      <c r="B294" s="277" t="s">
        <v>1042</v>
      </c>
      <c r="C294" s="74" t="s">
        <v>1043</v>
      </c>
      <c r="D294" s="74" t="s">
        <v>1044</v>
      </c>
      <c r="E294" s="75" t="s">
        <v>1045</v>
      </c>
    </row>
    <row r="295" spans="1:5">
      <c r="A295" s="87">
        <v>8036</v>
      </c>
      <c r="B295" s="277" t="s">
        <v>1065</v>
      </c>
      <c r="C295" s="74" t="s">
        <v>1066</v>
      </c>
      <c r="D295" s="74" t="s">
        <v>1067</v>
      </c>
      <c r="E295" s="75" t="s">
        <v>1068</v>
      </c>
    </row>
    <row r="296" spans="1:5">
      <c r="A296" s="87">
        <v>8044</v>
      </c>
      <c r="B296" s="277" t="s">
        <v>822</v>
      </c>
      <c r="C296" s="74" t="s">
        <v>823</v>
      </c>
      <c r="D296" s="74" t="s">
        <v>824</v>
      </c>
      <c r="E296" s="75" t="s">
        <v>826</v>
      </c>
    </row>
    <row r="297" spans="1:5">
      <c r="A297" s="87">
        <v>8065</v>
      </c>
      <c r="B297" s="277" t="s">
        <v>1065</v>
      </c>
      <c r="C297" s="74" t="s">
        <v>1066</v>
      </c>
      <c r="D297" s="74" t="s">
        <v>1067</v>
      </c>
      <c r="E297" s="75" t="s">
        <v>1068</v>
      </c>
    </row>
    <row r="298" spans="1:5">
      <c r="A298" s="87">
        <v>8066</v>
      </c>
      <c r="B298" s="277" t="s">
        <v>1042</v>
      </c>
      <c r="C298" s="74" t="s">
        <v>1043</v>
      </c>
      <c r="D298" s="74" t="s">
        <v>1044</v>
      </c>
      <c r="E298" s="75" t="s">
        <v>1045</v>
      </c>
    </row>
    <row r="299" spans="1:5">
      <c r="A299" s="274">
        <v>8067</v>
      </c>
      <c r="B299" s="277" t="s">
        <v>1065</v>
      </c>
      <c r="C299" s="74" t="s">
        <v>1066</v>
      </c>
      <c r="D299" s="74" t="s">
        <v>1067</v>
      </c>
      <c r="E299" s="75" t="s">
        <v>1068</v>
      </c>
    </row>
    <row r="300" spans="1:5">
      <c r="A300" s="274">
        <v>8085</v>
      </c>
      <c r="B300" s="277" t="s">
        <v>1002</v>
      </c>
      <c r="C300" s="74" t="s">
        <v>1006</v>
      </c>
      <c r="D300" s="74" t="s">
        <v>1007</v>
      </c>
      <c r="E300" s="75" t="s">
        <v>1008</v>
      </c>
    </row>
    <row r="301" spans="1:5">
      <c r="A301" s="87">
        <v>8096</v>
      </c>
      <c r="B301" s="277" t="s">
        <v>635</v>
      </c>
      <c r="C301" s="74" t="s">
        <v>636</v>
      </c>
      <c r="D301" s="74" t="s">
        <v>637</v>
      </c>
      <c r="E301" s="75" t="s">
        <v>827</v>
      </c>
    </row>
    <row r="302" spans="1:5">
      <c r="A302" s="87">
        <v>8097</v>
      </c>
      <c r="B302" s="277" t="s">
        <v>822</v>
      </c>
      <c r="C302" s="74" t="s">
        <v>823</v>
      </c>
      <c r="D302" s="74" t="s">
        <v>824</v>
      </c>
      <c r="E302" s="75" t="s">
        <v>826</v>
      </c>
    </row>
    <row r="303" spans="1:5">
      <c r="A303" s="87">
        <v>8130</v>
      </c>
      <c r="B303" s="277" t="s">
        <v>632</v>
      </c>
      <c r="C303" s="74" t="s">
        <v>633</v>
      </c>
      <c r="D303" s="74" t="s">
        <v>634</v>
      </c>
      <c r="E303" s="75" t="s">
        <v>825</v>
      </c>
    </row>
    <row r="304" spans="1:5">
      <c r="A304" s="275">
        <v>8131</v>
      </c>
      <c r="B304" s="277" t="s">
        <v>635</v>
      </c>
      <c r="C304" s="74" t="s">
        <v>636</v>
      </c>
      <c r="D304" s="74" t="s">
        <v>637</v>
      </c>
      <c r="E304" s="75" t="s">
        <v>827</v>
      </c>
    </row>
    <row r="305" spans="1:5">
      <c r="A305" s="275">
        <v>8135</v>
      </c>
      <c r="B305" s="277" t="s">
        <v>1002</v>
      </c>
      <c r="C305" s="74" t="s">
        <v>1006</v>
      </c>
      <c r="D305" s="74" t="s">
        <v>1007</v>
      </c>
      <c r="E305" s="75" t="s">
        <v>1008</v>
      </c>
    </row>
    <row r="306" spans="1:5">
      <c r="A306" s="275">
        <v>8141</v>
      </c>
      <c r="B306" s="277" t="s">
        <v>635</v>
      </c>
      <c r="C306" s="74" t="s">
        <v>636</v>
      </c>
      <c r="D306" s="74" t="s">
        <v>637</v>
      </c>
      <c r="E306" s="75" t="s">
        <v>827</v>
      </c>
    </row>
    <row r="307" spans="1:5">
      <c r="A307" s="87">
        <v>8142</v>
      </c>
      <c r="B307" s="277" t="s">
        <v>1042</v>
      </c>
      <c r="C307" s="74" t="s">
        <v>1043</v>
      </c>
      <c r="D307" s="74" t="s">
        <v>1044</v>
      </c>
      <c r="E307" s="75" t="s">
        <v>1045</v>
      </c>
    </row>
    <row r="308" spans="1:5">
      <c r="A308" s="275">
        <v>8156</v>
      </c>
      <c r="B308" s="277" t="s">
        <v>635</v>
      </c>
      <c r="C308" s="74" t="s">
        <v>636</v>
      </c>
      <c r="D308" s="74" t="s">
        <v>637</v>
      </c>
      <c r="E308" s="75" t="s">
        <v>827</v>
      </c>
    </row>
    <row r="309" spans="1:5">
      <c r="A309" s="87">
        <v>8157</v>
      </c>
      <c r="B309" s="277" t="s">
        <v>1001</v>
      </c>
      <c r="C309" s="74" t="s">
        <v>1003</v>
      </c>
      <c r="D309" s="74" t="s">
        <v>1004</v>
      </c>
      <c r="E309" s="75" t="s">
        <v>1005</v>
      </c>
    </row>
    <row r="310" spans="1:5">
      <c r="A310" s="274">
        <v>8158</v>
      </c>
      <c r="B310" s="277" t="s">
        <v>1065</v>
      </c>
      <c r="C310" s="74" t="s">
        <v>1066</v>
      </c>
      <c r="D310" s="74" t="s">
        <v>1067</v>
      </c>
      <c r="E310" s="75" t="s">
        <v>1068</v>
      </c>
    </row>
    <row r="311" spans="1:5">
      <c r="A311" s="87">
        <v>8170</v>
      </c>
      <c r="B311" s="277" t="s">
        <v>1042</v>
      </c>
      <c r="C311" s="74" t="s">
        <v>1043</v>
      </c>
      <c r="D311" s="74" t="s">
        <v>1044</v>
      </c>
      <c r="E311" s="75" t="s">
        <v>1045</v>
      </c>
    </row>
    <row r="312" spans="1:5">
      <c r="A312" s="87">
        <v>8190</v>
      </c>
      <c r="B312" s="277" t="s">
        <v>635</v>
      </c>
      <c r="C312" s="74" t="s">
        <v>636</v>
      </c>
      <c r="D312" s="74" t="s">
        <v>637</v>
      </c>
      <c r="E312" s="75" t="s">
        <v>827</v>
      </c>
    </row>
    <row r="313" spans="1:5">
      <c r="A313" s="275">
        <v>8223</v>
      </c>
      <c r="B313" s="277" t="s">
        <v>1065</v>
      </c>
      <c r="C313" s="74" t="s">
        <v>1066</v>
      </c>
      <c r="D313" s="74" t="s">
        <v>1067</v>
      </c>
      <c r="E313" s="75" t="s">
        <v>1068</v>
      </c>
    </row>
    <row r="314" spans="1:5">
      <c r="A314" s="84">
        <v>8225</v>
      </c>
      <c r="B314" s="277" t="s">
        <v>1002</v>
      </c>
      <c r="C314" s="74" t="s">
        <v>1006</v>
      </c>
      <c r="D314" s="74" t="s">
        <v>1007</v>
      </c>
      <c r="E314" s="75" t="s">
        <v>1008</v>
      </c>
    </row>
    <row r="315" spans="1:5">
      <c r="A315" s="84">
        <v>8247</v>
      </c>
      <c r="B315" s="277" t="s">
        <v>635</v>
      </c>
      <c r="C315" s="74" t="s">
        <v>636</v>
      </c>
      <c r="D315" s="74" t="s">
        <v>637</v>
      </c>
      <c r="E315" s="75" t="s">
        <v>827</v>
      </c>
    </row>
    <row r="316" spans="1:5">
      <c r="A316" s="87">
        <v>8267</v>
      </c>
      <c r="B316" s="277" t="s">
        <v>1065</v>
      </c>
      <c r="C316" s="74" t="s">
        <v>1066</v>
      </c>
      <c r="D316" s="74" t="s">
        <v>1067</v>
      </c>
      <c r="E316" s="75" t="s">
        <v>1068</v>
      </c>
    </row>
    <row r="317" spans="1:5">
      <c r="A317" s="87">
        <v>8293</v>
      </c>
      <c r="B317" s="277" t="s">
        <v>638</v>
      </c>
      <c r="C317" s="74" t="s">
        <v>639</v>
      </c>
      <c r="D317" s="74" t="s">
        <v>640</v>
      </c>
      <c r="E317" s="75" t="s">
        <v>828</v>
      </c>
    </row>
    <row r="318" spans="1:5">
      <c r="A318" s="87">
        <v>8298</v>
      </c>
      <c r="B318" s="277" t="s">
        <v>1042</v>
      </c>
      <c r="C318" s="74" t="s">
        <v>1043</v>
      </c>
      <c r="D318" s="74" t="s">
        <v>1044</v>
      </c>
      <c r="E318" s="75" t="s">
        <v>1045</v>
      </c>
    </row>
    <row r="319" spans="1:5">
      <c r="A319" s="87">
        <v>8302</v>
      </c>
      <c r="B319" s="277" t="s">
        <v>1065</v>
      </c>
      <c r="C319" s="74" t="s">
        <v>1066</v>
      </c>
      <c r="D319" s="74" t="s">
        <v>1067</v>
      </c>
      <c r="E319" s="75" t="s">
        <v>1068</v>
      </c>
    </row>
    <row r="320" spans="1:5">
      <c r="A320" s="274">
        <v>8306</v>
      </c>
      <c r="B320" s="277" t="s">
        <v>1065</v>
      </c>
      <c r="C320" s="74" t="s">
        <v>1066</v>
      </c>
      <c r="D320" s="74" t="s">
        <v>1067</v>
      </c>
      <c r="E320" s="75" t="s">
        <v>1068</v>
      </c>
    </row>
    <row r="321" spans="1:5">
      <c r="A321" s="87">
        <v>8312</v>
      </c>
      <c r="B321" s="277" t="s">
        <v>1042</v>
      </c>
      <c r="C321" s="74" t="s">
        <v>1043</v>
      </c>
      <c r="D321" s="74" t="s">
        <v>1044</v>
      </c>
      <c r="E321" s="75" t="s">
        <v>1045</v>
      </c>
    </row>
    <row r="322" spans="1:5">
      <c r="A322" s="87">
        <v>8327</v>
      </c>
      <c r="B322" s="277" t="s">
        <v>1065</v>
      </c>
      <c r="C322" s="74" t="s">
        <v>1066</v>
      </c>
      <c r="D322" s="74" t="s">
        <v>1067</v>
      </c>
      <c r="E322" s="75" t="s">
        <v>1068</v>
      </c>
    </row>
    <row r="323" spans="1:5">
      <c r="A323" s="87">
        <v>8335</v>
      </c>
      <c r="B323" s="277" t="s">
        <v>1042</v>
      </c>
      <c r="C323" s="74" t="s">
        <v>1043</v>
      </c>
      <c r="D323" s="74" t="s">
        <v>1044</v>
      </c>
      <c r="E323" s="75" t="s">
        <v>1045</v>
      </c>
    </row>
    <row r="324" spans="1:5">
      <c r="A324" s="87">
        <v>8347</v>
      </c>
      <c r="B324" s="277" t="s">
        <v>1001</v>
      </c>
      <c r="C324" s="74" t="s">
        <v>1003</v>
      </c>
      <c r="D324" s="74" t="s">
        <v>1004</v>
      </c>
      <c r="E324" s="75" t="s">
        <v>1005</v>
      </c>
    </row>
    <row r="325" spans="1:5">
      <c r="A325" s="87">
        <v>8368</v>
      </c>
      <c r="B325" s="277" t="s">
        <v>1042</v>
      </c>
      <c r="C325" s="74" t="s">
        <v>1043</v>
      </c>
      <c r="D325" s="74" t="s">
        <v>1044</v>
      </c>
      <c r="E325" s="75" t="s">
        <v>1045</v>
      </c>
    </row>
    <row r="326" spans="1:5">
      <c r="A326" s="87">
        <v>8374</v>
      </c>
      <c r="B326" s="277" t="s">
        <v>635</v>
      </c>
      <c r="C326" s="74" t="s">
        <v>636</v>
      </c>
      <c r="D326" s="74" t="s">
        <v>637</v>
      </c>
      <c r="E326" s="75" t="s">
        <v>827</v>
      </c>
    </row>
    <row r="327" spans="1:5">
      <c r="A327" s="274">
        <v>8388</v>
      </c>
      <c r="B327" s="277" t="s">
        <v>638</v>
      </c>
      <c r="C327" s="74" t="s">
        <v>639</v>
      </c>
      <c r="D327" s="74" t="s">
        <v>640</v>
      </c>
      <c r="E327" s="75" t="s">
        <v>828</v>
      </c>
    </row>
    <row r="328" spans="1:5">
      <c r="A328" s="87">
        <v>8404</v>
      </c>
      <c r="B328" s="277" t="s">
        <v>635</v>
      </c>
      <c r="C328" s="74" t="s">
        <v>636</v>
      </c>
      <c r="D328" s="74" t="s">
        <v>637</v>
      </c>
      <c r="E328" s="75" t="s">
        <v>827</v>
      </c>
    </row>
    <row r="329" spans="1:5">
      <c r="A329" s="87">
        <v>8416</v>
      </c>
      <c r="B329" s="277" t="s">
        <v>1065</v>
      </c>
      <c r="C329" s="74" t="s">
        <v>1066</v>
      </c>
      <c r="D329" s="74" t="s">
        <v>1067</v>
      </c>
      <c r="E329" s="75" t="s">
        <v>1068</v>
      </c>
    </row>
    <row r="330" spans="1:5">
      <c r="A330" s="87">
        <v>8417</v>
      </c>
      <c r="B330" s="277" t="s">
        <v>632</v>
      </c>
      <c r="C330" s="74" t="s">
        <v>633</v>
      </c>
      <c r="D330" s="74" t="s">
        <v>634</v>
      </c>
      <c r="E330" s="75" t="s">
        <v>825</v>
      </c>
    </row>
    <row r="331" spans="1:5">
      <c r="A331" s="87">
        <v>8436</v>
      </c>
      <c r="B331" s="277" t="s">
        <v>1065</v>
      </c>
      <c r="C331" s="74" t="s">
        <v>1066</v>
      </c>
      <c r="D331" s="74" t="s">
        <v>1067</v>
      </c>
      <c r="E331" s="75" t="s">
        <v>1068</v>
      </c>
    </row>
    <row r="332" spans="1:5">
      <c r="A332" s="87">
        <v>8464</v>
      </c>
      <c r="B332" s="277" t="s">
        <v>1001</v>
      </c>
      <c r="C332" s="74" t="s">
        <v>1003</v>
      </c>
      <c r="D332" s="74" t="s">
        <v>1004</v>
      </c>
      <c r="E332" s="75" t="s">
        <v>1005</v>
      </c>
    </row>
    <row r="333" spans="1:5">
      <c r="A333" s="275">
        <v>8482</v>
      </c>
      <c r="B333" s="277" t="s">
        <v>635</v>
      </c>
      <c r="C333" s="74" t="s">
        <v>636</v>
      </c>
      <c r="D333" s="74" t="s">
        <v>637</v>
      </c>
      <c r="E333" s="75" t="s">
        <v>827</v>
      </c>
    </row>
    <row r="334" spans="1:5">
      <c r="A334" s="87">
        <v>8493</v>
      </c>
      <c r="B334" s="277" t="s">
        <v>632</v>
      </c>
      <c r="C334" s="74" t="s">
        <v>633</v>
      </c>
      <c r="D334" s="74" t="s">
        <v>634</v>
      </c>
      <c r="E334" s="75" t="s">
        <v>825</v>
      </c>
    </row>
    <row r="335" spans="1:5">
      <c r="A335" s="275">
        <v>8494</v>
      </c>
      <c r="B335" s="277" t="s">
        <v>635</v>
      </c>
      <c r="C335" s="74" t="s">
        <v>636</v>
      </c>
      <c r="D335" s="74" t="s">
        <v>637</v>
      </c>
      <c r="E335" s="75" t="s">
        <v>827</v>
      </c>
    </row>
    <row r="336" spans="1:5">
      <c r="A336" s="87">
        <v>8512</v>
      </c>
      <c r="B336" s="277" t="s">
        <v>1001</v>
      </c>
      <c r="C336" s="74" t="s">
        <v>1003</v>
      </c>
      <c r="D336" s="74" t="s">
        <v>1004</v>
      </c>
      <c r="E336" s="75" t="s">
        <v>1005</v>
      </c>
    </row>
    <row r="337" spans="1:5">
      <c r="A337" s="87">
        <v>8517</v>
      </c>
      <c r="B337" s="277" t="s">
        <v>822</v>
      </c>
      <c r="C337" s="74" t="s">
        <v>823</v>
      </c>
      <c r="D337" s="74" t="s">
        <v>824</v>
      </c>
      <c r="E337" s="75" t="s">
        <v>826</v>
      </c>
    </row>
    <row r="338" spans="1:5">
      <c r="A338" s="275">
        <v>8521</v>
      </c>
      <c r="B338" s="277" t="s">
        <v>1065</v>
      </c>
      <c r="C338" s="74" t="s">
        <v>1066</v>
      </c>
      <c r="D338" s="74" t="s">
        <v>1067</v>
      </c>
      <c r="E338" s="75" t="s">
        <v>1068</v>
      </c>
    </row>
    <row r="339" spans="1:5">
      <c r="A339" s="275">
        <v>8548</v>
      </c>
      <c r="B339" s="277" t="s">
        <v>638</v>
      </c>
      <c r="C339" s="74" t="s">
        <v>639</v>
      </c>
      <c r="D339" s="74" t="s">
        <v>640</v>
      </c>
      <c r="E339" s="75" t="s">
        <v>828</v>
      </c>
    </row>
    <row r="340" spans="1:5">
      <c r="A340" s="87">
        <v>8572</v>
      </c>
      <c r="B340" s="277" t="s">
        <v>822</v>
      </c>
      <c r="C340" s="74" t="s">
        <v>823</v>
      </c>
      <c r="D340" s="74" t="s">
        <v>824</v>
      </c>
      <c r="E340" s="75" t="s">
        <v>826</v>
      </c>
    </row>
    <row r="341" spans="1:5">
      <c r="A341" s="87">
        <v>8574</v>
      </c>
      <c r="B341" s="277" t="s">
        <v>822</v>
      </c>
      <c r="C341" s="74" t="s">
        <v>823</v>
      </c>
      <c r="D341" s="74" t="s">
        <v>824</v>
      </c>
      <c r="E341" s="75" t="s">
        <v>826</v>
      </c>
    </row>
    <row r="342" spans="1:5">
      <c r="A342" s="275">
        <v>8594</v>
      </c>
      <c r="B342" s="277" t="s">
        <v>635</v>
      </c>
      <c r="C342" s="74" t="s">
        <v>636</v>
      </c>
      <c r="D342" s="74" t="s">
        <v>637</v>
      </c>
      <c r="E342" s="75" t="s">
        <v>827</v>
      </c>
    </row>
    <row r="343" spans="1:5">
      <c r="A343" s="275">
        <v>8621</v>
      </c>
      <c r="B343" s="277" t="s">
        <v>1065</v>
      </c>
      <c r="C343" s="74" t="s">
        <v>1066</v>
      </c>
      <c r="D343" s="74" t="s">
        <v>1067</v>
      </c>
      <c r="E343" s="75" t="s">
        <v>1068</v>
      </c>
    </row>
    <row r="344" spans="1:5">
      <c r="A344" s="87">
        <v>8717</v>
      </c>
      <c r="B344" s="277" t="s">
        <v>1042</v>
      </c>
      <c r="C344" s="74" t="s">
        <v>1043</v>
      </c>
      <c r="D344" s="74" t="s">
        <v>1044</v>
      </c>
      <c r="E344" s="75" t="s">
        <v>1045</v>
      </c>
    </row>
    <row r="345" spans="1:5">
      <c r="A345" s="275">
        <v>8734</v>
      </c>
      <c r="B345" s="277" t="s">
        <v>635</v>
      </c>
      <c r="C345" s="74" t="s">
        <v>636</v>
      </c>
      <c r="D345" s="74" t="s">
        <v>637</v>
      </c>
      <c r="E345" s="75" t="s">
        <v>827</v>
      </c>
    </row>
    <row r="346" spans="1:5">
      <c r="A346" s="87">
        <v>8738</v>
      </c>
      <c r="B346" s="277" t="s">
        <v>1065</v>
      </c>
      <c r="C346" s="74" t="s">
        <v>1066</v>
      </c>
      <c r="D346" s="74" t="s">
        <v>1067</v>
      </c>
      <c r="E346" s="75" t="s">
        <v>1068</v>
      </c>
    </row>
    <row r="347" spans="1:5">
      <c r="A347" s="87">
        <v>8744</v>
      </c>
      <c r="B347" s="277" t="s">
        <v>822</v>
      </c>
      <c r="C347" s="74" t="s">
        <v>823</v>
      </c>
      <c r="D347" s="74" t="s">
        <v>824</v>
      </c>
      <c r="E347" s="75" t="s">
        <v>826</v>
      </c>
    </row>
    <row r="348" spans="1:5">
      <c r="A348" s="87">
        <v>8769</v>
      </c>
      <c r="B348" s="277" t="s">
        <v>1065</v>
      </c>
      <c r="C348" s="74" t="s">
        <v>1066</v>
      </c>
      <c r="D348" s="74" t="s">
        <v>1067</v>
      </c>
      <c r="E348" s="75" t="s">
        <v>1068</v>
      </c>
    </row>
    <row r="349" spans="1:5">
      <c r="A349" s="275">
        <v>8771</v>
      </c>
      <c r="B349" s="277" t="s">
        <v>635</v>
      </c>
      <c r="C349" s="74" t="s">
        <v>636</v>
      </c>
      <c r="D349" s="74" t="s">
        <v>637</v>
      </c>
      <c r="E349" s="75" t="s">
        <v>827</v>
      </c>
    </row>
    <row r="350" spans="1:5">
      <c r="A350" s="87">
        <v>8773</v>
      </c>
      <c r="B350" s="277" t="s">
        <v>822</v>
      </c>
      <c r="C350" s="74" t="s">
        <v>823</v>
      </c>
      <c r="D350" s="74" t="s">
        <v>824</v>
      </c>
      <c r="E350" s="75" t="s">
        <v>826</v>
      </c>
    </row>
    <row r="351" spans="1:5">
      <c r="A351" s="274">
        <v>8787</v>
      </c>
      <c r="B351" s="277" t="s">
        <v>632</v>
      </c>
      <c r="C351" s="74" t="s">
        <v>633</v>
      </c>
      <c r="D351" s="74" t="s">
        <v>634</v>
      </c>
      <c r="E351" s="75" t="s">
        <v>825</v>
      </c>
    </row>
    <row r="352" spans="1:5">
      <c r="A352" s="87">
        <v>8788</v>
      </c>
      <c r="B352" s="277" t="s">
        <v>822</v>
      </c>
      <c r="C352" s="74" t="s">
        <v>823</v>
      </c>
      <c r="D352" s="74" t="s">
        <v>824</v>
      </c>
      <c r="E352" s="75" t="s">
        <v>826</v>
      </c>
    </row>
    <row r="353" spans="1:5">
      <c r="A353" s="87">
        <v>8789</v>
      </c>
      <c r="B353" s="277" t="s">
        <v>1065</v>
      </c>
      <c r="C353" s="74" t="s">
        <v>1066</v>
      </c>
      <c r="D353" s="74" t="s">
        <v>1067</v>
      </c>
      <c r="E353" s="75" t="s">
        <v>1068</v>
      </c>
    </row>
    <row r="354" spans="1:5">
      <c r="A354" s="87">
        <v>8806</v>
      </c>
      <c r="B354" s="277" t="s">
        <v>632</v>
      </c>
      <c r="C354" s="74" t="s">
        <v>633</v>
      </c>
      <c r="D354" s="74" t="s">
        <v>634</v>
      </c>
      <c r="E354" s="75" t="s">
        <v>825</v>
      </c>
    </row>
    <row r="355" spans="1:5">
      <c r="A355" s="87">
        <v>8807</v>
      </c>
      <c r="B355" s="277" t="s">
        <v>1065</v>
      </c>
      <c r="C355" s="74" t="s">
        <v>1066</v>
      </c>
      <c r="D355" s="74" t="s">
        <v>1067</v>
      </c>
      <c r="E355" s="75" t="s">
        <v>1068</v>
      </c>
    </row>
    <row r="356" spans="1:5">
      <c r="A356" s="87">
        <v>8871</v>
      </c>
      <c r="B356" s="277" t="s">
        <v>635</v>
      </c>
      <c r="C356" s="74" t="s">
        <v>636</v>
      </c>
      <c r="D356" s="74" t="s">
        <v>637</v>
      </c>
      <c r="E356" s="75" t="s">
        <v>827</v>
      </c>
    </row>
    <row r="357" spans="1:5">
      <c r="A357" s="87">
        <v>8875</v>
      </c>
      <c r="B357" s="277" t="s">
        <v>822</v>
      </c>
      <c r="C357" s="74" t="s">
        <v>823</v>
      </c>
      <c r="D357" s="74" t="s">
        <v>824</v>
      </c>
      <c r="E357" s="75" t="s">
        <v>826</v>
      </c>
    </row>
    <row r="358" spans="1:5">
      <c r="A358" s="87">
        <v>8895</v>
      </c>
      <c r="B358" s="277" t="s">
        <v>1001</v>
      </c>
      <c r="C358" s="74" t="s">
        <v>1003</v>
      </c>
      <c r="D358" s="74" t="s">
        <v>1004</v>
      </c>
      <c r="E358" s="75" t="s">
        <v>1005</v>
      </c>
    </row>
    <row r="359" spans="1:5">
      <c r="A359" s="87">
        <v>8935</v>
      </c>
      <c r="B359" s="277" t="s">
        <v>635</v>
      </c>
      <c r="C359" s="74" t="s">
        <v>636</v>
      </c>
      <c r="D359" s="74" t="s">
        <v>637</v>
      </c>
      <c r="E359" s="75" t="s">
        <v>827</v>
      </c>
    </row>
    <row r="360" spans="1:5">
      <c r="A360" s="87">
        <v>8938</v>
      </c>
      <c r="B360" s="277" t="s">
        <v>822</v>
      </c>
      <c r="C360" s="74" t="s">
        <v>823</v>
      </c>
      <c r="D360" s="74" t="s">
        <v>824</v>
      </c>
      <c r="E360" s="75" t="s">
        <v>826</v>
      </c>
    </row>
    <row r="361" spans="1:5">
      <c r="A361" s="87">
        <v>8954</v>
      </c>
      <c r="B361" s="277" t="s">
        <v>632</v>
      </c>
      <c r="C361" s="74" t="s">
        <v>633</v>
      </c>
      <c r="D361" s="74" t="s">
        <v>634</v>
      </c>
      <c r="E361" s="75" t="s">
        <v>825</v>
      </c>
    </row>
    <row r="362" spans="1:5">
      <c r="A362" s="87">
        <v>8960</v>
      </c>
      <c r="B362" s="277" t="s">
        <v>635</v>
      </c>
      <c r="C362" s="74" t="s">
        <v>636</v>
      </c>
      <c r="D362" s="74" t="s">
        <v>637</v>
      </c>
      <c r="E362" s="75" t="s">
        <v>827</v>
      </c>
    </row>
    <row r="363" spans="1:5">
      <c r="A363" s="87">
        <v>8975</v>
      </c>
      <c r="B363" s="277" t="s">
        <v>632</v>
      </c>
      <c r="C363" s="74" t="s">
        <v>633</v>
      </c>
      <c r="D363" s="74" t="s">
        <v>634</v>
      </c>
      <c r="E363" s="75" t="s">
        <v>825</v>
      </c>
    </row>
    <row r="364" spans="1:5">
      <c r="A364" s="87">
        <v>9017</v>
      </c>
      <c r="B364" s="277" t="s">
        <v>1065</v>
      </c>
      <c r="C364" s="74" t="s">
        <v>1066</v>
      </c>
      <c r="D364" s="74" t="s">
        <v>1067</v>
      </c>
      <c r="E364" s="75" t="s">
        <v>1068</v>
      </c>
    </row>
    <row r="365" spans="1:5">
      <c r="A365" s="87">
        <v>9038</v>
      </c>
      <c r="B365" s="277" t="s">
        <v>1002</v>
      </c>
      <c r="C365" s="74" t="s">
        <v>1006</v>
      </c>
      <c r="D365" s="74" t="s">
        <v>1007</v>
      </c>
      <c r="E365" s="75" t="s">
        <v>1008</v>
      </c>
    </row>
    <row r="366" spans="1:5">
      <c r="A366" s="87">
        <v>9041</v>
      </c>
      <c r="B366" s="277" t="s">
        <v>635</v>
      </c>
      <c r="C366" s="74" t="s">
        <v>636</v>
      </c>
      <c r="D366" s="74" t="s">
        <v>637</v>
      </c>
      <c r="E366" s="75" t="s">
        <v>827</v>
      </c>
    </row>
    <row r="367" spans="1:5">
      <c r="A367" s="87">
        <v>9067</v>
      </c>
      <c r="B367" s="277" t="s">
        <v>822</v>
      </c>
      <c r="C367" s="74" t="s">
        <v>823</v>
      </c>
      <c r="D367" s="74" t="s">
        <v>824</v>
      </c>
      <c r="E367" s="75" t="s">
        <v>826</v>
      </c>
    </row>
    <row r="368" spans="1:5">
      <c r="A368" s="87">
        <v>9088</v>
      </c>
      <c r="B368" s="277" t="s">
        <v>638</v>
      </c>
      <c r="C368" s="74" t="s">
        <v>639</v>
      </c>
      <c r="D368" s="74" t="s">
        <v>640</v>
      </c>
      <c r="E368" s="75" t="s">
        <v>828</v>
      </c>
    </row>
    <row r="369" spans="1:5">
      <c r="A369" s="87">
        <v>9129</v>
      </c>
      <c r="B369" s="277" t="s">
        <v>822</v>
      </c>
      <c r="C369" s="74" t="s">
        <v>823</v>
      </c>
      <c r="D369" s="74" t="s">
        <v>824</v>
      </c>
      <c r="E369" s="75" t="s">
        <v>826</v>
      </c>
    </row>
    <row r="370" spans="1:5">
      <c r="A370" s="87">
        <v>9130</v>
      </c>
      <c r="B370" s="277" t="s">
        <v>822</v>
      </c>
      <c r="C370" s="74" t="s">
        <v>823</v>
      </c>
      <c r="D370" s="74" t="s">
        <v>824</v>
      </c>
      <c r="E370" s="75" t="s">
        <v>826</v>
      </c>
    </row>
    <row r="371" spans="1:5">
      <c r="A371" s="87">
        <v>9151</v>
      </c>
      <c r="B371" s="277" t="s">
        <v>635</v>
      </c>
      <c r="C371" s="74" t="s">
        <v>636</v>
      </c>
      <c r="D371" s="74" t="s">
        <v>637</v>
      </c>
      <c r="E371" s="75" t="s">
        <v>827</v>
      </c>
    </row>
    <row r="372" spans="1:5">
      <c r="A372" s="87">
        <v>9201</v>
      </c>
      <c r="B372" s="277" t="s">
        <v>635</v>
      </c>
      <c r="C372" s="74" t="s">
        <v>636</v>
      </c>
      <c r="D372" s="74" t="s">
        <v>637</v>
      </c>
      <c r="E372" s="75" t="s">
        <v>827</v>
      </c>
    </row>
    <row r="373" spans="1:5">
      <c r="A373" s="87">
        <v>9215</v>
      </c>
      <c r="B373" s="277" t="s">
        <v>822</v>
      </c>
      <c r="C373" s="74" t="s">
        <v>823</v>
      </c>
      <c r="D373" s="74" t="s">
        <v>824</v>
      </c>
      <c r="E373" s="75" t="s">
        <v>826</v>
      </c>
    </row>
    <row r="374" spans="1:5">
      <c r="A374" s="274">
        <v>9220</v>
      </c>
      <c r="B374" s="277" t="s">
        <v>1042</v>
      </c>
      <c r="C374" s="74" t="s">
        <v>1043</v>
      </c>
      <c r="D374" s="74" t="s">
        <v>1044</v>
      </c>
      <c r="E374" s="75" t="s">
        <v>1045</v>
      </c>
    </row>
    <row r="375" spans="1:5">
      <c r="A375" s="84">
        <v>9268</v>
      </c>
      <c r="B375" s="277" t="s">
        <v>638</v>
      </c>
      <c r="C375" s="74" t="s">
        <v>639</v>
      </c>
      <c r="D375" s="74" t="s">
        <v>640</v>
      </c>
      <c r="E375" s="75" t="s">
        <v>828</v>
      </c>
    </row>
    <row r="376" spans="1:5">
      <c r="A376" s="87">
        <v>9283</v>
      </c>
      <c r="B376" s="277" t="s">
        <v>1042</v>
      </c>
      <c r="C376" s="74" t="s">
        <v>1043</v>
      </c>
      <c r="D376" s="74" t="s">
        <v>1044</v>
      </c>
      <c r="E376" s="75" t="s">
        <v>1045</v>
      </c>
    </row>
    <row r="377" spans="1:5">
      <c r="A377" s="87">
        <v>9291</v>
      </c>
      <c r="B377" s="277" t="s">
        <v>1065</v>
      </c>
      <c r="C377" s="74" t="s">
        <v>1066</v>
      </c>
      <c r="D377" s="74" t="s">
        <v>1067</v>
      </c>
      <c r="E377" s="75" t="s">
        <v>1068</v>
      </c>
    </row>
    <row r="378" spans="1:5">
      <c r="A378" s="87">
        <v>9299</v>
      </c>
      <c r="B378" s="277" t="s">
        <v>1001</v>
      </c>
      <c r="C378" s="74" t="s">
        <v>1003</v>
      </c>
      <c r="D378" s="74" t="s">
        <v>1004</v>
      </c>
      <c r="E378" s="75" t="s">
        <v>1005</v>
      </c>
    </row>
    <row r="379" spans="1:5">
      <c r="A379" s="87">
        <v>9310</v>
      </c>
      <c r="B379" s="277" t="s">
        <v>635</v>
      </c>
      <c r="C379" s="74" t="s">
        <v>636</v>
      </c>
      <c r="D379" s="74" t="s">
        <v>637</v>
      </c>
      <c r="E379" s="75" t="s">
        <v>827</v>
      </c>
    </row>
    <row r="380" spans="1:5">
      <c r="A380" s="87">
        <v>9318</v>
      </c>
      <c r="B380" s="277" t="s">
        <v>1042</v>
      </c>
      <c r="C380" s="74" t="s">
        <v>1043</v>
      </c>
      <c r="D380" s="74" t="s">
        <v>1044</v>
      </c>
      <c r="E380" s="75" t="s">
        <v>1045</v>
      </c>
    </row>
    <row r="381" spans="1:5">
      <c r="A381" s="275">
        <v>9321</v>
      </c>
      <c r="B381" s="277" t="s">
        <v>635</v>
      </c>
      <c r="C381" s="74" t="s">
        <v>636</v>
      </c>
      <c r="D381" s="74" t="s">
        <v>637</v>
      </c>
      <c r="E381" s="75" t="s">
        <v>827</v>
      </c>
    </row>
    <row r="382" spans="1:5">
      <c r="A382" s="87">
        <v>9337</v>
      </c>
      <c r="B382" s="277" t="s">
        <v>632</v>
      </c>
      <c r="C382" s="74" t="s">
        <v>633</v>
      </c>
      <c r="D382" s="74" t="s">
        <v>634</v>
      </c>
      <c r="E382" s="75" t="s">
        <v>825</v>
      </c>
    </row>
    <row r="383" spans="1:5">
      <c r="A383" s="87">
        <v>9342</v>
      </c>
      <c r="B383" s="277" t="s">
        <v>1065</v>
      </c>
      <c r="C383" s="74" t="s">
        <v>1066</v>
      </c>
      <c r="D383" s="74" t="s">
        <v>1067</v>
      </c>
      <c r="E383" s="75" t="s">
        <v>1068</v>
      </c>
    </row>
    <row r="384" spans="1:5">
      <c r="A384" s="275">
        <v>9367</v>
      </c>
      <c r="B384" s="277" t="s">
        <v>635</v>
      </c>
      <c r="C384" s="74" t="s">
        <v>636</v>
      </c>
      <c r="D384" s="74" t="s">
        <v>637</v>
      </c>
      <c r="E384" s="75" t="s">
        <v>827</v>
      </c>
    </row>
    <row r="385" spans="1:5">
      <c r="A385" s="274">
        <v>9368</v>
      </c>
      <c r="B385" s="277" t="s">
        <v>635</v>
      </c>
      <c r="C385" s="74" t="s">
        <v>636</v>
      </c>
      <c r="D385" s="74" t="s">
        <v>637</v>
      </c>
      <c r="E385" s="75" t="s">
        <v>827</v>
      </c>
    </row>
    <row r="386" spans="1:5">
      <c r="A386" s="87">
        <v>9393</v>
      </c>
      <c r="B386" s="277" t="s">
        <v>638</v>
      </c>
      <c r="C386" s="74" t="s">
        <v>639</v>
      </c>
      <c r="D386" s="74" t="s">
        <v>640</v>
      </c>
      <c r="E386" s="75" t="s">
        <v>828</v>
      </c>
    </row>
    <row r="387" spans="1:5">
      <c r="A387" s="275">
        <v>9394</v>
      </c>
      <c r="B387" s="277" t="s">
        <v>638</v>
      </c>
      <c r="C387" s="74" t="s">
        <v>639</v>
      </c>
      <c r="D387" s="74" t="s">
        <v>640</v>
      </c>
      <c r="E387" s="75" t="s">
        <v>828</v>
      </c>
    </row>
    <row r="388" spans="1:5">
      <c r="A388" s="87">
        <v>9413</v>
      </c>
      <c r="B388" s="277" t="s">
        <v>822</v>
      </c>
      <c r="C388" s="74" t="s">
        <v>823</v>
      </c>
      <c r="D388" s="74" t="s">
        <v>824</v>
      </c>
      <c r="E388" s="75" t="s">
        <v>826</v>
      </c>
    </row>
    <row r="389" spans="1:5">
      <c r="A389" s="87">
        <v>9463</v>
      </c>
      <c r="B389" s="277" t="s">
        <v>1065</v>
      </c>
      <c r="C389" s="74" t="s">
        <v>1066</v>
      </c>
      <c r="D389" s="74" t="s">
        <v>1067</v>
      </c>
      <c r="E389" s="75" t="s">
        <v>1068</v>
      </c>
    </row>
    <row r="390" spans="1:5">
      <c r="A390" s="87">
        <v>9503</v>
      </c>
      <c r="B390" s="277" t="s">
        <v>1001</v>
      </c>
      <c r="C390" s="74" t="s">
        <v>1003</v>
      </c>
      <c r="D390" s="74" t="s">
        <v>1004</v>
      </c>
      <c r="E390" s="75" t="s">
        <v>1005</v>
      </c>
    </row>
    <row r="391" spans="1:5">
      <c r="A391" s="87">
        <v>9548</v>
      </c>
      <c r="B391" s="277" t="s">
        <v>822</v>
      </c>
      <c r="C391" s="74" t="s">
        <v>823</v>
      </c>
      <c r="D391" s="74" t="s">
        <v>824</v>
      </c>
      <c r="E391" s="75" t="s">
        <v>826</v>
      </c>
    </row>
    <row r="392" spans="1:5">
      <c r="A392" s="274">
        <v>9564</v>
      </c>
      <c r="B392" s="277" t="s">
        <v>635</v>
      </c>
      <c r="C392" s="74" t="s">
        <v>636</v>
      </c>
      <c r="D392" s="74" t="s">
        <v>637</v>
      </c>
      <c r="E392" s="75" t="s">
        <v>827</v>
      </c>
    </row>
    <row r="393" spans="1:5">
      <c r="A393" s="87">
        <v>9600</v>
      </c>
      <c r="B393" s="277" t="s">
        <v>822</v>
      </c>
      <c r="C393" s="74" t="s">
        <v>823</v>
      </c>
      <c r="D393" s="74" t="s">
        <v>824</v>
      </c>
      <c r="E393" s="75" t="s">
        <v>826</v>
      </c>
    </row>
    <row r="394" spans="1:5">
      <c r="A394" s="87">
        <v>9624</v>
      </c>
      <c r="B394" s="277" t="s">
        <v>1065</v>
      </c>
      <c r="C394" s="74" t="s">
        <v>1066</v>
      </c>
      <c r="D394" s="74" t="s">
        <v>1067</v>
      </c>
      <c r="E394" s="75" t="s">
        <v>1068</v>
      </c>
    </row>
    <row r="395" spans="1:5">
      <c r="A395" s="275">
        <v>9626</v>
      </c>
      <c r="B395" s="277" t="s">
        <v>1042</v>
      </c>
      <c r="C395" s="74" t="s">
        <v>1043</v>
      </c>
      <c r="D395" s="74" t="s">
        <v>1044</v>
      </c>
      <c r="E395" s="75" t="s">
        <v>1045</v>
      </c>
    </row>
    <row r="396" spans="1:5">
      <c r="A396" s="275">
        <v>9629</v>
      </c>
      <c r="B396" s="277" t="s">
        <v>635</v>
      </c>
      <c r="C396" s="74" t="s">
        <v>636</v>
      </c>
      <c r="D396" s="74" t="s">
        <v>637</v>
      </c>
      <c r="E396" s="75" t="s">
        <v>827</v>
      </c>
    </row>
    <row r="397" spans="1:5">
      <c r="A397" s="87">
        <v>9634</v>
      </c>
      <c r="B397" s="277" t="s">
        <v>1001</v>
      </c>
      <c r="C397" s="74" t="s">
        <v>1003</v>
      </c>
      <c r="D397" s="74" t="s">
        <v>1004</v>
      </c>
      <c r="E397" s="75" t="s">
        <v>1005</v>
      </c>
    </row>
    <row r="398" spans="1:5">
      <c r="A398" s="87">
        <v>9641</v>
      </c>
      <c r="B398" s="277" t="s">
        <v>822</v>
      </c>
      <c r="C398" s="74" t="s">
        <v>823</v>
      </c>
      <c r="D398" s="74" t="s">
        <v>824</v>
      </c>
      <c r="E398" s="75" t="s">
        <v>826</v>
      </c>
    </row>
    <row r="399" spans="1:5">
      <c r="A399" s="87">
        <v>9644</v>
      </c>
      <c r="B399" s="277" t="s">
        <v>1001</v>
      </c>
      <c r="C399" s="74" t="s">
        <v>1003</v>
      </c>
      <c r="D399" s="74" t="s">
        <v>1004</v>
      </c>
      <c r="E399" s="75" t="s">
        <v>1005</v>
      </c>
    </row>
    <row r="400" spans="1:5">
      <c r="A400" s="84">
        <v>9650</v>
      </c>
      <c r="B400" s="277" t="s">
        <v>1042</v>
      </c>
      <c r="C400" s="74" t="s">
        <v>1043</v>
      </c>
      <c r="D400" s="74" t="s">
        <v>1044</v>
      </c>
      <c r="E400" s="75" t="s">
        <v>1045</v>
      </c>
    </row>
    <row r="401" spans="1:5">
      <c r="A401" s="275">
        <v>9674</v>
      </c>
      <c r="B401" s="277" t="s">
        <v>822</v>
      </c>
      <c r="C401" s="74" t="s">
        <v>823</v>
      </c>
      <c r="D401" s="74" t="s">
        <v>824</v>
      </c>
      <c r="E401" s="75" t="s">
        <v>826</v>
      </c>
    </row>
    <row r="402" spans="1:5">
      <c r="A402" s="275">
        <v>9681</v>
      </c>
      <c r="B402" s="277" t="s">
        <v>1065</v>
      </c>
      <c r="C402" s="74" t="s">
        <v>1066</v>
      </c>
      <c r="D402" s="74" t="s">
        <v>1067</v>
      </c>
      <c r="E402" s="75" t="s">
        <v>1068</v>
      </c>
    </row>
    <row r="403" spans="1:5">
      <c r="A403" s="275">
        <v>9682</v>
      </c>
      <c r="B403" s="277" t="s">
        <v>1065</v>
      </c>
      <c r="C403" s="74" t="s">
        <v>1066</v>
      </c>
      <c r="D403" s="74" t="s">
        <v>1067</v>
      </c>
      <c r="E403" s="75" t="s">
        <v>1068</v>
      </c>
    </row>
    <row r="404" spans="1:5">
      <c r="A404" s="275">
        <v>9686</v>
      </c>
      <c r="B404" s="277" t="s">
        <v>638</v>
      </c>
      <c r="C404" s="74" t="s">
        <v>639</v>
      </c>
      <c r="D404" s="74" t="s">
        <v>640</v>
      </c>
      <c r="E404" s="75" t="s">
        <v>828</v>
      </c>
    </row>
    <row r="405" spans="1:5">
      <c r="A405" s="275">
        <v>9698</v>
      </c>
      <c r="B405" s="277" t="s">
        <v>1042</v>
      </c>
      <c r="C405" s="74" t="s">
        <v>1043</v>
      </c>
      <c r="D405" s="74" t="s">
        <v>1044</v>
      </c>
      <c r="E405" s="75" t="s">
        <v>1045</v>
      </c>
    </row>
    <row r="406" spans="1:5">
      <c r="A406" s="275">
        <v>9701</v>
      </c>
      <c r="B406" s="277" t="s">
        <v>822</v>
      </c>
      <c r="C406" s="74" t="s">
        <v>823</v>
      </c>
      <c r="D406" s="74" t="s">
        <v>824</v>
      </c>
      <c r="E406" s="75" t="s">
        <v>826</v>
      </c>
    </row>
    <row r="407" spans="1:5">
      <c r="A407" s="275">
        <v>9702</v>
      </c>
      <c r="B407" s="277" t="s">
        <v>1065</v>
      </c>
      <c r="C407" s="74" t="s">
        <v>1066</v>
      </c>
      <c r="D407" s="74" t="s">
        <v>1067</v>
      </c>
      <c r="E407" s="75" t="s">
        <v>1068</v>
      </c>
    </row>
    <row r="408" spans="1:5">
      <c r="A408" s="275">
        <v>9708</v>
      </c>
      <c r="B408" s="277" t="s">
        <v>635</v>
      </c>
      <c r="C408" s="74" t="s">
        <v>636</v>
      </c>
      <c r="D408" s="74" t="s">
        <v>637</v>
      </c>
      <c r="E408" s="75" t="s">
        <v>827</v>
      </c>
    </row>
    <row r="409" spans="1:5">
      <c r="A409" s="275">
        <v>9730</v>
      </c>
      <c r="B409" s="277" t="s">
        <v>1065</v>
      </c>
      <c r="C409" s="74" t="s">
        <v>1066</v>
      </c>
      <c r="D409" s="74" t="s">
        <v>1067</v>
      </c>
      <c r="E409" s="75" t="s">
        <v>1068</v>
      </c>
    </row>
    <row r="410" spans="1:5">
      <c r="A410" s="275">
        <v>9743</v>
      </c>
      <c r="B410" s="277" t="s">
        <v>635</v>
      </c>
      <c r="C410" s="74" t="s">
        <v>636</v>
      </c>
      <c r="D410" s="74" t="s">
        <v>637</v>
      </c>
      <c r="E410" s="75" t="s">
        <v>827</v>
      </c>
    </row>
    <row r="411" spans="1:5">
      <c r="A411" s="84">
        <v>9748</v>
      </c>
      <c r="B411" s="89" t="s">
        <v>1001</v>
      </c>
      <c r="C411" s="74" t="s">
        <v>1003</v>
      </c>
      <c r="D411" s="74" t="s">
        <v>1004</v>
      </c>
      <c r="E411" s="75" t="s">
        <v>1005</v>
      </c>
    </row>
    <row r="412" spans="1:5">
      <c r="A412" s="84">
        <v>9759</v>
      </c>
      <c r="B412" s="277" t="s">
        <v>638</v>
      </c>
      <c r="C412" s="74" t="s">
        <v>639</v>
      </c>
      <c r="D412" s="74" t="s">
        <v>640</v>
      </c>
      <c r="E412" s="75" t="s">
        <v>828</v>
      </c>
    </row>
    <row r="413" spans="1:5">
      <c r="A413" s="84">
        <v>9765</v>
      </c>
      <c r="B413" s="277" t="s">
        <v>1065</v>
      </c>
      <c r="C413" s="74" t="s">
        <v>1066</v>
      </c>
      <c r="D413" s="74" t="s">
        <v>1067</v>
      </c>
      <c r="E413" s="75" t="s">
        <v>1068</v>
      </c>
    </row>
    <row r="414" spans="1:5">
      <c r="A414" s="275">
        <v>9791</v>
      </c>
      <c r="B414" s="277" t="s">
        <v>1042</v>
      </c>
      <c r="C414" s="74" t="s">
        <v>1043</v>
      </c>
      <c r="D414" s="74" t="s">
        <v>1044</v>
      </c>
      <c r="E414" s="75" t="s">
        <v>1045</v>
      </c>
    </row>
    <row r="415" spans="1:5">
      <c r="A415" s="275">
        <v>9794</v>
      </c>
      <c r="B415" s="277" t="s">
        <v>635</v>
      </c>
      <c r="C415" s="74" t="s">
        <v>636</v>
      </c>
      <c r="D415" s="74" t="s">
        <v>637</v>
      </c>
      <c r="E415" s="75" t="s">
        <v>827</v>
      </c>
    </row>
    <row r="416" spans="1:5">
      <c r="A416" s="275">
        <v>9796</v>
      </c>
      <c r="B416" s="277" t="s">
        <v>635</v>
      </c>
      <c r="C416" s="74" t="s">
        <v>636</v>
      </c>
      <c r="D416" s="74" t="s">
        <v>637</v>
      </c>
      <c r="E416" s="75" t="s">
        <v>827</v>
      </c>
    </row>
    <row r="417" spans="1:5">
      <c r="A417" s="84">
        <v>9817</v>
      </c>
      <c r="B417" s="89" t="s">
        <v>638</v>
      </c>
      <c r="C417" s="74" t="s">
        <v>639</v>
      </c>
      <c r="D417" s="74" t="s">
        <v>640</v>
      </c>
      <c r="E417" s="75" t="s">
        <v>828</v>
      </c>
    </row>
    <row r="418" spans="1:5">
      <c r="A418" s="275">
        <v>9868</v>
      </c>
      <c r="B418" s="277" t="s">
        <v>1001</v>
      </c>
      <c r="C418" s="74" t="s">
        <v>1003</v>
      </c>
      <c r="D418" s="74" t="s">
        <v>1004</v>
      </c>
      <c r="E418" s="75" t="s">
        <v>1005</v>
      </c>
    </row>
    <row r="419" spans="1:5">
      <c r="A419" s="275">
        <v>9884</v>
      </c>
      <c r="B419" s="277" t="s">
        <v>632</v>
      </c>
      <c r="C419" s="74" t="s">
        <v>633</v>
      </c>
      <c r="D419" s="74" t="s">
        <v>634</v>
      </c>
      <c r="E419" s="75" t="s">
        <v>825</v>
      </c>
    </row>
    <row r="420" spans="1:5">
      <c r="A420" s="275">
        <v>9902</v>
      </c>
      <c r="B420" s="277" t="s">
        <v>1065</v>
      </c>
      <c r="C420" s="74" t="s">
        <v>1066</v>
      </c>
      <c r="D420" s="74" t="s">
        <v>1067</v>
      </c>
      <c r="E420" s="75" t="s">
        <v>1068</v>
      </c>
    </row>
    <row r="421" spans="1:5">
      <c r="A421" s="275">
        <v>9903</v>
      </c>
      <c r="B421" s="277" t="s">
        <v>632</v>
      </c>
      <c r="C421" s="74" t="s">
        <v>633</v>
      </c>
      <c r="D421" s="74" t="s">
        <v>634</v>
      </c>
      <c r="E421" s="75" t="s">
        <v>825</v>
      </c>
    </row>
    <row r="422" spans="1:5">
      <c r="A422" s="275">
        <v>9930</v>
      </c>
      <c r="B422" s="277" t="s">
        <v>635</v>
      </c>
      <c r="C422" s="74" t="s">
        <v>636</v>
      </c>
      <c r="D422" s="74" t="s">
        <v>637</v>
      </c>
      <c r="E422" s="75" t="s">
        <v>827</v>
      </c>
    </row>
    <row r="423" spans="1:5">
      <c r="A423" s="84">
        <v>9967</v>
      </c>
      <c r="B423" s="278" t="s">
        <v>1065</v>
      </c>
      <c r="C423" s="74" t="s">
        <v>1066</v>
      </c>
      <c r="D423" s="74" t="s">
        <v>1067</v>
      </c>
      <c r="E423" s="75" t="s">
        <v>1068</v>
      </c>
    </row>
    <row r="424" spans="1:5">
      <c r="A424" s="275">
        <v>9978</v>
      </c>
      <c r="B424" s="277" t="s">
        <v>635</v>
      </c>
      <c r="C424" s="74" t="s">
        <v>636</v>
      </c>
      <c r="D424" s="74" t="s">
        <v>637</v>
      </c>
      <c r="E424" s="75" t="s">
        <v>827</v>
      </c>
    </row>
    <row r="425" spans="1:5">
      <c r="A425" s="275">
        <v>9982</v>
      </c>
      <c r="B425" s="277" t="s">
        <v>1042</v>
      </c>
      <c r="C425" s="74" t="s">
        <v>1043</v>
      </c>
      <c r="D425" s="74" t="s">
        <v>1044</v>
      </c>
      <c r="E425" s="75" t="s">
        <v>1045</v>
      </c>
    </row>
    <row r="426" spans="1:5">
      <c r="A426" s="275">
        <v>9997</v>
      </c>
      <c r="B426" s="277" t="s">
        <v>1002</v>
      </c>
      <c r="C426" s="74" t="s">
        <v>1006</v>
      </c>
      <c r="D426" s="74" t="s">
        <v>1007</v>
      </c>
      <c r="E426" s="75" t="s">
        <v>1008</v>
      </c>
    </row>
    <row r="427" spans="1:5">
      <c r="A427" s="84">
        <v>10002</v>
      </c>
      <c r="B427" s="279" t="s">
        <v>1065</v>
      </c>
      <c r="C427" s="74" t="s">
        <v>1066</v>
      </c>
      <c r="D427" s="74" t="s">
        <v>1067</v>
      </c>
      <c r="E427" s="75" t="s">
        <v>1068</v>
      </c>
    </row>
    <row r="428" spans="1:5">
      <c r="A428" s="275">
        <v>10012</v>
      </c>
      <c r="B428" s="277" t="s">
        <v>635</v>
      </c>
      <c r="C428" s="74" t="s">
        <v>636</v>
      </c>
      <c r="D428" s="74" t="s">
        <v>637</v>
      </c>
      <c r="E428" s="75" t="s">
        <v>827</v>
      </c>
    </row>
    <row r="429" spans="1:5">
      <c r="A429" s="84">
        <v>10040</v>
      </c>
      <c r="B429" s="279" t="s">
        <v>1042</v>
      </c>
      <c r="C429" s="74" t="s">
        <v>1043</v>
      </c>
      <c r="D429" s="74" t="s">
        <v>1044</v>
      </c>
      <c r="E429" s="75" t="s">
        <v>1045</v>
      </c>
    </row>
    <row r="430" spans="1:5">
      <c r="A430" s="84">
        <v>10090</v>
      </c>
      <c r="B430" s="277" t="s">
        <v>1065</v>
      </c>
      <c r="C430" s="74" t="s">
        <v>1066</v>
      </c>
      <c r="D430" s="74" t="s">
        <v>1067</v>
      </c>
      <c r="E430" s="75" t="s">
        <v>1068</v>
      </c>
    </row>
    <row r="431" spans="1:5">
      <c r="A431" s="275">
        <v>10129</v>
      </c>
      <c r="B431" s="277" t="s">
        <v>822</v>
      </c>
      <c r="C431" s="74" t="s">
        <v>823</v>
      </c>
      <c r="D431" s="74" t="s">
        <v>824</v>
      </c>
      <c r="E431" s="75" t="s">
        <v>826</v>
      </c>
    </row>
    <row r="432" spans="1:5">
      <c r="A432" s="275">
        <v>10131</v>
      </c>
      <c r="B432" s="277" t="s">
        <v>1002</v>
      </c>
      <c r="C432" s="74" t="s">
        <v>1006</v>
      </c>
      <c r="D432" s="74" t="s">
        <v>1007</v>
      </c>
      <c r="E432" s="75" t="s">
        <v>1008</v>
      </c>
    </row>
    <row r="433" spans="1:5">
      <c r="A433" s="84">
        <v>10145</v>
      </c>
      <c r="B433" s="279" t="s">
        <v>1065</v>
      </c>
      <c r="C433" s="74" t="s">
        <v>1066</v>
      </c>
      <c r="D433" s="74" t="s">
        <v>1067</v>
      </c>
      <c r="E433" s="75" t="s">
        <v>1068</v>
      </c>
    </row>
    <row r="434" spans="1:5">
      <c r="A434" s="275">
        <v>10148</v>
      </c>
      <c r="B434" s="277" t="s">
        <v>1002</v>
      </c>
      <c r="C434" s="74" t="s">
        <v>1006</v>
      </c>
      <c r="D434" s="74" t="s">
        <v>1007</v>
      </c>
      <c r="E434" s="75" t="s">
        <v>1008</v>
      </c>
    </row>
    <row r="435" spans="1:5">
      <c r="A435" s="84">
        <v>10181</v>
      </c>
      <c r="B435" s="279" t="s">
        <v>1065</v>
      </c>
      <c r="C435" s="74" t="s">
        <v>1066</v>
      </c>
      <c r="D435" s="74" t="s">
        <v>1067</v>
      </c>
      <c r="E435" s="75" t="s">
        <v>1068</v>
      </c>
    </row>
    <row r="436" spans="1:5">
      <c r="A436" s="275">
        <v>10186</v>
      </c>
      <c r="B436" s="277" t="s">
        <v>635</v>
      </c>
      <c r="C436" s="74" t="s">
        <v>636</v>
      </c>
      <c r="D436" s="74" t="s">
        <v>637</v>
      </c>
      <c r="E436" s="75" t="s">
        <v>827</v>
      </c>
    </row>
    <row r="437" spans="1:5">
      <c r="A437" s="84">
        <v>10191</v>
      </c>
      <c r="B437" s="89" t="s">
        <v>1065</v>
      </c>
      <c r="C437" s="74" t="s">
        <v>1066</v>
      </c>
      <c r="D437" s="74" t="s">
        <v>1067</v>
      </c>
      <c r="E437" s="75" t="s">
        <v>1068</v>
      </c>
    </row>
    <row r="438" spans="1:5">
      <c r="A438" s="275">
        <v>10207</v>
      </c>
      <c r="B438" s="277" t="s">
        <v>635</v>
      </c>
      <c r="C438" s="74" t="s">
        <v>636</v>
      </c>
      <c r="D438" s="74" t="s">
        <v>637</v>
      </c>
      <c r="E438" s="75" t="s">
        <v>827</v>
      </c>
    </row>
    <row r="439" spans="1:5">
      <c r="A439" s="275">
        <v>10209</v>
      </c>
      <c r="B439" s="277" t="s">
        <v>635</v>
      </c>
      <c r="C439" s="74" t="s">
        <v>636</v>
      </c>
      <c r="D439" s="74" t="s">
        <v>637</v>
      </c>
      <c r="E439" s="75" t="s">
        <v>827</v>
      </c>
    </row>
    <row r="440" spans="1:5">
      <c r="A440" s="84">
        <v>10224</v>
      </c>
      <c r="B440" s="89" t="s">
        <v>638</v>
      </c>
      <c r="C440" s="74" t="s">
        <v>639</v>
      </c>
      <c r="D440" s="74" t="s">
        <v>640</v>
      </c>
      <c r="E440" s="75" t="s">
        <v>828</v>
      </c>
    </row>
    <row r="441" spans="1:5">
      <c r="A441" s="84">
        <v>10240</v>
      </c>
      <c r="B441" s="89" t="s">
        <v>1065</v>
      </c>
      <c r="C441" s="74" t="s">
        <v>1066</v>
      </c>
      <c r="D441" s="74" t="s">
        <v>1067</v>
      </c>
      <c r="E441" s="75" t="s">
        <v>1068</v>
      </c>
    </row>
    <row r="442" spans="1:5">
      <c r="A442" s="275">
        <v>10245</v>
      </c>
      <c r="B442" s="277" t="s">
        <v>632</v>
      </c>
      <c r="C442" s="74" t="s">
        <v>633</v>
      </c>
      <c r="D442" s="74" t="s">
        <v>634</v>
      </c>
      <c r="E442" s="75" t="s">
        <v>825</v>
      </c>
    </row>
    <row r="443" spans="1:5">
      <c r="A443" s="275">
        <v>10249</v>
      </c>
      <c r="B443" s="277" t="s">
        <v>638</v>
      </c>
      <c r="C443" s="74" t="s">
        <v>639</v>
      </c>
      <c r="D443" s="74" t="s">
        <v>640</v>
      </c>
      <c r="E443" s="75" t="s">
        <v>828</v>
      </c>
    </row>
    <row r="444" spans="1:5">
      <c r="A444" s="84">
        <v>10256</v>
      </c>
      <c r="B444" s="89" t="s">
        <v>822</v>
      </c>
      <c r="C444" s="74" t="s">
        <v>823</v>
      </c>
      <c r="D444" s="74" t="s">
        <v>824</v>
      </c>
      <c r="E444" s="75" t="s">
        <v>826</v>
      </c>
    </row>
    <row r="445" spans="1:5">
      <c r="A445" s="275">
        <v>10258</v>
      </c>
      <c r="B445" s="277" t="s">
        <v>1065</v>
      </c>
      <c r="C445" s="74" t="s">
        <v>1066</v>
      </c>
      <c r="D445" s="74" t="s">
        <v>1067</v>
      </c>
      <c r="E445" s="75" t="s">
        <v>1068</v>
      </c>
    </row>
    <row r="446" spans="1:5">
      <c r="A446" s="275">
        <v>10270</v>
      </c>
      <c r="B446" s="277" t="s">
        <v>1065</v>
      </c>
      <c r="C446" s="74" t="s">
        <v>1066</v>
      </c>
      <c r="D446" s="74" t="s">
        <v>1067</v>
      </c>
      <c r="E446" s="75" t="s">
        <v>1068</v>
      </c>
    </row>
    <row r="447" spans="1:5">
      <c r="A447" s="275">
        <v>10294</v>
      </c>
      <c r="B447" s="277" t="s">
        <v>1002</v>
      </c>
      <c r="C447" s="74" t="s">
        <v>1006</v>
      </c>
      <c r="D447" s="74" t="s">
        <v>1007</v>
      </c>
      <c r="E447" s="75" t="s">
        <v>1008</v>
      </c>
    </row>
    <row r="448" spans="1:5">
      <c r="A448" s="84">
        <v>10295</v>
      </c>
      <c r="B448" s="89" t="s">
        <v>1065</v>
      </c>
      <c r="C448" s="74" t="s">
        <v>1066</v>
      </c>
      <c r="D448" s="74" t="s">
        <v>1067</v>
      </c>
      <c r="E448" s="75" t="s">
        <v>1068</v>
      </c>
    </row>
    <row r="449" spans="1:5">
      <c r="A449" s="275">
        <v>10309</v>
      </c>
      <c r="B449" s="277" t="s">
        <v>635</v>
      </c>
      <c r="C449" s="74" t="s">
        <v>636</v>
      </c>
      <c r="D449" s="74" t="s">
        <v>637</v>
      </c>
      <c r="E449" s="75" t="s">
        <v>827</v>
      </c>
    </row>
    <row r="450" spans="1:5">
      <c r="A450" s="275">
        <v>10310</v>
      </c>
      <c r="B450" s="277" t="s">
        <v>822</v>
      </c>
      <c r="C450" s="74" t="s">
        <v>823</v>
      </c>
      <c r="D450" s="74" t="s">
        <v>824</v>
      </c>
      <c r="E450" s="75" t="s">
        <v>826</v>
      </c>
    </row>
    <row r="451" spans="1:5">
      <c r="A451" s="275">
        <v>10333</v>
      </c>
      <c r="B451" s="277" t="s">
        <v>1002</v>
      </c>
      <c r="C451" s="74" t="s">
        <v>1006</v>
      </c>
      <c r="D451" s="74" t="s">
        <v>1007</v>
      </c>
      <c r="E451" s="75" t="s">
        <v>1008</v>
      </c>
    </row>
    <row r="452" spans="1:5">
      <c r="A452" s="84">
        <v>10372</v>
      </c>
      <c r="B452" s="89" t="s">
        <v>1042</v>
      </c>
      <c r="C452" s="74" t="s">
        <v>1043</v>
      </c>
      <c r="D452" s="74" t="s">
        <v>1044</v>
      </c>
      <c r="E452" s="75" t="s">
        <v>1045</v>
      </c>
    </row>
    <row r="453" spans="1:5">
      <c r="A453" s="84">
        <v>10373</v>
      </c>
      <c r="B453" s="277" t="s">
        <v>635</v>
      </c>
      <c r="C453" s="74" t="s">
        <v>636</v>
      </c>
      <c r="D453" s="74" t="s">
        <v>637</v>
      </c>
      <c r="E453" s="75" t="s">
        <v>827</v>
      </c>
    </row>
    <row r="454" spans="1:5">
      <c r="A454" s="84">
        <v>10375</v>
      </c>
      <c r="B454" s="89" t="s">
        <v>1001</v>
      </c>
      <c r="C454" s="74" t="s">
        <v>1003</v>
      </c>
      <c r="D454" s="74" t="s">
        <v>1004</v>
      </c>
      <c r="E454" s="75" t="s">
        <v>1005</v>
      </c>
    </row>
    <row r="455" spans="1:5">
      <c r="A455" s="275">
        <v>10380</v>
      </c>
      <c r="B455" s="277" t="s">
        <v>1042</v>
      </c>
      <c r="C455" s="74" t="s">
        <v>1043</v>
      </c>
      <c r="D455" s="74" t="s">
        <v>1044</v>
      </c>
      <c r="E455" s="75" t="s">
        <v>1045</v>
      </c>
    </row>
    <row r="456" spans="1:5">
      <c r="A456" s="275">
        <v>10390</v>
      </c>
      <c r="B456" s="277" t="s">
        <v>635</v>
      </c>
      <c r="C456" s="74" t="s">
        <v>636</v>
      </c>
      <c r="D456" s="74" t="s">
        <v>637</v>
      </c>
      <c r="E456" s="75" t="s">
        <v>827</v>
      </c>
    </row>
    <row r="457" spans="1:5">
      <c r="A457" s="87">
        <v>10391</v>
      </c>
      <c r="B457" s="277" t="s">
        <v>635</v>
      </c>
      <c r="C457" s="74" t="s">
        <v>636</v>
      </c>
      <c r="D457" s="74" t="s">
        <v>637</v>
      </c>
      <c r="E457" s="75" t="s">
        <v>827</v>
      </c>
    </row>
    <row r="458" spans="1:5">
      <c r="A458" s="274">
        <v>10393</v>
      </c>
      <c r="B458" s="89" t="s">
        <v>635</v>
      </c>
      <c r="C458" s="74" t="s">
        <v>636</v>
      </c>
      <c r="D458" s="74" t="s">
        <v>637</v>
      </c>
      <c r="E458" s="75" t="s">
        <v>827</v>
      </c>
    </row>
    <row r="459" spans="1:5">
      <c r="A459" s="87">
        <v>10403</v>
      </c>
      <c r="B459" s="277" t="s">
        <v>1042</v>
      </c>
      <c r="C459" s="74" t="s">
        <v>1043</v>
      </c>
      <c r="D459" s="74" t="s">
        <v>1044</v>
      </c>
      <c r="E459" s="75" t="s">
        <v>1045</v>
      </c>
    </row>
    <row r="460" spans="1:5">
      <c r="A460" s="87">
        <v>10404</v>
      </c>
      <c r="B460" s="277" t="s">
        <v>822</v>
      </c>
      <c r="C460" s="74" t="s">
        <v>823</v>
      </c>
      <c r="D460" s="74" t="s">
        <v>824</v>
      </c>
      <c r="E460" s="75" t="s">
        <v>826</v>
      </c>
    </row>
    <row r="461" spans="1:5">
      <c r="A461" s="87">
        <v>10405</v>
      </c>
      <c r="B461" s="277" t="s">
        <v>635</v>
      </c>
      <c r="C461" s="74" t="s">
        <v>636</v>
      </c>
      <c r="D461" s="74" t="s">
        <v>637</v>
      </c>
      <c r="E461" s="75" t="s">
        <v>827</v>
      </c>
    </row>
    <row r="462" spans="1:5">
      <c r="A462" s="87">
        <v>10413</v>
      </c>
      <c r="B462" s="277" t="s">
        <v>1042</v>
      </c>
      <c r="C462" s="74" t="s">
        <v>1043</v>
      </c>
      <c r="D462" s="74" t="s">
        <v>1044</v>
      </c>
      <c r="E462" s="75" t="s">
        <v>1045</v>
      </c>
    </row>
    <row r="463" spans="1:5">
      <c r="A463" s="87">
        <v>10420</v>
      </c>
      <c r="B463" s="277" t="s">
        <v>822</v>
      </c>
      <c r="C463" s="74" t="s">
        <v>823</v>
      </c>
      <c r="D463" s="74" t="s">
        <v>824</v>
      </c>
      <c r="E463" s="75" t="s">
        <v>826</v>
      </c>
    </row>
    <row r="464" spans="1:5">
      <c r="A464" s="87">
        <v>10426</v>
      </c>
      <c r="B464" s="277" t="s">
        <v>635</v>
      </c>
      <c r="C464" s="74" t="s">
        <v>636</v>
      </c>
      <c r="D464" s="74" t="s">
        <v>637</v>
      </c>
      <c r="E464" s="75" t="s">
        <v>827</v>
      </c>
    </row>
    <row r="465" spans="1:5">
      <c r="A465" s="274">
        <v>10431</v>
      </c>
      <c r="B465" s="89" t="s">
        <v>1065</v>
      </c>
      <c r="C465" s="74" t="s">
        <v>1066</v>
      </c>
      <c r="D465" s="74" t="s">
        <v>1067</v>
      </c>
      <c r="E465" s="75" t="s">
        <v>1068</v>
      </c>
    </row>
    <row r="466" spans="1:5">
      <c r="A466" s="87">
        <v>10433</v>
      </c>
      <c r="B466" s="277" t="s">
        <v>1065</v>
      </c>
      <c r="C466" s="74" t="s">
        <v>1066</v>
      </c>
      <c r="D466" s="74" t="s">
        <v>1067</v>
      </c>
      <c r="E466" s="75" t="s">
        <v>1068</v>
      </c>
    </row>
    <row r="467" spans="1:5">
      <c r="A467" s="87">
        <v>10434</v>
      </c>
      <c r="B467" s="277" t="s">
        <v>1065</v>
      </c>
      <c r="C467" s="74" t="s">
        <v>1066</v>
      </c>
      <c r="D467" s="74" t="s">
        <v>1067</v>
      </c>
      <c r="E467" s="75" t="s">
        <v>1068</v>
      </c>
    </row>
    <row r="468" spans="1:5">
      <c r="A468" s="87">
        <v>10463</v>
      </c>
      <c r="B468" s="277" t="s">
        <v>635</v>
      </c>
      <c r="C468" s="74" t="s">
        <v>636</v>
      </c>
      <c r="D468" s="74" t="s">
        <v>637</v>
      </c>
      <c r="E468" s="75" t="s">
        <v>827</v>
      </c>
    </row>
    <row r="469" spans="1:5">
      <c r="A469" s="274">
        <v>10480</v>
      </c>
      <c r="B469" s="89" t="s">
        <v>822</v>
      </c>
      <c r="C469" s="74" t="s">
        <v>823</v>
      </c>
      <c r="D469" s="74" t="s">
        <v>824</v>
      </c>
      <c r="E469" s="75" t="s">
        <v>826</v>
      </c>
    </row>
    <row r="470" spans="1:5">
      <c r="A470" s="87">
        <v>10509</v>
      </c>
      <c r="B470" s="277" t="s">
        <v>822</v>
      </c>
      <c r="C470" s="74" t="s">
        <v>823</v>
      </c>
      <c r="D470" s="74" t="s">
        <v>824</v>
      </c>
      <c r="E470" s="75" t="s">
        <v>826</v>
      </c>
    </row>
    <row r="471" spans="1:5">
      <c r="A471" s="87">
        <v>10523</v>
      </c>
      <c r="B471" s="277" t="s">
        <v>1001</v>
      </c>
      <c r="C471" s="74" t="s">
        <v>1003</v>
      </c>
      <c r="D471" s="74" t="s">
        <v>1004</v>
      </c>
      <c r="E471" s="75" t="s">
        <v>1005</v>
      </c>
    </row>
    <row r="472" spans="1:5">
      <c r="A472" s="87">
        <v>10524</v>
      </c>
      <c r="B472" s="277" t="s">
        <v>632</v>
      </c>
      <c r="C472" s="74" t="s">
        <v>633</v>
      </c>
      <c r="D472" s="74" t="s">
        <v>634</v>
      </c>
      <c r="E472" s="75" t="s">
        <v>825</v>
      </c>
    </row>
    <row r="473" spans="1:5">
      <c r="A473" s="87">
        <v>10555</v>
      </c>
      <c r="B473" s="277" t="s">
        <v>635</v>
      </c>
      <c r="C473" s="74" t="s">
        <v>636</v>
      </c>
      <c r="D473" s="74" t="s">
        <v>637</v>
      </c>
      <c r="E473" s="75" t="s">
        <v>827</v>
      </c>
    </row>
    <row r="474" spans="1:5">
      <c r="A474" s="274">
        <v>10562</v>
      </c>
      <c r="B474" s="89" t="s">
        <v>635</v>
      </c>
      <c r="C474" s="74" t="s">
        <v>636</v>
      </c>
      <c r="D474" s="74" t="s">
        <v>637</v>
      </c>
      <c r="E474" s="75" t="s">
        <v>827</v>
      </c>
    </row>
    <row r="475" spans="1:5">
      <c r="A475" s="87">
        <v>10568</v>
      </c>
      <c r="B475" s="277" t="s">
        <v>1065</v>
      </c>
      <c r="C475" s="74" t="s">
        <v>1066</v>
      </c>
      <c r="D475" s="74" t="s">
        <v>1067</v>
      </c>
      <c r="E475" s="75" t="s">
        <v>1068</v>
      </c>
    </row>
    <row r="476" spans="1:5">
      <c r="A476" s="87">
        <v>10574</v>
      </c>
      <c r="B476" s="277" t="s">
        <v>635</v>
      </c>
      <c r="C476" s="74" t="s">
        <v>636</v>
      </c>
      <c r="D476" s="74" t="s">
        <v>637</v>
      </c>
      <c r="E476" s="75" t="s">
        <v>827</v>
      </c>
    </row>
    <row r="477" spans="1:5">
      <c r="A477" s="87">
        <v>10591</v>
      </c>
      <c r="B477" s="277" t="s">
        <v>635</v>
      </c>
      <c r="C477" s="74" t="s">
        <v>636</v>
      </c>
      <c r="D477" s="74" t="s">
        <v>637</v>
      </c>
      <c r="E477" s="75" t="s">
        <v>827</v>
      </c>
    </row>
    <row r="478" spans="1:5">
      <c r="A478" s="87">
        <v>10593</v>
      </c>
      <c r="B478" s="277" t="s">
        <v>1065</v>
      </c>
      <c r="C478" s="74" t="s">
        <v>1066</v>
      </c>
      <c r="D478" s="74" t="s">
        <v>1067</v>
      </c>
      <c r="E478" s="75" t="s">
        <v>1068</v>
      </c>
    </row>
    <row r="479" spans="1:5">
      <c r="A479" s="87">
        <v>10600</v>
      </c>
      <c r="B479" s="277" t="s">
        <v>1042</v>
      </c>
      <c r="C479" s="74" t="s">
        <v>1043</v>
      </c>
      <c r="D479" s="74" t="s">
        <v>1044</v>
      </c>
      <c r="E479" s="75" t="s">
        <v>1045</v>
      </c>
    </row>
    <row r="480" spans="1:5">
      <c r="A480" s="87">
        <v>10609</v>
      </c>
      <c r="B480" s="277" t="s">
        <v>822</v>
      </c>
      <c r="C480" s="74" t="s">
        <v>823</v>
      </c>
      <c r="D480" s="74" t="s">
        <v>824</v>
      </c>
      <c r="E480" s="75" t="s">
        <v>826</v>
      </c>
    </row>
    <row r="481" spans="1:5">
      <c r="A481" s="87">
        <v>10624</v>
      </c>
      <c r="B481" s="277" t="s">
        <v>1002</v>
      </c>
      <c r="C481" s="74" t="s">
        <v>1006</v>
      </c>
      <c r="D481" s="74" t="s">
        <v>1007</v>
      </c>
      <c r="E481" s="75" t="s">
        <v>1008</v>
      </c>
    </row>
    <row r="482" spans="1:5">
      <c r="A482" s="274">
        <v>10646</v>
      </c>
      <c r="B482" s="89" t="s">
        <v>632</v>
      </c>
      <c r="C482" s="74" t="s">
        <v>633</v>
      </c>
      <c r="D482" s="74" t="s">
        <v>634</v>
      </c>
      <c r="E482" s="75" t="s">
        <v>825</v>
      </c>
    </row>
    <row r="483" spans="1:5">
      <c r="A483" s="274">
        <v>10656</v>
      </c>
      <c r="B483" s="277" t="s">
        <v>635</v>
      </c>
      <c r="C483" s="74" t="s">
        <v>636</v>
      </c>
      <c r="D483" s="74" t="s">
        <v>637</v>
      </c>
      <c r="E483" s="75" t="s">
        <v>827</v>
      </c>
    </row>
    <row r="484" spans="1:5">
      <c r="A484" s="87">
        <v>10659</v>
      </c>
      <c r="B484" s="277" t="s">
        <v>635</v>
      </c>
      <c r="C484" s="74" t="s">
        <v>636</v>
      </c>
      <c r="D484" s="74" t="s">
        <v>637</v>
      </c>
      <c r="E484" s="75" t="s">
        <v>827</v>
      </c>
    </row>
    <row r="485" spans="1:5">
      <c r="A485" s="274">
        <v>10660</v>
      </c>
      <c r="B485" s="89" t="s">
        <v>632</v>
      </c>
      <c r="C485" s="74" t="s">
        <v>633</v>
      </c>
      <c r="D485" s="74" t="s">
        <v>634</v>
      </c>
      <c r="E485" s="75" t="s">
        <v>825</v>
      </c>
    </row>
    <row r="486" spans="1:5">
      <c r="A486" s="274">
        <v>10677</v>
      </c>
      <c r="B486" s="277" t="s">
        <v>1042</v>
      </c>
      <c r="C486" s="74" t="s">
        <v>1043</v>
      </c>
      <c r="D486" s="74" t="s">
        <v>1044</v>
      </c>
      <c r="E486" s="75" t="s">
        <v>1045</v>
      </c>
    </row>
    <row r="487" spans="1:5">
      <c r="A487" s="274">
        <v>10711</v>
      </c>
      <c r="B487" s="277" t="s">
        <v>1042</v>
      </c>
      <c r="C487" s="74" t="s">
        <v>1043</v>
      </c>
      <c r="D487" s="74" t="s">
        <v>1044</v>
      </c>
      <c r="E487" s="75" t="s">
        <v>1045</v>
      </c>
    </row>
    <row r="488" spans="1:5">
      <c r="A488" s="87">
        <v>10712</v>
      </c>
      <c r="B488" s="277" t="s">
        <v>1065</v>
      </c>
      <c r="C488" s="74" t="s">
        <v>1066</v>
      </c>
      <c r="D488" s="74" t="s">
        <v>1067</v>
      </c>
      <c r="E488" s="75" t="s">
        <v>1068</v>
      </c>
    </row>
    <row r="489" spans="1:5">
      <c r="A489" s="87">
        <v>10720</v>
      </c>
      <c r="B489" s="277" t="s">
        <v>635</v>
      </c>
      <c r="C489" s="74" t="s">
        <v>636</v>
      </c>
      <c r="D489" s="74" t="s">
        <v>637</v>
      </c>
      <c r="E489" s="75" t="s">
        <v>827</v>
      </c>
    </row>
    <row r="490" spans="1:5">
      <c r="A490" s="87">
        <v>10750</v>
      </c>
      <c r="B490" s="277" t="s">
        <v>822</v>
      </c>
      <c r="C490" s="74" t="s">
        <v>823</v>
      </c>
      <c r="D490" s="74" t="s">
        <v>824</v>
      </c>
      <c r="E490" s="75" t="s">
        <v>826</v>
      </c>
    </row>
    <row r="491" spans="1:5">
      <c r="A491" s="87">
        <v>10751</v>
      </c>
      <c r="B491" s="277" t="s">
        <v>638</v>
      </c>
      <c r="C491" s="74" t="s">
        <v>639</v>
      </c>
      <c r="D491" s="74" t="s">
        <v>640</v>
      </c>
      <c r="E491" s="75" t="s">
        <v>828</v>
      </c>
    </row>
    <row r="492" spans="1:5">
      <c r="A492" s="87">
        <v>10764</v>
      </c>
      <c r="B492" s="277" t="s">
        <v>1042</v>
      </c>
      <c r="C492" s="74" t="s">
        <v>1043</v>
      </c>
      <c r="D492" s="74" t="s">
        <v>1044</v>
      </c>
      <c r="E492" s="75" t="s">
        <v>1045</v>
      </c>
    </row>
    <row r="493" spans="1:5">
      <c r="A493" s="274">
        <v>10776</v>
      </c>
      <c r="B493" s="277" t="s">
        <v>635</v>
      </c>
      <c r="C493" s="74" t="s">
        <v>636</v>
      </c>
      <c r="D493" s="74" t="s">
        <v>637</v>
      </c>
      <c r="E493" s="75" t="s">
        <v>827</v>
      </c>
    </row>
    <row r="494" spans="1:5">
      <c r="A494" s="274">
        <v>10779</v>
      </c>
      <c r="B494" s="89" t="s">
        <v>635</v>
      </c>
      <c r="C494" s="74" t="s">
        <v>636</v>
      </c>
      <c r="D494" s="74" t="s">
        <v>637</v>
      </c>
      <c r="E494" s="75" t="s">
        <v>827</v>
      </c>
    </row>
    <row r="495" spans="1:5">
      <c r="A495" s="87">
        <v>10788</v>
      </c>
      <c r="B495" s="277" t="s">
        <v>822</v>
      </c>
      <c r="C495" s="74" t="s">
        <v>823</v>
      </c>
      <c r="D495" s="74" t="s">
        <v>824</v>
      </c>
      <c r="E495" s="75" t="s">
        <v>826</v>
      </c>
    </row>
    <row r="496" spans="1:5">
      <c r="A496" s="87">
        <v>10790</v>
      </c>
      <c r="B496" s="277" t="s">
        <v>632</v>
      </c>
      <c r="C496" s="74" t="s">
        <v>633</v>
      </c>
      <c r="D496" s="74" t="s">
        <v>634</v>
      </c>
      <c r="E496" s="75" t="s">
        <v>825</v>
      </c>
    </row>
    <row r="497" spans="1:5">
      <c r="A497" s="87">
        <v>10816</v>
      </c>
      <c r="B497" s="277" t="s">
        <v>1001</v>
      </c>
      <c r="C497" s="74" t="s">
        <v>1003</v>
      </c>
      <c r="D497" s="74" t="s">
        <v>1004</v>
      </c>
      <c r="E497" s="75" t="s">
        <v>1005</v>
      </c>
    </row>
    <row r="498" spans="1:5">
      <c r="A498" s="87">
        <v>10836</v>
      </c>
      <c r="B498" s="277" t="s">
        <v>1002</v>
      </c>
      <c r="C498" s="74" t="s">
        <v>1006</v>
      </c>
      <c r="D498" s="74" t="s">
        <v>1007</v>
      </c>
      <c r="E498" s="75" t="s">
        <v>1008</v>
      </c>
    </row>
    <row r="499" spans="1:5">
      <c r="A499" s="274">
        <v>10861</v>
      </c>
      <c r="B499" s="89" t="s">
        <v>635</v>
      </c>
      <c r="C499" s="74" t="s">
        <v>636</v>
      </c>
      <c r="D499" s="74" t="s">
        <v>637</v>
      </c>
      <c r="E499" s="75" t="s">
        <v>827</v>
      </c>
    </row>
    <row r="500" spans="1:5">
      <c r="A500" s="87">
        <v>10862</v>
      </c>
      <c r="B500" s="277" t="s">
        <v>822</v>
      </c>
      <c r="C500" s="74" t="s">
        <v>823</v>
      </c>
      <c r="D500" s="74" t="s">
        <v>824</v>
      </c>
      <c r="E500" s="75" t="s">
        <v>826</v>
      </c>
    </row>
    <row r="501" spans="1:5">
      <c r="A501" s="87">
        <v>10872</v>
      </c>
      <c r="B501" s="277" t="s">
        <v>635</v>
      </c>
      <c r="C501" s="74" t="s">
        <v>636</v>
      </c>
      <c r="D501" s="74" t="s">
        <v>637</v>
      </c>
      <c r="E501" s="75" t="s">
        <v>827</v>
      </c>
    </row>
    <row r="502" spans="1:5">
      <c r="A502" s="87">
        <v>10875</v>
      </c>
      <c r="B502" s="277" t="s">
        <v>632</v>
      </c>
      <c r="C502" s="74" t="s">
        <v>633</v>
      </c>
      <c r="D502" s="74" t="s">
        <v>634</v>
      </c>
      <c r="E502" s="75" t="s">
        <v>825</v>
      </c>
    </row>
    <row r="503" spans="1:5">
      <c r="A503" s="87">
        <v>10879</v>
      </c>
      <c r="B503" s="277" t="s">
        <v>632</v>
      </c>
      <c r="C503" s="74" t="s">
        <v>633</v>
      </c>
      <c r="D503" s="74" t="s">
        <v>634</v>
      </c>
      <c r="E503" s="75" t="s">
        <v>825</v>
      </c>
    </row>
    <row r="504" spans="1:5">
      <c r="A504" s="87">
        <v>10887</v>
      </c>
      <c r="B504" s="277" t="s">
        <v>1042</v>
      </c>
      <c r="C504" s="74" t="s">
        <v>1043</v>
      </c>
      <c r="D504" s="74" t="s">
        <v>1044</v>
      </c>
      <c r="E504" s="75" t="s">
        <v>1045</v>
      </c>
    </row>
    <row r="505" spans="1:5">
      <c r="A505" s="87">
        <v>10930</v>
      </c>
      <c r="B505" s="277" t="s">
        <v>1001</v>
      </c>
      <c r="C505" s="74" t="s">
        <v>1003</v>
      </c>
      <c r="D505" s="74" t="s">
        <v>1004</v>
      </c>
      <c r="E505" s="75" t="s">
        <v>1005</v>
      </c>
    </row>
    <row r="506" spans="1:5">
      <c r="A506" s="87">
        <v>10931</v>
      </c>
      <c r="B506" s="277" t="s">
        <v>1042</v>
      </c>
      <c r="C506" s="74" t="s">
        <v>1043</v>
      </c>
      <c r="D506" s="74" t="s">
        <v>1044</v>
      </c>
      <c r="E506" s="75" t="s">
        <v>1045</v>
      </c>
    </row>
    <row r="507" spans="1:5">
      <c r="A507" s="87">
        <v>10939</v>
      </c>
      <c r="B507" s="277" t="s">
        <v>1042</v>
      </c>
      <c r="C507" s="74" t="s">
        <v>1043</v>
      </c>
      <c r="D507" s="74" t="s">
        <v>1044</v>
      </c>
      <c r="E507" s="75" t="s">
        <v>1045</v>
      </c>
    </row>
    <row r="508" spans="1:5">
      <c r="A508" s="87">
        <v>10940</v>
      </c>
      <c r="B508" s="277" t="s">
        <v>1065</v>
      </c>
      <c r="C508" s="74" t="s">
        <v>1066</v>
      </c>
      <c r="D508" s="74" t="s">
        <v>1067</v>
      </c>
      <c r="E508" s="75" t="s">
        <v>1068</v>
      </c>
    </row>
    <row r="509" spans="1:5">
      <c r="A509" s="87">
        <v>10959</v>
      </c>
      <c r="B509" s="277" t="s">
        <v>635</v>
      </c>
      <c r="C509" s="74" t="s">
        <v>636</v>
      </c>
      <c r="D509" s="74" t="s">
        <v>637</v>
      </c>
      <c r="E509" s="75" t="s">
        <v>827</v>
      </c>
    </row>
    <row r="510" spans="1:5">
      <c r="A510" s="87">
        <v>10985</v>
      </c>
      <c r="B510" s="277" t="s">
        <v>822</v>
      </c>
      <c r="C510" s="74" t="s">
        <v>823</v>
      </c>
      <c r="D510" s="74" t="s">
        <v>824</v>
      </c>
      <c r="E510" s="75" t="s">
        <v>826</v>
      </c>
    </row>
    <row r="511" spans="1:5">
      <c r="A511" s="274">
        <v>10995</v>
      </c>
      <c r="B511" s="277" t="s">
        <v>638</v>
      </c>
      <c r="C511" s="74" t="s">
        <v>639</v>
      </c>
      <c r="D511" s="74" t="s">
        <v>640</v>
      </c>
      <c r="E511" s="75" t="s">
        <v>828</v>
      </c>
    </row>
    <row r="512" spans="1:5">
      <c r="A512" s="87">
        <v>10997</v>
      </c>
      <c r="B512" s="277" t="s">
        <v>822</v>
      </c>
      <c r="C512" s="74" t="s">
        <v>823</v>
      </c>
      <c r="D512" s="74" t="s">
        <v>824</v>
      </c>
      <c r="E512" s="75" t="s">
        <v>826</v>
      </c>
    </row>
    <row r="513" spans="1:5">
      <c r="A513" s="87">
        <v>10998</v>
      </c>
      <c r="B513" s="277" t="s">
        <v>1001</v>
      </c>
      <c r="C513" s="74" t="s">
        <v>1003</v>
      </c>
      <c r="D513" s="74" t="s">
        <v>1004</v>
      </c>
      <c r="E513" s="75" t="s">
        <v>1005</v>
      </c>
    </row>
    <row r="514" spans="1:5">
      <c r="A514" s="87">
        <v>11012</v>
      </c>
      <c r="B514" s="277" t="s">
        <v>822</v>
      </c>
      <c r="C514" s="74" t="s">
        <v>823</v>
      </c>
      <c r="D514" s="74" t="s">
        <v>824</v>
      </c>
      <c r="E514" s="75" t="s">
        <v>826</v>
      </c>
    </row>
    <row r="515" spans="1:5">
      <c r="A515" s="87">
        <v>11015</v>
      </c>
      <c r="B515" s="277" t="s">
        <v>635</v>
      </c>
      <c r="C515" s="74" t="s">
        <v>636</v>
      </c>
      <c r="D515" s="74" t="s">
        <v>637</v>
      </c>
      <c r="E515" s="75" t="s">
        <v>827</v>
      </c>
    </row>
    <row r="516" spans="1:5">
      <c r="A516" s="274">
        <v>11023</v>
      </c>
      <c r="B516" s="89" t="s">
        <v>635</v>
      </c>
      <c r="C516" s="74" t="s">
        <v>636</v>
      </c>
      <c r="D516" s="74" t="s">
        <v>637</v>
      </c>
      <c r="E516" s="75" t="s">
        <v>827</v>
      </c>
    </row>
    <row r="517" spans="1:5">
      <c r="A517" s="87">
        <v>11026</v>
      </c>
      <c r="B517" s="277" t="s">
        <v>632</v>
      </c>
      <c r="C517" s="74" t="s">
        <v>633</v>
      </c>
      <c r="D517" s="74" t="s">
        <v>634</v>
      </c>
      <c r="E517" s="75" t="s">
        <v>825</v>
      </c>
    </row>
    <row r="518" spans="1:5">
      <c r="A518" s="87">
        <v>11070</v>
      </c>
      <c r="B518" s="277" t="s">
        <v>1042</v>
      </c>
      <c r="C518" s="74" t="s">
        <v>1043</v>
      </c>
      <c r="D518" s="74" t="s">
        <v>1044</v>
      </c>
      <c r="E518" s="75" t="s">
        <v>1045</v>
      </c>
    </row>
    <row r="519" spans="1:5">
      <c r="A519" s="87">
        <v>11093</v>
      </c>
      <c r="B519" s="277" t="s">
        <v>632</v>
      </c>
      <c r="C519" s="74" t="s">
        <v>633</v>
      </c>
      <c r="D519" s="74" t="s">
        <v>634</v>
      </c>
      <c r="E519" s="75" t="s">
        <v>825</v>
      </c>
    </row>
    <row r="520" spans="1:5">
      <c r="A520" s="87">
        <v>11107</v>
      </c>
      <c r="B520" s="277" t="s">
        <v>1042</v>
      </c>
      <c r="C520" s="74" t="s">
        <v>1043</v>
      </c>
      <c r="D520" s="74" t="s">
        <v>1044</v>
      </c>
      <c r="E520" s="75" t="s">
        <v>1045</v>
      </c>
    </row>
    <row r="521" spans="1:5">
      <c r="A521" s="274">
        <v>11121</v>
      </c>
      <c r="B521" s="277" t="s">
        <v>1042</v>
      </c>
      <c r="C521" s="74" t="s">
        <v>1043</v>
      </c>
      <c r="D521" s="74" t="s">
        <v>1044</v>
      </c>
      <c r="E521" s="75" t="s">
        <v>1045</v>
      </c>
    </row>
    <row r="522" spans="1:5">
      <c r="A522" s="87">
        <v>11151</v>
      </c>
      <c r="B522" s="277" t="s">
        <v>635</v>
      </c>
      <c r="C522" s="74" t="s">
        <v>636</v>
      </c>
      <c r="D522" s="74" t="s">
        <v>637</v>
      </c>
      <c r="E522" s="75" t="s">
        <v>827</v>
      </c>
    </row>
    <row r="523" spans="1:5">
      <c r="A523" s="87">
        <v>11169</v>
      </c>
      <c r="B523" s="277" t="s">
        <v>632</v>
      </c>
      <c r="C523" s="74" t="s">
        <v>633</v>
      </c>
      <c r="D523" s="74" t="s">
        <v>634</v>
      </c>
      <c r="E523" s="75" t="s">
        <v>825</v>
      </c>
    </row>
    <row r="524" spans="1:5">
      <c r="A524" s="87">
        <v>11230</v>
      </c>
      <c r="B524" s="277" t="s">
        <v>1001</v>
      </c>
      <c r="C524" s="74" t="s">
        <v>1003</v>
      </c>
      <c r="D524" s="74" t="s">
        <v>1004</v>
      </c>
      <c r="E524" s="75" t="s">
        <v>1005</v>
      </c>
    </row>
    <row r="525" spans="1:5">
      <c r="A525" s="87">
        <v>11238</v>
      </c>
      <c r="B525" s="277" t="s">
        <v>1042</v>
      </c>
      <c r="C525" s="74" t="s">
        <v>1043</v>
      </c>
      <c r="D525" s="74" t="s">
        <v>1044</v>
      </c>
      <c r="E525" s="75" t="s">
        <v>1045</v>
      </c>
    </row>
    <row r="526" spans="1:5">
      <c r="A526" s="87">
        <v>11277</v>
      </c>
      <c r="B526" s="277" t="s">
        <v>638</v>
      </c>
      <c r="C526" s="74" t="s">
        <v>639</v>
      </c>
      <c r="D526" s="74" t="s">
        <v>640</v>
      </c>
      <c r="E526" s="75" t="s">
        <v>828</v>
      </c>
    </row>
    <row r="527" spans="1:5">
      <c r="A527" s="274">
        <v>11282</v>
      </c>
      <c r="B527" s="89" t="s">
        <v>822</v>
      </c>
      <c r="C527" s="74" t="s">
        <v>823</v>
      </c>
      <c r="D527" s="74" t="s">
        <v>824</v>
      </c>
      <c r="E527" s="75" t="s">
        <v>826</v>
      </c>
    </row>
    <row r="528" spans="1:5">
      <c r="A528" s="87">
        <v>11293</v>
      </c>
      <c r="B528" s="277" t="s">
        <v>632</v>
      </c>
      <c r="C528" s="74" t="s">
        <v>633</v>
      </c>
      <c r="D528" s="74" t="s">
        <v>634</v>
      </c>
      <c r="E528" s="75" t="s">
        <v>825</v>
      </c>
    </row>
    <row r="529" spans="1:5">
      <c r="A529" s="87">
        <v>11298</v>
      </c>
      <c r="B529" s="277" t="s">
        <v>1065</v>
      </c>
      <c r="C529" s="74" t="s">
        <v>1066</v>
      </c>
      <c r="D529" s="74" t="s">
        <v>1067</v>
      </c>
      <c r="E529" s="75" t="s">
        <v>1068</v>
      </c>
    </row>
    <row r="530" spans="1:5">
      <c r="A530" s="87">
        <v>11342</v>
      </c>
      <c r="B530" s="277" t="s">
        <v>1065</v>
      </c>
      <c r="C530" s="74" t="s">
        <v>1066</v>
      </c>
      <c r="D530" s="74" t="s">
        <v>1067</v>
      </c>
      <c r="E530" s="75" t="s">
        <v>1068</v>
      </c>
    </row>
    <row r="531" spans="1:5">
      <c r="A531" s="87">
        <v>11343</v>
      </c>
      <c r="B531" s="277" t="s">
        <v>638</v>
      </c>
      <c r="C531" s="74" t="s">
        <v>639</v>
      </c>
      <c r="D531" s="74" t="s">
        <v>640</v>
      </c>
      <c r="E531" s="75" t="s">
        <v>828</v>
      </c>
    </row>
    <row r="532" spans="1:5">
      <c r="A532" s="87">
        <v>11344</v>
      </c>
      <c r="B532" s="277" t="s">
        <v>822</v>
      </c>
      <c r="C532" s="74" t="s">
        <v>823</v>
      </c>
      <c r="D532" s="74" t="s">
        <v>824</v>
      </c>
      <c r="E532" s="75" t="s">
        <v>826</v>
      </c>
    </row>
    <row r="533" spans="1:5">
      <c r="A533" s="87">
        <v>11351</v>
      </c>
      <c r="B533" s="277" t="s">
        <v>638</v>
      </c>
      <c r="C533" s="74" t="s">
        <v>639</v>
      </c>
      <c r="D533" s="74" t="s">
        <v>640</v>
      </c>
      <c r="E533" s="75" t="s">
        <v>828</v>
      </c>
    </row>
    <row r="534" spans="1:5">
      <c r="A534" s="87">
        <v>11365</v>
      </c>
      <c r="B534" s="277" t="s">
        <v>822</v>
      </c>
      <c r="C534" s="74" t="s">
        <v>823</v>
      </c>
      <c r="D534" s="74" t="s">
        <v>824</v>
      </c>
      <c r="E534" s="75" t="s">
        <v>826</v>
      </c>
    </row>
    <row r="535" spans="1:5">
      <c r="A535" s="87">
        <v>11414</v>
      </c>
      <c r="B535" s="277" t="s">
        <v>632</v>
      </c>
      <c r="C535" s="74" t="s">
        <v>633</v>
      </c>
      <c r="D535" s="74" t="s">
        <v>634</v>
      </c>
      <c r="E535" s="75" t="s">
        <v>825</v>
      </c>
    </row>
    <row r="536" spans="1:5">
      <c r="A536" s="87">
        <v>11420</v>
      </c>
      <c r="B536" s="277" t="s">
        <v>1042</v>
      </c>
      <c r="C536" s="74" t="s">
        <v>1043</v>
      </c>
      <c r="D536" s="74" t="s">
        <v>1044</v>
      </c>
      <c r="E536" s="75" t="s">
        <v>1045</v>
      </c>
    </row>
    <row r="537" spans="1:5">
      <c r="A537" s="87">
        <v>11423</v>
      </c>
      <c r="B537" s="277" t="s">
        <v>1001</v>
      </c>
      <c r="C537" s="74" t="s">
        <v>1003</v>
      </c>
      <c r="D537" s="74" t="s">
        <v>1004</v>
      </c>
      <c r="E537" s="75" t="s">
        <v>1005</v>
      </c>
    </row>
    <row r="538" spans="1:5">
      <c r="A538" s="275">
        <v>11438</v>
      </c>
      <c r="B538" s="277" t="s">
        <v>635</v>
      </c>
      <c r="C538" s="74" t="s">
        <v>636</v>
      </c>
      <c r="D538" s="74" t="s">
        <v>637</v>
      </c>
      <c r="E538" s="75" t="s">
        <v>827</v>
      </c>
    </row>
    <row r="539" spans="1:5">
      <c r="A539" s="87">
        <v>11462</v>
      </c>
      <c r="B539" s="277" t="s">
        <v>632</v>
      </c>
      <c r="C539" s="74" t="s">
        <v>633</v>
      </c>
      <c r="D539" s="74" t="s">
        <v>634</v>
      </c>
      <c r="E539" s="75" t="s">
        <v>825</v>
      </c>
    </row>
    <row r="540" spans="1:5">
      <c r="A540" s="84">
        <v>11472</v>
      </c>
      <c r="B540" s="277" t="s">
        <v>635</v>
      </c>
      <c r="C540" s="74" t="s">
        <v>636</v>
      </c>
      <c r="D540" s="74" t="s">
        <v>637</v>
      </c>
      <c r="E540" s="75" t="s">
        <v>827</v>
      </c>
    </row>
    <row r="541" spans="1:5">
      <c r="A541" s="87">
        <v>11502</v>
      </c>
      <c r="B541" s="277" t="s">
        <v>635</v>
      </c>
      <c r="C541" s="74" t="s">
        <v>636</v>
      </c>
      <c r="D541" s="74" t="s">
        <v>637</v>
      </c>
      <c r="E541" s="75" t="s">
        <v>827</v>
      </c>
    </row>
    <row r="542" spans="1:5">
      <c r="A542" s="274">
        <v>11530</v>
      </c>
      <c r="B542" s="89" t="s">
        <v>632</v>
      </c>
      <c r="C542" s="74" t="s">
        <v>633</v>
      </c>
      <c r="D542" s="74" t="s">
        <v>634</v>
      </c>
      <c r="E542" s="75" t="s">
        <v>825</v>
      </c>
    </row>
    <row r="543" spans="1:5">
      <c r="A543" s="87">
        <v>11567</v>
      </c>
      <c r="B543" s="277" t="s">
        <v>1042</v>
      </c>
      <c r="C543" s="74" t="s">
        <v>1043</v>
      </c>
      <c r="D543" s="74" t="s">
        <v>1044</v>
      </c>
      <c r="E543" s="75" t="s">
        <v>1045</v>
      </c>
    </row>
    <row r="544" spans="1:5">
      <c r="A544" s="87">
        <v>11570</v>
      </c>
      <c r="B544" s="277" t="s">
        <v>1042</v>
      </c>
      <c r="C544" s="74" t="s">
        <v>1043</v>
      </c>
      <c r="D544" s="74" t="s">
        <v>1044</v>
      </c>
      <c r="E544" s="75" t="s">
        <v>1045</v>
      </c>
    </row>
    <row r="545" spans="1:5">
      <c r="A545" s="275">
        <v>11596</v>
      </c>
      <c r="B545" s="277" t="s">
        <v>1065</v>
      </c>
      <c r="C545" s="74" t="s">
        <v>1066</v>
      </c>
      <c r="D545" s="74" t="s">
        <v>1067</v>
      </c>
      <c r="E545" s="75" t="s">
        <v>1068</v>
      </c>
    </row>
    <row r="546" spans="1:5">
      <c r="A546" s="275">
        <v>11599</v>
      </c>
      <c r="B546" s="277" t="s">
        <v>1065</v>
      </c>
      <c r="C546" s="74" t="s">
        <v>1066</v>
      </c>
      <c r="D546" s="74" t="s">
        <v>1067</v>
      </c>
      <c r="E546" s="75" t="s">
        <v>1068</v>
      </c>
    </row>
    <row r="547" spans="1:5">
      <c r="A547" s="87">
        <v>11613</v>
      </c>
      <c r="B547" s="277" t="s">
        <v>822</v>
      </c>
      <c r="C547" s="74" t="s">
        <v>823</v>
      </c>
      <c r="D547" s="74" t="s">
        <v>824</v>
      </c>
      <c r="E547" s="75" t="s">
        <v>826</v>
      </c>
    </row>
    <row r="548" spans="1:5">
      <c r="A548" s="87">
        <v>11620</v>
      </c>
      <c r="B548" s="277" t="s">
        <v>1042</v>
      </c>
      <c r="C548" s="74" t="s">
        <v>1043</v>
      </c>
      <c r="D548" s="74" t="s">
        <v>1044</v>
      </c>
      <c r="E548" s="75" t="s">
        <v>1045</v>
      </c>
    </row>
    <row r="549" spans="1:5">
      <c r="A549" s="87">
        <v>11638</v>
      </c>
      <c r="B549" s="277" t="s">
        <v>1001</v>
      </c>
      <c r="C549" s="74" t="s">
        <v>1003</v>
      </c>
      <c r="D549" s="74" t="s">
        <v>1004</v>
      </c>
      <c r="E549" s="75" t="s">
        <v>1005</v>
      </c>
    </row>
    <row r="550" spans="1:5">
      <c r="A550" s="275">
        <v>11662</v>
      </c>
      <c r="B550" s="277" t="s">
        <v>635</v>
      </c>
      <c r="C550" s="74" t="s">
        <v>636</v>
      </c>
      <c r="D550" s="74" t="s">
        <v>637</v>
      </c>
      <c r="E550" s="75" t="s">
        <v>827</v>
      </c>
    </row>
    <row r="551" spans="1:5">
      <c r="A551" s="87">
        <v>11663</v>
      </c>
      <c r="B551" s="277" t="s">
        <v>1042</v>
      </c>
      <c r="C551" s="74" t="s">
        <v>1043</v>
      </c>
      <c r="D551" s="74" t="s">
        <v>1044</v>
      </c>
      <c r="E551" s="75" t="s">
        <v>1045</v>
      </c>
    </row>
    <row r="552" spans="1:5">
      <c r="A552" s="275">
        <v>11695</v>
      </c>
      <c r="B552" s="277" t="s">
        <v>635</v>
      </c>
      <c r="C552" s="74" t="s">
        <v>636</v>
      </c>
      <c r="D552" s="74" t="s">
        <v>637</v>
      </c>
      <c r="E552" s="75" t="s">
        <v>827</v>
      </c>
    </row>
    <row r="553" spans="1:5">
      <c r="A553" s="274">
        <v>11716</v>
      </c>
      <c r="B553" s="89" t="s">
        <v>632</v>
      </c>
      <c r="C553" s="74" t="s">
        <v>633</v>
      </c>
      <c r="D553" s="74" t="s">
        <v>634</v>
      </c>
      <c r="E553" s="75" t="s">
        <v>825</v>
      </c>
    </row>
    <row r="554" spans="1:5">
      <c r="A554" s="87">
        <v>11721</v>
      </c>
      <c r="B554" s="277" t="s">
        <v>632</v>
      </c>
      <c r="C554" s="74" t="s">
        <v>633</v>
      </c>
      <c r="D554" s="74" t="s">
        <v>634</v>
      </c>
      <c r="E554" s="75" t="s">
        <v>825</v>
      </c>
    </row>
    <row r="555" spans="1:5">
      <c r="A555" s="275">
        <v>11759</v>
      </c>
      <c r="B555" s="277" t="s">
        <v>635</v>
      </c>
      <c r="C555" s="74" t="s">
        <v>636</v>
      </c>
      <c r="D555" s="74" t="s">
        <v>637</v>
      </c>
      <c r="E555" s="75" t="s">
        <v>827</v>
      </c>
    </row>
    <row r="556" spans="1:5">
      <c r="A556" s="274">
        <v>11771</v>
      </c>
      <c r="B556" s="89" t="s">
        <v>632</v>
      </c>
      <c r="C556" s="74" t="s">
        <v>633</v>
      </c>
      <c r="D556" s="74" t="s">
        <v>634</v>
      </c>
      <c r="E556" s="75" t="s">
        <v>825</v>
      </c>
    </row>
    <row r="557" spans="1:5">
      <c r="A557" s="87">
        <v>11807</v>
      </c>
      <c r="B557" s="277" t="s">
        <v>822</v>
      </c>
      <c r="C557" s="74" t="s">
        <v>823</v>
      </c>
      <c r="D557" s="74" t="s">
        <v>824</v>
      </c>
      <c r="E557" s="75" t="s">
        <v>826</v>
      </c>
    </row>
    <row r="558" spans="1:5">
      <c r="A558" s="87">
        <v>11840</v>
      </c>
      <c r="B558" s="277" t="s">
        <v>1042</v>
      </c>
      <c r="C558" s="74" t="s">
        <v>1043</v>
      </c>
      <c r="D558" s="74" t="s">
        <v>1044</v>
      </c>
      <c r="E558" s="75" t="s">
        <v>1045</v>
      </c>
    </row>
    <row r="559" spans="1:5">
      <c r="A559" s="274">
        <v>11862</v>
      </c>
      <c r="B559" s="277" t="s">
        <v>632</v>
      </c>
      <c r="C559" s="74" t="s">
        <v>633</v>
      </c>
      <c r="D559" s="74" t="s">
        <v>634</v>
      </c>
      <c r="E559" s="75" t="s">
        <v>825</v>
      </c>
    </row>
    <row r="560" spans="1:5">
      <c r="A560" s="87">
        <v>11864</v>
      </c>
      <c r="B560" s="277" t="s">
        <v>822</v>
      </c>
      <c r="C560" s="74" t="s">
        <v>823</v>
      </c>
      <c r="D560" s="74" t="s">
        <v>824</v>
      </c>
      <c r="E560" s="75" t="s">
        <v>826</v>
      </c>
    </row>
    <row r="561" spans="1:5">
      <c r="A561" s="87">
        <v>11865</v>
      </c>
      <c r="B561" s="277" t="s">
        <v>632</v>
      </c>
      <c r="C561" s="74" t="s">
        <v>633</v>
      </c>
      <c r="D561" s="74" t="s">
        <v>634</v>
      </c>
      <c r="E561" s="75" t="s">
        <v>825</v>
      </c>
    </row>
    <row r="562" spans="1:5">
      <c r="A562" s="275">
        <v>11866</v>
      </c>
      <c r="B562" s="277" t="s">
        <v>635</v>
      </c>
      <c r="C562" s="74" t="s">
        <v>636</v>
      </c>
      <c r="D562" s="74" t="s">
        <v>637</v>
      </c>
      <c r="E562" s="75" t="s">
        <v>827</v>
      </c>
    </row>
    <row r="563" spans="1:5">
      <c r="A563" s="275">
        <v>11869</v>
      </c>
      <c r="B563" s="277" t="s">
        <v>635</v>
      </c>
      <c r="C563" s="74" t="s">
        <v>636</v>
      </c>
      <c r="D563" s="74" t="s">
        <v>637</v>
      </c>
      <c r="E563" s="75" t="s">
        <v>827</v>
      </c>
    </row>
    <row r="564" spans="1:5">
      <c r="A564" s="87">
        <v>11897</v>
      </c>
      <c r="B564" s="277" t="s">
        <v>1042</v>
      </c>
      <c r="C564" s="74" t="s">
        <v>1043</v>
      </c>
      <c r="D564" s="74" t="s">
        <v>1044</v>
      </c>
      <c r="E564" s="75" t="s">
        <v>1045</v>
      </c>
    </row>
    <row r="565" spans="1:5">
      <c r="A565" s="87">
        <v>11905</v>
      </c>
      <c r="B565" s="277" t="s">
        <v>1001</v>
      </c>
      <c r="C565" s="74" t="s">
        <v>1003</v>
      </c>
      <c r="D565" s="74" t="s">
        <v>1004</v>
      </c>
      <c r="E565" s="75" t="s">
        <v>1005</v>
      </c>
    </row>
    <row r="566" spans="1:5">
      <c r="A566" s="87">
        <v>11926</v>
      </c>
      <c r="B566" s="277" t="s">
        <v>822</v>
      </c>
      <c r="C566" s="74" t="s">
        <v>823</v>
      </c>
      <c r="D566" s="74" t="s">
        <v>824</v>
      </c>
      <c r="E566" s="75" t="s">
        <v>826</v>
      </c>
    </row>
    <row r="567" spans="1:5">
      <c r="A567" s="87">
        <v>11933</v>
      </c>
      <c r="B567" s="277" t="s">
        <v>632</v>
      </c>
      <c r="C567" s="74" t="s">
        <v>633</v>
      </c>
      <c r="D567" s="74" t="s">
        <v>634</v>
      </c>
      <c r="E567" s="75" t="s">
        <v>825</v>
      </c>
    </row>
    <row r="568" spans="1:5">
      <c r="A568" s="87">
        <v>11937</v>
      </c>
      <c r="B568" s="277" t="s">
        <v>632</v>
      </c>
      <c r="C568" s="74" t="s">
        <v>633</v>
      </c>
      <c r="D568" s="74" t="s">
        <v>634</v>
      </c>
      <c r="E568" s="75" t="s">
        <v>825</v>
      </c>
    </row>
    <row r="569" spans="1:5">
      <c r="A569" s="87">
        <v>11978</v>
      </c>
      <c r="B569" s="277" t="s">
        <v>632</v>
      </c>
      <c r="C569" s="74" t="s">
        <v>633</v>
      </c>
      <c r="D569" s="74" t="s">
        <v>634</v>
      </c>
      <c r="E569" s="75" t="s">
        <v>825</v>
      </c>
    </row>
    <row r="570" spans="1:5">
      <c r="A570" s="87">
        <v>11980</v>
      </c>
      <c r="B570" s="277" t="s">
        <v>1042</v>
      </c>
      <c r="C570" s="74" t="s">
        <v>1043</v>
      </c>
      <c r="D570" s="74" t="s">
        <v>1044</v>
      </c>
      <c r="E570" s="75" t="s">
        <v>1045</v>
      </c>
    </row>
    <row r="571" spans="1:5">
      <c r="A571" s="87">
        <v>12008</v>
      </c>
      <c r="B571" s="277" t="s">
        <v>822</v>
      </c>
      <c r="C571" s="74" t="s">
        <v>823</v>
      </c>
      <c r="D571" s="74" t="s">
        <v>824</v>
      </c>
      <c r="E571" s="75" t="s">
        <v>826</v>
      </c>
    </row>
    <row r="572" spans="1:5">
      <c r="A572" s="87">
        <v>12021</v>
      </c>
      <c r="B572" s="277" t="s">
        <v>632</v>
      </c>
      <c r="C572" s="74" t="s">
        <v>633</v>
      </c>
      <c r="D572" s="74" t="s">
        <v>634</v>
      </c>
      <c r="E572" s="75" t="s">
        <v>825</v>
      </c>
    </row>
    <row r="573" spans="1:5">
      <c r="A573" s="87">
        <v>12034</v>
      </c>
      <c r="B573" s="277" t="s">
        <v>1042</v>
      </c>
      <c r="C573" s="74" t="s">
        <v>1043</v>
      </c>
      <c r="D573" s="74" t="s">
        <v>1044</v>
      </c>
      <c r="E573" s="75" t="s">
        <v>1045</v>
      </c>
    </row>
    <row r="574" spans="1:5">
      <c r="A574" s="87">
        <v>12040</v>
      </c>
      <c r="B574" s="277" t="s">
        <v>1042</v>
      </c>
      <c r="C574" s="74" t="s">
        <v>1043</v>
      </c>
      <c r="D574" s="74" t="s">
        <v>1044</v>
      </c>
      <c r="E574" s="75" t="s">
        <v>1045</v>
      </c>
    </row>
    <row r="575" spans="1:5">
      <c r="A575" s="87">
        <v>12066</v>
      </c>
      <c r="B575" s="277" t="s">
        <v>822</v>
      </c>
      <c r="C575" s="74" t="s">
        <v>823</v>
      </c>
      <c r="D575" s="74" t="s">
        <v>824</v>
      </c>
      <c r="E575" s="75" t="s">
        <v>826</v>
      </c>
    </row>
    <row r="576" spans="1:5">
      <c r="A576" s="274">
        <v>12081</v>
      </c>
      <c r="B576" s="277" t="s">
        <v>1042</v>
      </c>
      <c r="C576" s="74" t="s">
        <v>1043</v>
      </c>
      <c r="D576" s="74" t="s">
        <v>1044</v>
      </c>
      <c r="E576" s="75" t="s">
        <v>1045</v>
      </c>
    </row>
    <row r="577" spans="1:5">
      <c r="A577" s="87">
        <v>12084</v>
      </c>
      <c r="B577" s="277" t="s">
        <v>822</v>
      </c>
      <c r="C577" s="74" t="s">
        <v>823</v>
      </c>
      <c r="D577" s="74" t="s">
        <v>824</v>
      </c>
      <c r="E577" s="75" t="s">
        <v>826</v>
      </c>
    </row>
    <row r="578" spans="1:5">
      <c r="A578" s="87">
        <v>12091</v>
      </c>
      <c r="B578" s="277" t="s">
        <v>1042</v>
      </c>
      <c r="C578" s="74" t="s">
        <v>1043</v>
      </c>
      <c r="D578" s="74" t="s">
        <v>1044</v>
      </c>
      <c r="E578" s="75" t="s">
        <v>1045</v>
      </c>
    </row>
    <row r="579" spans="1:5">
      <c r="A579" s="87">
        <v>12122</v>
      </c>
      <c r="B579" s="277" t="s">
        <v>632</v>
      </c>
      <c r="C579" s="74" t="s">
        <v>633</v>
      </c>
      <c r="D579" s="74" t="s">
        <v>634</v>
      </c>
      <c r="E579" s="75" t="s">
        <v>825</v>
      </c>
    </row>
    <row r="580" spans="1:5">
      <c r="A580" s="87">
        <v>12135</v>
      </c>
      <c r="B580" s="277" t="s">
        <v>1042</v>
      </c>
      <c r="C580" s="74" t="s">
        <v>1043</v>
      </c>
      <c r="D580" s="74" t="s">
        <v>1044</v>
      </c>
      <c r="E580" s="75" t="s">
        <v>1045</v>
      </c>
    </row>
    <row r="581" spans="1:5">
      <c r="A581" s="274">
        <v>12148</v>
      </c>
      <c r="B581" s="277" t="s">
        <v>635</v>
      </c>
      <c r="C581" s="74" t="s">
        <v>636</v>
      </c>
      <c r="D581" s="74" t="s">
        <v>637</v>
      </c>
      <c r="E581" s="75" t="s">
        <v>827</v>
      </c>
    </row>
    <row r="582" spans="1:5">
      <c r="A582" s="274">
        <v>12153</v>
      </c>
      <c r="B582" s="89" t="s">
        <v>632</v>
      </c>
      <c r="C582" s="74" t="s">
        <v>633</v>
      </c>
      <c r="D582" s="74" t="s">
        <v>634</v>
      </c>
      <c r="E582" s="75" t="s">
        <v>825</v>
      </c>
    </row>
    <row r="583" spans="1:5">
      <c r="A583" s="87">
        <v>12160</v>
      </c>
      <c r="B583" s="277" t="s">
        <v>822</v>
      </c>
      <c r="C583" s="74" t="s">
        <v>823</v>
      </c>
      <c r="D583" s="74" t="s">
        <v>824</v>
      </c>
      <c r="E583" s="75" t="s">
        <v>826</v>
      </c>
    </row>
    <row r="584" spans="1:5">
      <c r="A584" s="87">
        <v>12208</v>
      </c>
      <c r="B584" s="277" t="s">
        <v>1065</v>
      </c>
      <c r="C584" s="74" t="s">
        <v>1066</v>
      </c>
      <c r="D584" s="74" t="s">
        <v>1067</v>
      </c>
      <c r="E584" s="75" t="s">
        <v>1068</v>
      </c>
    </row>
    <row r="585" spans="1:5">
      <c r="A585" s="87">
        <v>12234</v>
      </c>
      <c r="B585" s="277" t="s">
        <v>1042</v>
      </c>
      <c r="C585" s="74" t="s">
        <v>1043</v>
      </c>
      <c r="D585" s="74" t="s">
        <v>1044</v>
      </c>
      <c r="E585" s="75" t="s">
        <v>1045</v>
      </c>
    </row>
    <row r="586" spans="1:5">
      <c r="A586" s="87">
        <v>12241</v>
      </c>
      <c r="B586" s="277" t="s">
        <v>632</v>
      </c>
      <c r="C586" s="74" t="s">
        <v>633</v>
      </c>
      <c r="D586" s="74" t="s">
        <v>634</v>
      </c>
      <c r="E586" s="75" t="s">
        <v>825</v>
      </c>
    </row>
    <row r="587" spans="1:5">
      <c r="A587" s="87">
        <v>12253</v>
      </c>
      <c r="B587" s="277" t="s">
        <v>632</v>
      </c>
      <c r="C587" s="74" t="s">
        <v>633</v>
      </c>
      <c r="D587" s="74" t="s">
        <v>634</v>
      </c>
      <c r="E587" s="75" t="s">
        <v>825</v>
      </c>
    </row>
    <row r="588" spans="1:5">
      <c r="A588" s="87">
        <v>12292</v>
      </c>
      <c r="B588" s="277" t="s">
        <v>822</v>
      </c>
      <c r="C588" s="74" t="s">
        <v>823</v>
      </c>
      <c r="D588" s="74" t="s">
        <v>824</v>
      </c>
      <c r="E588" s="75" t="s">
        <v>826</v>
      </c>
    </row>
    <row r="589" spans="1:5">
      <c r="A589" s="87">
        <v>12300</v>
      </c>
      <c r="B589" s="277" t="s">
        <v>632</v>
      </c>
      <c r="C589" s="74" t="s">
        <v>633</v>
      </c>
      <c r="D589" s="74" t="s">
        <v>634</v>
      </c>
      <c r="E589" s="75" t="s">
        <v>825</v>
      </c>
    </row>
    <row r="590" spans="1:5">
      <c r="A590" s="87">
        <v>12320</v>
      </c>
      <c r="B590" s="277" t="s">
        <v>635</v>
      </c>
      <c r="C590" s="74" t="s">
        <v>636</v>
      </c>
      <c r="D590" s="74" t="s">
        <v>637</v>
      </c>
      <c r="E590" s="75" t="s">
        <v>827</v>
      </c>
    </row>
    <row r="591" spans="1:5">
      <c r="A591" s="87">
        <v>12327</v>
      </c>
      <c r="B591" s="277" t="s">
        <v>635</v>
      </c>
      <c r="C591" s="74" t="s">
        <v>636</v>
      </c>
      <c r="D591" s="74" t="s">
        <v>637</v>
      </c>
      <c r="E591" s="75" t="s">
        <v>827</v>
      </c>
    </row>
    <row r="592" spans="1:5">
      <c r="A592" s="87">
        <v>12337</v>
      </c>
      <c r="B592" s="277" t="s">
        <v>1042</v>
      </c>
      <c r="C592" s="74" t="s">
        <v>1043</v>
      </c>
      <c r="D592" s="74" t="s">
        <v>1044</v>
      </c>
      <c r="E592" s="75" t="s">
        <v>1045</v>
      </c>
    </row>
    <row r="593" spans="1:5">
      <c r="A593" s="87">
        <v>12360</v>
      </c>
      <c r="B593" s="277" t="s">
        <v>822</v>
      </c>
      <c r="C593" s="74" t="s">
        <v>823</v>
      </c>
      <c r="D593" s="74" t="s">
        <v>824</v>
      </c>
      <c r="E593" s="75" t="s">
        <v>826</v>
      </c>
    </row>
    <row r="594" spans="1:5">
      <c r="A594" s="275">
        <v>12367</v>
      </c>
      <c r="B594" s="277" t="s">
        <v>1065</v>
      </c>
      <c r="C594" s="74" t="s">
        <v>1066</v>
      </c>
      <c r="D594" s="74" t="s">
        <v>1067</v>
      </c>
      <c r="E594" s="75" t="s">
        <v>1068</v>
      </c>
    </row>
    <row r="595" spans="1:5">
      <c r="A595" s="275">
        <v>12385</v>
      </c>
      <c r="B595" s="277" t="s">
        <v>638</v>
      </c>
      <c r="C595" s="74" t="s">
        <v>639</v>
      </c>
      <c r="D595" s="74" t="s">
        <v>640</v>
      </c>
      <c r="E595" s="75" t="s">
        <v>828</v>
      </c>
    </row>
    <row r="596" spans="1:5">
      <c r="A596" s="87">
        <v>12409</v>
      </c>
      <c r="B596" s="277" t="s">
        <v>1002</v>
      </c>
      <c r="C596" s="74" t="s">
        <v>1006</v>
      </c>
      <c r="D596" s="74" t="s">
        <v>1007</v>
      </c>
      <c r="E596" s="75" t="s">
        <v>1008</v>
      </c>
    </row>
    <row r="597" spans="1:5">
      <c r="A597" s="274">
        <v>12445</v>
      </c>
      <c r="B597" s="89" t="s">
        <v>1001</v>
      </c>
      <c r="C597" s="74" t="s">
        <v>1003</v>
      </c>
      <c r="D597" s="74" t="s">
        <v>1004</v>
      </c>
      <c r="E597" s="75" t="s">
        <v>1005</v>
      </c>
    </row>
    <row r="598" spans="1:5">
      <c r="A598" s="275">
        <v>12474</v>
      </c>
      <c r="B598" s="277" t="s">
        <v>635</v>
      </c>
      <c r="C598" s="74" t="s">
        <v>636</v>
      </c>
      <c r="D598" s="74" t="s">
        <v>637</v>
      </c>
      <c r="E598" s="75" t="s">
        <v>827</v>
      </c>
    </row>
    <row r="599" spans="1:5">
      <c r="A599" s="275">
        <v>12475</v>
      </c>
      <c r="B599" s="277" t="s">
        <v>635</v>
      </c>
      <c r="C599" s="74" t="s">
        <v>636</v>
      </c>
      <c r="D599" s="74" t="s">
        <v>637</v>
      </c>
      <c r="E599" s="75" t="s">
        <v>827</v>
      </c>
    </row>
    <row r="600" spans="1:5">
      <c r="A600" s="87">
        <v>12480</v>
      </c>
      <c r="B600" s="277" t="s">
        <v>632</v>
      </c>
      <c r="C600" s="74" t="s">
        <v>633</v>
      </c>
      <c r="D600" s="74" t="s">
        <v>634</v>
      </c>
      <c r="E600" s="75" t="s">
        <v>825</v>
      </c>
    </row>
    <row r="601" spans="1:5">
      <c r="A601" s="87">
        <v>12484</v>
      </c>
      <c r="B601" s="277" t="s">
        <v>1001</v>
      </c>
      <c r="C601" s="74" t="s">
        <v>1003</v>
      </c>
      <c r="D601" s="74" t="s">
        <v>1004</v>
      </c>
      <c r="E601" s="75" t="s">
        <v>1005</v>
      </c>
    </row>
    <row r="602" spans="1:5">
      <c r="A602" s="87">
        <v>12493</v>
      </c>
      <c r="B602" s="277" t="s">
        <v>822</v>
      </c>
      <c r="C602" s="74" t="s">
        <v>823</v>
      </c>
      <c r="D602" s="74" t="s">
        <v>824</v>
      </c>
      <c r="E602" s="75" t="s">
        <v>826</v>
      </c>
    </row>
    <row r="603" spans="1:5">
      <c r="A603" s="87">
        <v>12500</v>
      </c>
      <c r="B603" s="277" t="s">
        <v>635</v>
      </c>
      <c r="C603" s="74" t="s">
        <v>636</v>
      </c>
      <c r="D603" s="74" t="s">
        <v>637</v>
      </c>
      <c r="E603" s="75" t="s">
        <v>827</v>
      </c>
    </row>
    <row r="604" spans="1:5">
      <c r="A604" s="275">
        <v>12521</v>
      </c>
      <c r="B604" s="277" t="s">
        <v>1065</v>
      </c>
      <c r="C604" s="74" t="s">
        <v>1066</v>
      </c>
      <c r="D604" s="74" t="s">
        <v>1067</v>
      </c>
      <c r="E604" s="75" t="s">
        <v>1068</v>
      </c>
    </row>
    <row r="605" spans="1:5">
      <c r="A605" s="84">
        <v>12522</v>
      </c>
      <c r="B605" s="277" t="s">
        <v>635</v>
      </c>
      <c r="C605" s="74" t="s">
        <v>636</v>
      </c>
      <c r="D605" s="74" t="s">
        <v>637</v>
      </c>
      <c r="E605" s="75" t="s">
        <v>827</v>
      </c>
    </row>
    <row r="606" spans="1:5">
      <c r="A606" s="274">
        <v>12534</v>
      </c>
      <c r="B606" s="89" t="s">
        <v>822</v>
      </c>
      <c r="C606" s="74" t="s">
        <v>823</v>
      </c>
      <c r="D606" s="74" t="s">
        <v>824</v>
      </c>
      <c r="E606" s="75" t="s">
        <v>826</v>
      </c>
    </row>
    <row r="607" spans="1:5">
      <c r="A607" s="87">
        <v>12535</v>
      </c>
      <c r="B607" s="277" t="s">
        <v>1042</v>
      </c>
      <c r="C607" s="74" t="s">
        <v>1043</v>
      </c>
      <c r="D607" s="74" t="s">
        <v>1044</v>
      </c>
      <c r="E607" s="75" t="s">
        <v>1045</v>
      </c>
    </row>
    <row r="608" spans="1:5">
      <c r="A608" s="274">
        <v>12552</v>
      </c>
      <c r="B608" s="277" t="s">
        <v>1042</v>
      </c>
      <c r="C608" s="74" t="s">
        <v>1043</v>
      </c>
      <c r="D608" s="74" t="s">
        <v>1044</v>
      </c>
      <c r="E608" s="75" t="s">
        <v>1045</v>
      </c>
    </row>
    <row r="609" spans="1:5">
      <c r="A609" s="87">
        <v>12553</v>
      </c>
      <c r="B609" s="277" t="s">
        <v>1001</v>
      </c>
      <c r="C609" s="74" t="s">
        <v>1003</v>
      </c>
      <c r="D609" s="74" t="s">
        <v>1004</v>
      </c>
      <c r="E609" s="75" t="s">
        <v>1005</v>
      </c>
    </row>
    <row r="610" spans="1:5">
      <c r="A610" s="275">
        <v>12558</v>
      </c>
      <c r="B610" s="277" t="s">
        <v>638</v>
      </c>
      <c r="C610" s="74" t="s">
        <v>639</v>
      </c>
      <c r="D610" s="74" t="s">
        <v>640</v>
      </c>
      <c r="E610" s="75" t="s">
        <v>828</v>
      </c>
    </row>
    <row r="611" spans="1:5">
      <c r="A611" s="87">
        <v>12563</v>
      </c>
      <c r="B611" s="277" t="s">
        <v>822</v>
      </c>
      <c r="C611" s="74" t="s">
        <v>823</v>
      </c>
      <c r="D611" s="74" t="s">
        <v>824</v>
      </c>
      <c r="E611" s="75" t="s">
        <v>826</v>
      </c>
    </row>
    <row r="612" spans="1:5">
      <c r="A612" s="84">
        <v>12564</v>
      </c>
      <c r="B612" s="277" t="s">
        <v>638</v>
      </c>
      <c r="C612" s="74" t="s">
        <v>639</v>
      </c>
      <c r="D612" s="74" t="s">
        <v>640</v>
      </c>
      <c r="E612" s="75" t="s">
        <v>828</v>
      </c>
    </row>
    <row r="613" spans="1:5">
      <c r="A613" s="276">
        <v>12574</v>
      </c>
      <c r="B613" s="278" t="s">
        <v>1002</v>
      </c>
      <c r="C613" s="74" t="s">
        <v>1006</v>
      </c>
      <c r="D613" s="74" t="s">
        <v>1007</v>
      </c>
      <c r="E613" s="75" t="s">
        <v>1008</v>
      </c>
    </row>
    <row r="614" spans="1:5">
      <c r="A614" s="274">
        <v>12575</v>
      </c>
      <c r="B614" s="89" t="s">
        <v>1001</v>
      </c>
      <c r="C614" s="74" t="s">
        <v>1003</v>
      </c>
      <c r="D614" s="74" t="s">
        <v>1004</v>
      </c>
      <c r="E614" s="75" t="s">
        <v>1005</v>
      </c>
    </row>
    <row r="615" spans="1:5">
      <c r="A615" s="274">
        <v>12601</v>
      </c>
      <c r="B615" s="277" t="s">
        <v>1002</v>
      </c>
      <c r="C615" s="74" t="s">
        <v>1006</v>
      </c>
      <c r="D615" s="74" t="s">
        <v>1007</v>
      </c>
      <c r="E615" s="75" t="s">
        <v>1008</v>
      </c>
    </row>
    <row r="616" spans="1:5">
      <c r="A616" s="274">
        <v>12602</v>
      </c>
      <c r="B616" s="89" t="s">
        <v>635</v>
      </c>
      <c r="C616" s="74" t="s">
        <v>636</v>
      </c>
      <c r="D616" s="74" t="s">
        <v>637</v>
      </c>
      <c r="E616" s="75" t="s">
        <v>827</v>
      </c>
    </row>
    <row r="617" spans="1:5">
      <c r="A617" s="102">
        <v>12632</v>
      </c>
      <c r="B617" s="278" t="s">
        <v>638</v>
      </c>
      <c r="C617" s="74" t="s">
        <v>639</v>
      </c>
      <c r="D617" s="74" t="s">
        <v>640</v>
      </c>
      <c r="E617" s="75" t="s">
        <v>828</v>
      </c>
    </row>
    <row r="618" spans="1:5">
      <c r="A618" s="274">
        <v>12642</v>
      </c>
      <c r="B618" s="89" t="s">
        <v>635</v>
      </c>
      <c r="C618" s="74" t="s">
        <v>636</v>
      </c>
      <c r="D618" s="74" t="s">
        <v>637</v>
      </c>
      <c r="E618" s="75" t="s">
        <v>827</v>
      </c>
    </row>
    <row r="619" spans="1:5">
      <c r="A619" s="87">
        <v>12657</v>
      </c>
      <c r="B619" s="277" t="s">
        <v>822</v>
      </c>
      <c r="C619" s="74" t="s">
        <v>823</v>
      </c>
      <c r="D619" s="74" t="s">
        <v>824</v>
      </c>
      <c r="E619" s="75" t="s">
        <v>826</v>
      </c>
    </row>
    <row r="620" spans="1:5">
      <c r="A620" s="87">
        <v>12661</v>
      </c>
      <c r="B620" s="277" t="s">
        <v>1042</v>
      </c>
      <c r="C620" s="74" t="s">
        <v>1043</v>
      </c>
      <c r="D620" s="74" t="s">
        <v>1044</v>
      </c>
      <c r="E620" s="75" t="s">
        <v>1045</v>
      </c>
    </row>
    <row r="621" spans="1:5">
      <c r="A621" s="102">
        <v>12672</v>
      </c>
      <c r="B621" s="278" t="s">
        <v>635</v>
      </c>
      <c r="C621" s="74" t="s">
        <v>636</v>
      </c>
      <c r="D621" s="74" t="s">
        <v>637</v>
      </c>
      <c r="E621" s="75" t="s">
        <v>827</v>
      </c>
    </row>
    <row r="622" spans="1:5">
      <c r="A622" s="87">
        <v>12697</v>
      </c>
      <c r="B622" s="277" t="s">
        <v>822</v>
      </c>
      <c r="C622" s="74" t="s">
        <v>823</v>
      </c>
      <c r="D622" s="74" t="s">
        <v>824</v>
      </c>
      <c r="E622" s="75" t="s">
        <v>826</v>
      </c>
    </row>
    <row r="623" spans="1:5">
      <c r="A623" s="87">
        <v>12711</v>
      </c>
      <c r="B623" s="277" t="s">
        <v>632</v>
      </c>
      <c r="C623" s="74" t="s">
        <v>633</v>
      </c>
      <c r="D623" s="74" t="s">
        <v>634</v>
      </c>
      <c r="E623" s="75" t="s">
        <v>825</v>
      </c>
    </row>
    <row r="624" spans="1:5">
      <c r="A624" s="102">
        <v>12748</v>
      </c>
      <c r="B624" s="278" t="s">
        <v>635</v>
      </c>
      <c r="C624" s="74" t="s">
        <v>636</v>
      </c>
      <c r="D624" s="74" t="s">
        <v>637</v>
      </c>
      <c r="E624" s="75" t="s">
        <v>827</v>
      </c>
    </row>
    <row r="625" spans="1:5">
      <c r="A625" s="274">
        <v>12776</v>
      </c>
      <c r="B625" s="277" t="s">
        <v>1042</v>
      </c>
      <c r="C625" s="74" t="s">
        <v>1043</v>
      </c>
      <c r="D625" s="74" t="s">
        <v>1044</v>
      </c>
      <c r="E625" s="75" t="s">
        <v>1045</v>
      </c>
    </row>
    <row r="626" spans="1:5">
      <c r="A626" s="87">
        <v>12789</v>
      </c>
      <c r="B626" s="277" t="s">
        <v>1042</v>
      </c>
      <c r="C626" s="74" t="s">
        <v>1043</v>
      </c>
      <c r="D626" s="74" t="s">
        <v>1044</v>
      </c>
      <c r="E626" s="75" t="s">
        <v>1045</v>
      </c>
    </row>
    <row r="627" spans="1:5">
      <c r="A627" s="87">
        <v>12798</v>
      </c>
      <c r="B627" s="277" t="s">
        <v>822</v>
      </c>
      <c r="C627" s="74" t="s">
        <v>823</v>
      </c>
      <c r="D627" s="74" t="s">
        <v>824</v>
      </c>
      <c r="E627" s="75" t="s">
        <v>826</v>
      </c>
    </row>
    <row r="628" spans="1:5">
      <c r="A628" s="274">
        <v>12803</v>
      </c>
      <c r="B628" s="277" t="s">
        <v>822</v>
      </c>
      <c r="C628" s="74" t="s">
        <v>823</v>
      </c>
      <c r="D628" s="74" t="s">
        <v>824</v>
      </c>
      <c r="E628" s="75" t="s">
        <v>826</v>
      </c>
    </row>
    <row r="629" spans="1:5">
      <c r="A629" s="276">
        <v>12809</v>
      </c>
      <c r="B629" s="278" t="s">
        <v>635</v>
      </c>
      <c r="C629" s="74" t="s">
        <v>636</v>
      </c>
      <c r="D629" s="74" t="s">
        <v>637</v>
      </c>
      <c r="E629" s="75" t="s">
        <v>827</v>
      </c>
    </row>
    <row r="630" spans="1:5">
      <c r="A630" s="276">
        <v>12818</v>
      </c>
      <c r="B630" s="278" t="s">
        <v>635</v>
      </c>
      <c r="C630" s="74" t="s">
        <v>636</v>
      </c>
      <c r="D630" s="74" t="s">
        <v>637</v>
      </c>
      <c r="E630" s="75" t="s">
        <v>827</v>
      </c>
    </row>
    <row r="631" spans="1:5">
      <c r="A631" s="87">
        <v>12828</v>
      </c>
      <c r="B631" s="277" t="s">
        <v>822</v>
      </c>
      <c r="C631" s="74" t="s">
        <v>823</v>
      </c>
      <c r="D631" s="74" t="s">
        <v>824</v>
      </c>
      <c r="E631" s="75" t="s">
        <v>826</v>
      </c>
    </row>
    <row r="632" spans="1:5">
      <c r="A632" s="274">
        <v>12837</v>
      </c>
      <c r="B632" s="89" t="s">
        <v>635</v>
      </c>
      <c r="C632" s="74" t="s">
        <v>636</v>
      </c>
      <c r="D632" s="74" t="s">
        <v>637</v>
      </c>
      <c r="E632" s="75" t="s">
        <v>827</v>
      </c>
    </row>
    <row r="633" spans="1:5">
      <c r="A633" s="274">
        <v>12866</v>
      </c>
      <c r="B633" s="89" t="s">
        <v>635</v>
      </c>
      <c r="C633" s="74" t="s">
        <v>636</v>
      </c>
      <c r="D633" s="74" t="s">
        <v>637</v>
      </c>
      <c r="E633" s="75" t="s">
        <v>827</v>
      </c>
    </row>
    <row r="634" spans="1:5">
      <c r="A634" s="274">
        <v>12869</v>
      </c>
      <c r="B634" s="277" t="s">
        <v>1042</v>
      </c>
      <c r="C634" s="74" t="s">
        <v>1043</v>
      </c>
      <c r="D634" s="74" t="s">
        <v>1044</v>
      </c>
      <c r="E634" s="75" t="s">
        <v>1045</v>
      </c>
    </row>
    <row r="635" spans="1:5">
      <c r="A635" s="274">
        <v>12927</v>
      </c>
      <c r="B635" s="89" t="s">
        <v>635</v>
      </c>
      <c r="C635" s="74" t="s">
        <v>636</v>
      </c>
      <c r="D635" s="74" t="s">
        <v>637</v>
      </c>
      <c r="E635" s="75" t="s">
        <v>827</v>
      </c>
    </row>
    <row r="636" spans="1:5">
      <c r="A636" s="87">
        <v>12928</v>
      </c>
      <c r="B636" s="277" t="s">
        <v>1042</v>
      </c>
      <c r="C636" s="74" t="s">
        <v>1043</v>
      </c>
      <c r="D636" s="74" t="s">
        <v>1044</v>
      </c>
      <c r="E636" s="75" t="s">
        <v>1045</v>
      </c>
    </row>
    <row r="637" spans="1:5">
      <c r="A637" s="274">
        <v>12931</v>
      </c>
      <c r="B637" s="89" t="s">
        <v>635</v>
      </c>
      <c r="C637" s="74" t="s">
        <v>636</v>
      </c>
      <c r="D637" s="74" t="s">
        <v>637</v>
      </c>
      <c r="E637" s="75" t="s">
        <v>827</v>
      </c>
    </row>
    <row r="638" spans="1:5">
      <c r="A638" s="276">
        <v>12955</v>
      </c>
      <c r="B638" s="278" t="s">
        <v>635</v>
      </c>
      <c r="C638" s="74" t="s">
        <v>636</v>
      </c>
      <c r="D638" s="74" t="s">
        <v>637</v>
      </c>
      <c r="E638" s="75" t="s">
        <v>827</v>
      </c>
    </row>
    <row r="639" spans="1:5">
      <c r="A639" s="87">
        <v>12964</v>
      </c>
      <c r="B639" s="277" t="s">
        <v>632</v>
      </c>
      <c r="C639" s="74" t="s">
        <v>633</v>
      </c>
      <c r="D639" s="74" t="s">
        <v>634</v>
      </c>
      <c r="E639" s="75" t="s">
        <v>825</v>
      </c>
    </row>
    <row r="640" spans="1:5">
      <c r="A640" s="274">
        <v>13005</v>
      </c>
      <c r="B640" s="89" t="s">
        <v>635</v>
      </c>
      <c r="C640" s="74" t="s">
        <v>636</v>
      </c>
      <c r="D640" s="74" t="s">
        <v>637</v>
      </c>
      <c r="E640" s="75" t="s">
        <v>827</v>
      </c>
    </row>
    <row r="641" spans="1:5">
      <c r="A641" s="87">
        <v>13010</v>
      </c>
      <c r="B641" s="277" t="s">
        <v>638</v>
      </c>
      <c r="C641" s="74" t="s">
        <v>639</v>
      </c>
      <c r="D641" s="74" t="s">
        <v>640</v>
      </c>
      <c r="E641" s="75" t="s">
        <v>828</v>
      </c>
    </row>
    <row r="642" spans="1:5">
      <c r="A642" s="274">
        <v>13041</v>
      </c>
      <c r="B642" s="277" t="s">
        <v>1065</v>
      </c>
      <c r="C642" s="74" t="s">
        <v>1066</v>
      </c>
      <c r="D642" s="74" t="s">
        <v>1067</v>
      </c>
      <c r="E642" s="75" t="s">
        <v>1068</v>
      </c>
    </row>
    <row r="643" spans="1:5">
      <c r="A643" s="87">
        <v>13044</v>
      </c>
      <c r="B643" s="277" t="s">
        <v>632</v>
      </c>
      <c r="C643" s="74" t="s">
        <v>633</v>
      </c>
      <c r="D643" s="74" t="s">
        <v>634</v>
      </c>
      <c r="E643" s="75" t="s">
        <v>825</v>
      </c>
    </row>
    <row r="644" spans="1:5">
      <c r="A644" s="274">
        <v>13068</v>
      </c>
      <c r="B644" s="277" t="s">
        <v>632</v>
      </c>
      <c r="C644" s="74" t="s">
        <v>633</v>
      </c>
      <c r="D644" s="74" t="s">
        <v>634</v>
      </c>
      <c r="E644" s="75" t="s">
        <v>825</v>
      </c>
    </row>
    <row r="645" spans="1:5">
      <c r="A645" s="274">
        <v>13070</v>
      </c>
      <c r="B645" s="89" t="s">
        <v>635</v>
      </c>
      <c r="C645" s="74" t="s">
        <v>636</v>
      </c>
      <c r="D645" s="74" t="s">
        <v>637</v>
      </c>
      <c r="E645" s="75" t="s">
        <v>827</v>
      </c>
    </row>
    <row r="646" spans="1:5">
      <c r="A646" s="87">
        <v>13133</v>
      </c>
      <c r="B646" s="277" t="s">
        <v>632</v>
      </c>
      <c r="C646" s="74" t="s">
        <v>633</v>
      </c>
      <c r="D646" s="74" t="s">
        <v>634</v>
      </c>
      <c r="E646" s="75" t="s">
        <v>825</v>
      </c>
    </row>
    <row r="647" spans="1:5">
      <c r="A647" s="87">
        <v>13134</v>
      </c>
      <c r="B647" s="277" t="s">
        <v>822</v>
      </c>
      <c r="C647" s="74" t="s">
        <v>823</v>
      </c>
      <c r="D647" s="74" t="s">
        <v>824</v>
      </c>
      <c r="E647" s="75" t="s">
        <v>826</v>
      </c>
    </row>
    <row r="648" spans="1:5">
      <c r="A648" s="274">
        <v>13135</v>
      </c>
      <c r="B648" s="277" t="s">
        <v>1042</v>
      </c>
      <c r="C648" s="74" t="s">
        <v>1043</v>
      </c>
      <c r="D648" s="74" t="s">
        <v>1044</v>
      </c>
      <c r="E648" s="75" t="s">
        <v>1045</v>
      </c>
    </row>
    <row r="649" spans="1:5">
      <c r="A649" s="87">
        <v>13136</v>
      </c>
      <c r="B649" s="277" t="s">
        <v>632</v>
      </c>
      <c r="C649" s="74" t="s">
        <v>633</v>
      </c>
      <c r="D649" s="74" t="s">
        <v>634</v>
      </c>
      <c r="E649" s="75" t="s">
        <v>825</v>
      </c>
    </row>
    <row r="650" spans="1:5">
      <c r="A650" s="87">
        <v>13151</v>
      </c>
      <c r="B650" s="277" t="s">
        <v>638</v>
      </c>
      <c r="C650" s="74" t="s">
        <v>639</v>
      </c>
      <c r="D650" s="74" t="s">
        <v>640</v>
      </c>
      <c r="E650" s="75" t="s">
        <v>828</v>
      </c>
    </row>
    <row r="651" spans="1:5">
      <c r="A651" s="87">
        <v>13158</v>
      </c>
      <c r="B651" s="277" t="s">
        <v>632</v>
      </c>
      <c r="C651" s="74" t="s">
        <v>633</v>
      </c>
      <c r="D651" s="74" t="s">
        <v>634</v>
      </c>
      <c r="E651" s="75" t="s">
        <v>825</v>
      </c>
    </row>
    <row r="652" spans="1:5">
      <c r="A652" s="87">
        <v>13165</v>
      </c>
      <c r="B652" s="277" t="s">
        <v>638</v>
      </c>
      <c r="C652" s="74" t="s">
        <v>639</v>
      </c>
      <c r="D652" s="74" t="s">
        <v>640</v>
      </c>
      <c r="E652" s="75" t="s">
        <v>828</v>
      </c>
    </row>
    <row r="653" spans="1:5">
      <c r="A653" s="274">
        <v>13166</v>
      </c>
      <c r="B653" s="89" t="s">
        <v>635</v>
      </c>
      <c r="C653" s="74" t="s">
        <v>636</v>
      </c>
      <c r="D653" s="74" t="s">
        <v>637</v>
      </c>
      <c r="E653" s="75" t="s">
        <v>827</v>
      </c>
    </row>
    <row r="654" spans="1:5">
      <c r="A654" s="87">
        <v>13173</v>
      </c>
      <c r="B654" s="277" t="s">
        <v>1042</v>
      </c>
      <c r="C654" s="74" t="s">
        <v>1043</v>
      </c>
      <c r="D654" s="74" t="s">
        <v>1044</v>
      </c>
      <c r="E654" s="75" t="s">
        <v>1045</v>
      </c>
    </row>
    <row r="655" spans="1:5">
      <c r="A655" s="274">
        <v>13198</v>
      </c>
      <c r="B655" s="89" t="s">
        <v>1002</v>
      </c>
      <c r="C655" s="74" t="s">
        <v>1006</v>
      </c>
      <c r="D655" s="74" t="s">
        <v>1007</v>
      </c>
      <c r="E655" s="75" t="s">
        <v>1008</v>
      </c>
    </row>
    <row r="656" spans="1:5">
      <c r="A656" s="87">
        <v>13232</v>
      </c>
      <c r="B656" s="277" t="s">
        <v>1042</v>
      </c>
      <c r="C656" s="74" t="s">
        <v>1043</v>
      </c>
      <c r="D656" s="74" t="s">
        <v>1044</v>
      </c>
      <c r="E656" s="75" t="s">
        <v>1045</v>
      </c>
    </row>
    <row r="657" spans="1:5">
      <c r="A657" s="274">
        <v>13245</v>
      </c>
      <c r="B657" s="89" t="s">
        <v>635</v>
      </c>
      <c r="C657" s="74" t="s">
        <v>636</v>
      </c>
      <c r="D657" s="74" t="s">
        <v>637</v>
      </c>
      <c r="E657" s="75" t="s">
        <v>827</v>
      </c>
    </row>
    <row r="658" spans="1:5">
      <c r="A658" s="87">
        <v>13250</v>
      </c>
      <c r="B658" s="277" t="s">
        <v>1042</v>
      </c>
      <c r="C658" s="74" t="s">
        <v>1043</v>
      </c>
      <c r="D658" s="74" t="s">
        <v>1044</v>
      </c>
      <c r="E658" s="75" t="s">
        <v>1045</v>
      </c>
    </row>
    <row r="659" spans="1:5">
      <c r="A659" s="274">
        <v>13255</v>
      </c>
      <c r="B659" s="89" t="s">
        <v>635</v>
      </c>
      <c r="C659" s="74" t="s">
        <v>636</v>
      </c>
      <c r="D659" s="74" t="s">
        <v>637</v>
      </c>
      <c r="E659" s="75" t="s">
        <v>827</v>
      </c>
    </row>
    <row r="660" spans="1:5">
      <c r="A660" s="274">
        <v>13257</v>
      </c>
      <c r="B660" s="277" t="s">
        <v>1042</v>
      </c>
      <c r="C660" s="74" t="s">
        <v>1043</v>
      </c>
      <c r="D660" s="74" t="s">
        <v>1044</v>
      </c>
      <c r="E660" s="75" t="s">
        <v>1045</v>
      </c>
    </row>
    <row r="661" spans="1:5">
      <c r="A661" s="87">
        <v>13287</v>
      </c>
      <c r="B661" s="277" t="s">
        <v>1042</v>
      </c>
      <c r="C661" s="74" t="s">
        <v>1043</v>
      </c>
      <c r="D661" s="74" t="s">
        <v>1044</v>
      </c>
      <c r="E661" s="75" t="s">
        <v>1045</v>
      </c>
    </row>
    <row r="662" spans="1:5">
      <c r="A662" s="87">
        <v>13317</v>
      </c>
      <c r="B662" s="277" t="s">
        <v>1001</v>
      </c>
      <c r="C662" s="74" t="s">
        <v>1003</v>
      </c>
      <c r="D662" s="74" t="s">
        <v>1004</v>
      </c>
      <c r="E662" s="75" t="s">
        <v>1005</v>
      </c>
    </row>
    <row r="663" spans="1:5">
      <c r="A663" s="87">
        <v>13322</v>
      </c>
      <c r="B663" s="277" t="s">
        <v>632</v>
      </c>
      <c r="C663" s="74" t="s">
        <v>633</v>
      </c>
      <c r="D663" s="74" t="s">
        <v>634</v>
      </c>
      <c r="E663" s="75" t="s">
        <v>825</v>
      </c>
    </row>
    <row r="664" spans="1:5">
      <c r="A664" s="87">
        <v>13342</v>
      </c>
      <c r="B664" s="277" t="s">
        <v>822</v>
      </c>
      <c r="C664" s="74" t="s">
        <v>823</v>
      </c>
      <c r="D664" s="74" t="s">
        <v>824</v>
      </c>
      <c r="E664" s="75" t="s">
        <v>826</v>
      </c>
    </row>
    <row r="665" spans="1:5">
      <c r="A665" s="274">
        <v>13357</v>
      </c>
      <c r="B665" s="89" t="s">
        <v>638</v>
      </c>
      <c r="C665" s="74" t="s">
        <v>639</v>
      </c>
      <c r="D665" s="74" t="s">
        <v>640</v>
      </c>
      <c r="E665" s="75" t="s">
        <v>828</v>
      </c>
    </row>
    <row r="666" spans="1:5">
      <c r="A666" s="87">
        <v>13363</v>
      </c>
      <c r="B666" s="277" t="s">
        <v>1001</v>
      </c>
      <c r="C666" s="74" t="s">
        <v>1003</v>
      </c>
      <c r="D666" s="74" t="s">
        <v>1004</v>
      </c>
      <c r="E666" s="75" t="s">
        <v>1005</v>
      </c>
    </row>
    <row r="667" spans="1:5">
      <c r="A667" s="87">
        <v>13408</v>
      </c>
      <c r="B667" s="277" t="s">
        <v>632</v>
      </c>
      <c r="C667" s="74" t="s">
        <v>633</v>
      </c>
      <c r="D667" s="74" t="s">
        <v>634</v>
      </c>
      <c r="E667" s="75" t="s">
        <v>825</v>
      </c>
    </row>
    <row r="668" spans="1:5">
      <c r="A668" s="87">
        <v>13434</v>
      </c>
      <c r="B668" s="277" t="s">
        <v>1042</v>
      </c>
      <c r="C668" s="74" t="s">
        <v>1043</v>
      </c>
      <c r="D668" s="74" t="s">
        <v>1044</v>
      </c>
      <c r="E668" s="75" t="s">
        <v>1045</v>
      </c>
    </row>
    <row r="669" spans="1:5">
      <c r="A669" s="87">
        <v>13439</v>
      </c>
      <c r="B669" s="277" t="s">
        <v>1042</v>
      </c>
      <c r="C669" s="74" t="s">
        <v>1043</v>
      </c>
      <c r="D669" s="74" t="s">
        <v>1044</v>
      </c>
      <c r="E669" s="75" t="s">
        <v>1045</v>
      </c>
    </row>
    <row r="670" spans="1:5">
      <c r="A670" s="87">
        <v>13447</v>
      </c>
      <c r="B670" s="277" t="s">
        <v>822</v>
      </c>
      <c r="C670" s="74" t="s">
        <v>823</v>
      </c>
      <c r="D670" s="74" t="s">
        <v>824</v>
      </c>
      <c r="E670" s="75" t="s">
        <v>826</v>
      </c>
    </row>
    <row r="671" spans="1:5">
      <c r="A671" s="274">
        <v>13460</v>
      </c>
      <c r="B671" s="89" t="s">
        <v>635</v>
      </c>
      <c r="C671" s="74" t="s">
        <v>636</v>
      </c>
      <c r="D671" s="74" t="s">
        <v>637</v>
      </c>
      <c r="E671" s="75" t="s">
        <v>827</v>
      </c>
    </row>
    <row r="672" spans="1:5">
      <c r="A672" s="87">
        <v>13470</v>
      </c>
      <c r="B672" s="277" t="s">
        <v>1001</v>
      </c>
      <c r="C672" s="74" t="s">
        <v>1003</v>
      </c>
      <c r="D672" s="74" t="s">
        <v>1004</v>
      </c>
      <c r="E672" s="75" t="s">
        <v>1005</v>
      </c>
    </row>
    <row r="673" spans="1:5">
      <c r="A673" s="274">
        <v>13498</v>
      </c>
      <c r="B673" s="89" t="s">
        <v>635</v>
      </c>
      <c r="C673" s="74" t="s">
        <v>636</v>
      </c>
      <c r="D673" s="74" t="s">
        <v>637</v>
      </c>
      <c r="E673" s="75" t="s">
        <v>827</v>
      </c>
    </row>
    <row r="674" spans="1:5">
      <c r="A674" s="87">
        <v>13514</v>
      </c>
      <c r="B674" s="277" t="s">
        <v>822</v>
      </c>
      <c r="C674" s="74" t="s">
        <v>823</v>
      </c>
      <c r="D674" s="74" t="s">
        <v>824</v>
      </c>
      <c r="E674" s="75" t="s">
        <v>826</v>
      </c>
    </row>
    <row r="675" spans="1:5">
      <c r="A675" s="87">
        <v>13520</v>
      </c>
      <c r="B675" s="277" t="s">
        <v>632</v>
      </c>
      <c r="C675" s="74" t="s">
        <v>633</v>
      </c>
      <c r="D675" s="74" t="s">
        <v>634</v>
      </c>
      <c r="E675" s="75" t="s">
        <v>825</v>
      </c>
    </row>
    <row r="676" spans="1:5">
      <c r="A676" s="274">
        <v>13523</v>
      </c>
      <c r="B676" s="89" t="s">
        <v>1065</v>
      </c>
      <c r="C676" s="74" t="s">
        <v>1066</v>
      </c>
      <c r="D676" s="74" t="s">
        <v>1067</v>
      </c>
      <c r="E676" s="75" t="s">
        <v>1068</v>
      </c>
    </row>
    <row r="677" spans="1:5">
      <c r="A677" s="87">
        <v>13534</v>
      </c>
      <c r="B677" s="277" t="s">
        <v>635</v>
      </c>
      <c r="C677" s="74" t="s">
        <v>636</v>
      </c>
      <c r="D677" s="74" t="s">
        <v>637</v>
      </c>
      <c r="E677" s="75" t="s">
        <v>827</v>
      </c>
    </row>
    <row r="678" spans="1:5">
      <c r="A678" s="274">
        <v>13572</v>
      </c>
      <c r="B678" s="89" t="s">
        <v>1065</v>
      </c>
      <c r="C678" s="74" t="s">
        <v>1066</v>
      </c>
      <c r="D678" s="74" t="s">
        <v>1067</v>
      </c>
      <c r="E678" s="75" t="s">
        <v>1068</v>
      </c>
    </row>
    <row r="679" spans="1:5">
      <c r="A679" s="274">
        <v>13577</v>
      </c>
      <c r="B679" s="89" t="s">
        <v>635</v>
      </c>
      <c r="C679" s="74" t="s">
        <v>636</v>
      </c>
      <c r="D679" s="74" t="s">
        <v>637</v>
      </c>
      <c r="E679" s="75" t="s">
        <v>827</v>
      </c>
    </row>
    <row r="680" spans="1:5">
      <c r="A680" s="274">
        <v>13615</v>
      </c>
      <c r="B680" s="89" t="s">
        <v>635</v>
      </c>
      <c r="C680" s="74" t="s">
        <v>636</v>
      </c>
      <c r="D680" s="74" t="s">
        <v>637</v>
      </c>
      <c r="E680" s="75" t="s">
        <v>827</v>
      </c>
    </row>
    <row r="681" spans="1:5">
      <c r="A681" s="87">
        <v>13629</v>
      </c>
      <c r="B681" s="277" t="s">
        <v>635</v>
      </c>
      <c r="C681" s="74" t="s">
        <v>636</v>
      </c>
      <c r="D681" s="74" t="s">
        <v>637</v>
      </c>
      <c r="E681" s="75" t="s">
        <v>827</v>
      </c>
    </row>
    <row r="682" spans="1:5">
      <c r="A682" s="87">
        <v>13675</v>
      </c>
      <c r="B682" s="277" t="s">
        <v>1042</v>
      </c>
      <c r="C682" s="74" t="s">
        <v>1043</v>
      </c>
      <c r="D682" s="74" t="s">
        <v>1044</v>
      </c>
      <c r="E682" s="75" t="s">
        <v>1045</v>
      </c>
    </row>
    <row r="683" spans="1:5">
      <c r="A683" s="87">
        <v>13683</v>
      </c>
      <c r="B683" s="277" t="s">
        <v>1042</v>
      </c>
      <c r="C683" s="74" t="s">
        <v>1043</v>
      </c>
      <c r="D683" s="74" t="s">
        <v>1044</v>
      </c>
      <c r="E683" s="75" t="s">
        <v>1045</v>
      </c>
    </row>
    <row r="684" spans="1:5">
      <c r="A684" s="274">
        <v>13704</v>
      </c>
      <c r="B684" s="89" t="s">
        <v>1065</v>
      </c>
      <c r="C684" s="74" t="s">
        <v>1066</v>
      </c>
      <c r="D684" s="74" t="s">
        <v>1067</v>
      </c>
      <c r="E684" s="75" t="s">
        <v>1068</v>
      </c>
    </row>
    <row r="685" spans="1:5">
      <c r="A685" s="87">
        <v>13798</v>
      </c>
      <c r="B685" s="277" t="s">
        <v>635</v>
      </c>
      <c r="C685" s="74" t="s">
        <v>636</v>
      </c>
      <c r="D685" s="74" t="s">
        <v>637</v>
      </c>
      <c r="E685" s="75" t="s">
        <v>827</v>
      </c>
    </row>
    <row r="686" spans="1:5">
      <c r="A686" s="87">
        <v>13824</v>
      </c>
      <c r="B686" s="277" t="s">
        <v>822</v>
      </c>
      <c r="C686" s="74" t="s">
        <v>823</v>
      </c>
      <c r="D686" s="74" t="s">
        <v>824</v>
      </c>
      <c r="E686" s="75" t="s">
        <v>826</v>
      </c>
    </row>
    <row r="687" spans="1:5">
      <c r="A687" s="275">
        <v>13825</v>
      </c>
      <c r="B687" s="277" t="s">
        <v>635</v>
      </c>
      <c r="C687" s="74" t="s">
        <v>636</v>
      </c>
      <c r="D687" s="74" t="s">
        <v>637</v>
      </c>
      <c r="E687" s="75" t="s">
        <v>827</v>
      </c>
    </row>
    <row r="688" spans="1:5">
      <c r="A688" s="84">
        <v>13838</v>
      </c>
      <c r="B688" s="277" t="s">
        <v>1042</v>
      </c>
      <c r="C688" s="74" t="s">
        <v>1043</v>
      </c>
      <c r="D688" s="74" t="s">
        <v>1044</v>
      </c>
      <c r="E688" s="75" t="s">
        <v>1045</v>
      </c>
    </row>
    <row r="689" spans="1:5">
      <c r="A689" s="274">
        <v>13876</v>
      </c>
      <c r="B689" s="89" t="s">
        <v>1042</v>
      </c>
      <c r="C689" s="74" t="s">
        <v>1043</v>
      </c>
      <c r="D689" s="74" t="s">
        <v>1044</v>
      </c>
      <c r="E689" s="75" t="s">
        <v>1045</v>
      </c>
    </row>
    <row r="690" spans="1:5">
      <c r="A690" s="274">
        <v>13902</v>
      </c>
      <c r="B690" s="89" t="s">
        <v>635</v>
      </c>
      <c r="C690" s="74" t="s">
        <v>636</v>
      </c>
      <c r="D690" s="74" t="s">
        <v>637</v>
      </c>
      <c r="E690" s="75" t="s">
        <v>827</v>
      </c>
    </row>
    <row r="691" spans="1:5">
      <c r="A691" s="275">
        <v>13927</v>
      </c>
      <c r="B691" s="277" t="s">
        <v>635</v>
      </c>
      <c r="C691" s="74" t="s">
        <v>636</v>
      </c>
      <c r="D691" s="74" t="s">
        <v>637</v>
      </c>
      <c r="E691" s="75" t="s">
        <v>827</v>
      </c>
    </row>
    <row r="692" spans="1:5">
      <c r="A692" s="87">
        <v>13940</v>
      </c>
      <c r="B692" s="277" t="s">
        <v>635</v>
      </c>
      <c r="C692" s="74" t="s">
        <v>636</v>
      </c>
      <c r="D692" s="74" t="s">
        <v>637</v>
      </c>
      <c r="E692" s="75" t="s">
        <v>827</v>
      </c>
    </row>
    <row r="693" spans="1:5">
      <c r="A693" s="87">
        <v>13941</v>
      </c>
      <c r="B693" s="277" t="s">
        <v>1042</v>
      </c>
      <c r="C693" s="74" t="s">
        <v>1043</v>
      </c>
      <c r="D693" s="74" t="s">
        <v>1044</v>
      </c>
      <c r="E693" s="75" t="s">
        <v>1045</v>
      </c>
    </row>
    <row r="694" spans="1:5">
      <c r="A694" s="84">
        <v>13957</v>
      </c>
      <c r="B694" s="277" t="s">
        <v>1065</v>
      </c>
      <c r="C694" s="74" t="s">
        <v>1066</v>
      </c>
      <c r="D694" s="74" t="s">
        <v>1067</v>
      </c>
      <c r="E694" s="75" t="s">
        <v>1068</v>
      </c>
    </row>
    <row r="695" spans="1:5">
      <c r="A695" s="87">
        <v>13970</v>
      </c>
      <c r="B695" s="277" t="s">
        <v>1042</v>
      </c>
      <c r="C695" s="74" t="s">
        <v>1043</v>
      </c>
      <c r="D695" s="74" t="s">
        <v>1044</v>
      </c>
      <c r="E695" s="75" t="s">
        <v>1045</v>
      </c>
    </row>
    <row r="696" spans="1:5">
      <c r="A696" s="274">
        <v>13978</v>
      </c>
      <c r="B696" s="89" t="s">
        <v>1042</v>
      </c>
      <c r="C696" s="74" t="s">
        <v>1043</v>
      </c>
      <c r="D696" s="74" t="s">
        <v>1044</v>
      </c>
      <c r="E696" s="75" t="s">
        <v>1045</v>
      </c>
    </row>
    <row r="697" spans="1:5">
      <c r="A697" s="274">
        <v>14025</v>
      </c>
      <c r="B697" s="277" t="s">
        <v>635</v>
      </c>
      <c r="C697" s="74" t="s">
        <v>636</v>
      </c>
      <c r="D697" s="74" t="s">
        <v>637</v>
      </c>
      <c r="E697" s="75" t="s">
        <v>827</v>
      </c>
    </row>
    <row r="698" spans="1:5">
      <c r="A698" s="274">
        <v>14050</v>
      </c>
      <c r="B698" s="89" t="s">
        <v>822</v>
      </c>
      <c r="C698" s="74" t="s">
        <v>823</v>
      </c>
      <c r="D698" s="74" t="s">
        <v>824</v>
      </c>
      <c r="E698" s="75" t="s">
        <v>826</v>
      </c>
    </row>
    <row r="699" spans="1:5">
      <c r="A699" s="87">
        <v>14055</v>
      </c>
      <c r="B699" s="277" t="s">
        <v>635</v>
      </c>
      <c r="C699" s="74" t="s">
        <v>636</v>
      </c>
      <c r="D699" s="74" t="s">
        <v>637</v>
      </c>
      <c r="E699" s="75" t="s">
        <v>827</v>
      </c>
    </row>
    <row r="700" spans="1:5">
      <c r="A700" s="274">
        <v>14058</v>
      </c>
      <c r="B700" s="277" t="s">
        <v>638</v>
      </c>
      <c r="C700" s="74" t="s">
        <v>639</v>
      </c>
      <c r="D700" s="74" t="s">
        <v>640</v>
      </c>
      <c r="E700" s="75" t="s">
        <v>828</v>
      </c>
    </row>
    <row r="701" spans="1:5">
      <c r="A701" s="274">
        <v>14064</v>
      </c>
      <c r="B701" s="277" t="s">
        <v>1042</v>
      </c>
      <c r="C701" s="74" t="s">
        <v>1043</v>
      </c>
      <c r="D701" s="74" t="s">
        <v>1044</v>
      </c>
      <c r="E701" s="75" t="s">
        <v>1045</v>
      </c>
    </row>
    <row r="702" spans="1:5">
      <c r="A702" s="274">
        <v>14100</v>
      </c>
      <c r="B702" s="89" t="s">
        <v>1042</v>
      </c>
      <c r="C702" s="74" t="s">
        <v>1043</v>
      </c>
      <c r="D702" s="74" t="s">
        <v>1044</v>
      </c>
      <c r="E702" s="75" t="s">
        <v>1045</v>
      </c>
    </row>
    <row r="703" spans="1:5">
      <c r="A703" s="84">
        <v>14166</v>
      </c>
      <c r="B703" s="277" t="s">
        <v>1002</v>
      </c>
      <c r="C703" s="74" t="s">
        <v>1006</v>
      </c>
      <c r="D703" s="74" t="s">
        <v>1007</v>
      </c>
      <c r="E703" s="75" t="s">
        <v>1008</v>
      </c>
    </row>
    <row r="704" spans="1:5">
      <c r="A704" s="87">
        <v>14190</v>
      </c>
      <c r="B704" s="277" t="s">
        <v>1065</v>
      </c>
      <c r="C704" s="74" t="s">
        <v>1066</v>
      </c>
      <c r="D704" s="74" t="s">
        <v>1067</v>
      </c>
      <c r="E704" s="75" t="s">
        <v>1068</v>
      </c>
    </row>
    <row r="705" spans="1:5">
      <c r="A705" s="274">
        <v>14261</v>
      </c>
      <c r="B705" s="277" t="s">
        <v>1042</v>
      </c>
      <c r="C705" s="74" t="s">
        <v>1043</v>
      </c>
      <c r="D705" s="74" t="s">
        <v>1044</v>
      </c>
      <c r="E705" s="75" t="s">
        <v>1045</v>
      </c>
    </row>
    <row r="706" spans="1:5">
      <c r="A706" s="275">
        <v>14316</v>
      </c>
      <c r="B706" s="277" t="s">
        <v>1042</v>
      </c>
      <c r="C706" s="74" t="s">
        <v>1043</v>
      </c>
      <c r="D706" s="74" t="s">
        <v>1044</v>
      </c>
      <c r="E706" s="75" t="s">
        <v>1045</v>
      </c>
    </row>
    <row r="707" spans="1:5">
      <c r="A707" s="87">
        <v>14339</v>
      </c>
      <c r="B707" s="277" t="s">
        <v>1001</v>
      </c>
      <c r="C707" s="74" t="s">
        <v>1003</v>
      </c>
      <c r="D707" s="74" t="s">
        <v>1004</v>
      </c>
      <c r="E707" s="75" t="s">
        <v>1005</v>
      </c>
    </row>
    <row r="708" spans="1:5">
      <c r="A708" s="275">
        <v>14355</v>
      </c>
      <c r="B708" s="277" t="s">
        <v>635</v>
      </c>
      <c r="C708" s="74" t="s">
        <v>636</v>
      </c>
      <c r="D708" s="74" t="s">
        <v>637</v>
      </c>
      <c r="E708" s="75" t="s">
        <v>827</v>
      </c>
    </row>
    <row r="709" spans="1:5">
      <c r="A709" s="87">
        <v>14369</v>
      </c>
      <c r="B709" s="277" t="s">
        <v>1042</v>
      </c>
      <c r="C709" s="74" t="s">
        <v>1043</v>
      </c>
      <c r="D709" s="74" t="s">
        <v>1044</v>
      </c>
      <c r="E709" s="75" t="s">
        <v>1045</v>
      </c>
    </row>
    <row r="710" spans="1:5">
      <c r="A710" s="87">
        <v>14412</v>
      </c>
      <c r="B710" s="277" t="s">
        <v>822</v>
      </c>
      <c r="C710" s="74" t="s">
        <v>823</v>
      </c>
      <c r="D710" s="74" t="s">
        <v>824</v>
      </c>
      <c r="E710" s="75" t="s">
        <v>826</v>
      </c>
    </row>
    <row r="711" spans="1:5">
      <c r="A711" s="87">
        <v>14413</v>
      </c>
      <c r="B711" s="277" t="s">
        <v>822</v>
      </c>
      <c r="C711" s="74" t="s">
        <v>823</v>
      </c>
      <c r="D711" s="74" t="s">
        <v>824</v>
      </c>
      <c r="E711" s="75" t="s">
        <v>826</v>
      </c>
    </row>
    <row r="712" spans="1:5">
      <c r="A712" s="274">
        <v>14426</v>
      </c>
      <c r="B712" s="277" t="s">
        <v>822</v>
      </c>
      <c r="C712" s="74" t="s">
        <v>823</v>
      </c>
      <c r="D712" s="74" t="s">
        <v>824</v>
      </c>
      <c r="E712" s="75" t="s">
        <v>826</v>
      </c>
    </row>
    <row r="713" spans="1:5">
      <c r="A713" s="275">
        <v>14473</v>
      </c>
      <c r="B713" s="277" t="s">
        <v>635</v>
      </c>
      <c r="C713" s="74" t="s">
        <v>636</v>
      </c>
      <c r="D713" s="74" t="s">
        <v>637</v>
      </c>
      <c r="E713" s="75" t="s">
        <v>827</v>
      </c>
    </row>
    <row r="714" spans="1:5">
      <c r="A714" s="275">
        <v>14512</v>
      </c>
      <c r="B714" s="277" t="s">
        <v>635</v>
      </c>
      <c r="C714" s="74" t="s">
        <v>636</v>
      </c>
      <c r="D714" s="74" t="s">
        <v>637</v>
      </c>
      <c r="E714" s="75" t="s">
        <v>827</v>
      </c>
    </row>
    <row r="715" spans="1:5">
      <c r="A715" s="87">
        <v>14549</v>
      </c>
      <c r="B715" s="277" t="s">
        <v>1001</v>
      </c>
      <c r="C715" s="74" t="s">
        <v>1003</v>
      </c>
      <c r="D715" s="74" t="s">
        <v>1004</v>
      </c>
      <c r="E715" s="75" t="s">
        <v>1005</v>
      </c>
    </row>
    <row r="716" spans="1:5">
      <c r="A716" s="274">
        <v>14568</v>
      </c>
      <c r="B716" s="277" t="s">
        <v>632</v>
      </c>
      <c r="C716" s="74" t="s">
        <v>633</v>
      </c>
      <c r="D716" s="74" t="s">
        <v>634</v>
      </c>
      <c r="E716" s="75" t="s">
        <v>825</v>
      </c>
    </row>
    <row r="717" spans="1:5">
      <c r="A717" s="87">
        <v>14584</v>
      </c>
      <c r="B717" s="277" t="s">
        <v>822</v>
      </c>
      <c r="C717" s="74" t="s">
        <v>823</v>
      </c>
      <c r="D717" s="74" t="s">
        <v>824</v>
      </c>
      <c r="E717" s="75" t="s">
        <v>826</v>
      </c>
    </row>
    <row r="718" spans="1:5">
      <c r="A718" s="87">
        <v>14617</v>
      </c>
      <c r="B718" s="277" t="s">
        <v>638</v>
      </c>
      <c r="C718" s="74" t="s">
        <v>639</v>
      </c>
      <c r="D718" s="74" t="s">
        <v>640</v>
      </c>
      <c r="E718" s="75" t="s">
        <v>828</v>
      </c>
    </row>
    <row r="719" spans="1:5">
      <c r="A719" s="274">
        <v>14636</v>
      </c>
      <c r="B719" s="89" t="s">
        <v>632</v>
      </c>
      <c r="C719" s="74" t="s">
        <v>633</v>
      </c>
      <c r="D719" s="74" t="s">
        <v>634</v>
      </c>
      <c r="E719" s="75" t="s">
        <v>825</v>
      </c>
    </row>
    <row r="720" spans="1:5">
      <c r="A720" s="275">
        <v>14674</v>
      </c>
      <c r="B720" s="277" t="s">
        <v>1002</v>
      </c>
      <c r="C720" s="74" t="s">
        <v>1006</v>
      </c>
      <c r="D720" s="74" t="s">
        <v>1007</v>
      </c>
      <c r="E720" s="75" t="s">
        <v>1008</v>
      </c>
    </row>
    <row r="721" spans="1:5">
      <c r="A721" s="274">
        <v>14679</v>
      </c>
      <c r="B721" s="277" t="s">
        <v>1001</v>
      </c>
      <c r="C721" s="74" t="s">
        <v>1003</v>
      </c>
      <c r="D721" s="74" t="s">
        <v>1004</v>
      </c>
      <c r="E721" s="75" t="s">
        <v>1005</v>
      </c>
    </row>
    <row r="722" spans="1:5">
      <c r="A722" s="274">
        <v>14690</v>
      </c>
      <c r="B722" s="277" t="s">
        <v>1065</v>
      </c>
      <c r="C722" s="74" t="s">
        <v>1066</v>
      </c>
      <c r="D722" s="74" t="s">
        <v>1067</v>
      </c>
      <c r="E722" s="75" t="s">
        <v>1068</v>
      </c>
    </row>
    <row r="723" spans="1:5">
      <c r="A723" s="87">
        <v>14700</v>
      </c>
      <c r="B723" s="277" t="s">
        <v>638</v>
      </c>
      <c r="C723" s="74" t="s">
        <v>639</v>
      </c>
      <c r="D723" s="74" t="s">
        <v>640</v>
      </c>
      <c r="E723" s="75" t="s">
        <v>828</v>
      </c>
    </row>
    <row r="724" spans="1:5">
      <c r="A724" s="87">
        <v>14739</v>
      </c>
      <c r="B724" s="277" t="s">
        <v>1042</v>
      </c>
      <c r="C724" s="74" t="s">
        <v>1043</v>
      </c>
      <c r="D724" s="74" t="s">
        <v>1044</v>
      </c>
      <c r="E724" s="75" t="s">
        <v>1045</v>
      </c>
    </row>
    <row r="725" spans="1:5">
      <c r="A725" s="87">
        <v>14741</v>
      </c>
      <c r="B725" s="277" t="s">
        <v>635</v>
      </c>
      <c r="C725" s="74" t="s">
        <v>636</v>
      </c>
      <c r="D725" s="74" t="s">
        <v>637</v>
      </c>
      <c r="E725" s="75" t="s">
        <v>827</v>
      </c>
    </row>
    <row r="726" spans="1:5">
      <c r="A726" s="87">
        <v>14756</v>
      </c>
      <c r="B726" s="277" t="s">
        <v>1042</v>
      </c>
      <c r="C726" s="74" t="s">
        <v>1043</v>
      </c>
      <c r="D726" s="74" t="s">
        <v>1044</v>
      </c>
      <c r="E726" s="75" t="s">
        <v>1045</v>
      </c>
    </row>
    <row r="727" spans="1:5">
      <c r="A727" s="87">
        <v>14776</v>
      </c>
      <c r="B727" s="277" t="s">
        <v>1042</v>
      </c>
      <c r="C727" s="74" t="s">
        <v>1043</v>
      </c>
      <c r="D727" s="74" t="s">
        <v>1044</v>
      </c>
      <c r="E727" s="75" t="s">
        <v>1045</v>
      </c>
    </row>
    <row r="728" spans="1:5">
      <c r="A728" s="87">
        <v>14789</v>
      </c>
      <c r="B728" s="277" t="s">
        <v>1001</v>
      </c>
      <c r="C728" s="74" t="s">
        <v>1003</v>
      </c>
      <c r="D728" s="74" t="s">
        <v>1004</v>
      </c>
      <c r="E728" s="75" t="s">
        <v>1005</v>
      </c>
    </row>
    <row r="729" spans="1:5">
      <c r="A729" s="274">
        <v>14805</v>
      </c>
      <c r="B729" s="277" t="s">
        <v>1042</v>
      </c>
      <c r="C729" s="74" t="s">
        <v>1043</v>
      </c>
      <c r="D729" s="74" t="s">
        <v>1044</v>
      </c>
      <c r="E729" s="75" t="s">
        <v>1045</v>
      </c>
    </row>
    <row r="730" spans="1:5">
      <c r="A730" s="274">
        <v>14810</v>
      </c>
      <c r="B730" s="89" t="s">
        <v>632</v>
      </c>
      <c r="C730" s="74" t="s">
        <v>633</v>
      </c>
      <c r="D730" s="74" t="s">
        <v>634</v>
      </c>
      <c r="E730" s="75" t="s">
        <v>825</v>
      </c>
    </row>
    <row r="731" spans="1:5">
      <c r="A731" s="275">
        <v>14844</v>
      </c>
      <c r="B731" s="277" t="s">
        <v>635</v>
      </c>
      <c r="C731" s="74" t="s">
        <v>636</v>
      </c>
      <c r="D731" s="74" t="s">
        <v>637</v>
      </c>
      <c r="E731" s="75" t="s">
        <v>827</v>
      </c>
    </row>
    <row r="732" spans="1:5">
      <c r="A732" s="274">
        <v>14872</v>
      </c>
      <c r="B732" s="89" t="s">
        <v>632</v>
      </c>
      <c r="C732" s="74" t="s">
        <v>633</v>
      </c>
      <c r="D732" s="74" t="s">
        <v>634</v>
      </c>
      <c r="E732" s="75" t="s">
        <v>825</v>
      </c>
    </row>
    <row r="733" spans="1:5">
      <c r="A733" s="275">
        <v>14943</v>
      </c>
      <c r="B733" s="277" t="s">
        <v>635</v>
      </c>
      <c r="C733" s="74" t="s">
        <v>636</v>
      </c>
      <c r="D733" s="74" t="s">
        <v>637</v>
      </c>
      <c r="E733" s="75" t="s">
        <v>827</v>
      </c>
    </row>
    <row r="734" spans="1:5">
      <c r="A734" s="274">
        <v>15017</v>
      </c>
      <c r="B734" s="277" t="s">
        <v>822</v>
      </c>
      <c r="C734" s="74" t="s">
        <v>823</v>
      </c>
      <c r="D734" s="74" t="s">
        <v>824</v>
      </c>
      <c r="E734" s="75" t="s">
        <v>826</v>
      </c>
    </row>
    <row r="735" spans="1:5">
      <c r="A735" s="274">
        <v>15033</v>
      </c>
      <c r="B735" s="277" t="s">
        <v>632</v>
      </c>
      <c r="C735" s="74" t="s">
        <v>633</v>
      </c>
      <c r="D735" s="74" t="s">
        <v>634</v>
      </c>
      <c r="E735" s="75" t="s">
        <v>825</v>
      </c>
    </row>
    <row r="736" spans="1:5">
      <c r="A736" s="87">
        <v>15053</v>
      </c>
      <c r="B736" s="277" t="s">
        <v>1065</v>
      </c>
      <c r="C736" s="74" t="s">
        <v>1066</v>
      </c>
      <c r="D736" s="74" t="s">
        <v>1067</v>
      </c>
      <c r="E736" s="75" t="s">
        <v>1068</v>
      </c>
    </row>
    <row r="737" spans="1:5">
      <c r="A737" s="87">
        <v>15059</v>
      </c>
      <c r="B737" s="277" t="s">
        <v>635</v>
      </c>
      <c r="C737" s="74" t="s">
        <v>636</v>
      </c>
      <c r="D737" s="74" t="s">
        <v>637</v>
      </c>
      <c r="E737" s="75" t="s">
        <v>827</v>
      </c>
    </row>
    <row r="738" spans="1:5">
      <c r="A738" s="87">
        <v>15104</v>
      </c>
      <c r="B738" s="277" t="s">
        <v>1042</v>
      </c>
      <c r="C738" s="74" t="s">
        <v>1043</v>
      </c>
      <c r="D738" s="74" t="s">
        <v>1044</v>
      </c>
      <c r="E738" s="75" t="s">
        <v>1045</v>
      </c>
    </row>
    <row r="739" spans="1:5">
      <c r="A739" s="87">
        <v>15105</v>
      </c>
      <c r="B739" s="277" t="s">
        <v>635</v>
      </c>
      <c r="C739" s="74" t="s">
        <v>636</v>
      </c>
      <c r="D739" s="74" t="s">
        <v>637</v>
      </c>
      <c r="E739" s="75" t="s">
        <v>827</v>
      </c>
    </row>
    <row r="740" spans="1:5">
      <c r="A740" s="87">
        <v>15174</v>
      </c>
      <c r="B740" s="277" t="s">
        <v>632</v>
      </c>
      <c r="C740" s="74" t="s">
        <v>633</v>
      </c>
      <c r="D740" s="74" t="s">
        <v>634</v>
      </c>
      <c r="E740" s="75" t="s">
        <v>825</v>
      </c>
    </row>
    <row r="741" spans="1:5">
      <c r="A741" s="87">
        <v>15233</v>
      </c>
      <c r="B741" s="277" t="s">
        <v>1042</v>
      </c>
      <c r="C741" s="74" t="s">
        <v>1043</v>
      </c>
      <c r="D741" s="74" t="s">
        <v>1044</v>
      </c>
      <c r="E741" s="75" t="s">
        <v>1045</v>
      </c>
    </row>
    <row r="742" spans="1:5">
      <c r="A742" s="274">
        <v>15240</v>
      </c>
      <c r="B742" s="277" t="s">
        <v>1065</v>
      </c>
      <c r="C742" s="74" t="s">
        <v>1066</v>
      </c>
      <c r="D742" s="74" t="s">
        <v>1067</v>
      </c>
      <c r="E742" s="75" t="s">
        <v>1068</v>
      </c>
    </row>
    <row r="743" spans="1:5">
      <c r="A743" s="87">
        <v>15246</v>
      </c>
      <c r="B743" s="277" t="s">
        <v>1042</v>
      </c>
      <c r="C743" s="74" t="s">
        <v>1043</v>
      </c>
      <c r="D743" s="74" t="s">
        <v>1044</v>
      </c>
      <c r="E743" s="75" t="s">
        <v>1045</v>
      </c>
    </row>
    <row r="744" spans="1:5">
      <c r="A744" s="87">
        <v>15262</v>
      </c>
      <c r="B744" s="277" t="s">
        <v>1042</v>
      </c>
      <c r="C744" s="74" t="s">
        <v>1043</v>
      </c>
      <c r="D744" s="74" t="s">
        <v>1044</v>
      </c>
      <c r="E744" s="75" t="s">
        <v>1045</v>
      </c>
    </row>
    <row r="745" spans="1:5">
      <c r="A745" s="274">
        <v>15301</v>
      </c>
      <c r="B745" s="277" t="s">
        <v>1042</v>
      </c>
      <c r="C745" s="74" t="s">
        <v>1043</v>
      </c>
      <c r="D745" s="74" t="s">
        <v>1044</v>
      </c>
      <c r="E745" s="75" t="s">
        <v>1045</v>
      </c>
    </row>
    <row r="746" spans="1:5">
      <c r="A746" s="87">
        <v>15320</v>
      </c>
      <c r="B746" s="277" t="s">
        <v>1001</v>
      </c>
      <c r="C746" s="74" t="s">
        <v>1003</v>
      </c>
      <c r="D746" s="74" t="s">
        <v>1004</v>
      </c>
      <c r="E746" s="75" t="s">
        <v>1005</v>
      </c>
    </row>
    <row r="747" spans="1:5">
      <c r="A747" s="87">
        <v>15321</v>
      </c>
      <c r="B747" s="277" t="s">
        <v>635</v>
      </c>
      <c r="C747" s="74" t="s">
        <v>636</v>
      </c>
      <c r="D747" s="74" t="s">
        <v>637</v>
      </c>
      <c r="E747" s="75" t="s">
        <v>827</v>
      </c>
    </row>
    <row r="748" spans="1:5">
      <c r="A748" s="87">
        <v>15322</v>
      </c>
      <c r="B748" s="277" t="s">
        <v>635</v>
      </c>
      <c r="C748" s="74" t="s">
        <v>636</v>
      </c>
      <c r="D748" s="74" t="s">
        <v>637</v>
      </c>
      <c r="E748" s="75" t="s">
        <v>827</v>
      </c>
    </row>
    <row r="749" spans="1:5">
      <c r="A749" s="87">
        <v>15326</v>
      </c>
      <c r="B749" s="277" t="s">
        <v>1042</v>
      </c>
      <c r="C749" s="74" t="s">
        <v>1043</v>
      </c>
      <c r="D749" s="74" t="s">
        <v>1044</v>
      </c>
      <c r="E749" s="75" t="s">
        <v>1045</v>
      </c>
    </row>
    <row r="750" spans="1:5">
      <c r="A750" s="87">
        <v>15343</v>
      </c>
      <c r="B750" s="277" t="s">
        <v>1065</v>
      </c>
      <c r="C750" s="74" t="s">
        <v>1066</v>
      </c>
      <c r="D750" s="74" t="s">
        <v>1067</v>
      </c>
      <c r="E750" s="75" t="s">
        <v>1068</v>
      </c>
    </row>
    <row r="751" spans="1:5">
      <c r="A751" s="274">
        <v>15362</v>
      </c>
      <c r="B751" s="89" t="s">
        <v>1042</v>
      </c>
      <c r="C751" s="74" t="s">
        <v>1043</v>
      </c>
      <c r="D751" s="74" t="s">
        <v>1044</v>
      </c>
      <c r="E751" s="75" t="s">
        <v>1045</v>
      </c>
    </row>
    <row r="752" spans="1:5">
      <c r="A752" s="87">
        <v>15365</v>
      </c>
      <c r="B752" s="277" t="s">
        <v>635</v>
      </c>
      <c r="C752" s="74" t="s">
        <v>636</v>
      </c>
      <c r="D752" s="74" t="s">
        <v>637</v>
      </c>
      <c r="E752" s="75" t="s">
        <v>827</v>
      </c>
    </row>
    <row r="753" spans="1:5">
      <c r="A753" s="87">
        <v>15448</v>
      </c>
      <c r="B753" s="277" t="s">
        <v>1042</v>
      </c>
      <c r="C753" s="74" t="s">
        <v>1043</v>
      </c>
      <c r="D753" s="74" t="s">
        <v>1044</v>
      </c>
      <c r="E753" s="75" t="s">
        <v>1045</v>
      </c>
    </row>
    <row r="754" spans="1:5">
      <c r="A754" s="87">
        <v>15512</v>
      </c>
      <c r="B754" s="277" t="s">
        <v>1042</v>
      </c>
      <c r="C754" s="74" t="s">
        <v>1043</v>
      </c>
      <c r="D754" s="74" t="s">
        <v>1044</v>
      </c>
      <c r="E754" s="75" t="s">
        <v>1045</v>
      </c>
    </row>
    <row r="755" spans="1:5">
      <c r="A755" s="274">
        <v>15661</v>
      </c>
      <c r="B755" s="277" t="s">
        <v>1042</v>
      </c>
      <c r="C755" s="74" t="s">
        <v>1043</v>
      </c>
      <c r="D755" s="74" t="s">
        <v>1044</v>
      </c>
      <c r="E755" s="75" t="s">
        <v>1045</v>
      </c>
    </row>
    <row r="756" spans="1:5">
      <c r="A756" s="275">
        <v>15727</v>
      </c>
      <c r="B756" s="277" t="s">
        <v>822</v>
      </c>
      <c r="C756" s="74" t="s">
        <v>823</v>
      </c>
      <c r="D756" s="74" t="s">
        <v>824</v>
      </c>
      <c r="E756" s="75" t="s">
        <v>826</v>
      </c>
    </row>
    <row r="757" spans="1:5">
      <c r="A757" s="275">
        <v>15760</v>
      </c>
      <c r="B757" s="277" t="s">
        <v>1042</v>
      </c>
      <c r="C757" s="74" t="s">
        <v>1043</v>
      </c>
      <c r="D757" s="74" t="s">
        <v>1044</v>
      </c>
      <c r="E757" s="75" t="s">
        <v>1045</v>
      </c>
    </row>
    <row r="758" spans="1:5">
      <c r="A758" s="275">
        <v>15776</v>
      </c>
      <c r="B758" s="277" t="s">
        <v>1042</v>
      </c>
      <c r="C758" s="74" t="s">
        <v>1043</v>
      </c>
      <c r="D758" s="74" t="s">
        <v>1044</v>
      </c>
      <c r="E758" s="75" t="s">
        <v>1045</v>
      </c>
    </row>
    <row r="759" spans="1:5">
      <c r="A759" s="84">
        <v>15782</v>
      </c>
      <c r="B759" s="277" t="s">
        <v>822</v>
      </c>
      <c r="C759" s="74" t="s">
        <v>823</v>
      </c>
      <c r="D759" s="74" t="s">
        <v>824</v>
      </c>
      <c r="E759" s="75" t="s">
        <v>826</v>
      </c>
    </row>
    <row r="760" spans="1:5">
      <c r="A760" s="84">
        <v>15783</v>
      </c>
      <c r="B760" s="277" t="s">
        <v>1042</v>
      </c>
      <c r="C760" s="74" t="s">
        <v>1043</v>
      </c>
      <c r="D760" s="74" t="s">
        <v>1044</v>
      </c>
      <c r="E760" s="75" t="s">
        <v>1045</v>
      </c>
    </row>
    <row r="761" spans="1:5">
      <c r="A761" s="84">
        <v>15789</v>
      </c>
      <c r="B761" s="277" t="s">
        <v>1001</v>
      </c>
      <c r="C761" s="74" t="s">
        <v>1003</v>
      </c>
      <c r="D761" s="74" t="s">
        <v>1004</v>
      </c>
      <c r="E761" s="75" t="s">
        <v>1005</v>
      </c>
    </row>
    <row r="762" spans="1:5">
      <c r="A762" s="275">
        <v>15796</v>
      </c>
      <c r="B762" s="277" t="s">
        <v>635</v>
      </c>
      <c r="C762" s="74" t="s">
        <v>636</v>
      </c>
      <c r="D762" s="74" t="s">
        <v>637</v>
      </c>
      <c r="E762" s="75" t="s">
        <v>827</v>
      </c>
    </row>
    <row r="763" spans="1:5">
      <c r="A763" s="275">
        <v>15799</v>
      </c>
      <c r="B763" s="277" t="s">
        <v>822</v>
      </c>
      <c r="C763" s="74" t="s">
        <v>823</v>
      </c>
      <c r="D763" s="74" t="s">
        <v>824</v>
      </c>
      <c r="E763" s="75" t="s">
        <v>826</v>
      </c>
    </row>
    <row r="764" spans="1:5">
      <c r="A764" s="84">
        <v>15828</v>
      </c>
      <c r="B764" s="277" t="s">
        <v>1042</v>
      </c>
      <c r="C764" s="74" t="s">
        <v>1043</v>
      </c>
      <c r="D764" s="74" t="s">
        <v>1044</v>
      </c>
      <c r="E764" s="75" t="s">
        <v>1045</v>
      </c>
    </row>
    <row r="765" spans="1:5">
      <c r="A765" s="275">
        <v>15852</v>
      </c>
      <c r="B765" s="277" t="s">
        <v>632</v>
      </c>
      <c r="C765" s="74" t="s">
        <v>633</v>
      </c>
      <c r="D765" s="74" t="s">
        <v>634</v>
      </c>
      <c r="E765" s="75" t="s">
        <v>825</v>
      </c>
    </row>
    <row r="766" spans="1:5">
      <c r="A766" s="275">
        <v>15876</v>
      </c>
      <c r="B766" s="277" t="s">
        <v>822</v>
      </c>
      <c r="C766" s="74" t="s">
        <v>823</v>
      </c>
      <c r="D766" s="74" t="s">
        <v>824</v>
      </c>
      <c r="E766" s="75" t="s">
        <v>826</v>
      </c>
    </row>
    <row r="767" spans="1:5">
      <c r="A767" s="275">
        <v>15882</v>
      </c>
      <c r="B767" s="277" t="s">
        <v>1001</v>
      </c>
      <c r="C767" s="74" t="s">
        <v>1003</v>
      </c>
      <c r="D767" s="74" t="s">
        <v>1004</v>
      </c>
      <c r="E767" s="75" t="s">
        <v>1005</v>
      </c>
    </row>
    <row r="768" spans="1:5">
      <c r="A768" s="275">
        <v>15949</v>
      </c>
      <c r="B768" s="277" t="s">
        <v>635</v>
      </c>
      <c r="C768" s="74" t="s">
        <v>636</v>
      </c>
      <c r="D768" s="74" t="s">
        <v>637</v>
      </c>
      <c r="E768" s="75" t="s">
        <v>827</v>
      </c>
    </row>
    <row r="769" spans="1:5">
      <c r="A769" s="84">
        <v>16041</v>
      </c>
      <c r="B769" s="277" t="s">
        <v>822</v>
      </c>
      <c r="C769" s="74" t="s">
        <v>823</v>
      </c>
      <c r="D769" s="74" t="s">
        <v>824</v>
      </c>
      <c r="E769" s="75" t="s">
        <v>826</v>
      </c>
    </row>
    <row r="770" spans="1:5">
      <c r="A770" s="275">
        <v>16042</v>
      </c>
      <c r="B770" s="277" t="s">
        <v>1001</v>
      </c>
      <c r="C770" s="74" t="s">
        <v>1003</v>
      </c>
      <c r="D770" s="74" t="s">
        <v>1004</v>
      </c>
      <c r="E770" s="75" t="s">
        <v>1005</v>
      </c>
    </row>
    <row r="771" spans="1:5">
      <c r="A771" s="275">
        <v>16047</v>
      </c>
      <c r="B771" s="277" t="s">
        <v>632</v>
      </c>
      <c r="C771" s="74" t="s">
        <v>633</v>
      </c>
      <c r="D771" s="74" t="s">
        <v>634</v>
      </c>
      <c r="E771" s="75" t="s">
        <v>825</v>
      </c>
    </row>
    <row r="772" spans="1:5">
      <c r="A772" s="275">
        <v>16063</v>
      </c>
      <c r="B772" s="277" t="s">
        <v>1065</v>
      </c>
      <c r="C772" s="74" t="s">
        <v>1066</v>
      </c>
      <c r="D772" s="74" t="s">
        <v>1067</v>
      </c>
      <c r="E772" s="75" t="s">
        <v>1068</v>
      </c>
    </row>
    <row r="773" spans="1:5">
      <c r="A773" s="84">
        <v>16074</v>
      </c>
      <c r="B773" s="277" t="s">
        <v>1042</v>
      </c>
      <c r="C773" s="74" t="s">
        <v>1043</v>
      </c>
      <c r="D773" s="74" t="s">
        <v>1044</v>
      </c>
      <c r="E773" s="75" t="s">
        <v>1045</v>
      </c>
    </row>
    <row r="774" spans="1:5">
      <c r="A774" s="275">
        <v>16078</v>
      </c>
      <c r="B774" s="277" t="s">
        <v>632</v>
      </c>
      <c r="C774" s="74" t="s">
        <v>633</v>
      </c>
      <c r="D774" s="74" t="s">
        <v>634</v>
      </c>
      <c r="E774" s="75" t="s">
        <v>825</v>
      </c>
    </row>
    <row r="775" spans="1:5">
      <c r="A775" s="275">
        <v>16103</v>
      </c>
      <c r="B775" s="277" t="s">
        <v>638</v>
      </c>
      <c r="C775" s="74" t="s">
        <v>639</v>
      </c>
      <c r="D775" s="74" t="s">
        <v>640</v>
      </c>
      <c r="E775" s="75" t="s">
        <v>828</v>
      </c>
    </row>
    <row r="776" spans="1:5">
      <c r="A776" s="84">
        <v>16146</v>
      </c>
      <c r="B776" s="277" t="s">
        <v>635</v>
      </c>
      <c r="C776" s="74" t="s">
        <v>636</v>
      </c>
      <c r="D776" s="74" t="s">
        <v>637</v>
      </c>
      <c r="E776" s="75" t="s">
        <v>827</v>
      </c>
    </row>
    <row r="777" spans="1:5">
      <c r="A777" s="275">
        <v>16158</v>
      </c>
      <c r="B777" s="277" t="s">
        <v>635</v>
      </c>
      <c r="C777" s="74" t="s">
        <v>636</v>
      </c>
      <c r="D777" s="74" t="s">
        <v>637</v>
      </c>
      <c r="E777" s="75" t="s">
        <v>827</v>
      </c>
    </row>
    <row r="778" spans="1:5">
      <c r="A778" s="275">
        <v>16180</v>
      </c>
      <c r="B778" s="277" t="s">
        <v>1065</v>
      </c>
      <c r="C778" s="74" t="s">
        <v>1066</v>
      </c>
      <c r="D778" s="74" t="s">
        <v>1067</v>
      </c>
      <c r="E778" s="75" t="s">
        <v>1068</v>
      </c>
    </row>
    <row r="779" spans="1:5">
      <c r="A779" s="275">
        <v>16195</v>
      </c>
      <c r="B779" s="277" t="s">
        <v>635</v>
      </c>
      <c r="C779" s="74" t="s">
        <v>636</v>
      </c>
      <c r="D779" s="74" t="s">
        <v>637</v>
      </c>
      <c r="E779" s="75" t="s">
        <v>827</v>
      </c>
    </row>
    <row r="780" spans="1:5">
      <c r="A780" s="275">
        <v>16202</v>
      </c>
      <c r="B780" s="277" t="s">
        <v>632</v>
      </c>
      <c r="C780" s="74" t="s">
        <v>633</v>
      </c>
      <c r="D780" s="74" t="s">
        <v>634</v>
      </c>
      <c r="E780" s="75" t="s">
        <v>825</v>
      </c>
    </row>
    <row r="781" spans="1:5">
      <c r="A781" s="84">
        <v>16205</v>
      </c>
      <c r="B781" s="277" t="s">
        <v>822</v>
      </c>
      <c r="C781" s="74" t="s">
        <v>823</v>
      </c>
      <c r="D781" s="74" t="s">
        <v>824</v>
      </c>
      <c r="E781" s="75" t="s">
        <v>826</v>
      </c>
    </row>
    <row r="782" spans="1:5">
      <c r="A782" s="84">
        <v>16210</v>
      </c>
      <c r="B782" s="277" t="s">
        <v>822</v>
      </c>
      <c r="C782" s="74" t="s">
        <v>823</v>
      </c>
      <c r="D782" s="74" t="s">
        <v>824</v>
      </c>
      <c r="E782" s="75" t="s">
        <v>826</v>
      </c>
    </row>
    <row r="783" spans="1:5">
      <c r="A783" s="275">
        <v>16218</v>
      </c>
      <c r="B783" s="277" t="s">
        <v>635</v>
      </c>
      <c r="C783" s="74" t="s">
        <v>636</v>
      </c>
      <c r="D783" s="74" t="s">
        <v>637</v>
      </c>
      <c r="E783" s="75" t="s">
        <v>827</v>
      </c>
    </row>
    <row r="784" spans="1:5">
      <c r="A784" s="275">
        <v>16258</v>
      </c>
      <c r="B784" s="277" t="s">
        <v>1001</v>
      </c>
      <c r="C784" s="74" t="s">
        <v>1003</v>
      </c>
      <c r="D784" s="74" t="s">
        <v>1004</v>
      </c>
      <c r="E784" s="75" t="s">
        <v>1005</v>
      </c>
    </row>
    <row r="785" spans="1:5">
      <c r="A785" s="275">
        <v>16275</v>
      </c>
      <c r="B785" s="277" t="s">
        <v>1042</v>
      </c>
      <c r="C785" s="74" t="s">
        <v>1043</v>
      </c>
      <c r="D785" s="74" t="s">
        <v>1044</v>
      </c>
      <c r="E785" s="75" t="s">
        <v>1045</v>
      </c>
    </row>
    <row r="786" spans="1:5">
      <c r="A786" s="275">
        <v>16287</v>
      </c>
      <c r="B786" s="277" t="s">
        <v>822</v>
      </c>
      <c r="C786" s="74" t="s">
        <v>823</v>
      </c>
      <c r="D786" s="74" t="s">
        <v>824</v>
      </c>
      <c r="E786" s="75" t="s">
        <v>826</v>
      </c>
    </row>
    <row r="787" spans="1:5">
      <c r="A787" s="275">
        <v>16358</v>
      </c>
      <c r="B787" s="277" t="s">
        <v>822</v>
      </c>
      <c r="C787" s="74" t="s">
        <v>823</v>
      </c>
      <c r="D787" s="74" t="s">
        <v>824</v>
      </c>
      <c r="E787" s="75" t="s">
        <v>826</v>
      </c>
    </row>
    <row r="788" spans="1:5">
      <c r="A788" s="275">
        <v>16375</v>
      </c>
      <c r="B788" s="277" t="s">
        <v>632</v>
      </c>
      <c r="C788" s="74" t="s">
        <v>633</v>
      </c>
      <c r="D788" s="74" t="s">
        <v>634</v>
      </c>
      <c r="E788" s="75" t="s">
        <v>825</v>
      </c>
    </row>
    <row r="789" spans="1:5">
      <c r="A789" s="275">
        <v>16390</v>
      </c>
      <c r="B789" s="277" t="s">
        <v>822</v>
      </c>
      <c r="C789" s="74" t="s">
        <v>823</v>
      </c>
      <c r="D789" s="74" t="s">
        <v>824</v>
      </c>
      <c r="E789" s="75" t="s">
        <v>826</v>
      </c>
    </row>
    <row r="790" spans="1:5">
      <c r="A790" s="275">
        <v>16391</v>
      </c>
      <c r="B790" s="277" t="s">
        <v>822</v>
      </c>
      <c r="C790" s="74" t="s">
        <v>823</v>
      </c>
      <c r="D790" s="74" t="s">
        <v>824</v>
      </c>
      <c r="E790" s="75" t="s">
        <v>826</v>
      </c>
    </row>
    <row r="791" spans="1:5">
      <c r="A791" s="275">
        <v>16393</v>
      </c>
      <c r="B791" s="277" t="s">
        <v>1001</v>
      </c>
      <c r="C791" s="74" t="s">
        <v>1003</v>
      </c>
      <c r="D791" s="74" t="s">
        <v>1004</v>
      </c>
      <c r="E791" s="75" t="s">
        <v>1005</v>
      </c>
    </row>
    <row r="792" spans="1:5">
      <c r="A792" s="275">
        <v>16394</v>
      </c>
      <c r="B792" s="277" t="s">
        <v>822</v>
      </c>
      <c r="C792" s="74" t="s">
        <v>823</v>
      </c>
      <c r="D792" s="74" t="s">
        <v>824</v>
      </c>
      <c r="E792" s="75" t="s">
        <v>826</v>
      </c>
    </row>
    <row r="793" spans="1:5">
      <c r="A793" s="275">
        <v>16430</v>
      </c>
      <c r="B793" s="277" t="s">
        <v>635</v>
      </c>
      <c r="C793" s="74" t="s">
        <v>636</v>
      </c>
      <c r="D793" s="74" t="s">
        <v>637</v>
      </c>
      <c r="E793" s="75" t="s">
        <v>827</v>
      </c>
    </row>
    <row r="794" spans="1:5">
      <c r="A794" s="275">
        <v>16451</v>
      </c>
      <c r="B794" s="277" t="s">
        <v>822</v>
      </c>
      <c r="C794" s="74" t="s">
        <v>823</v>
      </c>
      <c r="D794" s="74" t="s">
        <v>824</v>
      </c>
      <c r="E794" s="75" t="s">
        <v>826</v>
      </c>
    </row>
    <row r="795" spans="1:5">
      <c r="A795" s="84">
        <v>16464</v>
      </c>
      <c r="B795" s="89" t="s">
        <v>635</v>
      </c>
      <c r="C795" s="90" t="s">
        <v>636</v>
      </c>
      <c r="D795" s="90" t="s">
        <v>637</v>
      </c>
      <c r="E795" s="24" t="s">
        <v>827</v>
      </c>
    </row>
    <row r="796" spans="1:5">
      <c r="A796" s="84">
        <v>16514</v>
      </c>
      <c r="B796" s="89" t="s">
        <v>1042</v>
      </c>
      <c r="C796" s="90" t="s">
        <v>1043</v>
      </c>
      <c r="D796" s="90" t="s">
        <v>1044</v>
      </c>
      <c r="E796" s="24" t="s">
        <v>1045</v>
      </c>
    </row>
    <row r="797" spans="1:5">
      <c r="A797" s="84">
        <v>16522</v>
      </c>
      <c r="B797" s="89" t="s">
        <v>1001</v>
      </c>
      <c r="C797" s="90" t="s">
        <v>1003</v>
      </c>
      <c r="D797" s="90" t="s">
        <v>1004</v>
      </c>
      <c r="E797" s="24" t="s">
        <v>1005</v>
      </c>
    </row>
    <row r="798" spans="1:5">
      <c r="A798" s="84">
        <v>16546</v>
      </c>
      <c r="B798" s="89" t="s">
        <v>632</v>
      </c>
      <c r="C798" s="90" t="s">
        <v>633</v>
      </c>
      <c r="D798" s="90" t="s">
        <v>634</v>
      </c>
      <c r="E798" s="24" t="s">
        <v>825</v>
      </c>
    </row>
    <row r="799" spans="1:5">
      <c r="A799" s="84">
        <v>16663</v>
      </c>
      <c r="B799" s="89" t="s">
        <v>1001</v>
      </c>
      <c r="C799" s="90" t="s">
        <v>1003</v>
      </c>
      <c r="D799" s="90" t="s">
        <v>1004</v>
      </c>
      <c r="E799" s="24" t="s">
        <v>1005</v>
      </c>
    </row>
    <row r="800" spans="1:5">
      <c r="A800" s="84">
        <v>16665</v>
      </c>
      <c r="B800" s="89" t="s">
        <v>632</v>
      </c>
      <c r="C800" s="90" t="s">
        <v>633</v>
      </c>
      <c r="D800" s="90" t="s">
        <v>634</v>
      </c>
      <c r="E800" s="24" t="s">
        <v>825</v>
      </c>
    </row>
    <row r="801" spans="1:5">
      <c r="A801" s="84">
        <v>16666</v>
      </c>
      <c r="B801" s="89" t="s">
        <v>822</v>
      </c>
      <c r="C801" s="90" t="s">
        <v>823</v>
      </c>
      <c r="D801" s="90" t="s">
        <v>824</v>
      </c>
      <c r="E801" s="24" t="s">
        <v>826</v>
      </c>
    </row>
    <row r="802" spans="1:5">
      <c r="A802" s="84">
        <v>16677</v>
      </c>
      <c r="B802" s="89" t="s">
        <v>632</v>
      </c>
      <c r="C802" s="90" t="s">
        <v>633</v>
      </c>
      <c r="D802" s="90" t="s">
        <v>634</v>
      </c>
      <c r="E802" s="24" t="s">
        <v>825</v>
      </c>
    </row>
    <row r="803" spans="1:5">
      <c r="A803" s="84">
        <v>16730</v>
      </c>
      <c r="B803" s="89" t="s">
        <v>1065</v>
      </c>
      <c r="C803" s="90" t="s">
        <v>1066</v>
      </c>
      <c r="D803" s="90" t="s">
        <v>1067</v>
      </c>
      <c r="E803" s="24" t="s">
        <v>1068</v>
      </c>
    </row>
    <row r="804" spans="1:5">
      <c r="A804" s="84">
        <v>16748</v>
      </c>
      <c r="B804" s="89" t="s">
        <v>1065</v>
      </c>
      <c r="C804" s="90" t="s">
        <v>1066</v>
      </c>
      <c r="D804" s="90" t="s">
        <v>1067</v>
      </c>
      <c r="E804" s="24" t="s">
        <v>1068</v>
      </c>
    </row>
    <row r="805" spans="1:5">
      <c r="A805" s="84">
        <v>16760</v>
      </c>
      <c r="B805" s="89" t="s">
        <v>1065</v>
      </c>
      <c r="C805" s="90" t="s">
        <v>1066</v>
      </c>
      <c r="D805" s="90" t="s">
        <v>1067</v>
      </c>
      <c r="E805" s="24" t="s">
        <v>1068</v>
      </c>
    </row>
    <row r="806" spans="1:5">
      <c r="A806" s="280">
        <v>16775</v>
      </c>
      <c r="B806" s="89" t="s">
        <v>822</v>
      </c>
      <c r="C806" s="90" t="s">
        <v>823</v>
      </c>
      <c r="D806" s="90" t="s">
        <v>824</v>
      </c>
      <c r="E806" s="24" t="s">
        <v>826</v>
      </c>
    </row>
    <row r="807" spans="1:5">
      <c r="A807" s="280">
        <v>16778</v>
      </c>
      <c r="B807" s="89" t="s">
        <v>822</v>
      </c>
      <c r="C807" s="90" t="s">
        <v>823</v>
      </c>
      <c r="D807" s="90" t="s">
        <v>824</v>
      </c>
      <c r="E807" s="24" t="s">
        <v>826</v>
      </c>
    </row>
    <row r="808" spans="1:5">
      <c r="A808" s="84">
        <v>16796</v>
      </c>
      <c r="B808" s="89" t="s">
        <v>1042</v>
      </c>
      <c r="C808" s="90" t="s">
        <v>1043</v>
      </c>
      <c r="D808" s="90" t="s">
        <v>1044</v>
      </c>
      <c r="E808" s="24" t="s">
        <v>1045</v>
      </c>
    </row>
    <row r="809" spans="1:5">
      <c r="A809" s="84">
        <v>16820</v>
      </c>
      <c r="B809" s="89" t="s">
        <v>632</v>
      </c>
      <c r="C809" s="90" t="s">
        <v>633</v>
      </c>
      <c r="D809" s="90" t="s">
        <v>634</v>
      </c>
      <c r="E809" s="24" t="s">
        <v>825</v>
      </c>
    </row>
    <row r="810" spans="1:5">
      <c r="A810" s="84">
        <v>16854</v>
      </c>
      <c r="B810" s="89" t="s">
        <v>1065</v>
      </c>
      <c r="C810" s="90" t="s">
        <v>1066</v>
      </c>
      <c r="D810" s="90" t="s">
        <v>1067</v>
      </c>
      <c r="E810" s="24" t="s">
        <v>1068</v>
      </c>
    </row>
    <row r="811" spans="1:5">
      <c r="A811" s="84">
        <v>16917</v>
      </c>
      <c r="B811" s="89" t="s">
        <v>1042</v>
      </c>
      <c r="C811" s="90" t="s">
        <v>1043</v>
      </c>
      <c r="D811" s="90" t="s">
        <v>1044</v>
      </c>
      <c r="E811" s="24" t="s">
        <v>1045</v>
      </c>
    </row>
    <row r="812" spans="1:5">
      <c r="A812" s="84">
        <v>17024</v>
      </c>
      <c r="B812" s="89" t="s">
        <v>1001</v>
      </c>
      <c r="C812" s="90" t="s">
        <v>1003</v>
      </c>
      <c r="D812" s="90" t="s">
        <v>1004</v>
      </c>
      <c r="E812" s="24" t="s">
        <v>1005</v>
      </c>
    </row>
    <row r="813" spans="1:5">
      <c r="A813" s="84">
        <v>17026</v>
      </c>
      <c r="B813" s="89" t="s">
        <v>632</v>
      </c>
      <c r="C813" s="90" t="s">
        <v>633</v>
      </c>
      <c r="D813" s="90" t="s">
        <v>634</v>
      </c>
      <c r="E813" s="24" t="s">
        <v>825</v>
      </c>
    </row>
    <row r="814" spans="1:5">
      <c r="A814" s="84">
        <v>17039</v>
      </c>
      <c r="B814" s="89" t="s">
        <v>1001</v>
      </c>
      <c r="C814" s="90" t="s">
        <v>1003</v>
      </c>
      <c r="D814" s="90" t="s">
        <v>1004</v>
      </c>
      <c r="E814" s="24" t="s">
        <v>1005</v>
      </c>
    </row>
    <row r="815" spans="1:5">
      <c r="A815" s="84">
        <v>17060</v>
      </c>
      <c r="B815" s="89" t="s">
        <v>635</v>
      </c>
      <c r="C815" s="90" t="s">
        <v>636</v>
      </c>
      <c r="D815" s="90" t="s">
        <v>637</v>
      </c>
      <c r="E815" s="24" t="s">
        <v>827</v>
      </c>
    </row>
    <row r="816" spans="1:5">
      <c r="A816" s="84">
        <v>17111</v>
      </c>
      <c r="B816" s="89" t="s">
        <v>632</v>
      </c>
      <c r="C816" s="90" t="s">
        <v>633</v>
      </c>
      <c r="D816" s="90" t="s">
        <v>634</v>
      </c>
      <c r="E816" s="24" t="s">
        <v>825</v>
      </c>
    </row>
    <row r="817" spans="1:5">
      <c r="A817" s="84">
        <v>17146</v>
      </c>
      <c r="B817" s="89" t="s">
        <v>632</v>
      </c>
      <c r="C817" s="90" t="s">
        <v>633</v>
      </c>
      <c r="D817" s="90" t="s">
        <v>634</v>
      </c>
      <c r="E817" s="24" t="s">
        <v>825</v>
      </c>
    </row>
    <row r="818" spans="1:5">
      <c r="A818" s="84">
        <v>17154</v>
      </c>
      <c r="B818" s="89" t="s">
        <v>632</v>
      </c>
      <c r="C818" s="90" t="s">
        <v>633</v>
      </c>
      <c r="D818" s="90" t="s">
        <v>634</v>
      </c>
      <c r="E818" s="24" t="s">
        <v>825</v>
      </c>
    </row>
    <row r="819" spans="1:5">
      <c r="A819" s="84">
        <v>17179</v>
      </c>
      <c r="B819" s="89" t="s">
        <v>1065</v>
      </c>
      <c r="C819" s="90" t="s">
        <v>1066</v>
      </c>
      <c r="D819" s="90" t="s">
        <v>1067</v>
      </c>
      <c r="E819" s="24" t="s">
        <v>1068</v>
      </c>
    </row>
    <row r="820" spans="1:5">
      <c r="A820" s="84">
        <v>17196</v>
      </c>
      <c r="B820" s="89" t="s">
        <v>1001</v>
      </c>
      <c r="C820" s="90" t="s">
        <v>1003</v>
      </c>
      <c r="D820" s="90" t="s">
        <v>1004</v>
      </c>
      <c r="E820" s="24" t="s">
        <v>1005</v>
      </c>
    </row>
    <row r="821" spans="1:5">
      <c r="A821" s="84">
        <v>17204</v>
      </c>
      <c r="B821" s="89" t="s">
        <v>822</v>
      </c>
      <c r="C821" s="90" t="s">
        <v>823</v>
      </c>
      <c r="D821" s="90" t="s">
        <v>824</v>
      </c>
      <c r="E821" s="24" t="s">
        <v>826</v>
      </c>
    </row>
    <row r="822" spans="1:5">
      <c r="A822" s="84">
        <v>17224</v>
      </c>
      <c r="B822" s="89" t="s">
        <v>635</v>
      </c>
      <c r="C822" s="90" t="s">
        <v>636</v>
      </c>
      <c r="D822" s="90" t="s">
        <v>637</v>
      </c>
      <c r="E822" s="24" t="s">
        <v>827</v>
      </c>
    </row>
    <row r="823" spans="1:5">
      <c r="A823" s="84">
        <v>17225</v>
      </c>
      <c r="B823" s="89" t="s">
        <v>635</v>
      </c>
      <c r="C823" s="90" t="s">
        <v>636</v>
      </c>
      <c r="D823" s="90" t="s">
        <v>637</v>
      </c>
      <c r="E823" s="24" t="s">
        <v>827</v>
      </c>
    </row>
    <row r="824" spans="1:5">
      <c r="A824" s="84">
        <v>17304</v>
      </c>
      <c r="B824" s="89" t="s">
        <v>632</v>
      </c>
      <c r="C824" s="90" t="s">
        <v>633</v>
      </c>
      <c r="D824" s="90" t="s">
        <v>634</v>
      </c>
      <c r="E824" s="24" t="s">
        <v>825</v>
      </c>
    </row>
    <row r="825" spans="1:5">
      <c r="A825" s="84">
        <v>17314</v>
      </c>
      <c r="B825" s="89" t="s">
        <v>1065</v>
      </c>
      <c r="C825" s="90" t="s">
        <v>1066</v>
      </c>
      <c r="D825" s="90" t="s">
        <v>1067</v>
      </c>
      <c r="E825" s="24" t="s">
        <v>1068</v>
      </c>
    </row>
    <row r="826" spans="1:5">
      <c r="A826" s="84">
        <v>17404</v>
      </c>
      <c r="B826" s="89" t="s">
        <v>1001</v>
      </c>
      <c r="C826" s="90" t="s">
        <v>1003</v>
      </c>
      <c r="D826" s="90" t="s">
        <v>1004</v>
      </c>
      <c r="E826" s="24" t="s">
        <v>1005</v>
      </c>
    </row>
    <row r="827" spans="1:5">
      <c r="A827" s="84">
        <v>17410</v>
      </c>
      <c r="B827" s="89" t="s">
        <v>1001</v>
      </c>
      <c r="C827" s="90" t="s">
        <v>1003</v>
      </c>
      <c r="D827" s="90" t="s">
        <v>1004</v>
      </c>
      <c r="E827" s="24" t="s">
        <v>1005</v>
      </c>
    </row>
    <row r="828" spans="1:5">
      <c r="A828" s="84">
        <v>17420</v>
      </c>
      <c r="B828" s="89" t="s">
        <v>822</v>
      </c>
      <c r="C828" s="90" t="s">
        <v>823</v>
      </c>
      <c r="D828" s="90" t="s">
        <v>824</v>
      </c>
      <c r="E828" s="24" t="s">
        <v>826</v>
      </c>
    </row>
    <row r="829" spans="1:5">
      <c r="A829" s="84">
        <v>17449</v>
      </c>
      <c r="B829" s="89" t="s">
        <v>822</v>
      </c>
      <c r="C829" s="90" t="s">
        <v>823</v>
      </c>
      <c r="D829" s="90" t="s">
        <v>824</v>
      </c>
      <c r="E829" s="24" t="s">
        <v>826</v>
      </c>
    </row>
    <row r="830" spans="1:5">
      <c r="A830" s="84">
        <v>17470</v>
      </c>
      <c r="B830" s="89" t="s">
        <v>1063</v>
      </c>
      <c r="C830" s="90" t="s">
        <v>1006</v>
      </c>
      <c r="D830" s="90" t="s">
        <v>1007</v>
      </c>
      <c r="E830" s="24" t="s">
        <v>1008</v>
      </c>
    </row>
    <row r="831" spans="1:5">
      <c r="A831" s="84">
        <v>17492</v>
      </c>
      <c r="B831" s="89" t="s">
        <v>1065</v>
      </c>
      <c r="C831" s="90" t="s">
        <v>1066</v>
      </c>
      <c r="D831" s="90" t="s">
        <v>1067</v>
      </c>
      <c r="E831" s="24" t="s">
        <v>1068</v>
      </c>
    </row>
    <row r="832" spans="1:5">
      <c r="A832" s="84">
        <v>17583</v>
      </c>
      <c r="B832" s="89" t="s">
        <v>822</v>
      </c>
      <c r="C832" s="90" t="s">
        <v>823</v>
      </c>
      <c r="D832" s="90" t="s">
        <v>824</v>
      </c>
      <c r="E832" s="24" t="s">
        <v>826</v>
      </c>
    </row>
    <row r="833" spans="1:5">
      <c r="A833" s="84">
        <v>17629</v>
      </c>
      <c r="B833" s="89" t="s">
        <v>635</v>
      </c>
      <c r="C833" s="90" t="s">
        <v>636</v>
      </c>
      <c r="D833" s="90" t="s">
        <v>637</v>
      </c>
      <c r="E833" s="24" t="s">
        <v>827</v>
      </c>
    </row>
    <row r="834" spans="1:5">
      <c r="A834" s="84">
        <v>17653</v>
      </c>
      <c r="B834" s="89" t="s">
        <v>635</v>
      </c>
      <c r="C834" s="90" t="s">
        <v>636</v>
      </c>
      <c r="D834" s="90" t="s">
        <v>637</v>
      </c>
      <c r="E834" s="24" t="s">
        <v>827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</hyperlinks>
  <printOptions horizontalCentered="1"/>
  <pageMargins left="0.5" right="0.5" top="0.81" bottom="0.49" header="0.28000000000000003" footer="0.26"/>
  <pageSetup scale="70" orientation="landscape" horizontalDpi="360" verticalDpi="360" r:id="rId108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2785</v>
      </c>
      <c r="B3" t="str">
        <f>IF(ISNA(VLOOKUP($A3,Councils!$B$6:$AE$841,3,0)),0,VLOOKUP($A3,Councils!$B$6:$AE$841,3,0))</f>
        <v>Harlingen</v>
      </c>
      <c r="C3">
        <f>IF(ISNA(VLOOKUP($A3,Councils!$B$6:$AE$841,4,0)),0,VLOOKUP($A3,Councils!$B$6:$AE$841,4,0))</f>
        <v>191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0.66666666666666663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4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9283</v>
      </c>
      <c r="B4" t="str">
        <f>IF(ISNA(VLOOKUP($A4,Councils!$B$6:$AE$841,3,0)),0,VLOOKUP($A4,Councils!$B$6:$AE$841,3,0))</f>
        <v>Raymondville</v>
      </c>
      <c r="C4">
        <f>IF(ISNA(VLOOKUP($A4,Councils!$B$6:$AE$841,4,0)),0,VLOOKUP($A4,Councils!$B$6:$AE$841,4,0))</f>
        <v>57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12337</v>
      </c>
      <c r="B5" t="str">
        <f>IF(ISNA(VLOOKUP($A5,Councils!$B$6:$AE$841,3,0)),0,VLOOKUP($A5,Councils!$B$6:$AE$841,3,0))</f>
        <v>Harlingen</v>
      </c>
      <c r="C5">
        <f>IF(ISNA(VLOOKUP($A5,Councils!$B$6:$AE$841,4,0)),0,VLOOKUP($A5,Councils!$B$6:$AE$841,4,0))</f>
        <v>34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9791</v>
      </c>
      <c r="B3" t="str">
        <f>IF(ISNA(VLOOKUP($A3,Councils!$B$6:$AE$841,3,0)),0,VLOOKUP($A3,Councils!$B$6:$AE$841,3,0))</f>
        <v>Pharr</v>
      </c>
      <c r="C3">
        <f>IF(ISNA(VLOOKUP($A3,Councils!$B$6:$AE$841,4,0)),0,VLOOKUP($A3,Councils!$B$6:$AE$841,4,0))</f>
        <v>52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11980</v>
      </c>
      <c r="B4" t="str">
        <f>IF(ISNA(VLOOKUP($A4,Councils!$B$6:$AE$841,3,0)),0,VLOOKUP($A4,Councils!$B$6:$AE$841,3,0))</f>
        <v>Hidalgo</v>
      </c>
      <c r="C4">
        <f>IF(ISNA(VLOOKUP($A4,Councils!$B$6:$AE$841,4,0)),0,VLOOKUP($A4,Councils!$B$6:$AE$841,4,0))</f>
        <v>97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-2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-3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12776</v>
      </c>
      <c r="B5" t="str">
        <f>IF(ISNA(VLOOKUP($A5,Councils!$B$6:$AE$841,3,0)),0,VLOOKUP($A5,Councils!$B$6:$AE$841,3,0))</f>
        <v>Pharr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16796</v>
      </c>
      <c r="B6" t="str">
        <f>IF(ISNA(VLOOKUP($A6,Councils!$B$6:$AE$841,3,0)),0,VLOOKUP($A6,Councils!$B$6:$AE$841,3,0))</f>
        <v>Las Milpas-Pharr</v>
      </c>
      <c r="C6">
        <f>IF(ISNA(VLOOKUP($A6,Councils!$B$6:$AE$841,4,0)),0,VLOOKUP($A6,Councils!$B$6:$AE$841,4,0))</f>
        <v>61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12135</v>
      </c>
      <c r="B3" t="str">
        <f>IF(ISNA(VLOOKUP($A3,Councils!$B$6:$AE$841,3,0)),0,VLOOKUP($A3,Councils!$B$6:$AE$841,3,0))</f>
        <v>La Feria</v>
      </c>
      <c r="C3">
        <f>IF(ISNA(VLOOKUP($A3,Councils!$B$6:$AE$841,4,0)),0,VLOOKUP($A3,Councils!$B$6:$AE$841,4,0))</f>
        <v>73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12234</v>
      </c>
      <c r="B4" t="str">
        <f>IF(ISNA(VLOOKUP($A4,Councils!$B$6:$AE$841,3,0)),0,VLOOKUP($A4,Councils!$B$6:$AE$841,3,0))</f>
        <v>Mcallen</v>
      </c>
      <c r="C4">
        <f>IF(ISNA(VLOOKUP($A4,Councils!$B$6:$AE$841,4,0)),0,VLOOKUP($A4,Councils!$B$6:$AE$841,4,0))</f>
        <v>88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13135</v>
      </c>
      <c r="B5" t="str">
        <f>IF(ISNA(VLOOKUP($A5,Councils!$B$6:$AE$841,3,0)),0,VLOOKUP($A5,Councils!$B$6:$AE$841,3,0))</f>
        <v>Progreso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13173</v>
      </c>
      <c r="B6" t="str">
        <f>IF(ISNA(VLOOKUP($A6,Councils!$B$6:$AE$841,3,0)),0,VLOOKUP($A6,Councils!$B$6:$AE$841,3,0))</f>
        <v>Mercedes</v>
      </c>
      <c r="C6">
        <f>IF(ISNA(VLOOKUP($A6,Councils!$B$6:$AE$841,4,0)),0,VLOOKUP($A6,Councils!$B$6:$AE$841,4,0))</f>
        <v>25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10600</v>
      </c>
      <c r="B3" t="str">
        <f>IF(ISNA(VLOOKUP($A3,Councils!$B$6:$AE$841,3,0)),0,VLOOKUP($A3,Councils!$B$6:$AE$841,3,0))</f>
        <v>Edinburg</v>
      </c>
      <c r="C3">
        <f>IF(ISNA(VLOOKUP($A3,Councils!$B$6:$AE$841,4,0)),0,VLOOKUP($A3,Councils!$B$6:$AE$841,4,0))</f>
        <v>22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12789</v>
      </c>
      <c r="B4" t="str">
        <f>IF(ISNA(VLOOKUP($A4,Councils!$B$6:$AE$841,3,0)),0,VLOOKUP($A4,Councils!$B$6:$AE$841,3,0))</f>
        <v>Mc Allen</v>
      </c>
      <c r="C4">
        <f>IF(ISNA(VLOOKUP($A4,Councils!$B$6:$AE$841,4,0)),0,VLOOKUP($A4,Councils!$B$6:$AE$841,4,0))</f>
        <v>129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13287</v>
      </c>
      <c r="B5" t="str">
        <f>IF(ISNA(VLOOKUP($A5,Councils!$B$6:$AE$841,3,0)),0,VLOOKUP($A5,Councils!$B$6:$AE$841,3,0))</f>
        <v>Mc Allen</v>
      </c>
      <c r="C5">
        <f>IF(ISNA(VLOOKUP($A5,Councils!$B$6:$AE$841,4,0)),0,VLOOKUP($A5,Councils!$B$6:$AE$841,4,0))</f>
        <v>27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13876</v>
      </c>
      <c r="B6" t="str">
        <f>IF(ISNA(VLOOKUP($A6,Councils!$B$6:$AE$841,3,0)),0,VLOOKUP($A6,Councils!$B$6:$AE$841,3,0))</f>
        <v>Mission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8744</v>
      </c>
      <c r="B3" t="str">
        <f>IF(ISNA(VLOOKUP($A3,Councils!$B$6:$AE$841,3,0)),0,VLOOKUP($A3,Councils!$B$6:$AE$841,3,0))</f>
        <v>Stanton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9130</v>
      </c>
      <c r="B4" t="str">
        <f>IF(ISNA(VLOOKUP($A4,Councils!$B$6:$AE$841,3,0)),0,VLOOKUP($A4,Councils!$B$6:$AE$841,3,0))</f>
        <v>Big Spring</v>
      </c>
      <c r="C4">
        <f>IF(ISNA(VLOOKUP($A4,Councils!$B$6:$AE$841,4,0)),0,VLOOKUP($A4,Councils!$B$6:$AE$841,4,0))</f>
        <v>52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1.3333333333333333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9215</v>
      </c>
      <c r="B5" t="str">
        <f>IF(ISNA(VLOOKUP($A5,Councils!$B$6:$AE$841,3,0)),0,VLOOKUP($A5,Councils!$B$6:$AE$841,3,0))</f>
        <v>Midland</v>
      </c>
      <c r="C5">
        <f>IF(ISNA(VLOOKUP($A5,Councils!$B$6:$AE$841,4,0)),0,VLOOKUP($A5,Councils!$B$6:$AE$841,4,0))</f>
        <v>129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76">
        <v>16391</v>
      </c>
      <c r="B6" t="str">
        <f>IF(ISNA(VLOOKUP($A6,Councils!$B$6:$AE$841,3,0)),0,VLOOKUP($A6,Councils!$B$6:$AE$841,3,0))</f>
        <v>Midland</v>
      </c>
      <c r="C6">
        <f>IF(ISNA(VLOOKUP($A6,Councils!$B$6:$AE$841,4,0)),0,VLOOKUP($A6,Councils!$B$6:$AE$841,4,0))</f>
        <v>80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0.25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3203</v>
      </c>
      <c r="B3" t="str">
        <f>IF(ISNA(VLOOKUP($A3,Councils!$B$6:$AE$841,3,0)),0,VLOOKUP($A3,Councils!$B$6:$AE$841,3,0))</f>
        <v>Odessa</v>
      </c>
      <c r="C3">
        <f>IF(ISNA(VLOOKUP($A3,Councils!$B$6:$AE$841,4,0)),0,VLOOKUP($A3,Councils!$B$6:$AE$841,4,0))</f>
        <v>192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9674</v>
      </c>
      <c r="B4" t="str">
        <f>IF(ISNA(VLOOKUP($A4,Councils!$B$6:$AE$841,3,0)),0,VLOOKUP($A4,Councils!$B$6:$AE$841,3,0))</f>
        <v>Fort Stockton</v>
      </c>
      <c r="C4">
        <f>IF(ISNA(VLOOKUP($A4,Councils!$B$6:$AE$841,4,0)),0,VLOOKUP($A4,Councils!$B$6:$AE$841,4,0))</f>
        <v>58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6</v>
      </c>
      <c r="K4" s="63">
        <f>IFERROR(J4/D4,0)</f>
        <v>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10404</v>
      </c>
      <c r="B5" t="str">
        <f>IF(ISNA(VLOOKUP($A5,Councils!$B$6:$AE$841,3,0)),0,VLOOKUP($A5,Councils!$B$6:$AE$841,3,0))</f>
        <v>Odessa</v>
      </c>
      <c r="C5">
        <f>IF(ISNA(VLOOKUP($A5,Councils!$B$6:$AE$841,4,0)),0,VLOOKUP($A5,Councils!$B$6:$AE$841,4,0))</f>
        <v>58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1.3333333333333333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76">
        <v>16390</v>
      </c>
      <c r="B6" t="str">
        <f>IF(ISNA(VLOOKUP($A6,Councils!$B$6:$AE$841,3,0)),0,VLOOKUP($A6,Councils!$B$6:$AE$841,3,0))</f>
        <v>Crane</v>
      </c>
      <c r="C6">
        <f>IF(ISNA(VLOOKUP($A6,Councils!$B$6:$AE$841,4,0)),0,VLOOKUP($A6,Councils!$B$6:$AE$841,4,0))</f>
        <v>31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7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3071</v>
      </c>
      <c r="B3" t="str">
        <f>IF(ISNA(VLOOKUP($A3,Councils!$B$6:$AE$841,3,0)),0,VLOOKUP($A3,Councils!$B$6:$AE$841,3,0))</f>
        <v>Midland</v>
      </c>
      <c r="C3">
        <f>IF(ISNA(VLOOKUP($A3,Councils!$B$6:$AE$841,4,0)),0,VLOOKUP($A3,Councils!$B$6:$AE$841,4,0))</f>
        <v>284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-4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8773</v>
      </c>
      <c r="B4" t="str">
        <f>IF(ISNA(VLOOKUP($A4,Councils!$B$6:$AE$841,3,0)),0,VLOOKUP($A4,Councils!$B$6:$AE$841,3,0))</f>
        <v>Odessa</v>
      </c>
      <c r="C4">
        <f>IF(ISNA(VLOOKUP($A4,Councils!$B$6:$AE$841,4,0)),0,VLOOKUP($A4,Councils!$B$6:$AE$841,4,0))</f>
        <v>151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50">
        <v>12657</v>
      </c>
      <c r="B5" t="str">
        <f>IF(ISNA(VLOOKUP($A5,Councils!$B$6:$AE$841,3,0)),0,VLOOKUP($A5,Councils!$B$6:$AE$841,3,0))</f>
        <v>Midland</v>
      </c>
      <c r="C5">
        <f>IF(ISNA(VLOOKUP($A5,Councils!$B$6:$AE$841,4,0)),0,VLOOKUP($A5,Councils!$B$6:$AE$841,4,0))</f>
        <v>216</v>
      </c>
      <c r="D5">
        <f>IF(ISNA(VLOOKUP($A5,Councils!$B$6:$AE$841,5,0)),0,VLOOKUP($A5,Councils!$B$6:$AE$841,5,0))</f>
        <v>11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9.0909090909090912E-2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  <row r="6" spans="1:22">
      <c r="A6" s="50">
        <v>14412</v>
      </c>
      <c r="B6" t="str">
        <f>IF(ISNA(VLOOKUP($A6,Councils!$B$6:$AE$841,3,0)),0,VLOOKUP($A6,Councils!$B$6:$AE$841,3,0))</f>
        <v>Andrews</v>
      </c>
      <c r="C6">
        <f>IF(ISNA(VLOOKUP($A6,Councils!$B$6:$AE$841,4,0)),0,VLOOKUP($A6,Councils!$B$6:$AE$841,4,0))</f>
        <v>81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  <row r="7" spans="1:22">
      <c r="K7" s="63"/>
      <c r="T7" s="63"/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2136</v>
      </c>
      <c r="B3" t="str">
        <f>IF(ISNA(VLOOKUP($A3,Councils!$B$6:$AE$841,3,0)),0,VLOOKUP($A3,Councils!$B$6:$AE$841,3,0))</f>
        <v>San Angelo</v>
      </c>
      <c r="C3">
        <f>IF(ISNA(VLOOKUP($A3,Councils!$B$6:$AE$841,4,0)),0,VLOOKUP($A3,Councils!$B$6:$AE$841,4,0))</f>
        <v>193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12008</v>
      </c>
      <c r="B4" t="str">
        <f>IF(ISNA(VLOOKUP($A4,Councils!$B$6:$AE$841,3,0)),0,VLOOKUP($A4,Councils!$B$6:$AE$841,3,0))</f>
        <v>San Angelo</v>
      </c>
      <c r="C4">
        <f>IF(ISNA(VLOOKUP($A4,Councils!$B$6:$AE$841,4,0)),0,VLOOKUP($A4,Councils!$B$6:$AE$841,4,0))</f>
        <v>124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0.16666666666666666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12798</v>
      </c>
      <c r="B5" t="str">
        <f>IF(ISNA(VLOOKUP($A5,Councils!$B$6:$AE$841,3,0)),0,VLOOKUP($A5,Councils!$B$6:$AE$841,3,0))</f>
        <v>San Angelo</v>
      </c>
      <c r="C5">
        <f>IF(ISNA(VLOOKUP($A5,Councils!$B$6:$AE$841,4,0)),0,VLOOKUP($A5,Councils!$B$6:$AE$841,4,0))</f>
        <v>89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50">
        <v>13514</v>
      </c>
      <c r="B6" t="str">
        <f>IF(ISNA(VLOOKUP($A6,Councils!$B$6:$AE$841,3,0)),0,VLOOKUP($A6,Councils!$B$6:$AE$841,3,0))</f>
        <v>San Angelo</v>
      </c>
      <c r="C6">
        <f>IF(ISNA(VLOOKUP($A6,Councils!$B$6:$AE$841,4,0)),0,VLOOKUP($A6,Councils!$B$6:$AE$841,4,0))</f>
        <v>121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0.16666666666666666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  <row r="7" spans="1:22">
      <c r="A7" s="50">
        <v>17204</v>
      </c>
      <c r="B7" t="str">
        <f>IF(ISNA(VLOOKUP($A7,Councils!$B$6:$AE$841,3,0)),0,VLOOKUP($A7,Councils!$B$6:$AE$841,3,0))</f>
        <v>San Angelo</v>
      </c>
      <c r="C7">
        <f>IF(ISNA(VLOOKUP($A7,Councils!$B$6:$AE$841,4,0)),0,VLOOKUP($A7,Councils!$B$6:$AE$841,4,0))</f>
        <v>31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2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2</v>
      </c>
      <c r="K7" s="63">
        <f>IFERROR(J7/D7,0)</f>
        <v>0.66666666666666663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8572</v>
      </c>
      <c r="B3" t="str">
        <f>IF(ISNA(VLOOKUP($A3,Councils!$B$6:$AE$841,3,0)),0,VLOOKUP($A3,Councils!$B$6:$AE$841,3,0))</f>
        <v>Ozona</v>
      </c>
      <c r="C3">
        <f>IF(ISNA(VLOOKUP($A3,Councils!$B$6:$AE$841,4,0)),0,VLOOKUP($A3,Councils!$B$6:$AE$841,4,0))</f>
        <v>80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10609</v>
      </c>
      <c r="B4" t="str">
        <f>IF(ISNA(VLOOKUP($A4,Councils!$B$6:$AE$841,3,0)),0,VLOOKUP($A4,Councils!$B$6:$AE$841,3,0))</f>
        <v>Sonora</v>
      </c>
      <c r="C4">
        <f>IF(ISNA(VLOOKUP($A4,Councils!$B$6:$AE$841,4,0)),0,VLOOKUP($A4,Councils!$B$6:$AE$841,4,0))</f>
        <v>90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11282</v>
      </c>
      <c r="B5" t="str">
        <f>IF(ISNA(VLOOKUP($A5,Councils!$B$6:$AE$841,3,0)),0,VLOOKUP($A5,Councils!$B$6:$AE$841,3,0))</f>
        <v>Eldorado</v>
      </c>
      <c r="C5">
        <f>IF(ISNA(VLOOKUP($A5,Councils!$B$6:$AE$841,4,0)),0,VLOOKUP($A5,Councils!$B$6:$AE$841,4,0))</f>
        <v>41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2636</v>
      </c>
      <c r="B3" t="str">
        <f>IF(ISNA(VLOOKUP($A3,Councils!$B$6:$AE$841,3,0)),0,VLOOKUP($A3,Councils!$B$6:$AE$841,3,0))</f>
        <v>Rowena</v>
      </c>
      <c r="C3">
        <f>IF(ISNA(VLOOKUP($A3,Councils!$B$6:$AE$841,4,0)),0,VLOOKUP($A3,Councils!$B$6:$AE$841,4,0))</f>
        <v>84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2772</v>
      </c>
      <c r="B4" t="str">
        <f>IF(ISNA(VLOOKUP($A4,Councils!$B$6:$AE$841,3,0)),0,VLOOKUP($A4,Councils!$B$6:$AE$841,3,0))</f>
        <v>Olfen</v>
      </c>
      <c r="C4">
        <f>IF(ISNA(VLOOKUP($A4,Councils!$B$6:$AE$841,4,0)),0,VLOOKUP($A4,Councils!$B$6:$AE$841,4,0))</f>
        <v>45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6811</v>
      </c>
      <c r="B5" t="str">
        <f>IF(ISNA(VLOOKUP($A5,Councils!$B$6:$AE$841,3,0)),0,VLOOKUP($A5,Councils!$B$6:$AE$841,3,0))</f>
        <v>Miles</v>
      </c>
      <c r="C5">
        <f>IF(ISNA(VLOOKUP($A5,Councils!$B$6:$AE$841,4,0)),0,VLOOKUP($A5,Councils!$B$6:$AE$841,4,0))</f>
        <v>73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50">
        <v>10985</v>
      </c>
      <c r="B6" t="str">
        <f>IF(ISNA(VLOOKUP($A6,Councils!$B$6:$AE$841,3,0)),0,VLOOKUP($A6,Councils!$B$6:$AE$841,3,0))</f>
        <v>Ballinger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0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Rafael 'RC' Canamar</v>
      </c>
      <c r="B5" s="24">
        <v>64</v>
      </c>
      <c r="C5" s="85">
        <f>IF(ISNA(VLOOKUP($B5,DD_Info!$A$2:$F$221,5,0)),0,VLOOKUP($B5,DD_Info!$A$2:$F$221,5,0))</f>
        <v>3</v>
      </c>
      <c r="D5" s="62">
        <f>Districts!C64</f>
        <v>123</v>
      </c>
      <c r="E5" s="62">
        <f>Districts!D64</f>
        <v>4</v>
      </c>
      <c r="F5" s="62">
        <f>Districts!E64</f>
        <v>0</v>
      </c>
      <c r="G5" s="62">
        <f>Districts!F64</f>
        <v>0</v>
      </c>
      <c r="H5" s="62">
        <f>Districts!G64</f>
        <v>0</v>
      </c>
      <c r="J5" s="62">
        <f>Districts!H64</f>
        <v>0</v>
      </c>
      <c r="K5" s="62">
        <f>Districts!I64</f>
        <v>0</v>
      </c>
      <c r="L5" s="62">
        <f>Districts!J64</f>
        <v>0</v>
      </c>
      <c r="M5" s="61">
        <f>IFERROR(L5/E5,0)</f>
        <v>0</v>
      </c>
      <c r="N5">
        <f ca="1">IF(ISNA(VLOOKUP($Z5,'DD Mbr'!$A$2:$N$212,14,0)),0,VLOOKUP($Z5,'DD Mbr'!$A$2:$N$212,14,0))</f>
        <v>127</v>
      </c>
      <c r="P5" s="62">
        <f>Districts!L64</f>
        <v>0</v>
      </c>
      <c r="Q5" s="62">
        <f>Districts!M64</f>
        <v>0</v>
      </c>
      <c r="R5" s="62">
        <f>Districts!N64</f>
        <v>0</v>
      </c>
      <c r="S5" s="62">
        <f>Districts!O64</f>
        <v>0</v>
      </c>
      <c r="U5" s="62">
        <f>Districts!P64</f>
        <v>0</v>
      </c>
      <c r="V5" s="62">
        <f>Districts!Q64</f>
        <v>0</v>
      </c>
      <c r="W5" s="62">
        <f>Districts!R64</f>
        <v>0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64</v>
      </c>
    </row>
    <row r="6" spans="1:26">
      <c r="A6" t="str">
        <f>IF(ISNA(VLOOKUP($B6,DD_Info!$A$2:$F$221,2,0)),0,VLOOKUP($B6,DD_Info!$A$2:$F$221,2,0))</f>
        <v>Erubiel Chaires</v>
      </c>
      <c r="B6" s="24">
        <v>65</v>
      </c>
      <c r="C6" s="85">
        <f>IF(ISNA(VLOOKUP($B6,DD_Info!$A$2:$F$221,5,0)),0,VLOOKUP($B6,DD_Info!$A$2:$F$221,5,0))</f>
        <v>3</v>
      </c>
      <c r="D6" s="62">
        <f>Districts!C65</f>
        <v>128</v>
      </c>
      <c r="E6" s="62">
        <f>Districts!D65</f>
        <v>6</v>
      </c>
      <c r="F6" s="62">
        <f>Districts!E65</f>
        <v>0</v>
      </c>
      <c r="G6" s="62">
        <f>Districts!F65</f>
        <v>0</v>
      </c>
      <c r="H6" s="62">
        <f>Districts!G65</f>
        <v>0</v>
      </c>
      <c r="J6" s="62">
        <f>Districts!H65</f>
        <v>0</v>
      </c>
      <c r="K6" s="62">
        <f>Districts!I65</f>
        <v>0</v>
      </c>
      <c r="L6" s="62">
        <f>Districts!J65</f>
        <v>0</v>
      </c>
      <c r="M6" s="61">
        <f>IFERROR(L6/E6,0)</f>
        <v>0</v>
      </c>
      <c r="N6">
        <f>IF(ISNA(VLOOKUP($Z6,'DD Mbr'!$A$2:$N$212,14,0)),0,VLOOKUP($Z6,'DD Mbr'!$A$2:$N$212,14,0))</f>
        <v>0</v>
      </c>
      <c r="P6" s="62">
        <f>Districts!L65</f>
        <v>0</v>
      </c>
      <c r="Q6" s="62">
        <f>Districts!M65</f>
        <v>0</v>
      </c>
      <c r="R6" s="62">
        <f>Districts!N65</f>
        <v>1</v>
      </c>
      <c r="S6" s="62">
        <f>Districts!O65</f>
        <v>-1</v>
      </c>
      <c r="U6" s="62">
        <f>Districts!P65</f>
        <v>0</v>
      </c>
      <c r="V6" s="62">
        <f>Districts!Q65</f>
        <v>1</v>
      </c>
      <c r="W6" s="62">
        <f>Districts!R65</f>
        <v>-1</v>
      </c>
      <c r="X6" s="61">
        <f>IFERROR(W6/P6,0)</f>
        <v>0</v>
      </c>
      <c r="Y6">
        <f>IF(ISNA(VLOOKUP($Z6,'DD Ins'!$A$2:$N$217,14,0)),0,VLOOKUP($Z6,'DD Ins'!$A$2:$N$217,14,0))</f>
        <v>0</v>
      </c>
      <c r="Z6">
        <f>+B6</f>
        <v>65</v>
      </c>
    </row>
    <row r="7" spans="1:26">
      <c r="A7" t="str">
        <f>IF(ISNA(VLOOKUP($B7,DD_Info!$A$2:$F$221,2,0)),0,VLOOKUP($B7,DD_Info!$A$2:$F$221,2,0))</f>
        <v>Mark L Jasek</v>
      </c>
      <c r="B7" s="24">
        <v>66</v>
      </c>
      <c r="C7" s="85">
        <f>IF(ISNA(VLOOKUP($B7,DD_Info!$A$2:$F$221,5,0)),0,VLOOKUP($B7,DD_Info!$A$2:$F$221,5,0))</f>
        <v>1</v>
      </c>
      <c r="D7" s="62">
        <f>Districts!C66</f>
        <v>671</v>
      </c>
      <c r="E7" s="62">
        <f>Districts!D66</f>
        <v>22</v>
      </c>
      <c r="F7" s="62">
        <f>Districts!E66</f>
        <v>0</v>
      </c>
      <c r="G7" s="62">
        <f>Districts!F66</f>
        <v>0</v>
      </c>
      <c r="H7" s="62">
        <f>Districts!G66</f>
        <v>0</v>
      </c>
      <c r="J7" s="62">
        <f>Districts!H66</f>
        <v>1</v>
      </c>
      <c r="K7" s="62">
        <f>Districts!I66</f>
        <v>0</v>
      </c>
      <c r="L7" s="62">
        <f>Districts!J66</f>
        <v>1</v>
      </c>
      <c r="M7" s="61">
        <f>IFERROR(L7/E7,0)</f>
        <v>4.5454545454545456E-2</v>
      </c>
      <c r="N7">
        <f ca="1">IF(ISNA(VLOOKUP($Z7,'DD Mbr'!$A$2:$N$212,14,0)),0,VLOOKUP($Z7,'DD Mbr'!$A$2:$N$212,14,0))</f>
        <v>120</v>
      </c>
      <c r="P7" s="62">
        <f>Districts!L66</f>
        <v>0</v>
      </c>
      <c r="Q7" s="62">
        <f>Districts!M66</f>
        <v>0</v>
      </c>
      <c r="R7" s="62">
        <f>Districts!N66</f>
        <v>1</v>
      </c>
      <c r="S7" s="62">
        <f>Districts!O66</f>
        <v>-1</v>
      </c>
      <c r="U7" s="62">
        <f>Districts!P66</f>
        <v>4</v>
      </c>
      <c r="V7" s="62">
        <f>Districts!Q66</f>
        <v>2</v>
      </c>
      <c r="W7" s="62">
        <f>Districts!R66</f>
        <v>2</v>
      </c>
      <c r="X7" s="61">
        <f>IFERROR(W7/P7,0)</f>
        <v>0</v>
      </c>
      <c r="Y7">
        <f>IF(ISNA(VLOOKUP($Z7,'DD Ins'!$A$2:$N$217,14,0)),0,VLOOKUP($Z7,'DD Ins'!$A$2:$N$217,14,0))</f>
        <v>1</v>
      </c>
      <c r="Z7">
        <f>+B7</f>
        <v>66</v>
      </c>
    </row>
    <row r="8" spans="1:26">
      <c r="A8" t="str">
        <f>IF(ISNA(VLOOKUP($B8,DD_Info!$A$2:$F$221,2,0)),0,VLOOKUP($B8,DD_Info!$A$2:$F$221,2,0))</f>
        <v>Raul R Maldonado</v>
      </c>
      <c r="B8" s="24">
        <v>67</v>
      </c>
      <c r="C8" s="85">
        <f>IF(ISNA(VLOOKUP($B8,DD_Info!$A$2:$F$221,5,0)),0,VLOOKUP($B8,DD_Info!$A$2:$F$221,5,0))</f>
        <v>2</v>
      </c>
      <c r="D8" s="62">
        <f>Districts!C67</f>
        <v>489</v>
      </c>
      <c r="E8" s="62">
        <f>Districts!D67</f>
        <v>17</v>
      </c>
      <c r="F8" s="62">
        <f>Districts!E67</f>
        <v>0</v>
      </c>
      <c r="G8" s="62">
        <f>Districts!F67</f>
        <v>0</v>
      </c>
      <c r="H8" s="62">
        <f>Districts!G67</f>
        <v>0</v>
      </c>
      <c r="J8" s="62">
        <f>Districts!H67</f>
        <v>3</v>
      </c>
      <c r="K8" s="62">
        <f>Districts!I67</f>
        <v>0</v>
      </c>
      <c r="L8" s="62">
        <f>Districts!J67</f>
        <v>3</v>
      </c>
      <c r="M8" s="61">
        <f t="shared" ref="M8:M39" si="0">IFERROR(L8/E8,0)</f>
        <v>0.17647058823529413</v>
      </c>
      <c r="N8">
        <f ca="1">IF(ISNA(VLOOKUP($Z8,'DD Mbr'!$A$2:$N$212,14,0)),0,VLOOKUP($Z8,'DD Mbr'!$A$2:$N$212,14,0))</f>
        <v>80</v>
      </c>
      <c r="P8" s="62">
        <f>Districts!L67</f>
        <v>0</v>
      </c>
      <c r="Q8" s="62">
        <f>Districts!M67</f>
        <v>0</v>
      </c>
      <c r="R8" s="62">
        <f>Districts!N67</f>
        <v>0</v>
      </c>
      <c r="S8" s="62">
        <f>Districts!O67</f>
        <v>0</v>
      </c>
      <c r="U8" s="62">
        <f>Districts!P67</f>
        <v>1</v>
      </c>
      <c r="V8" s="62">
        <f>Districts!Q67</f>
        <v>0</v>
      </c>
      <c r="W8" s="62">
        <f>Districts!R67</f>
        <v>1</v>
      </c>
      <c r="X8" s="61">
        <f t="shared" ref="X8:X39" si="1">IFERROR(W8/P8,0)</f>
        <v>0</v>
      </c>
      <c r="Y8">
        <f>IF(ISNA(VLOOKUP($Z8,'DD Ins'!$A$2:$N$217,14,0)),0,VLOOKUP($Z8,'DD Ins'!$A$2:$N$217,14,0))</f>
        <v>1</v>
      </c>
      <c r="Z8">
        <f t="shared" ref="Z8:Z39" si="2">+B8</f>
        <v>67</v>
      </c>
    </row>
    <row r="9" spans="1:26">
      <c r="A9" t="str">
        <f>IF(ISNA(VLOOKUP($B9,DD_Info!$A$2:$F$221,2,0)),0,VLOOKUP($B9,DD_Info!$A$2:$F$221,2,0))</f>
        <v>Dennis J Doherty</v>
      </c>
      <c r="B9" s="24">
        <v>68</v>
      </c>
      <c r="C9" s="85">
        <f>IF(ISNA(VLOOKUP($B9,DD_Info!$A$2:$F$221,5,0)),0,VLOOKUP($B9,DD_Info!$A$2:$F$221,5,0))</f>
        <v>1</v>
      </c>
      <c r="D9" s="62">
        <f>Districts!C68</f>
        <v>949</v>
      </c>
      <c r="E9" s="62">
        <f>Districts!D68</f>
        <v>32</v>
      </c>
      <c r="F9" s="62">
        <f>Districts!E68</f>
        <v>2</v>
      </c>
      <c r="G9" s="62">
        <f>Districts!F68</f>
        <v>2</v>
      </c>
      <c r="H9" s="62">
        <f>Districts!G68</f>
        <v>0</v>
      </c>
      <c r="J9" s="62">
        <f>Districts!H68</f>
        <v>6</v>
      </c>
      <c r="K9" s="62">
        <f>Districts!I68</f>
        <v>2</v>
      </c>
      <c r="L9" s="62">
        <f>Districts!J68</f>
        <v>4</v>
      </c>
      <c r="M9" s="61">
        <f t="shared" si="0"/>
        <v>0.125</v>
      </c>
      <c r="N9">
        <f ca="1">IF(ISNA(VLOOKUP($Z9,'DD Mbr'!$A$2:$N$212,14,0)),0,VLOOKUP($Z9,'DD Mbr'!$A$2:$N$212,14,0))</f>
        <v>87</v>
      </c>
      <c r="P9" s="62">
        <f>Districts!L68</f>
        <v>0</v>
      </c>
      <c r="Q9" s="62">
        <f>Districts!M68</f>
        <v>1</v>
      </c>
      <c r="R9" s="62">
        <f>Districts!N68</f>
        <v>0</v>
      </c>
      <c r="S9" s="62">
        <f>Districts!O68</f>
        <v>1</v>
      </c>
      <c r="U9" s="62">
        <f>Districts!P68</f>
        <v>3</v>
      </c>
      <c r="V9" s="62">
        <f>Districts!Q68</f>
        <v>2</v>
      </c>
      <c r="W9" s="62">
        <f>Districts!R68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68</v>
      </c>
    </row>
    <row r="10" spans="1:26">
      <c r="A10" t="str">
        <f>IF(ISNA(VLOOKUP($B10,DD_Info!$A$2:$F$221,2,0)),0,VLOOKUP($B10,DD_Info!$A$2:$F$221,2,0))</f>
        <v>Robert  Guerrero Jr</v>
      </c>
      <c r="B10" s="24">
        <v>69</v>
      </c>
      <c r="C10" s="85">
        <f>IF(ISNA(VLOOKUP($B10,DD_Info!$A$2:$F$221,5,0)),0,VLOOKUP($B10,DD_Info!$A$2:$F$221,5,0))</f>
        <v>1</v>
      </c>
      <c r="D10" s="62">
        <f>Districts!C69</f>
        <v>607</v>
      </c>
      <c r="E10" s="62">
        <f>Districts!D69</f>
        <v>20</v>
      </c>
      <c r="F10" s="62">
        <f>Districts!E69</f>
        <v>0</v>
      </c>
      <c r="G10" s="62">
        <f>Districts!F69</f>
        <v>0</v>
      </c>
      <c r="H10" s="62">
        <f>Districts!G69</f>
        <v>0</v>
      </c>
      <c r="J10" s="62">
        <f>Districts!H69</f>
        <v>4</v>
      </c>
      <c r="K10" s="62">
        <f>Districts!I69</f>
        <v>23</v>
      </c>
      <c r="L10" s="62">
        <f>Districts!J69</f>
        <v>-19</v>
      </c>
      <c r="M10" s="61">
        <f t="shared" si="0"/>
        <v>-0.95</v>
      </c>
      <c r="N10">
        <f ca="1">IF(ISNA(VLOOKUP($Z10,'DD Mbr'!$A$2:$N$212,14,0)),0,VLOOKUP($Z10,'DD Mbr'!$A$2:$N$212,14,0))</f>
        <v>201</v>
      </c>
      <c r="P10" s="62">
        <f>Districts!L69</f>
        <v>0</v>
      </c>
      <c r="Q10" s="62">
        <f>Districts!M69</f>
        <v>0</v>
      </c>
      <c r="R10" s="62">
        <f>Districts!N69</f>
        <v>2</v>
      </c>
      <c r="S10" s="62">
        <f>Districts!O69</f>
        <v>-2</v>
      </c>
      <c r="U10" s="62">
        <f>Districts!P69</f>
        <v>3</v>
      </c>
      <c r="V10" s="62">
        <f>Districts!Q69</f>
        <v>7</v>
      </c>
      <c r="W10" s="62">
        <f>Districts!R69</f>
        <v>-4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69</v>
      </c>
    </row>
    <row r="11" spans="1:26">
      <c r="A11" t="str">
        <f>IF(ISNA(VLOOKUP($B11,DD_Info!$A$2:$F$221,2,0)),0,VLOOKUP($B11,DD_Info!$A$2:$F$221,2,0))</f>
        <v>Joseph E Maloy</v>
      </c>
      <c r="B11" s="24">
        <v>70</v>
      </c>
      <c r="C11" s="85">
        <f>IF(ISNA(VLOOKUP($B11,DD_Info!$A$2:$F$221,5,0)),0,VLOOKUP($B11,DD_Info!$A$2:$F$221,5,0))</f>
        <v>1</v>
      </c>
      <c r="D11" s="62">
        <f>Districts!C70</f>
        <v>643</v>
      </c>
      <c r="E11" s="62">
        <f>Districts!D70</f>
        <v>22</v>
      </c>
      <c r="F11" s="62">
        <f>Districts!E70</f>
        <v>0</v>
      </c>
      <c r="G11" s="62">
        <f>Districts!F70</f>
        <v>0</v>
      </c>
      <c r="H11" s="62">
        <f>Districts!G70</f>
        <v>0</v>
      </c>
      <c r="J11" s="62">
        <f>Districts!H70</f>
        <v>11</v>
      </c>
      <c r="K11" s="62">
        <f>Districts!I70</f>
        <v>0</v>
      </c>
      <c r="L11" s="62">
        <f>Districts!J70</f>
        <v>11</v>
      </c>
      <c r="M11" s="61">
        <f t="shared" si="0"/>
        <v>0.5</v>
      </c>
      <c r="N11">
        <f ca="1">IF(ISNA(VLOOKUP($Z11,'DD Mbr'!$A$2:$N$212,14,0)),0,VLOOKUP($Z11,'DD Mbr'!$A$2:$N$212,14,0))</f>
        <v>29</v>
      </c>
      <c r="P11" s="62">
        <f>Districts!L70</f>
        <v>0</v>
      </c>
      <c r="Q11" s="62">
        <f>Districts!M70</f>
        <v>0</v>
      </c>
      <c r="R11" s="62">
        <f>Districts!N70</f>
        <v>1</v>
      </c>
      <c r="S11" s="62">
        <f>Districts!O70</f>
        <v>-1</v>
      </c>
      <c r="U11" s="62">
        <f>Districts!P70</f>
        <v>1</v>
      </c>
      <c r="V11" s="62">
        <f>Districts!Q70</f>
        <v>3</v>
      </c>
      <c r="W11" s="62">
        <f>Districts!R70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70</v>
      </c>
    </row>
    <row r="12" spans="1:26">
      <c r="A12" t="str">
        <f>IF(ISNA(VLOOKUP($B12,DD_Info!$A$2:$F$221,2,0)),0,VLOOKUP($B12,DD_Info!$A$2:$F$221,2,0))</f>
        <v>E.J. "Jerry"  Moch Jr</v>
      </c>
      <c r="B12" s="24">
        <v>71</v>
      </c>
      <c r="C12" s="85">
        <f>IF(ISNA(VLOOKUP($B12,DD_Info!$A$2:$F$221,5,0)),0,VLOOKUP($B12,DD_Info!$A$2:$F$221,5,0))</f>
        <v>1</v>
      </c>
      <c r="D12" s="62">
        <f>Districts!C71</f>
        <v>707</v>
      </c>
      <c r="E12" s="62">
        <f>Districts!D71</f>
        <v>25</v>
      </c>
      <c r="F12" s="62">
        <f>Districts!E71</f>
        <v>1</v>
      </c>
      <c r="G12" s="62">
        <f>Districts!F71</f>
        <v>0</v>
      </c>
      <c r="H12" s="62">
        <f>Districts!G71</f>
        <v>1</v>
      </c>
      <c r="J12" s="62">
        <f>Districts!H71</f>
        <v>14</v>
      </c>
      <c r="K12" s="62">
        <f>Districts!I71</f>
        <v>1</v>
      </c>
      <c r="L12" s="62">
        <f>Districts!J71</f>
        <v>13</v>
      </c>
      <c r="M12" s="61">
        <f t="shared" si="0"/>
        <v>0.52</v>
      </c>
      <c r="N12">
        <f ca="1">IF(ISNA(VLOOKUP($Z12,'DD Mbr'!$A$2:$N$212,14,0)),0,VLOOKUP($Z12,'DD Mbr'!$A$2:$N$212,14,0))</f>
        <v>33</v>
      </c>
      <c r="P12" s="62">
        <f>Districts!L71</f>
        <v>0</v>
      </c>
      <c r="Q12" s="62">
        <f>Districts!M71</f>
        <v>0</v>
      </c>
      <c r="R12" s="62">
        <f>Districts!N71</f>
        <v>0</v>
      </c>
      <c r="S12" s="62">
        <f>Districts!O71</f>
        <v>0</v>
      </c>
      <c r="U12" s="62">
        <f>Districts!P71</f>
        <v>6</v>
      </c>
      <c r="V12" s="62">
        <f>Districts!Q71</f>
        <v>4</v>
      </c>
      <c r="W12" s="62">
        <f>Districts!R71</f>
        <v>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71</v>
      </c>
    </row>
    <row r="13" spans="1:26">
      <c r="A13" t="str">
        <f>IF(ISNA(VLOOKUP($B13,DD_Info!$A$2:$F$221,2,0)),0,VLOOKUP($B13,DD_Info!$A$2:$F$221,2,0))</f>
        <v>Anthony P Scarpa</v>
      </c>
      <c r="B13" s="24">
        <v>72</v>
      </c>
      <c r="C13" s="85">
        <f>IF(ISNA(VLOOKUP($B13,DD_Info!$A$2:$F$221,5,0)),0,VLOOKUP($B13,DD_Info!$A$2:$F$221,5,0))</f>
        <v>2</v>
      </c>
      <c r="D13" s="62">
        <f>Districts!C72</f>
        <v>508</v>
      </c>
      <c r="E13" s="62">
        <f>Districts!D72</f>
        <v>17</v>
      </c>
      <c r="F13" s="62">
        <f>Districts!E72</f>
        <v>0</v>
      </c>
      <c r="G13" s="62">
        <f>Districts!F72</f>
        <v>0</v>
      </c>
      <c r="H13" s="62">
        <f>Districts!G72</f>
        <v>0</v>
      </c>
      <c r="J13" s="62">
        <f>Districts!H72</f>
        <v>0</v>
      </c>
      <c r="K13" s="62">
        <f>Districts!I72</f>
        <v>0</v>
      </c>
      <c r="L13" s="62">
        <f>Districts!J72</f>
        <v>0</v>
      </c>
      <c r="M13" s="61">
        <f t="shared" si="0"/>
        <v>0</v>
      </c>
      <c r="N13">
        <f ca="1">IF(ISNA(VLOOKUP($Z13,'DD Mbr'!$A$2:$N$212,14,0)),0,VLOOKUP($Z13,'DD Mbr'!$A$2:$N$212,14,0))</f>
        <v>127</v>
      </c>
      <c r="P13" s="62">
        <f>Districts!L72</f>
        <v>0</v>
      </c>
      <c r="Q13" s="62">
        <f>Districts!M72</f>
        <v>0</v>
      </c>
      <c r="R13" s="62">
        <f>Districts!N72</f>
        <v>1</v>
      </c>
      <c r="S13" s="62">
        <f>Districts!O72</f>
        <v>-1</v>
      </c>
      <c r="U13" s="62">
        <f>Districts!P72</f>
        <v>1</v>
      </c>
      <c r="V13" s="62">
        <f>Districts!Q72</f>
        <v>1</v>
      </c>
      <c r="W13" s="62">
        <f>Districts!R72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72</v>
      </c>
    </row>
    <row r="14" spans="1:26">
      <c r="A14" t="str">
        <f>IF(ISNA(VLOOKUP($B14,DD_Info!$A$2:$F$221,2,0)),0,VLOOKUP($B14,DD_Info!$A$2:$F$221,2,0))</f>
        <v>Rudy  Ordaz</v>
      </c>
      <c r="B14" s="24">
        <v>73</v>
      </c>
      <c r="C14" s="85">
        <f>IF(ISNA(VLOOKUP($B14,DD_Info!$A$2:$F$221,5,0)),0,VLOOKUP($B14,DD_Info!$A$2:$F$221,5,0))</f>
        <v>2</v>
      </c>
      <c r="D14" s="62">
        <f>Districts!C73</f>
        <v>461</v>
      </c>
      <c r="E14" s="62">
        <f>Districts!D73</f>
        <v>16</v>
      </c>
      <c r="F14" s="62">
        <f>Districts!E73</f>
        <v>0</v>
      </c>
      <c r="G14" s="62">
        <f>Districts!F73</f>
        <v>0</v>
      </c>
      <c r="H14" s="62">
        <f>Districts!G73</f>
        <v>0</v>
      </c>
      <c r="J14" s="62">
        <f>Districts!H73</f>
        <v>1</v>
      </c>
      <c r="K14" s="62">
        <f>Districts!I73</f>
        <v>23</v>
      </c>
      <c r="L14" s="62">
        <f>Districts!J73</f>
        <v>-22</v>
      </c>
      <c r="M14" s="61">
        <f t="shared" si="0"/>
        <v>-1.375</v>
      </c>
      <c r="N14">
        <f ca="1">IF(ISNA(VLOOKUP($Z14,'DD Mbr'!$A$2:$N$212,14,0)),0,VLOOKUP($Z14,'DD Mbr'!$A$2:$N$212,14,0))</f>
        <v>207</v>
      </c>
      <c r="P14" s="62">
        <f>Districts!L73</f>
        <v>0</v>
      </c>
      <c r="Q14" s="62">
        <f>Districts!M73</f>
        <v>0</v>
      </c>
      <c r="R14" s="62">
        <f>Districts!N73</f>
        <v>3</v>
      </c>
      <c r="S14" s="62">
        <f>Districts!O73</f>
        <v>-3</v>
      </c>
      <c r="U14" s="62">
        <f>Districts!P73</f>
        <v>1</v>
      </c>
      <c r="V14" s="62">
        <f>Districts!Q73</f>
        <v>10</v>
      </c>
      <c r="W14" s="62">
        <f>Districts!R73</f>
        <v>-9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73</v>
      </c>
    </row>
    <row r="15" spans="1:26">
      <c r="A15" t="str">
        <f>IF(ISNA(VLOOKUP($B15,DD_Info!$A$2:$F$221,2,0)),0,VLOOKUP($B15,DD_Info!$A$2:$F$221,2,0))</f>
        <v>Brian  Kozel</v>
      </c>
      <c r="B15" s="24">
        <v>74</v>
      </c>
      <c r="C15" s="85">
        <f>IF(ISNA(VLOOKUP($B15,DD_Info!$A$2:$F$221,5,0)),0,VLOOKUP($B15,DD_Info!$A$2:$F$221,5,0))</f>
        <v>1</v>
      </c>
      <c r="D15" s="62">
        <f>Districts!C74</f>
        <v>1114</v>
      </c>
      <c r="E15" s="62">
        <f>Districts!D74</f>
        <v>35</v>
      </c>
      <c r="F15" s="62">
        <f>Districts!E74</f>
        <v>0</v>
      </c>
      <c r="G15" s="62">
        <f>Districts!F74</f>
        <v>1</v>
      </c>
      <c r="H15" s="62">
        <f>Districts!G74</f>
        <v>-1</v>
      </c>
      <c r="J15" s="62">
        <f>Districts!H74</f>
        <v>7</v>
      </c>
      <c r="K15" s="62">
        <f>Districts!I74</f>
        <v>52</v>
      </c>
      <c r="L15" s="62">
        <f>Districts!J74</f>
        <v>-45</v>
      </c>
      <c r="M15" s="61">
        <f t="shared" si="0"/>
        <v>-1.2857142857142858</v>
      </c>
      <c r="N15">
        <f ca="1">IF(ISNA(VLOOKUP($Z15,'DD Mbr'!$A$2:$N$212,14,0)),0,VLOOKUP($Z15,'DD Mbr'!$A$2:$N$212,14,0))</f>
        <v>206</v>
      </c>
      <c r="P15" s="62">
        <f>Districts!L74</f>
        <v>0</v>
      </c>
      <c r="Q15" s="62">
        <f>Districts!M74</f>
        <v>0</v>
      </c>
      <c r="R15" s="62">
        <f>Districts!N74</f>
        <v>4</v>
      </c>
      <c r="S15" s="62">
        <f>Districts!O74</f>
        <v>-4</v>
      </c>
      <c r="U15" s="62">
        <f>Districts!P74</f>
        <v>1</v>
      </c>
      <c r="V15" s="62">
        <f>Districts!Q74</f>
        <v>16</v>
      </c>
      <c r="W15" s="62">
        <f>Districts!R74</f>
        <v>-15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74</v>
      </c>
    </row>
    <row r="16" spans="1:26">
      <c r="A16" t="str">
        <f>IF(ISNA(VLOOKUP($B16,DD_Info!$A$2:$F$221,2,0)),0,VLOOKUP($B16,DD_Info!$A$2:$F$221,2,0))</f>
        <v>Michael  Appling</v>
      </c>
      <c r="B16" s="24">
        <v>75</v>
      </c>
      <c r="C16" s="85">
        <f>IF(ISNA(VLOOKUP($B16,DD_Info!$A$2:$F$221,5,0)),0,VLOOKUP($B16,DD_Info!$A$2:$F$221,5,0))</f>
        <v>1</v>
      </c>
      <c r="D16" s="62">
        <f>Districts!C75</f>
        <v>1120</v>
      </c>
      <c r="E16" s="62">
        <f>Districts!D75</f>
        <v>39</v>
      </c>
      <c r="F16" s="62">
        <f>Districts!E75</f>
        <v>1</v>
      </c>
      <c r="G16" s="62">
        <f>Districts!F75</f>
        <v>3</v>
      </c>
      <c r="H16" s="62">
        <f>Districts!G75</f>
        <v>-2</v>
      </c>
      <c r="J16" s="62">
        <f>Districts!H75</f>
        <v>6</v>
      </c>
      <c r="K16" s="62">
        <f>Districts!I75</f>
        <v>6</v>
      </c>
      <c r="L16" s="62">
        <f>Districts!J75</f>
        <v>0</v>
      </c>
      <c r="M16" s="61">
        <f t="shared" si="0"/>
        <v>0</v>
      </c>
      <c r="N16">
        <f ca="1">IF(ISNA(VLOOKUP($Z16,'DD Mbr'!$A$2:$N$212,14,0)),0,VLOOKUP($Z16,'DD Mbr'!$A$2:$N$212,14,0))</f>
        <v>127</v>
      </c>
      <c r="P16" s="62">
        <f>Districts!L75</f>
        <v>0</v>
      </c>
      <c r="Q16" s="62">
        <f>Districts!M75</f>
        <v>1</v>
      </c>
      <c r="R16" s="62">
        <f>Districts!N75</f>
        <v>7</v>
      </c>
      <c r="S16" s="62">
        <f>Districts!O75</f>
        <v>-6</v>
      </c>
      <c r="U16" s="62">
        <f>Districts!P75</f>
        <v>3</v>
      </c>
      <c r="V16" s="62">
        <f>Districts!Q75</f>
        <v>11</v>
      </c>
      <c r="W16" s="62">
        <f>Districts!R75</f>
        <v>-8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75</v>
      </c>
    </row>
    <row r="17" spans="1:26">
      <c r="A17" t="str">
        <f>IF(ISNA(VLOOKUP($B17,DD_Info!$A$2:$F$221,2,0)),0,VLOOKUP($B17,DD_Info!$A$2:$F$221,2,0))</f>
        <v>Francisco  Carpinteyro</v>
      </c>
      <c r="B17" s="24">
        <v>76</v>
      </c>
      <c r="C17" s="85">
        <f>IF(ISNA(VLOOKUP($B17,DD_Info!$A$2:$F$221,5,0)),0,VLOOKUP($B17,DD_Info!$A$2:$F$221,5,0))</f>
        <v>3</v>
      </c>
      <c r="D17" s="62">
        <f>Districts!C76</f>
        <v>200</v>
      </c>
      <c r="E17" s="62">
        <f>Districts!D76</f>
        <v>7</v>
      </c>
      <c r="F17" s="62">
        <f>Districts!E76</f>
        <v>0</v>
      </c>
      <c r="G17" s="62">
        <f>Districts!F76</f>
        <v>0</v>
      </c>
      <c r="H17" s="62">
        <f>Districts!G76</f>
        <v>0</v>
      </c>
      <c r="J17" s="62">
        <f>Districts!H76</f>
        <v>0</v>
      </c>
      <c r="K17" s="62">
        <f>Districts!I76</f>
        <v>0</v>
      </c>
      <c r="L17" s="62">
        <f>Districts!J76</f>
        <v>0</v>
      </c>
      <c r="M17" s="61">
        <f t="shared" si="0"/>
        <v>0</v>
      </c>
      <c r="N17">
        <f ca="1">IF(ISNA(VLOOKUP($Z17,'DD Mbr'!$A$2:$N$212,14,0)),0,VLOOKUP($Z17,'DD Mbr'!$A$2:$N$212,14,0))</f>
        <v>127</v>
      </c>
      <c r="P17" s="62">
        <f>Districts!L76</f>
        <v>0</v>
      </c>
      <c r="Q17" s="62">
        <f>Districts!M76</f>
        <v>0</v>
      </c>
      <c r="R17" s="62">
        <f>Districts!N76</f>
        <v>1</v>
      </c>
      <c r="S17" s="62">
        <f>Districts!O76</f>
        <v>-1</v>
      </c>
      <c r="U17" s="62">
        <f>Districts!P76</f>
        <v>3</v>
      </c>
      <c r="V17" s="62">
        <f>Districts!Q76</f>
        <v>3</v>
      </c>
      <c r="W17" s="62">
        <f>Districts!R76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76</v>
      </c>
    </row>
    <row r="18" spans="1:26">
      <c r="A18" t="str">
        <f>IF(ISNA(VLOOKUP($B18,DD_Info!$A$2:$F$221,2,0)),0,VLOOKUP($B18,DD_Info!$A$2:$F$221,2,0))</f>
        <v>Manuel  Cervantes</v>
      </c>
      <c r="B18" s="24">
        <v>77</v>
      </c>
      <c r="C18" s="85">
        <f>IF(ISNA(VLOOKUP($B18,DD_Info!$A$2:$F$221,5,0)),0,VLOOKUP($B18,DD_Info!$A$2:$F$221,5,0))</f>
        <v>2</v>
      </c>
      <c r="D18" s="62">
        <f>Districts!C77</f>
        <v>368</v>
      </c>
      <c r="E18" s="62">
        <f>Districts!D77</f>
        <v>13</v>
      </c>
      <c r="F18" s="62">
        <f>Districts!E77</f>
        <v>4</v>
      </c>
      <c r="G18" s="62">
        <f>Districts!F77</f>
        <v>0</v>
      </c>
      <c r="H18" s="62">
        <f>Districts!G77</f>
        <v>4</v>
      </c>
      <c r="J18" s="62">
        <f>Districts!H77</f>
        <v>21</v>
      </c>
      <c r="K18" s="62">
        <f>Districts!I77</f>
        <v>0</v>
      </c>
      <c r="L18" s="62">
        <f>Districts!J77</f>
        <v>21</v>
      </c>
      <c r="M18" s="61">
        <f t="shared" si="0"/>
        <v>1.6153846153846154</v>
      </c>
      <c r="N18">
        <f ca="1">IF(ISNA(VLOOKUP($Z18,'DD Mbr'!$A$2:$N$212,14,0)),0,VLOOKUP($Z18,'DD Mbr'!$A$2:$N$212,14,0))</f>
        <v>2</v>
      </c>
      <c r="P18" s="62">
        <f>Districts!L77</f>
        <v>0</v>
      </c>
      <c r="Q18" s="62">
        <f>Districts!M77</f>
        <v>3</v>
      </c>
      <c r="R18" s="62">
        <f>Districts!N77</f>
        <v>0</v>
      </c>
      <c r="S18" s="62">
        <f>Districts!O77</f>
        <v>3</v>
      </c>
      <c r="U18" s="62">
        <f>Districts!P77</f>
        <v>12</v>
      </c>
      <c r="V18" s="62">
        <f>Districts!Q77</f>
        <v>4</v>
      </c>
      <c r="W18" s="62">
        <f>Districts!R77</f>
        <v>8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77</v>
      </c>
    </row>
    <row r="19" spans="1:26">
      <c r="A19" t="str">
        <f>IF(ISNA(VLOOKUP($B19,DD_Info!$A$2:$F$221,2,0)),0,VLOOKUP($B19,DD_Info!$A$2:$F$221,2,0))</f>
        <v>Ernest Garcia</v>
      </c>
      <c r="B19" s="24">
        <v>78</v>
      </c>
      <c r="C19" s="85">
        <f>IF(ISNA(VLOOKUP($B19,DD_Info!$A$2:$F$221,5,0)),0,VLOOKUP($B19,DD_Info!$A$2:$F$221,5,0))</f>
        <v>3</v>
      </c>
      <c r="D19" s="62">
        <f>Districts!C78</f>
        <v>223</v>
      </c>
      <c r="E19" s="62">
        <f>Districts!D78</f>
        <v>8</v>
      </c>
      <c r="F19" s="62">
        <f>Districts!E78</f>
        <v>0</v>
      </c>
      <c r="G19" s="62">
        <f>Districts!F78</f>
        <v>0</v>
      </c>
      <c r="H19" s="62">
        <f>Districts!G78</f>
        <v>0</v>
      </c>
      <c r="J19" s="62">
        <f>Districts!H78</f>
        <v>2</v>
      </c>
      <c r="K19" s="62">
        <f>Districts!I78</f>
        <v>0</v>
      </c>
      <c r="L19" s="62">
        <f>Districts!J78</f>
        <v>2</v>
      </c>
      <c r="M19" s="61">
        <f t="shared" si="0"/>
        <v>0.25</v>
      </c>
      <c r="N19">
        <f ca="1">IF(ISNA(VLOOKUP($Z19,'DD Mbr'!$A$2:$N$212,14,0)),0,VLOOKUP($Z19,'DD Mbr'!$A$2:$N$212,14,0))</f>
        <v>74</v>
      </c>
      <c r="P19" s="62">
        <f>Districts!L78</f>
        <v>0</v>
      </c>
      <c r="Q19" s="62">
        <f>Districts!M78</f>
        <v>0</v>
      </c>
      <c r="R19" s="62">
        <f>Districts!N78</f>
        <v>0</v>
      </c>
      <c r="S19" s="62">
        <f>Districts!O78</f>
        <v>0</v>
      </c>
      <c r="U19" s="62">
        <f>Districts!P78</f>
        <v>1</v>
      </c>
      <c r="V19" s="62">
        <f>Districts!Q78</f>
        <v>0</v>
      </c>
      <c r="W19" s="62">
        <f>Districts!R78</f>
        <v>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78</v>
      </c>
    </row>
    <row r="20" spans="1:26">
      <c r="A20" t="str">
        <f>IF(ISNA(VLOOKUP($B20,DD_Info!$A$2:$F$221,2,0)),0,VLOOKUP($B20,DD_Info!$A$2:$F$221,2,0))</f>
        <v>Samuel  Gonzalez</v>
      </c>
      <c r="B20" s="24">
        <v>79</v>
      </c>
      <c r="C20" s="85">
        <f>IF(ISNA(VLOOKUP($B20,DD_Info!$A$2:$F$221,5,0)),0,VLOOKUP($B20,DD_Info!$A$2:$F$221,5,0))</f>
        <v>1</v>
      </c>
      <c r="D20" s="62">
        <f>Districts!C79</f>
        <v>1599</v>
      </c>
      <c r="E20" s="62">
        <f>Districts!D79</f>
        <v>53</v>
      </c>
      <c r="F20" s="62">
        <f>Districts!E79</f>
        <v>0</v>
      </c>
      <c r="G20" s="62">
        <f>Districts!F79</f>
        <v>7</v>
      </c>
      <c r="H20" s="62">
        <f>Districts!G79</f>
        <v>-7</v>
      </c>
      <c r="J20" s="62">
        <f>Districts!H79</f>
        <v>12</v>
      </c>
      <c r="K20" s="62">
        <f>Districts!I79</f>
        <v>24</v>
      </c>
      <c r="L20" s="62">
        <f>Districts!J79</f>
        <v>-12</v>
      </c>
      <c r="M20" s="61">
        <f t="shared" si="0"/>
        <v>-0.22641509433962265</v>
      </c>
      <c r="N20">
        <f ca="1">IF(ISNA(VLOOKUP($Z20,'DD Mbr'!$A$2:$N$212,14,0)),0,VLOOKUP($Z20,'DD Mbr'!$A$2:$N$212,14,0))</f>
        <v>186</v>
      </c>
      <c r="P20" s="62">
        <f>Districts!L79</f>
        <v>0</v>
      </c>
      <c r="Q20" s="62">
        <f>Districts!M79</f>
        <v>0</v>
      </c>
      <c r="R20" s="62">
        <f>Districts!N79</f>
        <v>7</v>
      </c>
      <c r="S20" s="62">
        <f>Districts!O79</f>
        <v>-7</v>
      </c>
      <c r="U20" s="62">
        <f>Districts!P79</f>
        <v>8</v>
      </c>
      <c r="V20" s="62">
        <f>Districts!Q79</f>
        <v>10</v>
      </c>
      <c r="W20" s="62">
        <f>Districts!R79</f>
        <v>-2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79</v>
      </c>
    </row>
    <row r="21" spans="1:26">
      <c r="A21" t="str">
        <f>IF(ISNA(VLOOKUP($B21,DD_Info!$A$2:$F$221,2,0)),0,VLOOKUP($B21,DD_Info!$A$2:$F$221,2,0))</f>
        <v>Vincent C Stasio</v>
      </c>
      <c r="B21" s="24">
        <v>80</v>
      </c>
      <c r="C21" s="85">
        <f>IF(ISNA(VLOOKUP($B21,DD_Info!$A$2:$F$221,5,0)),0,VLOOKUP($B21,DD_Info!$A$2:$F$221,5,0))</f>
        <v>1</v>
      </c>
      <c r="D21" s="62">
        <f>Districts!C80</f>
        <v>914</v>
      </c>
      <c r="E21" s="62">
        <f>Districts!D80</f>
        <v>31</v>
      </c>
      <c r="F21" s="62">
        <f>Districts!E80</f>
        <v>1</v>
      </c>
      <c r="G21" s="62">
        <f>Districts!F80</f>
        <v>1</v>
      </c>
      <c r="H21" s="62">
        <f>Districts!G80</f>
        <v>0</v>
      </c>
      <c r="J21" s="62">
        <f>Districts!H80</f>
        <v>5</v>
      </c>
      <c r="K21" s="62">
        <f>Districts!I80</f>
        <v>3</v>
      </c>
      <c r="L21" s="62">
        <f>Districts!J80</f>
        <v>2</v>
      </c>
      <c r="M21" s="61">
        <f t="shared" si="0"/>
        <v>6.4516129032258063E-2</v>
      </c>
      <c r="N21">
        <f ca="1">IF(ISNA(VLOOKUP($Z21,'DD Mbr'!$A$2:$N$212,14,0)),0,VLOOKUP($Z21,'DD Mbr'!$A$2:$N$212,14,0))</f>
        <v>124</v>
      </c>
      <c r="P21" s="62">
        <f>Districts!L80</f>
        <v>0</v>
      </c>
      <c r="Q21" s="62">
        <f>Districts!M80</f>
        <v>1</v>
      </c>
      <c r="R21" s="62">
        <f>Districts!N80</f>
        <v>6</v>
      </c>
      <c r="S21" s="62">
        <f>Districts!O80</f>
        <v>-5</v>
      </c>
      <c r="U21" s="62">
        <f>Districts!P80</f>
        <v>4</v>
      </c>
      <c r="V21" s="62">
        <f>Districts!Q80</f>
        <v>12</v>
      </c>
      <c r="W21" s="62">
        <f>Districts!R80</f>
        <v>-8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80</v>
      </c>
    </row>
    <row r="22" spans="1:26">
      <c r="A22" t="str">
        <f>IF(ISNA(VLOOKUP($B22,DD_Info!$A$2:$F$221,2,0)),0,VLOOKUP($B22,DD_Info!$A$2:$F$221,2,0))</f>
        <v>Mario Rodriguez</v>
      </c>
      <c r="B22" s="24">
        <v>81</v>
      </c>
      <c r="C22" s="85">
        <f>IF(ISNA(VLOOKUP($B22,DD_Info!$A$2:$F$221,5,0)),0,VLOOKUP($B22,DD_Info!$A$2:$F$221,5,0))</f>
        <v>2</v>
      </c>
      <c r="D22" s="62">
        <f>Districts!C81</f>
        <v>435</v>
      </c>
      <c r="E22" s="62">
        <f>Districts!D81</f>
        <v>15</v>
      </c>
      <c r="F22" s="62">
        <f>Districts!E81</f>
        <v>0</v>
      </c>
      <c r="G22" s="62">
        <f>Districts!F81</f>
        <v>0</v>
      </c>
      <c r="H22" s="62">
        <f>Districts!G81</f>
        <v>0</v>
      </c>
      <c r="J22" s="62">
        <f>Districts!H81</f>
        <v>3</v>
      </c>
      <c r="K22" s="62">
        <f>Districts!I81</f>
        <v>0</v>
      </c>
      <c r="L22" s="62">
        <f>Districts!J81</f>
        <v>3</v>
      </c>
      <c r="M22" s="61">
        <f t="shared" si="0"/>
        <v>0.2</v>
      </c>
      <c r="N22">
        <f ca="1">IF(ISNA(VLOOKUP($Z22,'DD Mbr'!$A$2:$N$212,14,0)),0,VLOOKUP($Z22,'DD Mbr'!$A$2:$N$212,14,0))</f>
        <v>72</v>
      </c>
      <c r="P22" s="62">
        <f>Districts!L81</f>
        <v>0</v>
      </c>
      <c r="Q22" s="62">
        <f>Districts!M81</f>
        <v>0</v>
      </c>
      <c r="R22" s="62">
        <f>Districts!N81</f>
        <v>2</v>
      </c>
      <c r="S22" s="62">
        <f>Districts!O81</f>
        <v>-2</v>
      </c>
      <c r="U22" s="62">
        <f>Districts!P81</f>
        <v>4</v>
      </c>
      <c r="V22" s="62">
        <f>Districts!Q81</f>
        <v>3</v>
      </c>
      <c r="W22" s="62">
        <f>Districts!R81</f>
        <v>1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81</v>
      </c>
    </row>
    <row r="23" spans="1:26">
      <c r="A23" t="str">
        <f>IF(ISNA(VLOOKUP($B23,DD_Info!$A$2:$F$221,2,0)),0,VLOOKUP($B23,DD_Info!$A$2:$F$221,2,0))</f>
        <v>Michael  Akiboh</v>
      </c>
      <c r="B23" s="24">
        <v>82</v>
      </c>
      <c r="C23" s="85">
        <f>IF(ISNA(VLOOKUP($B23,DD_Info!$A$2:$F$221,5,0)),0,VLOOKUP($B23,DD_Info!$A$2:$F$221,5,0))</f>
        <v>1</v>
      </c>
      <c r="D23" s="62">
        <f>Districts!C82</f>
        <v>795</v>
      </c>
      <c r="E23" s="62">
        <f>Districts!D82</f>
        <v>28</v>
      </c>
      <c r="F23" s="62">
        <f>Districts!E82</f>
        <v>0</v>
      </c>
      <c r="G23" s="62">
        <f>Districts!F82</f>
        <v>6</v>
      </c>
      <c r="H23" s="62">
        <f>Districts!G82</f>
        <v>-6</v>
      </c>
      <c r="J23" s="62">
        <f>Districts!H82</f>
        <v>9</v>
      </c>
      <c r="K23" s="62">
        <f>Districts!I82</f>
        <v>21</v>
      </c>
      <c r="L23" s="62">
        <f>Districts!J82</f>
        <v>-12</v>
      </c>
      <c r="M23" s="61">
        <f t="shared" si="0"/>
        <v>-0.42857142857142855</v>
      </c>
      <c r="N23">
        <f ca="1">IF(ISNA(VLOOKUP($Z23,'DD Mbr'!$A$2:$N$212,14,0)),0,VLOOKUP($Z23,'DD Mbr'!$A$2:$N$212,14,0))</f>
        <v>193</v>
      </c>
      <c r="P23" s="62">
        <f>Districts!L82</f>
        <v>0</v>
      </c>
      <c r="Q23" s="62">
        <f>Districts!M82</f>
        <v>2</v>
      </c>
      <c r="R23" s="62">
        <f>Districts!N82</f>
        <v>3</v>
      </c>
      <c r="S23" s="62">
        <f>Districts!O82</f>
        <v>-1</v>
      </c>
      <c r="U23" s="62">
        <f>Districts!P82</f>
        <v>12</v>
      </c>
      <c r="V23" s="62">
        <f>Districts!Q82</f>
        <v>14</v>
      </c>
      <c r="W23" s="62">
        <f>Districts!R82</f>
        <v>-2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82</v>
      </c>
    </row>
    <row r="24" spans="1:26">
      <c r="A24" t="str">
        <f>IF(ISNA(VLOOKUP($B24,DD_Info!$A$2:$F$221,2,0)),0,VLOOKUP($B24,DD_Info!$A$2:$F$221,2,0))</f>
        <v>Don  Huml</v>
      </c>
      <c r="B24" s="24">
        <v>83</v>
      </c>
      <c r="C24" s="85">
        <f>IF(ISNA(VLOOKUP($B24,DD_Info!$A$2:$F$221,5,0)),0,VLOOKUP($B24,DD_Info!$A$2:$F$221,5,0))</f>
        <v>1</v>
      </c>
      <c r="D24" s="62">
        <f>Districts!C83</f>
        <v>633</v>
      </c>
      <c r="E24" s="62">
        <f>Districts!D83</f>
        <v>22</v>
      </c>
      <c r="F24" s="62">
        <f>Districts!E83</f>
        <v>1</v>
      </c>
      <c r="G24" s="62">
        <f>Districts!F83</f>
        <v>3</v>
      </c>
      <c r="H24" s="62">
        <f>Districts!G83</f>
        <v>-2</v>
      </c>
      <c r="J24" s="62">
        <f>Districts!H83</f>
        <v>1</v>
      </c>
      <c r="K24" s="62">
        <f>Districts!I83</f>
        <v>4</v>
      </c>
      <c r="L24" s="62">
        <f>Districts!J83</f>
        <v>-3</v>
      </c>
      <c r="M24" s="61">
        <f t="shared" si="0"/>
        <v>-0.13636363636363635</v>
      </c>
      <c r="N24">
        <f ca="1">IF(ISNA(VLOOKUP($Z24,'DD Mbr'!$A$2:$N$212,14,0)),0,VLOOKUP($Z24,'DD Mbr'!$A$2:$N$212,14,0))</f>
        <v>181</v>
      </c>
      <c r="P24" s="62">
        <f>Districts!L83</f>
        <v>0</v>
      </c>
      <c r="Q24" s="62">
        <f>Districts!M83</f>
        <v>1</v>
      </c>
      <c r="R24" s="62">
        <f>Districts!N83</f>
        <v>2</v>
      </c>
      <c r="S24" s="62">
        <f>Districts!O83</f>
        <v>-1</v>
      </c>
      <c r="U24" s="62">
        <f>Districts!P83</f>
        <v>1</v>
      </c>
      <c r="V24" s="62">
        <f>Districts!Q83</f>
        <v>6</v>
      </c>
      <c r="W24" s="62">
        <f>Districts!R83</f>
        <v>-5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83</v>
      </c>
    </row>
    <row r="25" spans="1:26">
      <c r="A25" t="str">
        <f>IF(ISNA(VLOOKUP($B25,DD_Info!$A$2:$F$221,2,0)),0,VLOOKUP($B25,DD_Info!$A$2:$F$221,2,0))</f>
        <v>Thomas J. Gooney</v>
      </c>
      <c r="B25" s="24">
        <v>84</v>
      </c>
      <c r="C25" s="85">
        <f>IF(ISNA(VLOOKUP($B25,DD_Info!$A$2:$F$221,5,0)),0,VLOOKUP($B25,DD_Info!$A$2:$F$221,5,0))</f>
        <v>3</v>
      </c>
      <c r="D25" s="62">
        <f>Districts!C84</f>
        <v>288</v>
      </c>
      <c r="E25" s="62">
        <f>Districts!D84</f>
        <v>10</v>
      </c>
      <c r="F25" s="62">
        <f>Districts!E84</f>
        <v>0</v>
      </c>
      <c r="G25" s="62">
        <f>Districts!F84</f>
        <v>0</v>
      </c>
      <c r="H25" s="62">
        <f>Districts!G84</f>
        <v>0</v>
      </c>
      <c r="J25" s="62">
        <f>Districts!H84</f>
        <v>5</v>
      </c>
      <c r="K25" s="62">
        <f>Districts!I84</f>
        <v>0</v>
      </c>
      <c r="L25" s="62">
        <f>Districts!J84</f>
        <v>5</v>
      </c>
      <c r="M25" s="61">
        <f t="shared" si="0"/>
        <v>0.5</v>
      </c>
      <c r="N25">
        <f ca="1">IF(ISNA(VLOOKUP($Z25,'DD Mbr'!$A$2:$N$212,14,0)),0,VLOOKUP($Z25,'DD Mbr'!$A$2:$N$212,14,0))</f>
        <v>25</v>
      </c>
      <c r="P25" s="62">
        <f>Districts!L84</f>
        <v>0</v>
      </c>
      <c r="Q25" s="62">
        <f>Districts!M84</f>
        <v>0</v>
      </c>
      <c r="R25" s="62">
        <f>Districts!N84</f>
        <v>1</v>
      </c>
      <c r="S25" s="62">
        <f>Districts!O84</f>
        <v>-1</v>
      </c>
      <c r="U25" s="62">
        <f>Districts!P84</f>
        <v>2</v>
      </c>
      <c r="V25" s="62">
        <f>Districts!Q84</f>
        <v>1</v>
      </c>
      <c r="W25" s="62">
        <f>Districts!R84</f>
        <v>1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84</v>
      </c>
    </row>
    <row r="26" spans="1:26">
      <c r="A26" t="str">
        <f>IF(ISNA(VLOOKUP($B26,DD_Info!$A$2:$F$221,2,0)),0,VLOOKUP($B26,DD_Info!$A$2:$F$221,2,0))</f>
        <v>Patrick L Russek</v>
      </c>
      <c r="B26" s="24">
        <v>85</v>
      </c>
      <c r="C26" s="85">
        <f>IF(ISNA(VLOOKUP($B26,DD_Info!$A$2:$F$221,5,0)),0,VLOOKUP($B26,DD_Info!$A$2:$F$221,5,0))</f>
        <v>1</v>
      </c>
      <c r="D26" s="62">
        <f>Districts!C85</f>
        <v>1301</v>
      </c>
      <c r="E26" s="62">
        <f>Districts!D85</f>
        <v>44</v>
      </c>
      <c r="F26" s="62">
        <f>Districts!E85</f>
        <v>0</v>
      </c>
      <c r="G26" s="62">
        <f>Districts!F85</f>
        <v>5</v>
      </c>
      <c r="H26" s="62">
        <f>Districts!G85</f>
        <v>-5</v>
      </c>
      <c r="J26" s="62">
        <f>Districts!H85</f>
        <v>2</v>
      </c>
      <c r="K26" s="62">
        <f>Districts!I85</f>
        <v>40</v>
      </c>
      <c r="L26" s="62">
        <f>Districts!J85</f>
        <v>-38</v>
      </c>
      <c r="M26" s="61">
        <f t="shared" si="0"/>
        <v>-0.86363636363636365</v>
      </c>
      <c r="N26">
        <f ca="1">IF(ISNA(VLOOKUP($Z26,'DD Mbr'!$A$2:$N$212,14,0)),0,VLOOKUP($Z26,'DD Mbr'!$A$2:$N$212,14,0))</f>
        <v>200</v>
      </c>
      <c r="P26" s="62">
        <f>Districts!L85</f>
        <v>0</v>
      </c>
      <c r="Q26" s="62">
        <f>Districts!M85</f>
        <v>1</v>
      </c>
      <c r="R26" s="62">
        <f>Districts!N85</f>
        <v>1</v>
      </c>
      <c r="S26" s="62">
        <f>Districts!O85</f>
        <v>0</v>
      </c>
      <c r="U26" s="62">
        <f>Districts!P85</f>
        <v>9</v>
      </c>
      <c r="V26" s="62">
        <f>Districts!Q85</f>
        <v>10</v>
      </c>
      <c r="W26" s="62">
        <f>Districts!R85</f>
        <v>-1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85</v>
      </c>
    </row>
    <row r="27" spans="1:26">
      <c r="A27" t="str">
        <f>IF(ISNA(VLOOKUP($B27,DD_Info!$A$2:$F$221,2,0)),0,VLOOKUP($B27,DD_Info!$A$2:$F$221,2,0))</f>
        <v>Clarence "CJ"  Hattier</v>
      </c>
      <c r="B27" s="24">
        <v>86</v>
      </c>
      <c r="C27" s="85">
        <f>IF(ISNA(VLOOKUP($B27,DD_Info!$A$2:$F$221,5,0)),0,VLOOKUP($B27,DD_Info!$A$2:$F$221,5,0))</f>
        <v>1</v>
      </c>
      <c r="D27" s="62">
        <f>Districts!C86</f>
        <v>614</v>
      </c>
      <c r="E27" s="62">
        <f>Districts!D86</f>
        <v>21</v>
      </c>
      <c r="F27" s="62">
        <f>Districts!E86</f>
        <v>0</v>
      </c>
      <c r="G27" s="62">
        <f>Districts!F86</f>
        <v>0</v>
      </c>
      <c r="H27" s="62">
        <f>Districts!G86</f>
        <v>0</v>
      </c>
      <c r="J27" s="62">
        <f>Districts!H86</f>
        <v>0</v>
      </c>
      <c r="K27" s="62">
        <f>Districts!I86</f>
        <v>0</v>
      </c>
      <c r="L27" s="62">
        <f>Districts!J86</f>
        <v>0</v>
      </c>
      <c r="M27" s="61">
        <f t="shared" si="0"/>
        <v>0</v>
      </c>
      <c r="N27">
        <f ca="1">IF(ISNA(VLOOKUP($Z27,'DD Mbr'!$A$2:$N$212,14,0)),0,VLOOKUP($Z27,'DD Mbr'!$A$2:$N$212,14,0))</f>
        <v>127</v>
      </c>
      <c r="P27" s="62">
        <f>Districts!L86</f>
        <v>0</v>
      </c>
      <c r="Q27" s="62">
        <f>Districts!M86</f>
        <v>0</v>
      </c>
      <c r="R27" s="62">
        <f>Districts!N86</f>
        <v>6</v>
      </c>
      <c r="S27" s="62">
        <f>Districts!O86</f>
        <v>-6</v>
      </c>
      <c r="U27" s="62">
        <f>Districts!P86</f>
        <v>3</v>
      </c>
      <c r="V27" s="62">
        <f>Districts!Q86</f>
        <v>7</v>
      </c>
      <c r="W27" s="62">
        <f>Districts!R86</f>
        <v>-4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86</v>
      </c>
    </row>
    <row r="28" spans="1:26">
      <c r="A28" t="str">
        <f>IF(ISNA(VLOOKUP($B28,DD_Info!$A$2:$F$221,2,0)),0,VLOOKUP($B28,DD_Info!$A$2:$F$221,2,0))</f>
        <v>Juan A Perez</v>
      </c>
      <c r="B28" s="24">
        <v>87</v>
      </c>
      <c r="C28" s="85">
        <f>IF(ISNA(VLOOKUP($B28,DD_Info!$A$2:$F$221,5,0)),0,VLOOKUP($B28,DD_Info!$A$2:$F$221,5,0))</f>
        <v>1</v>
      </c>
      <c r="D28" s="62">
        <f>Districts!C87</f>
        <v>583</v>
      </c>
      <c r="E28" s="62">
        <f>Districts!D87</f>
        <v>20</v>
      </c>
      <c r="F28" s="62">
        <f>Districts!E87</f>
        <v>3</v>
      </c>
      <c r="G28" s="62">
        <f>Districts!F87</f>
        <v>0</v>
      </c>
      <c r="H28" s="62">
        <f>Districts!G87</f>
        <v>3</v>
      </c>
      <c r="J28" s="62">
        <f>Districts!H87</f>
        <v>13</v>
      </c>
      <c r="K28" s="62">
        <f>Districts!I87</f>
        <v>0</v>
      </c>
      <c r="L28" s="62">
        <f>Districts!J87</f>
        <v>13</v>
      </c>
      <c r="M28" s="61">
        <f t="shared" si="0"/>
        <v>0.65</v>
      </c>
      <c r="N28">
        <f ca="1">IF(ISNA(VLOOKUP($Z28,'DD Mbr'!$A$2:$N$212,14,0)),0,VLOOKUP($Z28,'DD Mbr'!$A$2:$N$212,14,0))</f>
        <v>20</v>
      </c>
      <c r="P28" s="62">
        <f>Districts!L87</f>
        <v>0</v>
      </c>
      <c r="Q28" s="62">
        <f>Districts!M87</f>
        <v>0</v>
      </c>
      <c r="R28" s="62">
        <f>Districts!N87</f>
        <v>0</v>
      </c>
      <c r="S28" s="62">
        <f>Districts!O87</f>
        <v>0</v>
      </c>
      <c r="U28" s="62">
        <f>Districts!P87</f>
        <v>1</v>
      </c>
      <c r="V28" s="62">
        <f>Districts!Q87</f>
        <v>1</v>
      </c>
      <c r="W28" s="62">
        <f>Districts!R87</f>
        <v>0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87</v>
      </c>
    </row>
    <row r="29" spans="1:26">
      <c r="A29" t="str">
        <f>IF(ISNA(VLOOKUP($B29,DD_Info!$A$2:$F$221,2,0)),0,VLOOKUP($B29,DD_Info!$A$2:$F$221,2,0))</f>
        <v>Larry  Ordaz</v>
      </c>
      <c r="B29" s="24">
        <v>88</v>
      </c>
      <c r="C29" s="85">
        <f>IF(ISNA(VLOOKUP($B29,DD_Info!$A$2:$F$221,5,0)),0,VLOOKUP($B29,DD_Info!$A$2:$F$221,5,0))</f>
        <v>1</v>
      </c>
      <c r="D29" s="62">
        <f>Districts!C88</f>
        <v>897</v>
      </c>
      <c r="E29" s="62">
        <f>Districts!D88</f>
        <v>28</v>
      </c>
      <c r="F29" s="62">
        <f>Districts!E88</f>
        <v>2</v>
      </c>
      <c r="G29" s="62">
        <f>Districts!F88</f>
        <v>0</v>
      </c>
      <c r="H29" s="62">
        <f>Districts!G88</f>
        <v>2</v>
      </c>
      <c r="J29" s="62">
        <f>Districts!H88</f>
        <v>9</v>
      </c>
      <c r="K29" s="62">
        <f>Districts!I88</f>
        <v>0</v>
      </c>
      <c r="L29" s="62">
        <f>Districts!J88</f>
        <v>9</v>
      </c>
      <c r="M29" s="61">
        <f t="shared" si="0"/>
        <v>0.32142857142857145</v>
      </c>
      <c r="N29">
        <f ca="1">IF(ISNA(VLOOKUP($Z29,'DD Mbr'!$A$2:$N$212,14,0)),0,VLOOKUP($Z29,'DD Mbr'!$A$2:$N$212,14,0))</f>
        <v>54</v>
      </c>
      <c r="P29" s="62">
        <f>Districts!L88</f>
        <v>0</v>
      </c>
      <c r="Q29" s="62">
        <f>Districts!M88</f>
        <v>0</v>
      </c>
      <c r="R29" s="62">
        <f>Districts!N88</f>
        <v>4</v>
      </c>
      <c r="S29" s="62">
        <f>Districts!O88</f>
        <v>-4</v>
      </c>
      <c r="U29" s="62">
        <f>Districts!P88</f>
        <v>4</v>
      </c>
      <c r="V29" s="62">
        <f>Districts!Q88</f>
        <v>6</v>
      </c>
      <c r="W29" s="62">
        <f>Districts!R88</f>
        <v>-2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88</v>
      </c>
    </row>
    <row r="30" spans="1:26">
      <c r="A30" t="str">
        <f>IF(ISNA(VLOOKUP($B30,DD_Info!$A$2:$F$221,2,0)),0,VLOOKUP($B30,DD_Info!$A$2:$F$221,2,0))</f>
        <v>Abner  Brown Jr</v>
      </c>
      <c r="B30" s="24">
        <v>89</v>
      </c>
      <c r="C30" s="85">
        <f>IF(ISNA(VLOOKUP($B30,DD_Info!$A$2:$F$221,5,0)),0,VLOOKUP($B30,DD_Info!$A$2:$F$221,5,0))</f>
        <v>3</v>
      </c>
      <c r="D30" s="62">
        <f>Districts!C89</f>
        <v>204</v>
      </c>
      <c r="E30" s="62">
        <f>Districts!D89</f>
        <v>8</v>
      </c>
      <c r="F30" s="62">
        <f>Districts!E89</f>
        <v>0</v>
      </c>
      <c r="G30" s="62">
        <f>Districts!F89</f>
        <v>0</v>
      </c>
      <c r="H30" s="62">
        <f>Districts!G89</f>
        <v>0</v>
      </c>
      <c r="J30" s="62">
        <f>Districts!H89</f>
        <v>2</v>
      </c>
      <c r="K30" s="62">
        <f>Districts!I89</f>
        <v>0</v>
      </c>
      <c r="L30" s="62">
        <f>Districts!J89</f>
        <v>2</v>
      </c>
      <c r="M30" s="61">
        <f t="shared" si="0"/>
        <v>0.25</v>
      </c>
      <c r="N30">
        <f ca="1">IF(ISNA(VLOOKUP($Z30,'DD Mbr'!$A$2:$N$212,14,0)),0,VLOOKUP($Z30,'DD Mbr'!$A$2:$N$212,14,0))</f>
        <v>74</v>
      </c>
      <c r="P30" s="62">
        <f>Districts!L89</f>
        <v>0</v>
      </c>
      <c r="Q30" s="62">
        <f>Districts!M89</f>
        <v>1</v>
      </c>
      <c r="R30" s="62">
        <f>Districts!N89</f>
        <v>0</v>
      </c>
      <c r="S30" s="62">
        <f>Districts!O89</f>
        <v>1</v>
      </c>
      <c r="U30" s="62">
        <f>Districts!P89</f>
        <v>2</v>
      </c>
      <c r="V30" s="62">
        <f>Districts!Q89</f>
        <v>0</v>
      </c>
      <c r="W30" s="62">
        <f>Districts!R89</f>
        <v>2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89</v>
      </c>
    </row>
    <row r="31" spans="1:26">
      <c r="A31" t="str">
        <f>IF(ISNA(VLOOKUP($B31,DD_Info!$A$2:$F$221,2,0)),0,VLOOKUP($B31,DD_Info!$A$2:$F$221,2,0))</f>
        <v>Reggie  Vasquez</v>
      </c>
      <c r="B31" s="24">
        <v>90</v>
      </c>
      <c r="C31" s="85">
        <f>IF(ISNA(VLOOKUP($B31,DD_Info!$A$2:$F$221,5,0)),0,VLOOKUP($B31,DD_Info!$A$2:$F$221,5,0))</f>
        <v>1</v>
      </c>
      <c r="D31" s="62">
        <f>Districts!C90</f>
        <v>1236</v>
      </c>
      <c r="E31" s="62">
        <f>Districts!D90</f>
        <v>31</v>
      </c>
      <c r="F31" s="62">
        <f>Districts!E90</f>
        <v>1</v>
      </c>
      <c r="G31" s="62">
        <f>Districts!F90</f>
        <v>1</v>
      </c>
      <c r="H31" s="62">
        <f>Districts!G90</f>
        <v>0</v>
      </c>
      <c r="J31" s="62">
        <f>Districts!H90</f>
        <v>4</v>
      </c>
      <c r="K31" s="62">
        <f>Districts!I90</f>
        <v>2</v>
      </c>
      <c r="L31" s="62">
        <f>Districts!J90</f>
        <v>2</v>
      </c>
      <c r="M31" s="61">
        <f t="shared" si="0"/>
        <v>6.4516129032258063E-2</v>
      </c>
      <c r="N31">
        <f ca="1">IF(ISNA(VLOOKUP($Z31,'DD Mbr'!$A$2:$N$212,14,0)),0,VLOOKUP($Z31,'DD Mbr'!$A$2:$N$212,14,0))</f>
        <v>124</v>
      </c>
      <c r="P31" s="62">
        <f>Districts!L90</f>
        <v>0</v>
      </c>
      <c r="Q31" s="62">
        <f>Districts!M90</f>
        <v>1</v>
      </c>
      <c r="R31" s="62">
        <f>Districts!N90</f>
        <v>2</v>
      </c>
      <c r="S31" s="62">
        <f>Districts!O90</f>
        <v>-1</v>
      </c>
      <c r="U31" s="62">
        <f>Districts!P90</f>
        <v>3</v>
      </c>
      <c r="V31" s="62">
        <f>Districts!Q90</f>
        <v>7</v>
      </c>
      <c r="W31" s="62">
        <f>Districts!R90</f>
        <v>-4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90</v>
      </c>
    </row>
    <row r="32" spans="1:26">
      <c r="A32" t="str">
        <f>IF(ISNA(VLOOKUP($B32,DD_Info!$A$2:$F$221,2,0)),0,VLOOKUP($B32,DD_Info!$A$2:$F$221,2,0))</f>
        <v>John Anthony  Martinez</v>
      </c>
      <c r="B32" s="24">
        <v>91</v>
      </c>
      <c r="C32" s="85">
        <f>IF(ISNA(VLOOKUP($B32,DD_Info!$A$2:$F$221,5,0)),0,VLOOKUP($B32,DD_Info!$A$2:$F$221,5,0))</f>
        <v>1</v>
      </c>
      <c r="D32" s="62">
        <f>Districts!C91</f>
        <v>694</v>
      </c>
      <c r="E32" s="62">
        <f>Districts!D91</f>
        <v>20</v>
      </c>
      <c r="F32" s="62">
        <f>Districts!E91</f>
        <v>0</v>
      </c>
      <c r="G32" s="62">
        <f>Districts!F91</f>
        <v>1</v>
      </c>
      <c r="H32" s="62">
        <f>Districts!G91</f>
        <v>-1</v>
      </c>
      <c r="J32" s="62">
        <f>Districts!H91</f>
        <v>6</v>
      </c>
      <c r="K32" s="62">
        <f>Districts!I91</f>
        <v>7</v>
      </c>
      <c r="L32" s="62">
        <f>Districts!J91</f>
        <v>-1</v>
      </c>
      <c r="M32" s="61">
        <f t="shared" si="0"/>
        <v>-0.05</v>
      </c>
      <c r="N32">
        <f ca="1">IF(ISNA(VLOOKUP($Z32,'DD Mbr'!$A$2:$N$212,14,0)),0,VLOOKUP($Z32,'DD Mbr'!$A$2:$N$212,14,0))</f>
        <v>176</v>
      </c>
      <c r="P32" s="62">
        <f>Districts!L91</f>
        <v>0</v>
      </c>
      <c r="Q32" s="62">
        <f>Districts!M91</f>
        <v>1</v>
      </c>
      <c r="R32" s="62">
        <f>Districts!N91</f>
        <v>5</v>
      </c>
      <c r="S32" s="62">
        <f>Districts!O91</f>
        <v>-4</v>
      </c>
      <c r="U32" s="62">
        <f>Districts!P91</f>
        <v>7</v>
      </c>
      <c r="V32" s="62">
        <f>Districts!Q91</f>
        <v>15</v>
      </c>
      <c r="W32" s="62">
        <f>Districts!R91</f>
        <v>-8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91</v>
      </c>
    </row>
    <row r="33" spans="1:26">
      <c r="A33" t="str">
        <f>IF(ISNA(VLOOKUP($B33,DD_Info!$A$2:$F$221,2,0)),0,VLOOKUP($B33,DD_Info!$A$2:$F$221,2,0))</f>
        <v>Robert "Bob" H Schmidt</v>
      </c>
      <c r="B33" s="24">
        <v>92</v>
      </c>
      <c r="C33" s="85">
        <f>IF(ISNA(VLOOKUP($B33,DD_Info!$A$2:$F$221,5,0)),0,VLOOKUP($B33,DD_Info!$A$2:$F$221,5,0))</f>
        <v>1</v>
      </c>
      <c r="D33" s="62">
        <f>Districts!C92</f>
        <v>1159</v>
      </c>
      <c r="E33" s="62">
        <f>Districts!D92</f>
        <v>30</v>
      </c>
      <c r="F33" s="62">
        <f>Districts!E92</f>
        <v>2</v>
      </c>
      <c r="G33" s="62">
        <f>Districts!F92</f>
        <v>0</v>
      </c>
      <c r="H33" s="62">
        <f>Districts!G92</f>
        <v>2</v>
      </c>
      <c r="J33" s="62">
        <f>Districts!H92</f>
        <v>17</v>
      </c>
      <c r="K33" s="62">
        <f>Districts!I92</f>
        <v>0</v>
      </c>
      <c r="L33" s="62">
        <f>Districts!J92</f>
        <v>17</v>
      </c>
      <c r="M33" s="61">
        <f t="shared" si="0"/>
        <v>0.56666666666666665</v>
      </c>
      <c r="N33">
        <f ca="1">IF(ISNA(VLOOKUP($Z33,'DD Mbr'!$A$2:$N$212,14,0)),0,VLOOKUP($Z33,'DD Mbr'!$A$2:$N$212,14,0))</f>
        <v>25</v>
      </c>
      <c r="P33" s="62">
        <f>Districts!L92</f>
        <v>0</v>
      </c>
      <c r="Q33" s="62">
        <f>Districts!M92</f>
        <v>1</v>
      </c>
      <c r="R33" s="62">
        <f>Districts!N92</f>
        <v>3</v>
      </c>
      <c r="S33" s="62">
        <f>Districts!O92</f>
        <v>-2</v>
      </c>
      <c r="U33" s="62">
        <f>Districts!P92</f>
        <v>4</v>
      </c>
      <c r="V33" s="62">
        <f>Districts!Q92</f>
        <v>5</v>
      </c>
      <c r="W33" s="62">
        <f>Districts!R92</f>
        <v>-1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IF(ISNA(VLOOKUP($B34,DD_Info!$A$2:$F$221,2,0)),0,VLOOKUP($B34,DD_Info!$A$2:$F$221,2,0))</f>
        <v>TBD</v>
      </c>
      <c r="B34" s="24">
        <v>93</v>
      </c>
      <c r="C34" s="85">
        <f>IF(ISNA(VLOOKUP($B34,DD_Info!$A$2:$F$221,5,0)),0,VLOOKUP($B34,DD_Info!$A$2:$F$221,5,0))</f>
        <v>1</v>
      </c>
      <c r="D34" s="62">
        <f>Districts!C93</f>
        <v>1121</v>
      </c>
      <c r="E34" s="62">
        <f>Districts!D93</f>
        <v>37</v>
      </c>
      <c r="F34" s="62">
        <f>Districts!E93</f>
        <v>2</v>
      </c>
      <c r="G34" s="62">
        <f>Districts!F93</f>
        <v>2</v>
      </c>
      <c r="H34" s="62">
        <f>Districts!G93</f>
        <v>0</v>
      </c>
      <c r="J34" s="62">
        <f>Districts!H93</f>
        <v>13</v>
      </c>
      <c r="K34" s="62">
        <f>Districts!I93</f>
        <v>2</v>
      </c>
      <c r="L34" s="62">
        <f>Districts!J93</f>
        <v>11</v>
      </c>
      <c r="M34" s="61">
        <f t="shared" si="0"/>
        <v>0.29729729729729731</v>
      </c>
      <c r="N34">
        <f ca="1">IF(ISNA(VLOOKUP($Z34,'DD Mbr'!$A$2:$N$212,14,0)),0,VLOOKUP($Z34,'DD Mbr'!$A$2:$N$212,14,0))</f>
        <v>53</v>
      </c>
      <c r="P34" s="62">
        <f>Districts!L93</f>
        <v>0</v>
      </c>
      <c r="Q34" s="62">
        <f>Districts!M93</f>
        <v>1</v>
      </c>
      <c r="R34" s="62">
        <f>Districts!N93</f>
        <v>2</v>
      </c>
      <c r="S34" s="62">
        <f>Districts!O93</f>
        <v>-1</v>
      </c>
      <c r="U34" s="62">
        <f>Districts!P93</f>
        <v>6</v>
      </c>
      <c r="V34" s="62">
        <f>Districts!Q93</f>
        <v>5</v>
      </c>
      <c r="W34" s="62">
        <f>Districts!R93</f>
        <v>1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93</v>
      </c>
    </row>
    <row r="35" spans="1:26">
      <c r="A35" t="str">
        <f>IF(ISNA(VLOOKUP($B35,DD_Info!$A$2:$F$221,2,0)),0,VLOOKUP($B35,DD_Info!$A$2:$F$221,2,0))</f>
        <v>Larry  Pellerito</v>
      </c>
      <c r="B35" s="24">
        <v>94</v>
      </c>
      <c r="C35" s="85">
        <f>IF(ISNA(VLOOKUP($B35,DD_Info!$A$2:$F$221,5,0)),0,VLOOKUP($B35,DD_Info!$A$2:$F$221,5,0))</f>
        <v>1</v>
      </c>
      <c r="D35" s="62">
        <f>Districts!C94</f>
        <v>848</v>
      </c>
      <c r="E35" s="62">
        <f>Districts!D94</f>
        <v>27</v>
      </c>
      <c r="F35" s="62">
        <f>Districts!E94</f>
        <v>1</v>
      </c>
      <c r="G35" s="62">
        <f>Districts!F94</f>
        <v>0</v>
      </c>
      <c r="H35" s="62">
        <f>Districts!G94</f>
        <v>1</v>
      </c>
      <c r="J35" s="62">
        <f>Districts!H94</f>
        <v>5</v>
      </c>
      <c r="K35" s="62">
        <f>Districts!I94</f>
        <v>1</v>
      </c>
      <c r="L35" s="62">
        <f>Districts!J94</f>
        <v>4</v>
      </c>
      <c r="M35" s="61">
        <f t="shared" si="0"/>
        <v>0.14814814814814814</v>
      </c>
      <c r="N35">
        <f ca="1">IF(ISNA(VLOOKUP($Z35,'DD Mbr'!$A$2:$N$212,14,0)),0,VLOOKUP($Z35,'DD Mbr'!$A$2:$N$212,14,0))</f>
        <v>82</v>
      </c>
      <c r="P35" s="62">
        <f>Districts!L94</f>
        <v>0</v>
      </c>
      <c r="Q35" s="62">
        <f>Districts!M94</f>
        <v>0</v>
      </c>
      <c r="R35" s="62">
        <f>Districts!N94</f>
        <v>3</v>
      </c>
      <c r="S35" s="62">
        <f>Districts!O94</f>
        <v>-3</v>
      </c>
      <c r="U35" s="62">
        <f>Districts!P94</f>
        <v>2</v>
      </c>
      <c r="V35" s="62">
        <f>Districts!Q94</f>
        <v>6</v>
      </c>
      <c r="W35" s="62">
        <f>Districts!R94</f>
        <v>-4</v>
      </c>
      <c r="X35" s="61">
        <f t="shared" si="1"/>
        <v>0</v>
      </c>
      <c r="Y35">
        <f>IF(ISNA(VLOOKUP($Z35,'DD Ins'!$A$2:$N$217,14,0)),0,VLOOKUP($Z35,'DD Ins'!$A$2:$N$217,14,0))</f>
        <v>1</v>
      </c>
      <c r="Z35">
        <f t="shared" si="2"/>
        <v>94</v>
      </c>
    </row>
    <row r="36" spans="1:26">
      <c r="A36" t="str">
        <f>IF(ISNA(VLOOKUP($B36,DD_Info!$A$2:$F$221,2,0)),0,VLOOKUP($B36,DD_Info!$A$2:$F$221,2,0))</f>
        <v>Joseph A Geiman</v>
      </c>
      <c r="B36" s="24">
        <v>95</v>
      </c>
      <c r="C36" s="85">
        <f>IF(ISNA(VLOOKUP($B36,DD_Info!$A$2:$F$221,5,0)),0,VLOOKUP($B36,DD_Info!$A$2:$F$221,5,0))</f>
        <v>2</v>
      </c>
      <c r="D36" s="62">
        <f>Districts!C95</f>
        <v>411</v>
      </c>
      <c r="E36" s="62">
        <f>Districts!D95</f>
        <v>15</v>
      </c>
      <c r="F36" s="62">
        <f>Districts!E95</f>
        <v>0</v>
      </c>
      <c r="G36" s="62">
        <f>Districts!F95</f>
        <v>0</v>
      </c>
      <c r="H36" s="62">
        <f>Districts!G95</f>
        <v>0</v>
      </c>
      <c r="J36" s="62">
        <f>Districts!H95</f>
        <v>1</v>
      </c>
      <c r="K36" s="62">
        <f>Districts!I95</f>
        <v>0</v>
      </c>
      <c r="L36" s="62">
        <f>Districts!J95</f>
        <v>1</v>
      </c>
      <c r="M36" s="61">
        <f t="shared" si="0"/>
        <v>6.6666666666666666E-2</v>
      </c>
      <c r="N36">
        <f ca="1">IF(ISNA(VLOOKUP($Z36,'DD Mbr'!$A$2:$N$212,14,0)),0,VLOOKUP($Z36,'DD Mbr'!$A$2:$N$212,14,0))</f>
        <v>104</v>
      </c>
      <c r="P36" s="62">
        <f>Districts!L95</f>
        <v>0</v>
      </c>
      <c r="Q36" s="62">
        <f>Districts!M95</f>
        <v>0</v>
      </c>
      <c r="R36" s="62">
        <f>Districts!N95</f>
        <v>1</v>
      </c>
      <c r="S36" s="62">
        <f>Districts!O95</f>
        <v>-1</v>
      </c>
      <c r="U36" s="62">
        <f>Districts!P95</f>
        <v>2</v>
      </c>
      <c r="V36" s="62">
        <f>Districts!Q95</f>
        <v>2</v>
      </c>
      <c r="W36" s="62">
        <f>Districts!R95</f>
        <v>0</v>
      </c>
      <c r="X36" s="61">
        <f t="shared" si="1"/>
        <v>0</v>
      </c>
      <c r="Y36">
        <f>IF(ISNA(VLOOKUP($Z36,'DD Ins'!$A$2:$N$217,14,0)),0,VLOOKUP($Z36,'DD Ins'!$A$2:$N$217,14,0))</f>
        <v>1</v>
      </c>
      <c r="Z36">
        <f t="shared" si="2"/>
        <v>95</v>
      </c>
    </row>
    <row r="37" spans="1:26">
      <c r="A37" t="str">
        <f>IF(ISNA(VLOOKUP($B37,DD_Info!$A$2:$F$221,2,0)),0,VLOOKUP($B37,DD_Info!$A$2:$F$221,2,0))</f>
        <v>John G Hinojosa</v>
      </c>
      <c r="B37" s="24">
        <v>96</v>
      </c>
      <c r="C37" s="85">
        <f>IF(ISNA(VLOOKUP($B37,DD_Info!$A$2:$F$221,5,0)),0,VLOOKUP($B37,DD_Info!$A$2:$F$221,5,0))</f>
        <v>3</v>
      </c>
      <c r="D37" s="62">
        <f>Districts!C96</f>
        <v>172</v>
      </c>
      <c r="E37" s="62">
        <f>Districts!D96</f>
        <v>6</v>
      </c>
      <c r="F37" s="62">
        <f>Districts!E96</f>
        <v>9</v>
      </c>
      <c r="G37" s="62">
        <f>Districts!F96</f>
        <v>0</v>
      </c>
      <c r="H37" s="62">
        <f>Districts!G96</f>
        <v>9</v>
      </c>
      <c r="J37" s="62">
        <f>Districts!H96</f>
        <v>32</v>
      </c>
      <c r="K37" s="62">
        <f>Districts!I96</f>
        <v>0</v>
      </c>
      <c r="L37" s="62">
        <f>Districts!J96</f>
        <v>32</v>
      </c>
      <c r="M37" s="61">
        <f t="shared" si="0"/>
        <v>5.333333333333333</v>
      </c>
      <c r="N37">
        <f ca="1">IF(ISNA(VLOOKUP($Z37,'DD Mbr'!$A$2:$N$212,14,0)),0,VLOOKUP($Z37,'DD Mbr'!$A$2:$N$212,14,0))</f>
        <v>127</v>
      </c>
      <c r="P37" s="62">
        <f>Districts!L96</f>
        <v>0</v>
      </c>
      <c r="Q37" s="62">
        <f>Districts!M96</f>
        <v>1</v>
      </c>
      <c r="R37" s="62">
        <f>Districts!N96</f>
        <v>0</v>
      </c>
      <c r="S37" s="62">
        <f>Districts!O96</f>
        <v>1</v>
      </c>
      <c r="U37" s="62">
        <f>Districts!P96</f>
        <v>1</v>
      </c>
      <c r="V37" s="62">
        <f>Districts!Q96</f>
        <v>0</v>
      </c>
      <c r="W37" s="62">
        <f>Districts!R96</f>
        <v>1</v>
      </c>
      <c r="X37" s="61">
        <f t="shared" si="1"/>
        <v>0</v>
      </c>
      <c r="Y37">
        <f>IF(ISNA(VLOOKUP($Z37,'DD Ins'!$A$2:$N$217,14,0)),0,VLOOKUP($Z37,'DD Ins'!$A$2:$N$217,14,0))</f>
        <v>1</v>
      </c>
      <c r="Z37">
        <f t="shared" si="2"/>
        <v>96</v>
      </c>
    </row>
    <row r="38" spans="1:26">
      <c r="A38" t="str">
        <f>IF(ISNA(VLOOKUP($B38,DD_Info!$A$2:$F$221,2,0)),0,VLOOKUP($B38,DD_Info!$A$2:$F$221,2,0))</f>
        <v>James A Hatcher</v>
      </c>
      <c r="B38" s="24">
        <v>97</v>
      </c>
      <c r="C38" s="85">
        <f>IF(ISNA(VLOOKUP($B38,DD_Info!$A$2:$F$221,5,0)),0,VLOOKUP($B38,DD_Info!$A$2:$F$221,5,0))</f>
        <v>3</v>
      </c>
      <c r="D38" s="62">
        <f>Districts!C97</f>
        <v>58</v>
      </c>
      <c r="E38" s="62">
        <f>Districts!D97</f>
        <v>5</v>
      </c>
      <c r="F38" s="62">
        <f>Districts!E97</f>
        <v>0</v>
      </c>
      <c r="G38" s="62">
        <f>Districts!F97</f>
        <v>0</v>
      </c>
      <c r="H38" s="62">
        <f>Districts!G97</f>
        <v>0</v>
      </c>
      <c r="J38" s="62">
        <f>Districts!H97</f>
        <v>0</v>
      </c>
      <c r="K38" s="62">
        <f>Districts!I97</f>
        <v>0</v>
      </c>
      <c r="L38" s="62">
        <f>Districts!J97</f>
        <v>0</v>
      </c>
      <c r="M38" s="61">
        <f t="shared" si="0"/>
        <v>0</v>
      </c>
      <c r="N38">
        <f ca="1">IF(ISNA(VLOOKUP($Z38,'DD Mbr'!$A$2:$N$212,14,0)),0,VLOOKUP($Z38,'DD Mbr'!$A$2:$N$212,14,0))</f>
        <v>127</v>
      </c>
      <c r="P38" s="62">
        <f>Districts!L97</f>
        <v>0</v>
      </c>
      <c r="Q38" s="62">
        <f>Districts!M97</f>
        <v>0</v>
      </c>
      <c r="R38" s="62">
        <f>Districts!N97</f>
        <v>0</v>
      </c>
      <c r="S38" s="62">
        <f>Districts!O97</f>
        <v>0</v>
      </c>
      <c r="U38" s="62">
        <f>Districts!P97</f>
        <v>0</v>
      </c>
      <c r="V38" s="62">
        <f>Districts!Q97</f>
        <v>0</v>
      </c>
      <c r="W38" s="62">
        <f>Districts!R97</f>
        <v>0</v>
      </c>
      <c r="X38" s="61">
        <f t="shared" si="1"/>
        <v>0</v>
      </c>
      <c r="Y38">
        <f>IF(ISNA(VLOOKUP($Z38,'DD Ins'!$A$2:$N$217,14,0)),0,VLOOKUP($Z38,'DD Ins'!$A$2:$N$217,14,0))</f>
        <v>1</v>
      </c>
      <c r="Z38">
        <f t="shared" si="2"/>
        <v>97</v>
      </c>
    </row>
    <row r="39" spans="1:26">
      <c r="A39" t="str">
        <f>IF(ISNA(VLOOKUP($B39,DD_Info!$A$2:$F$221,2,0)),0,VLOOKUP($B39,DD_Info!$A$2:$F$221,2,0))</f>
        <v>Ron  Frerich</v>
      </c>
      <c r="B39" s="24">
        <v>98</v>
      </c>
      <c r="C39" s="85">
        <f>IF(ISNA(VLOOKUP($B39,DD_Info!$A$2:$F$221,5,0)),0,VLOOKUP($B39,DD_Info!$A$2:$F$221,5,0))</f>
        <v>3</v>
      </c>
      <c r="D39" s="62">
        <f>Districts!C98</f>
        <v>273</v>
      </c>
      <c r="E39" s="62">
        <f>Districts!D98</f>
        <v>13</v>
      </c>
      <c r="F39" s="62">
        <f>Districts!E98</f>
        <v>0</v>
      </c>
      <c r="G39" s="62">
        <f>Districts!F98</f>
        <v>0</v>
      </c>
      <c r="H39" s="62">
        <f>Districts!G98</f>
        <v>0</v>
      </c>
      <c r="J39" s="62">
        <f>Districts!H98</f>
        <v>0</v>
      </c>
      <c r="K39" s="62">
        <f>Districts!I98</f>
        <v>0</v>
      </c>
      <c r="L39" s="62">
        <f>Districts!J98</f>
        <v>0</v>
      </c>
      <c r="M39" s="61">
        <f t="shared" si="0"/>
        <v>0</v>
      </c>
      <c r="N39">
        <f ca="1">IF(ISNA(VLOOKUP($Z39,'DD Mbr'!$A$2:$N$212,14,0)),0,VLOOKUP($Z39,'DD Mbr'!$A$2:$N$212,14,0))</f>
        <v>127</v>
      </c>
      <c r="P39" s="62">
        <f>Districts!L98</f>
        <v>0</v>
      </c>
      <c r="Q39" s="62">
        <f>Districts!M98</f>
        <v>0</v>
      </c>
      <c r="R39" s="62">
        <f>Districts!N98</f>
        <v>1</v>
      </c>
      <c r="S39" s="62">
        <f>Districts!O98</f>
        <v>-1</v>
      </c>
      <c r="U39" s="62">
        <f>Districts!P98</f>
        <v>0</v>
      </c>
      <c r="V39" s="62">
        <f>Districts!Q98</f>
        <v>2</v>
      </c>
      <c r="W39" s="62">
        <f>Districts!R98</f>
        <v>-2</v>
      </c>
      <c r="X39" s="61">
        <f t="shared" si="1"/>
        <v>0</v>
      </c>
      <c r="Y39">
        <f>IF(ISNA(VLOOKUP($Z39,'DD Ins'!$A$2:$N$217,14,0)),0,VLOOKUP($Z39,'DD Ins'!$A$2:$N$217,14,0))</f>
        <v>1</v>
      </c>
      <c r="Z39">
        <f t="shared" si="2"/>
        <v>98</v>
      </c>
    </row>
    <row r="40" spans="1:26">
      <c r="A40" t="str">
        <f>IF(ISNA(VLOOKUP($B40,DD_Info!$A$2:$F$221,2,0)),0,VLOOKUP($B40,DD_Info!$A$2:$F$221,2,0))</f>
        <v>Mervin J Albert Jr</v>
      </c>
      <c r="B40" s="24">
        <v>99</v>
      </c>
      <c r="C40" s="85">
        <f>IF(ISNA(VLOOKUP($B40,DD_Info!$A$2:$F$221,5,0)),0,VLOOKUP($B40,DD_Info!$A$2:$F$221,5,0))</f>
        <v>1</v>
      </c>
      <c r="D40" s="62">
        <f>Districts!C99</f>
        <v>637</v>
      </c>
      <c r="E40" s="62">
        <f>Districts!D99</f>
        <v>21</v>
      </c>
      <c r="F40" s="62">
        <f>Districts!E99</f>
        <v>1</v>
      </c>
      <c r="G40" s="62">
        <f>Districts!F99</f>
        <v>2</v>
      </c>
      <c r="H40" s="62">
        <f>Districts!G99</f>
        <v>-1</v>
      </c>
      <c r="J40" s="62">
        <f>Districts!H99</f>
        <v>11</v>
      </c>
      <c r="K40" s="62">
        <f>Districts!I99</f>
        <v>14</v>
      </c>
      <c r="L40" s="62">
        <f>Districts!J99</f>
        <v>-3</v>
      </c>
      <c r="M40" s="61">
        <f t="shared" ref="M40" si="3">IFERROR(L40/E40,0)</f>
        <v>-0.14285714285714285</v>
      </c>
      <c r="N40">
        <f>IF(ISNA(VLOOKUP($Z40,'DD Mbr'!$A$2:$N$212,14,0)),0,VLOOKUP($Z40,'DD Mbr'!$A$2:$N$212,14,0))</f>
        <v>0</v>
      </c>
      <c r="P40" s="62">
        <f>Districts!L99</f>
        <v>0</v>
      </c>
      <c r="Q40" s="62">
        <f>Districts!M99</f>
        <v>0</v>
      </c>
      <c r="R40" s="62">
        <f>Districts!N99</f>
        <v>2</v>
      </c>
      <c r="S40" s="62">
        <f>Districts!O99</f>
        <v>-2</v>
      </c>
      <c r="U40" s="62">
        <f>Districts!P99</f>
        <v>3</v>
      </c>
      <c r="V40" s="62">
        <f>Districts!Q99</f>
        <v>7</v>
      </c>
      <c r="W40" s="62">
        <f>Districts!R99</f>
        <v>-4</v>
      </c>
      <c r="X40" s="61">
        <f t="shared" ref="X40" si="4">IFERROR(W40/P40,0)</f>
        <v>0</v>
      </c>
      <c r="Y40">
        <f>IF(ISNA(VLOOKUP($Z40,'DD Ins'!$A$2:$N$217,14,0)),0,VLOOKUP($Z40,'DD Ins'!$A$2:$N$217,14,0))</f>
        <v>0</v>
      </c>
      <c r="Z40">
        <f t="shared" ref="Z40" si="5">+B40</f>
        <v>99</v>
      </c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8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3867</v>
      </c>
      <c r="B3" t="str">
        <f>IF(ISNA(VLOOKUP($A3,Councils!$B$6:$AE$841,3,0)),0,VLOOKUP($A3,Councils!$B$6:$AE$841,3,0))</f>
        <v>Brownwood</v>
      </c>
      <c r="C3">
        <f>IF(ISNA(VLOOKUP($A3,Councils!$B$6:$AE$841,4,0)),0,VLOOKUP($A3,Councils!$B$6:$AE$841,4,0))</f>
        <v>92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8574</v>
      </c>
      <c r="B4" t="str">
        <f>IF(ISNA(VLOOKUP($A4,Councils!$B$6:$AE$841,3,0)),0,VLOOKUP($A4,Councils!$B$6:$AE$841,3,0))</f>
        <v>Winters</v>
      </c>
      <c r="C4">
        <f>IF(ISNA(VLOOKUP($A4,Councils!$B$6:$AE$841,4,0)),0,VLOOKUP($A4,Councils!$B$6:$AE$841,4,0))</f>
        <v>20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13824</v>
      </c>
      <c r="B5" t="str">
        <f>IF(ISNA(VLOOKUP($A5,Councils!$B$6:$AE$841,3,0)),0,VLOOKUP($A5,Councils!$B$6:$AE$841,3,0))</f>
        <v>Brady</v>
      </c>
      <c r="C5">
        <f>IF(ISNA(VLOOKUP($A5,Councils!$B$6:$AE$841,4,0)),0,VLOOKUP($A5,Councils!$B$6:$AE$841,4,0))</f>
        <v>72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2163</v>
      </c>
      <c r="B3" t="str">
        <f>IF(ISNA(VLOOKUP($A3,Councils!$B$6:$AE$841,3,0)),0,VLOOKUP($A3,Councils!$B$6:$AE$841,3,0))</f>
        <v>Abilene</v>
      </c>
      <c r="C3">
        <f>IF(ISNA(VLOOKUP($A3,Councils!$B$6:$AE$841,4,0)),0,VLOOKUP($A3,Councils!$B$6:$AE$841,4,0))</f>
        <v>195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6634</v>
      </c>
      <c r="B4" t="str">
        <f>IF(ISNA(VLOOKUP($A4,Councils!$B$6:$AE$841,3,0)),0,VLOOKUP($A4,Councils!$B$6:$AE$841,3,0))</f>
        <v>Sweetwater</v>
      </c>
      <c r="C4">
        <f>IF(ISNA(VLOOKUP($A4,Councils!$B$6:$AE$841,4,0)),0,VLOOKUP($A4,Councils!$B$6:$AE$841,4,0))</f>
        <v>72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8788</v>
      </c>
      <c r="B5" t="str">
        <f>IF(ISNA(VLOOKUP($A5,Councils!$B$6:$AE$841,3,0)),0,VLOOKUP($A5,Councils!$B$6:$AE$841,3,0))</f>
        <v>Abilene</v>
      </c>
      <c r="C5">
        <f>IF(ISNA(VLOOKUP($A5,Councils!$B$6:$AE$841,4,0)),0,VLOOKUP($A5,Councils!$B$6:$AE$841,4,0))</f>
        <v>103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50">
        <v>12066</v>
      </c>
      <c r="B6" t="str">
        <f>IF(ISNA(VLOOKUP($A6,Councils!$B$6:$AE$841,3,0)),0,VLOOKUP($A6,Councils!$B$6:$AE$841,3,0))</f>
        <v>Colorado City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50">
        <v>14050</v>
      </c>
      <c r="B7" t="str">
        <f>IF(ISNA(VLOOKUP($A7,Councils!$B$6:$AE$841,3,0)),0,VLOOKUP($A7,Councils!$B$6:$AE$841,3,0))</f>
        <v>Abilene</v>
      </c>
      <c r="C7">
        <f>IF(ISNA(VLOOKUP($A7,Councils!$B$6:$AE$841,4,0)),0,VLOOKUP($A7,Councils!$B$6:$AE$841,4,0))</f>
        <v>65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4316</v>
      </c>
      <c r="B3" t="str">
        <f>IF(ISNA(VLOOKUP($A3,Councils!$B$6:$AE$841,3,0)),0,VLOOKUP($A3,Councils!$B$6:$AE$841,3,0))</f>
        <v>Wall</v>
      </c>
      <c r="C3">
        <f>IF(ISNA(VLOOKUP($A3,Councils!$B$6:$AE$841,4,0)),0,VLOOKUP($A3,Councils!$B$6:$AE$841,4,0))</f>
        <v>237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-9.0909090909090912E-2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9641</v>
      </c>
      <c r="B4" t="str">
        <f>IF(ISNA(VLOOKUP($A4,Councils!$B$6:$AE$841,3,0)),0,VLOOKUP($A4,Councils!$B$6:$AE$841,3,0))</f>
        <v>St Lawrence</v>
      </c>
      <c r="C4">
        <f>IF(ISNA(VLOOKUP($A4,Councils!$B$6:$AE$841,4,0)),0,VLOOKUP($A4,Councils!$B$6:$AE$841,4,0))</f>
        <v>126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3"/>
  <sheetViews>
    <sheetView workbookViewId="0">
      <selection activeCell="C3" sqref="C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10750</v>
      </c>
      <c r="B3" t="str">
        <f>IF(ISNA(VLOOKUP($A3,Councils!$B$6:$AE$841,3,0)),0,VLOOKUP($A3,Councils!$B$6:$AE$841,3,0))</f>
        <v>Midland</v>
      </c>
      <c r="C3">
        <f>IF(ISNA(VLOOKUP($A3,Councils!$B$6:$AE$841,4,0)),0,VLOOKUP($A3,Councils!$B$6:$AE$841,4,0))</f>
        <v>14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2543</v>
      </c>
      <c r="B3" t="str">
        <f>IF(ISNA(VLOOKUP($A3,Councils!$B$6:$AE$841,3,0)),0,VLOOKUP($A3,Councils!$B$6:$AE$841,3,0))</f>
        <v>Eagle Pass</v>
      </c>
      <c r="C3">
        <f>IF(ISNA(VLOOKUP($A3,Councils!$B$6:$AE$841,4,0)),0,VLOOKUP($A3,Councils!$B$6:$AE$841,4,0))</f>
        <v>187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21</v>
      </c>
      <c r="J3">
        <f>IF(ISNA(VLOOKUP($A3,Councils!$B$6:$AE$841,11,0)),0,VLOOKUP($A3,Councils!$B$6:$AE$841,11,0))</f>
        <v>-20</v>
      </c>
      <c r="K3" s="63">
        <f>IFERROR(J3/D3,0)</f>
        <v>-2.2222222222222223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10711</v>
      </c>
      <c r="B4" t="str">
        <f>IF(ISNA(VLOOKUP($A4,Councils!$B$6:$AE$841,3,0)),0,VLOOKUP($A4,Councils!$B$6:$AE$841,3,0))</f>
        <v>Eagle Pass</v>
      </c>
      <c r="C4">
        <f>IF(ISNA(VLOOKUP($A4,Councils!$B$6:$AE$841,4,0)),0,VLOOKUP($A4,Councils!$B$6:$AE$841,4,0))</f>
        <v>112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7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7</v>
      </c>
      <c r="K4" s="63">
        <f>IFERROR(J4/D4,0)</f>
        <v>1.1666666666666667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13675</v>
      </c>
      <c r="B5" t="str">
        <f>IF(ISNA(VLOOKUP($A5,Councils!$B$6:$AE$841,3,0)),0,VLOOKUP($A5,Councils!$B$6:$AE$841,3,0))</f>
        <v>La Pryor</v>
      </c>
      <c r="C5">
        <f>IF(ISNA(VLOOKUP($A5,Councils!$B$6:$AE$841,4,0)),0,VLOOKUP($A5,Councils!$B$6:$AE$841,4,0))</f>
        <v>34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16514</v>
      </c>
      <c r="B6" t="str">
        <f>IF(ISNA(VLOOKUP($A6,Councils!$B$6:$AE$841,3,0)),0,VLOOKUP($A6,Councils!$B$6:$AE$841,3,0))</f>
        <v>Batesville</v>
      </c>
      <c r="C6">
        <f>IF(ISNA(VLOOKUP($A6,Councils!$B$6:$AE$841,4,0)),0,VLOOKUP($A6,Councils!$B$6:$AE$841,4,0))</f>
        <v>21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2304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81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7797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16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13439</v>
      </c>
      <c r="B5" t="str">
        <f>IF(ISNA(VLOOKUP($A5,Councils!$B$6:$AE$841,3,0)),0,VLOOKUP($A5,Councils!$B$6:$AE$841,3,0))</f>
        <v>Laredo</v>
      </c>
      <c r="C5">
        <f>IF(ISNA(VLOOKUP($A5,Councils!$B$6:$AE$841,4,0)),0,VLOOKUP($A5,Councils!$B$6:$AE$841,4,0))</f>
        <v>53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15246</v>
      </c>
      <c r="B6" t="str">
        <f>IF(ISNA(VLOOKUP($A6,Councils!$B$6:$AE$841,3,0)),0,VLOOKUP($A6,Councils!$B$6:$AE$841,3,0))</f>
        <v>Laredo</v>
      </c>
      <c r="C6">
        <f>IF(ISNA(VLOOKUP($A6,Councils!$B$6:$AE$841,4,0)),0,VLOOKUP($A6,Councils!$B$6:$AE$841,4,0))</f>
        <v>39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7692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58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13838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77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6"/>
  <sheetViews>
    <sheetView workbookViewId="0">
      <selection activeCell="C7" sqref="C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9626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139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10939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99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298">
        <v>14316</v>
      </c>
      <c r="B5" t="str">
        <f>IF(ISNA(VLOOKUP($A5,Councils!$B$6:$AE$841,3,0)),0,VLOOKUP($A5,Councils!$B$6:$AE$841,3,0))</f>
        <v>Laredo</v>
      </c>
      <c r="C5">
        <f>IF(ISNA(VLOOKUP($A5,Councils!$B$6:$AE$841,4,0)),0,VLOOKUP($A5,Councils!$B$6:$AE$841,4,0))</f>
        <v>36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8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8</v>
      </c>
      <c r="K5" s="63">
        <f t="shared" ref="K5:K6" si="0">IFERROR(J5/D5,0)</f>
        <v>2.6666666666666665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 t="shared" ref="T5:T6" si="1"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298">
        <v>15783</v>
      </c>
      <c r="B6" t="str">
        <f>IF(ISNA(VLOOKUP($A6,Councils!$B$6:$AE$841,3,0)),0,VLOOKUP($A6,Councils!$B$6:$AE$841,3,0))</f>
        <v>Laredo</v>
      </c>
      <c r="C6">
        <f>IF(ISNA(VLOOKUP($A6,Councils!$B$6:$AE$841,4,0)),0,VLOOKUP($A6,Councils!$B$6:$AE$841,4,0))</f>
        <v>58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 t="shared" si="1"/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8142</v>
      </c>
      <c r="B3" t="str">
        <f>IF(ISNA(VLOOKUP($A3,Councils!$B$6:$AE$841,3,0)),0,VLOOKUP($A3,Councils!$B$6:$AE$841,3,0))</f>
        <v>Carrizo Springs</v>
      </c>
      <c r="C3">
        <f>IF(ISNA(VLOOKUP($A3,Councils!$B$6:$AE$841,4,0)),0,VLOOKUP($A3,Councils!$B$6:$AE$841,4,0))</f>
        <v>128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8312</v>
      </c>
      <c r="B4" t="str">
        <f>IF(ISNA(VLOOKUP($A4,Councils!$B$6:$AE$841,3,0)),0,VLOOKUP($A4,Councils!$B$6:$AE$841,3,0))</f>
        <v>Asherton</v>
      </c>
      <c r="C4">
        <f>IF(ISNA(VLOOKUP($A4,Councils!$B$6:$AE$841,4,0)),0,VLOOKUP($A4,Councils!$B$6:$AE$841,4,0))</f>
        <v>74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8368</v>
      </c>
      <c r="B5" t="str">
        <f>IF(ISNA(VLOOKUP($A5,Councils!$B$6:$AE$841,3,0)),0,VLOOKUP($A5,Councils!$B$6:$AE$841,3,0))</f>
        <v>Crystal City</v>
      </c>
      <c r="C5">
        <f>IF(ISNA(VLOOKUP($A5,Councils!$B$6:$AE$841,4,0)),0,VLOOKUP($A5,Councils!$B$6:$AE$841,4,0))</f>
        <v>54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13941</v>
      </c>
      <c r="B6" t="str">
        <f>IF(ISNA(VLOOKUP($A6,Councils!$B$6:$AE$841,3,0)),0,VLOOKUP($A6,Councils!$B$6:$AE$841,3,0))</f>
        <v>Cotulla</v>
      </c>
      <c r="C6">
        <f>IF(ISNA(VLOOKUP($A6,Councils!$B$6:$AE$841,4,0)),0,VLOOKUP($A6,Councils!$B$6:$AE$841,4,0))</f>
        <v>51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10413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116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0.16666666666666666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14100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54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16074</v>
      </c>
      <c r="B5" t="str">
        <f>IF(ISNA(VLOOKUP($A5,Councils!$B$6:$AE$841,3,0)),0,VLOOKUP($A5,Councils!$B$6:$AE$841,3,0))</f>
        <v>Laredo</v>
      </c>
      <c r="C5">
        <f>IF(ISNA(VLOOKUP($A5,Councils!$B$6:$AE$841,4,0)),0,VLOOKUP($A5,Councils!$B$6:$AE$841,4,0))</f>
        <v>23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topLeftCell="A7" workbookViewId="0">
      <selection activeCell="A35" sqref="A35:XFD36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Christobal  Rodriguez, Jr.</v>
      </c>
      <c r="B5" s="24">
        <v>34</v>
      </c>
      <c r="C5" s="85">
        <f>IF(ISNA(VLOOKUP($B5,DD_Info!$A$2:$F$221,5,0)),0,VLOOKUP($B5,DD_Info!$A$2:$F$221,5,0))</f>
        <v>3</v>
      </c>
      <c r="D5" s="62">
        <f>Districts!C32</f>
        <v>479</v>
      </c>
      <c r="E5" s="62">
        <f>Districts!D32</f>
        <v>17</v>
      </c>
      <c r="F5" s="62">
        <f>Districts!E32</f>
        <v>0</v>
      </c>
      <c r="G5" s="62">
        <f>Districts!F32</f>
        <v>0</v>
      </c>
      <c r="H5" s="62">
        <f>Districts!G32</f>
        <v>0</v>
      </c>
      <c r="J5" s="62">
        <f>Districts!H32</f>
        <v>17</v>
      </c>
      <c r="K5" s="62">
        <f>Districts!I32</f>
        <v>1</v>
      </c>
      <c r="L5" s="62">
        <f>Districts!J32</f>
        <v>16</v>
      </c>
      <c r="M5" s="61">
        <f t="shared" ref="M5:M34" si="0">IFERROR(L5/E5,0)</f>
        <v>0.94117647058823528</v>
      </c>
      <c r="N5">
        <f>IF(ISNA(VLOOKUP($Z5,'DD Mbr'!$A$2:$N$212,14,0)),0,VLOOKUP($Z5,'DD Mbr'!$A$2:$N$212,14,0))</f>
        <v>0</v>
      </c>
      <c r="P5" s="62">
        <f>Districts!L32</f>
        <v>0</v>
      </c>
      <c r="Q5" s="62">
        <f>Districts!M32</f>
        <v>0</v>
      </c>
      <c r="R5" s="62">
        <f>Districts!N32</f>
        <v>1</v>
      </c>
      <c r="S5" s="62">
        <f>Districts!O32</f>
        <v>-1</v>
      </c>
      <c r="U5" s="62">
        <f>Districts!P32</f>
        <v>6</v>
      </c>
      <c r="V5" s="62">
        <f>Districts!Q32</f>
        <v>1</v>
      </c>
      <c r="W5" s="62">
        <f>Districts!R32</f>
        <v>5</v>
      </c>
      <c r="X5" s="61">
        <f t="shared" ref="X5:X34" si="1">IFERROR(W5/P5,0)</f>
        <v>0</v>
      </c>
      <c r="Y5">
        <f>IF(ISNA(VLOOKUP($Z5,'DD Ins'!$A$2:$N$217,14,0)),0,VLOOKUP($Z5,'DD Ins'!$A$2:$N$217,14,0))</f>
        <v>0</v>
      </c>
      <c r="Z5">
        <f t="shared" ref="Z5:Z34" si="2">+B5</f>
        <v>34</v>
      </c>
    </row>
    <row r="6" spans="1:26">
      <c r="A6" t="str">
        <f>IF(ISNA(VLOOKUP($B6,DD_Info!$A$2:$F$221,2,0)),0,VLOOKUP($B6,DD_Info!$A$2:$F$221,2,0))</f>
        <v>David B Gonzales</v>
      </c>
      <c r="B6" s="24">
        <v>35</v>
      </c>
      <c r="C6" s="85">
        <f>IF(ISNA(VLOOKUP($B6,DD_Info!$A$2:$F$221,5,0)),0,VLOOKUP($B6,DD_Info!$A$2:$F$221,5,0))</f>
        <v>3</v>
      </c>
      <c r="D6" s="62">
        <f>Districts!C33</f>
        <v>28</v>
      </c>
      <c r="E6" s="62">
        <f>Districts!D33</f>
        <v>2</v>
      </c>
      <c r="F6" s="62">
        <f>Districts!E33</f>
        <v>0</v>
      </c>
      <c r="G6" s="62">
        <f>Districts!F33</f>
        <v>0</v>
      </c>
      <c r="H6" s="62">
        <f>Districts!G33</f>
        <v>0</v>
      </c>
      <c r="J6" s="62">
        <f>Districts!H33</f>
        <v>1</v>
      </c>
      <c r="K6" s="62">
        <f>Districts!I33</f>
        <v>0</v>
      </c>
      <c r="L6" s="62">
        <f>Districts!J33</f>
        <v>1</v>
      </c>
      <c r="M6" s="61">
        <f t="shared" si="0"/>
        <v>0.5</v>
      </c>
      <c r="N6">
        <f>IF(ISNA(VLOOKUP($Z6,'DD Mbr'!$A$2:$N$212,14,0)),0,VLOOKUP($Z6,'DD Mbr'!$A$2:$N$212,14,0))</f>
        <v>0</v>
      </c>
      <c r="P6" s="62">
        <f>Districts!L33</f>
        <v>0</v>
      </c>
      <c r="Q6" s="62">
        <f>Districts!M33</f>
        <v>0</v>
      </c>
      <c r="R6" s="62">
        <f>Districts!N33</f>
        <v>0</v>
      </c>
      <c r="S6" s="62">
        <f>Districts!O33</f>
        <v>0</v>
      </c>
      <c r="U6" s="62">
        <f>Districts!P33</f>
        <v>0</v>
      </c>
      <c r="V6" s="62">
        <f>Districts!Q33</f>
        <v>0</v>
      </c>
      <c r="W6" s="62">
        <f>Districts!R33</f>
        <v>0</v>
      </c>
      <c r="X6" s="61">
        <f t="shared" si="1"/>
        <v>0</v>
      </c>
      <c r="Y6">
        <f>IF(ISNA(VLOOKUP($Z6,'DD Ins'!$A$2:$N$217,14,0)),0,VLOOKUP($Z6,'DD Ins'!$A$2:$N$217,14,0))</f>
        <v>0</v>
      </c>
      <c r="Z6">
        <f t="shared" si="2"/>
        <v>35</v>
      </c>
    </row>
    <row r="7" spans="1:26">
      <c r="A7" t="str">
        <f>IF(ISNA(VLOOKUP($B7,DD_Info!$A$2:$F$221,2,0)),0,VLOOKUP($B7,DD_Info!$A$2:$F$221,2,0))</f>
        <v>Armando R Vasquez</v>
      </c>
      <c r="B7" s="24">
        <v>36</v>
      </c>
      <c r="C7" s="85">
        <f>IF(ISNA(VLOOKUP($B7,DD_Info!$A$2:$F$221,5,0)),0,VLOOKUP($B7,DD_Info!$A$2:$F$221,5,0))</f>
        <v>2</v>
      </c>
      <c r="D7" s="62">
        <f>Districts!C36</f>
        <v>419</v>
      </c>
      <c r="E7" s="62">
        <f>Districts!D36</f>
        <v>15</v>
      </c>
      <c r="F7" s="62">
        <f>Districts!E36</f>
        <v>0</v>
      </c>
      <c r="G7" s="62">
        <f>Districts!F36</f>
        <v>0</v>
      </c>
      <c r="H7" s="62">
        <f>Districts!G36</f>
        <v>0</v>
      </c>
      <c r="J7" s="62">
        <f>Districts!H36</f>
        <v>0</v>
      </c>
      <c r="K7" s="62">
        <f>Districts!I36</f>
        <v>0</v>
      </c>
      <c r="L7" s="62">
        <f>Districts!J36</f>
        <v>0</v>
      </c>
      <c r="M7" s="61">
        <f t="shared" si="0"/>
        <v>0</v>
      </c>
      <c r="N7">
        <f ca="1">IF(ISNA(VLOOKUP($Z7,'DD Mbr'!$A$2:$N$212,14,0)),0,VLOOKUP($Z7,'DD Mbr'!$A$2:$N$212,14,0))</f>
        <v>127</v>
      </c>
      <c r="P7" s="62">
        <f>Districts!L36</f>
        <v>0</v>
      </c>
      <c r="Q7" s="62">
        <f>Districts!M36</f>
        <v>0</v>
      </c>
      <c r="R7" s="62">
        <f>Districts!N36</f>
        <v>0</v>
      </c>
      <c r="S7" s="62">
        <f>Districts!O36</f>
        <v>0</v>
      </c>
      <c r="U7" s="62">
        <f>Districts!P36</f>
        <v>2</v>
      </c>
      <c r="V7" s="62">
        <f>Districts!Q36</f>
        <v>1</v>
      </c>
      <c r="W7" s="62">
        <f>Districts!R36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36</v>
      </c>
    </row>
    <row r="8" spans="1:26">
      <c r="A8" t="str">
        <f>IF(ISNA(VLOOKUP($B8,DD_Info!$A$2:$F$221,2,0)),0,VLOOKUP($B8,DD_Info!$A$2:$F$221,2,0))</f>
        <v>Ruben R Elizondo</v>
      </c>
      <c r="B8" s="24">
        <v>37</v>
      </c>
      <c r="C8" s="85">
        <f>IF(ISNA(VLOOKUP($B8,DD_Info!$A$2:$F$221,5,0)),0,VLOOKUP($B8,DD_Info!$A$2:$F$221,5,0))</f>
        <v>2</v>
      </c>
      <c r="D8" s="62">
        <f>Districts!C37</f>
        <v>463</v>
      </c>
      <c r="E8" s="62">
        <f>Districts!D37</f>
        <v>17</v>
      </c>
      <c r="F8" s="62">
        <f>Districts!E37</f>
        <v>0</v>
      </c>
      <c r="G8" s="62">
        <f>Districts!F37</f>
        <v>0</v>
      </c>
      <c r="H8" s="62">
        <f>Districts!G37</f>
        <v>0</v>
      </c>
      <c r="J8" s="62">
        <f>Districts!H37</f>
        <v>1</v>
      </c>
      <c r="K8" s="62">
        <f>Districts!I37</f>
        <v>0</v>
      </c>
      <c r="L8" s="62">
        <f>Districts!J37</f>
        <v>1</v>
      </c>
      <c r="M8" s="61">
        <f t="shared" si="0"/>
        <v>5.8823529411764705E-2</v>
      </c>
      <c r="N8">
        <f ca="1">IF(ISNA(VLOOKUP($Z8,'DD Mbr'!$A$2:$N$212,14,0)),0,VLOOKUP($Z8,'DD Mbr'!$A$2:$N$212,14,0))</f>
        <v>109</v>
      </c>
      <c r="P8" s="62">
        <f>Districts!L37</f>
        <v>0</v>
      </c>
      <c r="Q8" s="62">
        <f>Districts!M37</f>
        <v>0</v>
      </c>
      <c r="R8" s="62">
        <f>Districts!N37</f>
        <v>2</v>
      </c>
      <c r="S8" s="62">
        <f>Districts!O37</f>
        <v>-2</v>
      </c>
      <c r="U8" s="62">
        <f>Districts!P37</f>
        <v>5</v>
      </c>
      <c r="V8" s="62">
        <f>Districts!Q37</f>
        <v>3</v>
      </c>
      <c r="W8" s="62">
        <f>Districts!R37</f>
        <v>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37</v>
      </c>
    </row>
    <row r="9" spans="1:26">
      <c r="A9" t="str">
        <f>IF(ISNA(VLOOKUP($B9,DD_Info!$A$2:$F$221,2,0)),0,VLOOKUP($B9,DD_Info!$A$2:$F$221,2,0))</f>
        <v>Fernando  Herrera</v>
      </c>
      <c r="B9" s="24">
        <v>38</v>
      </c>
      <c r="C9" s="85">
        <f>IF(ISNA(VLOOKUP($B9,DD_Info!$A$2:$F$221,5,0)),0,VLOOKUP($B9,DD_Info!$A$2:$F$221,5,0))</f>
        <v>2</v>
      </c>
      <c r="D9" s="62">
        <f>Districts!C38</f>
        <v>338</v>
      </c>
      <c r="E9" s="62">
        <f>Districts!D38</f>
        <v>13</v>
      </c>
      <c r="F9" s="62">
        <f>Districts!E38</f>
        <v>0</v>
      </c>
      <c r="G9" s="62">
        <f>Districts!F38</f>
        <v>0</v>
      </c>
      <c r="H9" s="62">
        <f>Districts!G38</f>
        <v>0</v>
      </c>
      <c r="J9" s="62">
        <f>Districts!H38</f>
        <v>2</v>
      </c>
      <c r="K9" s="62">
        <f>Districts!I38</f>
        <v>0</v>
      </c>
      <c r="L9" s="62">
        <f>Districts!J38</f>
        <v>2</v>
      </c>
      <c r="M9" s="61">
        <f t="shared" si="0"/>
        <v>0.15384615384615385</v>
      </c>
      <c r="N9">
        <f ca="1">IF(ISNA(VLOOKUP($Z9,'DD Mbr'!$A$2:$N$212,14,0)),0,VLOOKUP($Z9,'DD Mbr'!$A$2:$N$212,14,0))</f>
        <v>99</v>
      </c>
      <c r="P9" s="62">
        <f>Districts!L38</f>
        <v>0</v>
      </c>
      <c r="Q9" s="62">
        <f>Districts!M38</f>
        <v>0</v>
      </c>
      <c r="R9" s="62">
        <f>Districts!N38</f>
        <v>1</v>
      </c>
      <c r="S9" s="62">
        <f>Districts!O38</f>
        <v>-1</v>
      </c>
      <c r="U9" s="62">
        <f>Districts!P38</f>
        <v>2</v>
      </c>
      <c r="V9" s="62">
        <f>Districts!Q38</f>
        <v>1</v>
      </c>
      <c r="W9" s="62">
        <f>Districts!R38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38</v>
      </c>
    </row>
    <row r="10" spans="1:26">
      <c r="A10" t="str">
        <f>IF(ISNA(VLOOKUP($B10,DD_Info!$A$2:$F$221,2,0)),0,VLOOKUP($B10,DD_Info!$A$2:$F$221,2,0))</f>
        <v>Carlos  Delgado</v>
      </c>
      <c r="B10" s="24">
        <v>39</v>
      </c>
      <c r="C10" s="85">
        <f>IF(ISNA(VLOOKUP($B10,DD_Info!$A$2:$F$221,5,0)),0,VLOOKUP($B10,DD_Info!$A$2:$F$221,5,0))</f>
        <v>2</v>
      </c>
      <c r="D10" s="62">
        <f>Districts!C39</f>
        <v>405</v>
      </c>
      <c r="E10" s="62">
        <f>Districts!D39</f>
        <v>15</v>
      </c>
      <c r="F10" s="62">
        <f>Districts!E39</f>
        <v>0</v>
      </c>
      <c r="G10" s="62">
        <f>Districts!F39</f>
        <v>0</v>
      </c>
      <c r="H10" s="62">
        <f>Districts!G39</f>
        <v>0</v>
      </c>
      <c r="J10" s="62">
        <f>Districts!H39</f>
        <v>1</v>
      </c>
      <c r="K10" s="62">
        <f>Districts!I39</f>
        <v>0</v>
      </c>
      <c r="L10" s="62">
        <f>Districts!J39</f>
        <v>1</v>
      </c>
      <c r="M10" s="61">
        <f t="shared" si="0"/>
        <v>6.6666666666666666E-2</v>
      </c>
      <c r="N10">
        <f ca="1">IF(ISNA(VLOOKUP($Z10,'DD Mbr'!$A$2:$N$212,14,0)),0,VLOOKUP($Z10,'DD Mbr'!$A$2:$N$212,14,0))</f>
        <v>104</v>
      </c>
      <c r="P10" s="62">
        <f>Districts!L39</f>
        <v>0</v>
      </c>
      <c r="Q10" s="62">
        <f>Districts!M39</f>
        <v>0</v>
      </c>
      <c r="R10" s="62">
        <f>Districts!N39</f>
        <v>1</v>
      </c>
      <c r="S10" s="62">
        <f>Districts!O39</f>
        <v>-1</v>
      </c>
      <c r="U10" s="62">
        <f>Districts!P39</f>
        <v>0</v>
      </c>
      <c r="V10" s="62">
        <f>Districts!Q39</f>
        <v>2</v>
      </c>
      <c r="W10" s="62">
        <f>Districts!R39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39</v>
      </c>
    </row>
    <row r="11" spans="1:26">
      <c r="A11" t="str">
        <f>IF(ISNA(VLOOKUP($B11,DD_Info!$A$2:$F$221,2,0)),0,VLOOKUP($B11,DD_Info!$A$2:$F$221,2,0))</f>
        <v>Dan  Rangel</v>
      </c>
      <c r="B11" s="24">
        <v>40</v>
      </c>
      <c r="C11" s="85">
        <f>IF(ISNA(VLOOKUP($B11,DD_Info!$A$2:$F$221,5,0)),0,VLOOKUP($B11,DD_Info!$A$2:$F$221,5,0))</f>
        <v>1</v>
      </c>
      <c r="D11" s="62">
        <f>Districts!C40</f>
        <v>1035</v>
      </c>
      <c r="E11" s="62">
        <f>Districts!D40</f>
        <v>35</v>
      </c>
      <c r="F11" s="62">
        <f>Districts!E40</f>
        <v>1</v>
      </c>
      <c r="G11" s="62">
        <f>Districts!F40</f>
        <v>2</v>
      </c>
      <c r="H11" s="62">
        <f>Districts!G40</f>
        <v>-1</v>
      </c>
      <c r="J11" s="62">
        <f>Districts!H40</f>
        <v>14</v>
      </c>
      <c r="K11" s="62">
        <f>Districts!I40</f>
        <v>26</v>
      </c>
      <c r="L11" s="62">
        <f>Districts!J40</f>
        <v>-12</v>
      </c>
      <c r="M11" s="61">
        <f t="shared" si="0"/>
        <v>-0.34285714285714286</v>
      </c>
      <c r="N11">
        <f ca="1">IF(ISNA(VLOOKUP($Z11,'DD Mbr'!$A$2:$N$212,14,0)),0,VLOOKUP($Z11,'DD Mbr'!$A$2:$N$212,14,0))</f>
        <v>190</v>
      </c>
      <c r="P11" s="62">
        <f>Districts!L40</f>
        <v>0</v>
      </c>
      <c r="Q11" s="62">
        <f>Districts!M40</f>
        <v>0</v>
      </c>
      <c r="R11" s="62">
        <f>Districts!N40</f>
        <v>0</v>
      </c>
      <c r="S11" s="62">
        <f>Districts!O40</f>
        <v>0</v>
      </c>
      <c r="U11" s="62">
        <f>Districts!P40</f>
        <v>7</v>
      </c>
      <c r="V11" s="62">
        <f>Districts!Q40</f>
        <v>12</v>
      </c>
      <c r="W11" s="62">
        <f>Districts!R40</f>
        <v>-5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IF(ISNA(VLOOKUP($B12,DD_Info!$A$2:$F$221,2,0)),0,VLOOKUP($B12,DD_Info!$A$2:$F$221,2,0))</f>
        <v>Jaime  Piedra</v>
      </c>
      <c r="B12" s="24">
        <v>41</v>
      </c>
      <c r="C12" s="85">
        <f>IF(ISNA(VLOOKUP($B12,DD_Info!$A$2:$F$221,5,0)),0,VLOOKUP($B12,DD_Info!$A$2:$F$221,5,0))</f>
        <v>1</v>
      </c>
      <c r="D12" s="62">
        <f>Districts!C41</f>
        <v>698</v>
      </c>
      <c r="E12" s="62">
        <f>Districts!D41</f>
        <v>25</v>
      </c>
      <c r="F12" s="62">
        <f>Districts!E41</f>
        <v>0</v>
      </c>
      <c r="G12" s="62">
        <f>Districts!F41</f>
        <v>0</v>
      </c>
      <c r="H12" s="62">
        <f>Districts!G41</f>
        <v>0</v>
      </c>
      <c r="J12" s="62">
        <f>Districts!H41</f>
        <v>3</v>
      </c>
      <c r="K12" s="62">
        <f>Districts!I41</f>
        <v>34</v>
      </c>
      <c r="L12" s="62">
        <f>Districts!J41</f>
        <v>-31</v>
      </c>
      <c r="M12" s="61">
        <f t="shared" si="0"/>
        <v>-1.24</v>
      </c>
      <c r="N12">
        <f ca="1">IF(ISNA(VLOOKUP($Z12,'DD Mbr'!$A$2:$N$212,14,0)),0,VLOOKUP($Z12,'DD Mbr'!$A$2:$N$212,14,0))</f>
        <v>204</v>
      </c>
      <c r="P12" s="62">
        <f>Districts!L41</f>
        <v>0</v>
      </c>
      <c r="Q12" s="62">
        <f>Districts!M41</f>
        <v>0</v>
      </c>
      <c r="R12" s="62">
        <f>Districts!N41</f>
        <v>0</v>
      </c>
      <c r="S12" s="62">
        <f>Districts!O41</f>
        <v>0</v>
      </c>
      <c r="U12" s="62">
        <f>Districts!P41</f>
        <v>3</v>
      </c>
      <c r="V12" s="62">
        <f>Districts!Q41</f>
        <v>5</v>
      </c>
      <c r="W12" s="62">
        <f>Districts!R41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41</v>
      </c>
    </row>
    <row r="13" spans="1:26">
      <c r="A13" t="str">
        <f>IF(ISNA(VLOOKUP($B13,DD_Info!$A$2:$F$221,2,0)),0,VLOOKUP($B13,DD_Info!$A$2:$F$221,2,0))</f>
        <v>Michael W Trevino</v>
      </c>
      <c r="B13" s="24">
        <v>42</v>
      </c>
      <c r="C13" s="85">
        <f>IF(ISNA(VLOOKUP($B13,DD_Info!$A$2:$F$221,5,0)),0,VLOOKUP($B13,DD_Info!$A$2:$F$221,5,0))</f>
        <v>1</v>
      </c>
      <c r="D13" s="62">
        <f>Districts!C42</f>
        <v>926</v>
      </c>
      <c r="E13" s="62">
        <f>Districts!D42</f>
        <v>31</v>
      </c>
      <c r="F13" s="62">
        <f>Districts!E42</f>
        <v>2</v>
      </c>
      <c r="G13" s="62">
        <f>Districts!F42</f>
        <v>3</v>
      </c>
      <c r="H13" s="62">
        <f>Districts!G42</f>
        <v>-1</v>
      </c>
      <c r="J13" s="62">
        <f>Districts!H42</f>
        <v>6</v>
      </c>
      <c r="K13" s="62">
        <f>Districts!I42</f>
        <v>23</v>
      </c>
      <c r="L13" s="62">
        <f>Districts!J42</f>
        <v>-17</v>
      </c>
      <c r="M13" s="61">
        <f t="shared" si="0"/>
        <v>-0.54838709677419351</v>
      </c>
      <c r="N13">
        <f ca="1">IF(ISNA(VLOOKUP($Z13,'DD Mbr'!$A$2:$N$212,14,0)),0,VLOOKUP($Z13,'DD Mbr'!$A$2:$N$212,14,0))</f>
        <v>197</v>
      </c>
      <c r="P13" s="62">
        <f>Districts!L42</f>
        <v>0</v>
      </c>
      <c r="Q13" s="62">
        <f>Districts!M42</f>
        <v>0</v>
      </c>
      <c r="R13" s="62">
        <f>Districts!N42</f>
        <v>0</v>
      </c>
      <c r="S13" s="62">
        <f>Districts!O42</f>
        <v>0</v>
      </c>
      <c r="U13" s="62">
        <f>Districts!P42</f>
        <v>7</v>
      </c>
      <c r="V13" s="62">
        <f>Districts!Q42</f>
        <v>5</v>
      </c>
      <c r="W13" s="62">
        <f>Districts!R42</f>
        <v>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42</v>
      </c>
    </row>
    <row r="14" spans="1:26">
      <c r="A14" t="str">
        <f>IF(ISNA(VLOOKUP($B14,DD_Info!$A$2:$F$221,2,0)),0,VLOOKUP($B14,DD_Info!$A$2:$F$221,2,0))</f>
        <v>William A Torres</v>
      </c>
      <c r="B14" s="24">
        <v>43</v>
      </c>
      <c r="C14" s="85">
        <f>IF(ISNA(VLOOKUP($B14,DD_Info!$A$2:$F$221,5,0)),0,VLOOKUP($B14,DD_Info!$A$2:$F$221,5,0))</f>
        <v>1</v>
      </c>
      <c r="D14" s="62">
        <f>Districts!C43</f>
        <v>1403</v>
      </c>
      <c r="E14" s="62">
        <f>Districts!D43</f>
        <v>45</v>
      </c>
      <c r="F14" s="62">
        <f>Districts!E43</f>
        <v>0</v>
      </c>
      <c r="G14" s="62">
        <f>Districts!F43</f>
        <v>7</v>
      </c>
      <c r="H14" s="62">
        <f>Districts!G43</f>
        <v>-7</v>
      </c>
      <c r="J14" s="62">
        <f>Districts!H43</f>
        <v>18</v>
      </c>
      <c r="K14" s="62">
        <f>Districts!I43</f>
        <v>17</v>
      </c>
      <c r="L14" s="62">
        <f>Districts!J43</f>
        <v>1</v>
      </c>
      <c r="M14" s="61">
        <f t="shared" si="0"/>
        <v>2.2222222222222223E-2</v>
      </c>
      <c r="N14">
        <f ca="1">IF(ISNA(VLOOKUP($Z14,'DD Mbr'!$A$2:$N$212,14,0)),0,VLOOKUP($Z14,'DD Mbr'!$A$2:$N$212,14,0))</f>
        <v>126</v>
      </c>
      <c r="P14" s="62">
        <f>Districts!L43</f>
        <v>0</v>
      </c>
      <c r="Q14" s="62">
        <f>Districts!M43</f>
        <v>0</v>
      </c>
      <c r="R14" s="62">
        <f>Districts!N43</f>
        <v>1</v>
      </c>
      <c r="S14" s="62">
        <f>Districts!O43</f>
        <v>-1</v>
      </c>
      <c r="U14" s="62">
        <f>Districts!P43</f>
        <v>8</v>
      </c>
      <c r="V14" s="62">
        <f>Districts!Q43</f>
        <v>7</v>
      </c>
      <c r="W14" s="62">
        <f>Districts!R43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43</v>
      </c>
    </row>
    <row r="15" spans="1:26">
      <c r="A15" t="str">
        <f>IF(ISNA(VLOOKUP($B15,DD_Info!$A$2:$F$221,2,0)),0,VLOOKUP($B15,DD_Info!$A$2:$F$221,2,0))</f>
        <v>James A Matz</v>
      </c>
      <c r="B15" s="24">
        <v>44</v>
      </c>
      <c r="C15" s="85">
        <f>IF(ISNA(VLOOKUP($B15,DD_Info!$A$2:$F$221,5,0)),0,VLOOKUP($B15,DD_Info!$A$2:$F$221,5,0))</f>
        <v>3</v>
      </c>
      <c r="D15" s="62">
        <f>Districts!C44</f>
        <v>296</v>
      </c>
      <c r="E15" s="62">
        <f>Districts!D44</f>
        <v>11</v>
      </c>
      <c r="F15" s="62">
        <f>Districts!E44</f>
        <v>0</v>
      </c>
      <c r="G15" s="62">
        <f>Districts!F44</f>
        <v>18</v>
      </c>
      <c r="H15" s="62">
        <f>Districts!G44</f>
        <v>-18</v>
      </c>
      <c r="J15" s="62">
        <f>Districts!H44</f>
        <v>2</v>
      </c>
      <c r="K15" s="62">
        <f>Districts!I44</f>
        <v>18</v>
      </c>
      <c r="L15" s="62">
        <f>Districts!J44</f>
        <v>-16</v>
      </c>
      <c r="M15" s="61">
        <f t="shared" si="0"/>
        <v>-1.4545454545454546</v>
      </c>
      <c r="N15">
        <f ca="1">IF(ISNA(VLOOKUP($Z15,'DD Mbr'!$A$2:$N$212,14,0)),0,VLOOKUP($Z15,'DD Mbr'!$A$2:$N$212,14,0))</f>
        <v>208</v>
      </c>
      <c r="P15" s="62">
        <f>Districts!L44</f>
        <v>0</v>
      </c>
      <c r="Q15" s="62">
        <f>Districts!M44</f>
        <v>0</v>
      </c>
      <c r="R15" s="62">
        <f>Districts!N44</f>
        <v>1</v>
      </c>
      <c r="S15" s="62">
        <f>Districts!O44</f>
        <v>-1</v>
      </c>
      <c r="U15" s="62">
        <f>Districts!P44</f>
        <v>2</v>
      </c>
      <c r="V15" s="62">
        <f>Districts!Q44</f>
        <v>2</v>
      </c>
      <c r="W15" s="62">
        <f>Districts!R44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44</v>
      </c>
    </row>
    <row r="16" spans="1:26">
      <c r="A16" t="str">
        <f>IF(ISNA(VLOOKUP($B16,DD_Info!$A$2:$F$221,2,0)),0,VLOOKUP($B16,DD_Info!$A$2:$F$221,2,0))</f>
        <v>Joseph L Zimmer</v>
      </c>
      <c r="B16" s="24">
        <v>45</v>
      </c>
      <c r="C16" s="85">
        <f>IF(ISNA(VLOOKUP($B16,DD_Info!$A$2:$F$221,5,0)),0,VLOOKUP($B16,DD_Info!$A$2:$F$221,5,0))</f>
        <v>1</v>
      </c>
      <c r="D16" s="62">
        <f>Districts!C45</f>
        <v>909</v>
      </c>
      <c r="E16" s="62">
        <f>Districts!D45</f>
        <v>29</v>
      </c>
      <c r="F16" s="62">
        <f>Districts!E45</f>
        <v>1</v>
      </c>
      <c r="G16" s="62">
        <f>Districts!F45</f>
        <v>0</v>
      </c>
      <c r="H16" s="62">
        <f>Districts!G45</f>
        <v>1</v>
      </c>
      <c r="J16" s="62">
        <f>Districts!H45</f>
        <v>14</v>
      </c>
      <c r="K16" s="62">
        <f>Districts!I45</f>
        <v>7</v>
      </c>
      <c r="L16" s="62">
        <f>Districts!J45</f>
        <v>7</v>
      </c>
      <c r="M16" s="61">
        <f t="shared" si="0"/>
        <v>0.2413793103448276</v>
      </c>
      <c r="N16">
        <f ca="1">IF(ISNA(VLOOKUP($Z16,'DD Mbr'!$A$2:$N$212,14,0)),0,VLOOKUP($Z16,'DD Mbr'!$A$2:$N$212,14,0))</f>
        <v>64</v>
      </c>
      <c r="P16" s="62">
        <f>Districts!L45</f>
        <v>0</v>
      </c>
      <c r="Q16" s="62">
        <f>Districts!M45</f>
        <v>1</v>
      </c>
      <c r="R16" s="62">
        <f>Districts!N45</f>
        <v>1</v>
      </c>
      <c r="S16" s="62">
        <f>Districts!O45</f>
        <v>0</v>
      </c>
      <c r="U16" s="62">
        <f>Districts!P45</f>
        <v>7</v>
      </c>
      <c r="V16" s="62">
        <f>Districts!Q45</f>
        <v>2</v>
      </c>
      <c r="W16" s="62">
        <f>Districts!R45</f>
        <v>5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45</v>
      </c>
    </row>
    <row r="17" spans="1:26">
      <c r="A17" t="str">
        <f>IF(ISNA(VLOOKUP($B17,DD_Info!$A$2:$F$221,2,0)),0,VLOOKUP($B17,DD_Info!$A$2:$F$221,2,0))</f>
        <v>Hermilo  Silva</v>
      </c>
      <c r="B17" s="24">
        <v>46</v>
      </c>
      <c r="C17" s="85">
        <f>IF(ISNA(VLOOKUP($B17,DD_Info!$A$2:$F$221,5,0)),0,VLOOKUP($B17,DD_Info!$A$2:$F$221,5,0))</f>
        <v>1</v>
      </c>
      <c r="D17" s="62">
        <f>Districts!C46</f>
        <v>705</v>
      </c>
      <c r="E17" s="62">
        <f>Districts!D46</f>
        <v>24</v>
      </c>
      <c r="F17" s="62">
        <f>Districts!E46</f>
        <v>0</v>
      </c>
      <c r="G17" s="62">
        <f>Districts!F46</f>
        <v>0</v>
      </c>
      <c r="H17" s="62">
        <f>Districts!G46</f>
        <v>0</v>
      </c>
      <c r="J17" s="62">
        <f>Districts!H46</f>
        <v>5</v>
      </c>
      <c r="K17" s="62">
        <f>Districts!I46</f>
        <v>0</v>
      </c>
      <c r="L17" s="62">
        <f>Districts!J46</f>
        <v>5</v>
      </c>
      <c r="M17" s="61">
        <f t="shared" si="0"/>
        <v>0.20833333333333334</v>
      </c>
      <c r="N17">
        <f ca="1">IF(ISNA(VLOOKUP($Z17,'DD Mbr'!$A$2:$N$212,14,0)),0,VLOOKUP($Z17,'DD Mbr'!$A$2:$N$212,14,0))</f>
        <v>65</v>
      </c>
      <c r="P17" s="62">
        <f>Districts!L46</f>
        <v>0</v>
      </c>
      <c r="Q17" s="62">
        <f>Districts!M46</f>
        <v>0</v>
      </c>
      <c r="R17" s="62">
        <f>Districts!N46</f>
        <v>1</v>
      </c>
      <c r="S17" s="62">
        <f>Districts!O46</f>
        <v>-1</v>
      </c>
      <c r="U17" s="62">
        <f>Districts!P46</f>
        <v>4</v>
      </c>
      <c r="V17" s="62">
        <f>Districts!Q46</f>
        <v>1</v>
      </c>
      <c r="W17" s="62">
        <f>Districts!R46</f>
        <v>3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46</v>
      </c>
    </row>
    <row r="18" spans="1:26">
      <c r="A18" t="str">
        <f>IF(ISNA(VLOOKUP($B18,DD_Info!$A$2:$F$221,2,0)),0,VLOOKUP($B18,DD_Info!$A$2:$F$221,2,0))</f>
        <v>George H Cheney</v>
      </c>
      <c r="B18" s="24">
        <v>47</v>
      </c>
      <c r="C18" s="85">
        <f>IF(ISNA(VLOOKUP($B18,DD_Info!$A$2:$F$221,5,0)),0,VLOOKUP($B18,DD_Info!$A$2:$F$221,5,0))</f>
        <v>2</v>
      </c>
      <c r="D18" s="62">
        <f>Districts!C47</f>
        <v>513</v>
      </c>
      <c r="E18" s="62">
        <f>Districts!D47</f>
        <v>19</v>
      </c>
      <c r="F18" s="62">
        <f>Districts!E47</f>
        <v>0</v>
      </c>
      <c r="G18" s="62">
        <f>Districts!F47</f>
        <v>0</v>
      </c>
      <c r="H18" s="62">
        <f>Districts!G47</f>
        <v>0</v>
      </c>
      <c r="J18" s="62">
        <f>Districts!H47</f>
        <v>7</v>
      </c>
      <c r="K18" s="62">
        <f>Districts!I47</f>
        <v>0</v>
      </c>
      <c r="L18" s="62">
        <f>Districts!J47</f>
        <v>7</v>
      </c>
      <c r="M18" s="61">
        <f t="shared" si="0"/>
        <v>0.36842105263157893</v>
      </c>
      <c r="N18">
        <f ca="1">IF(ISNA(VLOOKUP($Z18,'DD Mbr'!$A$2:$N$212,14,0)),0,VLOOKUP($Z18,'DD Mbr'!$A$2:$N$212,14,0))</f>
        <v>45</v>
      </c>
      <c r="P18" s="62">
        <f>Districts!L47</f>
        <v>0</v>
      </c>
      <c r="Q18" s="62">
        <f>Districts!M47</f>
        <v>0</v>
      </c>
      <c r="R18" s="62">
        <f>Districts!N47</f>
        <v>1</v>
      </c>
      <c r="S18" s="62">
        <f>Districts!O47</f>
        <v>-1</v>
      </c>
      <c r="U18" s="62">
        <f>Districts!P47</f>
        <v>5</v>
      </c>
      <c r="V18" s="62">
        <f>Districts!Q47</f>
        <v>1</v>
      </c>
      <c r="W18" s="62">
        <f>Districts!R47</f>
        <v>4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47</v>
      </c>
    </row>
    <row r="19" spans="1:26">
      <c r="A19" t="str">
        <f>IF(ISNA(VLOOKUP($B19,DD_Info!$A$2:$F$221,2,0)),0,VLOOKUP($B19,DD_Info!$A$2:$F$221,2,0))</f>
        <v>Henry  Alves</v>
      </c>
      <c r="B19" s="24">
        <v>48</v>
      </c>
      <c r="C19" s="85">
        <f>IF(ISNA(VLOOKUP($B19,DD_Info!$A$2:$F$221,5,0)),0,VLOOKUP($B19,DD_Info!$A$2:$F$221,5,0))</f>
        <v>1</v>
      </c>
      <c r="D19" s="62">
        <f>Districts!C48</f>
        <v>659</v>
      </c>
      <c r="E19" s="62">
        <f>Districts!D48</f>
        <v>22</v>
      </c>
      <c r="F19" s="62">
        <f>Districts!E48</f>
        <v>0</v>
      </c>
      <c r="G19" s="62">
        <f>Districts!F48</f>
        <v>0</v>
      </c>
      <c r="H19" s="62">
        <f>Districts!G48</f>
        <v>0</v>
      </c>
      <c r="J19" s="62">
        <f>Districts!H48</f>
        <v>9</v>
      </c>
      <c r="K19" s="62">
        <f>Districts!I48</f>
        <v>6</v>
      </c>
      <c r="L19" s="62">
        <f>Districts!J48</f>
        <v>3</v>
      </c>
      <c r="M19" s="61">
        <f t="shared" si="0"/>
        <v>0.13636363636363635</v>
      </c>
      <c r="N19">
        <f ca="1">IF(ISNA(VLOOKUP($Z19,'DD Mbr'!$A$2:$N$212,14,0)),0,VLOOKUP($Z19,'DD Mbr'!$A$2:$N$212,14,0))</f>
        <v>88</v>
      </c>
      <c r="P19" s="62">
        <f>Districts!L48</f>
        <v>0</v>
      </c>
      <c r="Q19" s="62">
        <f>Districts!M48</f>
        <v>2</v>
      </c>
      <c r="R19" s="62">
        <f>Districts!N48</f>
        <v>0</v>
      </c>
      <c r="S19" s="62">
        <f>Districts!O48</f>
        <v>2</v>
      </c>
      <c r="U19" s="62">
        <f>Districts!P48</f>
        <v>4</v>
      </c>
      <c r="V19" s="62">
        <f>Districts!Q48</f>
        <v>6</v>
      </c>
      <c r="W19" s="62">
        <f>Districts!R48</f>
        <v>-2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48</v>
      </c>
    </row>
    <row r="20" spans="1:26">
      <c r="A20" t="str">
        <f>IF(ISNA(VLOOKUP($B20,DD_Info!$A$2:$F$221,2,0)),0,VLOOKUP($B20,DD_Info!$A$2:$F$221,2,0))</f>
        <v>Oscar M Caballero</v>
      </c>
      <c r="B20" s="24">
        <v>49</v>
      </c>
      <c r="C20" s="85">
        <f>IF(ISNA(VLOOKUP($B20,DD_Info!$A$2:$F$221,5,0)),0,VLOOKUP($B20,DD_Info!$A$2:$F$221,5,0))</f>
        <v>2</v>
      </c>
      <c r="D20" s="62">
        <f>Districts!C49</f>
        <v>494</v>
      </c>
      <c r="E20" s="62">
        <f>Districts!D49</f>
        <v>18</v>
      </c>
      <c r="F20" s="62">
        <f>Districts!E49</f>
        <v>0</v>
      </c>
      <c r="G20" s="62">
        <f>Districts!F49</f>
        <v>0</v>
      </c>
      <c r="H20" s="62">
        <f>Districts!G49</f>
        <v>0</v>
      </c>
      <c r="J20" s="62">
        <f>Districts!H49</f>
        <v>2</v>
      </c>
      <c r="K20" s="62">
        <f>Districts!I49</f>
        <v>0</v>
      </c>
      <c r="L20" s="62">
        <f>Districts!J49</f>
        <v>2</v>
      </c>
      <c r="M20" s="61">
        <f t="shared" si="0"/>
        <v>0.1111111111111111</v>
      </c>
      <c r="N20">
        <f ca="1">IF(ISNA(VLOOKUP($Z20,'DD Mbr'!$A$2:$N$212,14,0)),0,VLOOKUP($Z20,'DD Mbr'!$A$2:$N$212,14,0))</f>
        <v>110</v>
      </c>
      <c r="P20" s="62">
        <f>Districts!L49</f>
        <v>0</v>
      </c>
      <c r="Q20" s="62">
        <f>Districts!M49</f>
        <v>0</v>
      </c>
      <c r="R20" s="62">
        <f>Districts!N49</f>
        <v>1</v>
      </c>
      <c r="S20" s="62">
        <f>Districts!O49</f>
        <v>-1</v>
      </c>
      <c r="U20" s="62">
        <f>Districts!P49</f>
        <v>2</v>
      </c>
      <c r="V20" s="62">
        <f>Districts!Q49</f>
        <v>3</v>
      </c>
      <c r="W20" s="62">
        <f>Districts!R49</f>
        <v>-1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49</v>
      </c>
    </row>
    <row r="21" spans="1:26">
      <c r="A21" t="str">
        <f>IF(ISNA(VLOOKUP($B21,DD_Info!$A$2:$F$221,2,0)),0,VLOOKUP($B21,DD_Info!$A$2:$F$221,2,0))</f>
        <v>Phillip  Reyes</v>
      </c>
      <c r="B21" s="24">
        <v>50</v>
      </c>
      <c r="C21" s="85">
        <f>IF(ISNA(VLOOKUP($B21,DD_Info!$A$2:$F$221,5,0)),0,VLOOKUP($B21,DD_Info!$A$2:$F$221,5,0))</f>
        <v>2</v>
      </c>
      <c r="D21" s="62">
        <f>Districts!C50</f>
        <v>403</v>
      </c>
      <c r="E21" s="62">
        <f>Districts!D50</f>
        <v>15</v>
      </c>
      <c r="F21" s="62">
        <f>Districts!E50</f>
        <v>0</v>
      </c>
      <c r="G21" s="62">
        <f>Districts!F50</f>
        <v>0</v>
      </c>
      <c r="H21" s="62">
        <f>Districts!G50</f>
        <v>0</v>
      </c>
      <c r="J21" s="62">
        <f>Districts!H50</f>
        <v>0</v>
      </c>
      <c r="K21" s="62">
        <f>Districts!I50</f>
        <v>0</v>
      </c>
      <c r="L21" s="62">
        <f>Districts!J50</f>
        <v>0</v>
      </c>
      <c r="M21" s="61">
        <f t="shared" si="0"/>
        <v>0</v>
      </c>
      <c r="N21">
        <f ca="1">IF(ISNA(VLOOKUP($Z21,'DD Mbr'!$A$2:$N$212,14,0)),0,VLOOKUP($Z21,'DD Mbr'!$A$2:$N$212,14,0))</f>
        <v>127</v>
      </c>
      <c r="P21" s="62">
        <f>Districts!L50</f>
        <v>0</v>
      </c>
      <c r="Q21" s="62">
        <f>Districts!M50</f>
        <v>0</v>
      </c>
      <c r="R21" s="62">
        <f>Districts!N50</f>
        <v>1</v>
      </c>
      <c r="S21" s="62">
        <f>Districts!O50</f>
        <v>-1</v>
      </c>
      <c r="U21" s="62">
        <f>Districts!P50</f>
        <v>3</v>
      </c>
      <c r="V21" s="62">
        <f>Districts!Q50</f>
        <v>1</v>
      </c>
      <c r="W21" s="62">
        <f>Districts!R50</f>
        <v>2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50</v>
      </c>
    </row>
    <row r="22" spans="1:26">
      <c r="A22" t="str">
        <f>IF(ISNA(VLOOKUP($B22,DD_Info!$A$2:$F$221,2,0)),0,VLOOKUP($B22,DD_Info!$A$2:$F$221,2,0))</f>
        <v>Edvardo  Garcia</v>
      </c>
      <c r="B22" s="24">
        <v>51</v>
      </c>
      <c r="C22" s="85">
        <f>IF(ISNA(VLOOKUP($B22,DD_Info!$A$2:$F$221,5,0)),0,VLOOKUP($B22,DD_Info!$A$2:$F$221,5,0))</f>
        <v>1</v>
      </c>
      <c r="D22" s="62">
        <f>Districts!C51</f>
        <v>970</v>
      </c>
      <c r="E22" s="62">
        <f>Districts!D51</f>
        <v>33</v>
      </c>
      <c r="F22" s="62">
        <f>Districts!E51</f>
        <v>4</v>
      </c>
      <c r="G22" s="62">
        <f>Districts!F51</f>
        <v>0</v>
      </c>
      <c r="H22" s="62">
        <f>Districts!G51</f>
        <v>4</v>
      </c>
      <c r="J22" s="62">
        <f>Districts!H51</f>
        <v>18</v>
      </c>
      <c r="K22" s="62">
        <f>Districts!I51</f>
        <v>1</v>
      </c>
      <c r="L22" s="62">
        <f>Districts!J51</f>
        <v>17</v>
      </c>
      <c r="M22" s="61">
        <f t="shared" si="0"/>
        <v>0.51515151515151514</v>
      </c>
      <c r="N22">
        <f ca="1">IF(ISNA(VLOOKUP($Z22,'DD Mbr'!$A$2:$N$212,14,0)),0,VLOOKUP($Z22,'DD Mbr'!$A$2:$N$212,14,0))</f>
        <v>29</v>
      </c>
      <c r="P22" s="62">
        <f>Districts!L51</f>
        <v>0</v>
      </c>
      <c r="Q22" s="62">
        <f>Districts!M51</f>
        <v>1</v>
      </c>
      <c r="R22" s="62">
        <f>Districts!N51</f>
        <v>1</v>
      </c>
      <c r="S22" s="62">
        <f>Districts!O51</f>
        <v>0</v>
      </c>
      <c r="U22" s="62">
        <f>Districts!P51</f>
        <v>6</v>
      </c>
      <c r="V22" s="62">
        <f>Districts!Q51</f>
        <v>1</v>
      </c>
      <c r="W22" s="62">
        <f>Districts!R51</f>
        <v>5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51</v>
      </c>
    </row>
    <row r="23" spans="1:26">
      <c r="A23" t="str">
        <f>IF(ISNA(VLOOKUP($B23,DD_Info!$A$2:$F$221,2,0)),0,VLOOKUP($B23,DD_Info!$A$2:$F$221,2,0))</f>
        <v>Ruben  Gallegos</v>
      </c>
      <c r="B23" s="24">
        <v>52</v>
      </c>
      <c r="C23" s="85">
        <f>IF(ISNA(VLOOKUP($B23,DD_Info!$A$2:$F$221,5,0)),0,VLOOKUP($B23,DD_Info!$A$2:$F$221,5,0))</f>
        <v>2</v>
      </c>
      <c r="D23" s="62">
        <f>Districts!C52</f>
        <v>302</v>
      </c>
      <c r="E23" s="62">
        <f>Districts!D52</f>
        <v>12</v>
      </c>
      <c r="F23" s="62">
        <f>Districts!E52</f>
        <v>0</v>
      </c>
      <c r="G23" s="62">
        <f>Districts!F52</f>
        <v>0</v>
      </c>
      <c r="H23" s="62">
        <f>Districts!G52</f>
        <v>0</v>
      </c>
      <c r="J23" s="62">
        <f>Districts!H52</f>
        <v>2</v>
      </c>
      <c r="K23" s="62">
        <f>Districts!I52</f>
        <v>0</v>
      </c>
      <c r="L23" s="62">
        <f>Districts!J52</f>
        <v>2</v>
      </c>
      <c r="M23" s="61">
        <f t="shared" si="0"/>
        <v>0.16666666666666666</v>
      </c>
      <c r="N23">
        <f ca="1">IF(ISNA(VLOOKUP($Z23,'DD Mbr'!$A$2:$N$212,14,0)),0,VLOOKUP($Z23,'DD Mbr'!$A$2:$N$212,14,0))</f>
        <v>96</v>
      </c>
      <c r="P23" s="62">
        <f>Districts!L52</f>
        <v>0</v>
      </c>
      <c r="Q23" s="62">
        <f>Districts!M52</f>
        <v>0</v>
      </c>
      <c r="R23" s="62">
        <f>Districts!N52</f>
        <v>0</v>
      </c>
      <c r="S23" s="62">
        <f>Districts!O52</f>
        <v>0</v>
      </c>
      <c r="U23" s="62">
        <f>Districts!P52</f>
        <v>1</v>
      </c>
      <c r="V23" s="62">
        <f>Districts!Q52</f>
        <v>3</v>
      </c>
      <c r="W23" s="62">
        <f>Districts!R52</f>
        <v>-2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52</v>
      </c>
    </row>
    <row r="24" spans="1:26">
      <c r="A24" t="str">
        <f>IF(ISNA(VLOOKUP($B24,DD_Info!$A$2:$F$221,2,0)),0,VLOOKUP($B24,DD_Info!$A$2:$F$221,2,0))</f>
        <v>Jim  Irwin</v>
      </c>
      <c r="B24" s="24">
        <v>53</v>
      </c>
      <c r="C24" s="85">
        <f>IF(ISNA(VLOOKUP($B24,DD_Info!$A$2:$F$221,5,0)),0,VLOOKUP($B24,DD_Info!$A$2:$F$221,5,0))</f>
        <v>3</v>
      </c>
      <c r="D24" s="62">
        <f>Districts!C53</f>
        <v>276</v>
      </c>
      <c r="E24" s="62">
        <f>Districts!D53</f>
        <v>11</v>
      </c>
      <c r="F24" s="62">
        <f>Districts!E53</f>
        <v>0</v>
      </c>
      <c r="G24" s="62">
        <f>Districts!F53</f>
        <v>0</v>
      </c>
      <c r="H24" s="62">
        <f>Districts!G53</f>
        <v>0</v>
      </c>
      <c r="J24" s="62">
        <f>Districts!H53</f>
        <v>4</v>
      </c>
      <c r="K24" s="62">
        <f>Districts!I53</f>
        <v>0</v>
      </c>
      <c r="L24" s="62">
        <f>Districts!J53</f>
        <v>4</v>
      </c>
      <c r="M24" s="61">
        <f t="shared" si="0"/>
        <v>0.36363636363636365</v>
      </c>
      <c r="N24">
        <f ca="1">IF(ISNA(VLOOKUP($Z24,'DD Mbr'!$A$2:$N$212,14,0)),0,VLOOKUP($Z24,'DD Mbr'!$A$2:$N$212,14,0))</f>
        <v>42</v>
      </c>
      <c r="P24" s="62">
        <f>Districts!L53</f>
        <v>0</v>
      </c>
      <c r="Q24" s="62">
        <f>Districts!M53</f>
        <v>0</v>
      </c>
      <c r="R24" s="62">
        <f>Districts!N53</f>
        <v>0</v>
      </c>
      <c r="S24" s="62">
        <f>Districts!O53</f>
        <v>0</v>
      </c>
      <c r="U24" s="62">
        <f>Districts!P53</f>
        <v>4</v>
      </c>
      <c r="V24" s="62">
        <f>Districts!Q53</f>
        <v>1</v>
      </c>
      <c r="W24" s="62">
        <f>Districts!R53</f>
        <v>3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53</v>
      </c>
    </row>
    <row r="25" spans="1:26">
      <c r="A25" t="str">
        <f>IF(ISNA(VLOOKUP($B25,DD_Info!$A$2:$F$221,2,0)),0,VLOOKUP($B25,DD_Info!$A$2:$F$221,2,0))</f>
        <v>Jesse J Aguilar</v>
      </c>
      <c r="B25" s="24">
        <v>54</v>
      </c>
      <c r="C25" s="85">
        <f>IF(ISNA(VLOOKUP($B25,DD_Info!$A$2:$F$221,5,0)),0,VLOOKUP($B25,DD_Info!$A$2:$F$221,5,0))</f>
        <v>2</v>
      </c>
      <c r="D25" s="62">
        <f>Districts!C54</f>
        <v>440</v>
      </c>
      <c r="E25" s="62">
        <f>Districts!D54</f>
        <v>17</v>
      </c>
      <c r="F25" s="62">
        <f>Districts!E54</f>
        <v>0</v>
      </c>
      <c r="G25" s="62">
        <f>Districts!F54</f>
        <v>0</v>
      </c>
      <c r="H25" s="62">
        <f>Districts!G54</f>
        <v>0</v>
      </c>
      <c r="J25" s="62">
        <f>Districts!H54</f>
        <v>3</v>
      </c>
      <c r="K25" s="62">
        <f>Districts!I54</f>
        <v>0</v>
      </c>
      <c r="L25" s="62">
        <f>Districts!J54</f>
        <v>3</v>
      </c>
      <c r="M25" s="61">
        <f t="shared" si="0"/>
        <v>0.17647058823529413</v>
      </c>
      <c r="N25">
        <f ca="1">IF(ISNA(VLOOKUP($Z25,'DD Mbr'!$A$2:$N$212,14,0)),0,VLOOKUP($Z25,'DD Mbr'!$A$2:$N$212,14,0))</f>
        <v>80</v>
      </c>
      <c r="P25" s="62">
        <f>Districts!L54</f>
        <v>0</v>
      </c>
      <c r="Q25" s="62">
        <f>Districts!M54</f>
        <v>0</v>
      </c>
      <c r="R25" s="62">
        <f>Districts!N54</f>
        <v>1</v>
      </c>
      <c r="S25" s="62">
        <f>Districts!O54</f>
        <v>-1</v>
      </c>
      <c r="U25" s="62">
        <f>Districts!P54</f>
        <v>2</v>
      </c>
      <c r="V25" s="62">
        <f>Districts!Q54</f>
        <v>3</v>
      </c>
      <c r="W25" s="62">
        <f>Districts!R54</f>
        <v>-1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54</v>
      </c>
    </row>
    <row r="26" spans="1:26">
      <c r="A26" t="str">
        <f>IF(ISNA(VLOOKUP($B26,DD_Info!$A$2:$F$221,2,0)),0,VLOOKUP($B26,DD_Info!$A$2:$F$221,2,0))</f>
        <v>Javier  Martinez</v>
      </c>
      <c r="B26" s="24">
        <v>55</v>
      </c>
      <c r="C26" s="85">
        <f>IF(ISNA(VLOOKUP($B26,DD_Info!$A$2:$F$221,5,0)),0,VLOOKUP($B26,DD_Info!$A$2:$F$221,5,0))</f>
        <v>2</v>
      </c>
      <c r="D26" s="62">
        <f>Districts!C55</f>
        <v>423</v>
      </c>
      <c r="E26" s="62">
        <f>Districts!D55</f>
        <v>15</v>
      </c>
      <c r="F26" s="62">
        <f>Districts!E55</f>
        <v>0</v>
      </c>
      <c r="G26" s="62">
        <f>Districts!F55</f>
        <v>0</v>
      </c>
      <c r="H26" s="62">
        <f>Districts!G55</f>
        <v>0</v>
      </c>
      <c r="J26" s="62">
        <f>Districts!H55</f>
        <v>3</v>
      </c>
      <c r="K26" s="62">
        <f>Districts!I55</f>
        <v>0</v>
      </c>
      <c r="L26" s="62">
        <f>Districts!J55</f>
        <v>3</v>
      </c>
      <c r="M26" s="61">
        <f t="shared" si="0"/>
        <v>0.2</v>
      </c>
      <c r="N26">
        <f ca="1">IF(ISNA(VLOOKUP($Z26,'DD Mbr'!$A$2:$N$212,14,0)),0,VLOOKUP($Z26,'DD Mbr'!$A$2:$N$212,14,0))</f>
        <v>72</v>
      </c>
      <c r="P26" s="62">
        <f>Districts!L55</f>
        <v>0</v>
      </c>
      <c r="Q26" s="62">
        <f>Districts!M55</f>
        <v>0</v>
      </c>
      <c r="R26" s="62">
        <f>Districts!N55</f>
        <v>0</v>
      </c>
      <c r="S26" s="62">
        <f>Districts!O55</f>
        <v>0</v>
      </c>
      <c r="U26" s="62">
        <f>Districts!P55</f>
        <v>1</v>
      </c>
      <c r="V26" s="62">
        <f>Districts!Q55</f>
        <v>4</v>
      </c>
      <c r="W26" s="62">
        <f>Districts!R55</f>
        <v>-3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55</v>
      </c>
    </row>
    <row r="27" spans="1:26">
      <c r="A27" t="str">
        <f>IF(ISNA(VLOOKUP($B27,DD_Info!$A$2:$F$221,2,0)),0,VLOOKUP($B27,DD_Info!$A$2:$F$221,2,0))</f>
        <v>Carlos J Gonzalez</v>
      </c>
      <c r="B27" s="24">
        <v>56</v>
      </c>
      <c r="C27" s="85">
        <f>IF(ISNA(VLOOKUP($B27,DD_Info!$A$2:$F$221,5,0)),0,VLOOKUP($B27,DD_Info!$A$2:$F$221,5,0))</f>
        <v>2</v>
      </c>
      <c r="D27" s="62">
        <f>Districts!C56</f>
        <v>333</v>
      </c>
      <c r="E27" s="62">
        <f>Districts!D56</f>
        <v>13</v>
      </c>
      <c r="F27" s="62">
        <f>Districts!E56</f>
        <v>0</v>
      </c>
      <c r="G27" s="62">
        <f>Districts!F56</f>
        <v>0</v>
      </c>
      <c r="H27" s="62">
        <f>Districts!G56</f>
        <v>0</v>
      </c>
      <c r="J27" s="62">
        <f>Districts!H56</f>
        <v>0</v>
      </c>
      <c r="K27" s="62">
        <f>Districts!I56</f>
        <v>4</v>
      </c>
      <c r="L27" s="62">
        <f>Districts!J56</f>
        <v>-4</v>
      </c>
      <c r="M27" s="61">
        <f t="shared" si="0"/>
        <v>-0.30769230769230771</v>
      </c>
      <c r="N27">
        <f ca="1">IF(ISNA(VLOOKUP($Z27,'DD Mbr'!$A$2:$N$212,14,0)),0,VLOOKUP($Z27,'DD Mbr'!$A$2:$N$212,14,0))</f>
        <v>191</v>
      </c>
      <c r="P27" s="62">
        <f>Districts!L56</f>
        <v>0</v>
      </c>
      <c r="Q27" s="62">
        <f>Districts!M56</f>
        <v>0</v>
      </c>
      <c r="R27" s="62">
        <f>Districts!N56</f>
        <v>0</v>
      </c>
      <c r="S27" s="62">
        <f>Districts!O56</f>
        <v>0</v>
      </c>
      <c r="U27" s="62">
        <f>Districts!P56</f>
        <v>0</v>
      </c>
      <c r="V27" s="62">
        <f>Districts!Q56</f>
        <v>0</v>
      </c>
      <c r="W27" s="62">
        <f>Districts!R56</f>
        <v>0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56</v>
      </c>
    </row>
    <row r="28" spans="1:26">
      <c r="A28" t="str">
        <f>IF(ISNA(VLOOKUP($B28,DD_Info!$A$2:$F$221,2,0)),0,VLOOKUP($B28,DD_Info!$A$2:$F$221,2,0))</f>
        <v>Willie  Leal Jr</v>
      </c>
      <c r="B28" s="24">
        <v>57</v>
      </c>
      <c r="C28" s="85">
        <f>IF(ISNA(VLOOKUP($B28,DD_Info!$A$2:$F$221,5,0)),0,VLOOKUP($B28,DD_Info!$A$2:$F$221,5,0))</f>
        <v>2</v>
      </c>
      <c r="D28" s="62">
        <f>Districts!C57</f>
        <v>328</v>
      </c>
      <c r="E28" s="62">
        <f>Districts!D57</f>
        <v>13</v>
      </c>
      <c r="F28" s="62">
        <f>Districts!E57</f>
        <v>0</v>
      </c>
      <c r="G28" s="62">
        <f>Districts!F57</f>
        <v>5</v>
      </c>
      <c r="H28" s="62">
        <f>Districts!G57</f>
        <v>-5</v>
      </c>
      <c r="J28" s="62">
        <f>Districts!H57</f>
        <v>1</v>
      </c>
      <c r="K28" s="62">
        <f>Districts!I57</f>
        <v>5</v>
      </c>
      <c r="L28" s="62">
        <f>Districts!J57</f>
        <v>-4</v>
      </c>
      <c r="M28" s="61">
        <f t="shared" si="0"/>
        <v>-0.30769230769230771</v>
      </c>
      <c r="N28">
        <f ca="1">IF(ISNA(VLOOKUP($Z28,'DD Mbr'!$A$2:$N$212,14,0)),0,VLOOKUP($Z28,'DD Mbr'!$A$2:$N$212,14,0))</f>
        <v>191</v>
      </c>
      <c r="P28" s="62">
        <f>Districts!L57</f>
        <v>0</v>
      </c>
      <c r="Q28" s="62">
        <f>Districts!M57</f>
        <v>0</v>
      </c>
      <c r="R28" s="62">
        <f>Districts!N57</f>
        <v>1</v>
      </c>
      <c r="S28" s="62">
        <f>Districts!O57</f>
        <v>-1</v>
      </c>
      <c r="U28" s="62">
        <f>Districts!P57</f>
        <v>3</v>
      </c>
      <c r="V28" s="62">
        <f>Districts!Q57</f>
        <v>1</v>
      </c>
      <c r="W28" s="62">
        <f>Districts!R57</f>
        <v>2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57</v>
      </c>
    </row>
    <row r="29" spans="1:26">
      <c r="A29" t="str">
        <f>IF(ISNA(VLOOKUP($B29,DD_Info!$A$2:$F$221,2,0)),0,VLOOKUP($B29,DD_Info!$A$2:$F$221,2,0))</f>
        <v>Louis C Soriano</v>
      </c>
      <c r="B29" s="24">
        <v>58</v>
      </c>
      <c r="C29" s="85">
        <f>IF(ISNA(VLOOKUP($B29,DD_Info!$A$2:$F$221,5,0)),0,VLOOKUP($B29,DD_Info!$A$2:$F$221,5,0))</f>
        <v>2</v>
      </c>
      <c r="D29" s="62">
        <f>Districts!C58</f>
        <v>334</v>
      </c>
      <c r="E29" s="62">
        <f>Districts!D58</f>
        <v>11</v>
      </c>
      <c r="F29" s="62">
        <f>Districts!E58</f>
        <v>0</v>
      </c>
      <c r="G29" s="62">
        <f>Districts!F58</f>
        <v>0</v>
      </c>
      <c r="H29" s="62">
        <f>Districts!G58</f>
        <v>0</v>
      </c>
      <c r="J29" s="62">
        <f>Districts!H58</f>
        <v>1</v>
      </c>
      <c r="K29" s="62">
        <f>Districts!I58</f>
        <v>0</v>
      </c>
      <c r="L29" s="62">
        <f>Districts!J58</f>
        <v>1</v>
      </c>
      <c r="M29" s="61">
        <f t="shared" si="0"/>
        <v>9.0909090909090912E-2</v>
      </c>
      <c r="N29">
        <f ca="1">IF(ISNA(VLOOKUP($Z29,'DD Mbr'!$A$2:$N$212,14,0)),0,VLOOKUP($Z29,'DD Mbr'!$A$2:$N$212,14,0))</f>
        <v>88</v>
      </c>
      <c r="P29" s="62">
        <f>Districts!L58</f>
        <v>0</v>
      </c>
      <c r="Q29" s="62">
        <f>Districts!M58</f>
        <v>1</v>
      </c>
      <c r="R29" s="62">
        <f>Districts!N58</f>
        <v>0</v>
      </c>
      <c r="S29" s="62">
        <f>Districts!O58</f>
        <v>1</v>
      </c>
      <c r="U29" s="62">
        <f>Districts!P58</f>
        <v>2</v>
      </c>
      <c r="V29" s="62">
        <f>Districts!Q58</f>
        <v>0</v>
      </c>
      <c r="W29" s="62">
        <f>Districts!R58</f>
        <v>2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58</v>
      </c>
    </row>
    <row r="30" spans="1:26">
      <c r="A30" t="str">
        <f>IF(ISNA(VLOOKUP($B30,DD_Info!$A$2:$F$221,2,0)),0,VLOOKUP($B30,DD_Info!$A$2:$F$221,2,0))</f>
        <v>Butch J Rodriguez</v>
      </c>
      <c r="B30" s="24">
        <v>59</v>
      </c>
      <c r="C30" s="85">
        <f>IF(ISNA(VLOOKUP($B30,DD_Info!$A$2:$F$221,5,0)),0,VLOOKUP($B30,DD_Info!$A$2:$F$221,5,0))</f>
        <v>1</v>
      </c>
      <c r="D30" s="62">
        <f>Districts!C59</f>
        <v>575</v>
      </c>
      <c r="E30" s="62">
        <f>Districts!D59</f>
        <v>19</v>
      </c>
      <c r="F30" s="62">
        <f>Districts!E59</f>
        <v>0</v>
      </c>
      <c r="G30" s="62">
        <f>Districts!F59</f>
        <v>0</v>
      </c>
      <c r="H30" s="62">
        <f>Districts!G59</f>
        <v>0</v>
      </c>
      <c r="J30" s="62">
        <f>Districts!H59</f>
        <v>2</v>
      </c>
      <c r="K30" s="62">
        <f>Districts!I59</f>
        <v>1</v>
      </c>
      <c r="L30" s="62">
        <f>Districts!J59</f>
        <v>1</v>
      </c>
      <c r="M30" s="61">
        <f t="shared" si="0"/>
        <v>5.2631578947368418E-2</v>
      </c>
      <c r="N30">
        <f ca="1">IF(ISNA(VLOOKUP($Z30,'DD Mbr'!$A$2:$N$212,14,0)),0,VLOOKUP($Z30,'DD Mbr'!$A$2:$N$212,14,0))</f>
        <v>115</v>
      </c>
      <c r="P30" s="62">
        <f>Districts!L59</f>
        <v>0</v>
      </c>
      <c r="Q30" s="62">
        <f>Districts!M59</f>
        <v>0</v>
      </c>
      <c r="R30" s="62">
        <f>Districts!N59</f>
        <v>0</v>
      </c>
      <c r="S30" s="62">
        <f>Districts!O59</f>
        <v>0</v>
      </c>
      <c r="U30" s="62">
        <f>Districts!P59</f>
        <v>2</v>
      </c>
      <c r="V30" s="62">
        <f>Districts!Q59</f>
        <v>2</v>
      </c>
      <c r="W30" s="62">
        <f>Districts!R59</f>
        <v>0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59</v>
      </c>
    </row>
    <row r="31" spans="1:26">
      <c r="A31" t="str">
        <f>IF(ISNA(VLOOKUP($B31,DD_Info!$A$2:$F$221,2,0)),0,VLOOKUP($B31,DD_Info!$A$2:$F$221,2,0))</f>
        <v>Ruben C Gomez</v>
      </c>
      <c r="B31" s="24">
        <v>60</v>
      </c>
      <c r="C31" s="85">
        <f>IF(ISNA(VLOOKUP($B31,DD_Info!$A$2:$F$221,5,0)),0,VLOOKUP($B31,DD_Info!$A$2:$F$221,5,0))</f>
        <v>3</v>
      </c>
      <c r="D31" s="62">
        <f>Districts!C60</f>
        <v>285</v>
      </c>
      <c r="E31" s="62">
        <f>Districts!D60</f>
        <v>10</v>
      </c>
      <c r="F31" s="62">
        <f>Districts!E60</f>
        <v>0</v>
      </c>
      <c r="G31" s="62">
        <f>Districts!F60</f>
        <v>0</v>
      </c>
      <c r="H31" s="62">
        <f>Districts!G60</f>
        <v>0</v>
      </c>
      <c r="J31" s="62">
        <f>Districts!H60</f>
        <v>2</v>
      </c>
      <c r="K31" s="62">
        <f>Districts!I60</f>
        <v>0</v>
      </c>
      <c r="L31" s="62">
        <f>Districts!J60</f>
        <v>2</v>
      </c>
      <c r="M31" s="61">
        <f t="shared" si="0"/>
        <v>0.2</v>
      </c>
      <c r="N31">
        <f ca="1">IF(ISNA(VLOOKUP($Z31,'DD Mbr'!$A$2:$N$212,14,0)),0,VLOOKUP($Z31,'DD Mbr'!$A$2:$N$212,14,0))</f>
        <v>86</v>
      </c>
      <c r="P31" s="62">
        <f>Districts!L60</f>
        <v>0</v>
      </c>
      <c r="Q31" s="62">
        <f>Districts!M60</f>
        <v>0</v>
      </c>
      <c r="R31" s="62">
        <f>Districts!N60</f>
        <v>0</v>
      </c>
      <c r="S31" s="62">
        <f>Districts!O60</f>
        <v>0</v>
      </c>
      <c r="U31" s="62">
        <f>Districts!P60</f>
        <v>0</v>
      </c>
      <c r="V31" s="62">
        <f>Districts!Q60</f>
        <v>1</v>
      </c>
      <c r="W31" s="62">
        <f>Districts!R60</f>
        <v>-1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60</v>
      </c>
    </row>
    <row r="32" spans="1:26">
      <c r="A32" t="str">
        <f>IF(ISNA(VLOOKUP($B32,DD_Info!$A$2:$F$221,2,0)),0,VLOOKUP($B32,DD_Info!$A$2:$F$221,2,0))</f>
        <v>Joe  Torres</v>
      </c>
      <c r="B32" s="24">
        <v>61</v>
      </c>
      <c r="C32" s="85">
        <f>IF(ISNA(VLOOKUP($B32,DD_Info!$A$2:$F$221,5,0)),0,VLOOKUP($B32,DD_Info!$A$2:$F$221,5,0))</f>
        <v>3</v>
      </c>
      <c r="D32" s="62">
        <f>Districts!C61</f>
        <v>112</v>
      </c>
      <c r="E32" s="62">
        <f>Districts!D61</f>
        <v>6</v>
      </c>
      <c r="F32" s="62">
        <f>Districts!E61</f>
        <v>1</v>
      </c>
      <c r="G32" s="62">
        <f>Districts!F61</f>
        <v>0</v>
      </c>
      <c r="H32" s="62">
        <f>Districts!G61</f>
        <v>1</v>
      </c>
      <c r="J32" s="62">
        <f>Districts!H61</f>
        <v>1</v>
      </c>
      <c r="K32" s="62">
        <f>Districts!I61</f>
        <v>0</v>
      </c>
      <c r="L32" s="62">
        <f>Districts!J61</f>
        <v>1</v>
      </c>
      <c r="M32" s="61">
        <f t="shared" si="0"/>
        <v>0.16666666666666666</v>
      </c>
      <c r="N32">
        <f ca="1">IF(ISNA(VLOOKUP($Z32,'DD Mbr'!$A$2:$N$212,14,0)),0,VLOOKUP($Z32,'DD Mbr'!$A$2:$N$212,14,0))</f>
        <v>65</v>
      </c>
      <c r="P32" s="62">
        <f>Districts!L61</f>
        <v>0</v>
      </c>
      <c r="Q32" s="62">
        <f>Districts!M61</f>
        <v>0</v>
      </c>
      <c r="R32" s="62">
        <f>Districts!N61</f>
        <v>0</v>
      </c>
      <c r="S32" s="62">
        <f>Districts!O61</f>
        <v>0</v>
      </c>
      <c r="U32" s="62">
        <f>Districts!P61</f>
        <v>0</v>
      </c>
      <c r="V32" s="62">
        <f>Districts!Q61</f>
        <v>1</v>
      </c>
      <c r="W32" s="62">
        <f>Districts!R61</f>
        <v>-1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61</v>
      </c>
    </row>
    <row r="33" spans="1:26">
      <c r="A33" t="str">
        <f>IF(ISNA(VLOOKUP($B33,DD_Info!$A$2:$F$221,2,0)),0,VLOOKUP($B33,DD_Info!$A$2:$F$221,2,0))</f>
        <v>David D Colton</v>
      </c>
      <c r="B33" s="24">
        <v>62</v>
      </c>
      <c r="C33" s="85">
        <f>IF(ISNA(VLOOKUP($B33,DD_Info!$A$2:$F$221,5,0)),0,VLOOKUP($B33,DD_Info!$A$2:$F$221,5,0))</f>
        <v>3</v>
      </c>
      <c r="D33" s="62">
        <f>Districts!C62</f>
        <v>69</v>
      </c>
      <c r="E33" s="62">
        <f>Districts!D62</f>
        <v>4</v>
      </c>
      <c r="F33" s="62">
        <f>Districts!E62</f>
        <v>0</v>
      </c>
      <c r="G33" s="62">
        <f>Districts!F62</f>
        <v>0</v>
      </c>
      <c r="H33" s="62">
        <f>Districts!G62</f>
        <v>0</v>
      </c>
      <c r="J33" s="62">
        <f>Districts!H62</f>
        <v>0</v>
      </c>
      <c r="K33" s="62">
        <f>Districts!I62</f>
        <v>0</v>
      </c>
      <c r="L33" s="62">
        <f>Districts!J62</f>
        <v>0</v>
      </c>
      <c r="M33" s="61">
        <f t="shared" si="0"/>
        <v>0</v>
      </c>
      <c r="N33">
        <f ca="1">IF(ISNA(VLOOKUP($Z33,'DD Mbr'!$A$2:$N$212,14,0)),0,VLOOKUP($Z33,'DD Mbr'!$A$2:$N$212,14,0))</f>
        <v>127</v>
      </c>
      <c r="P33" s="62">
        <f>Districts!L62</f>
        <v>0</v>
      </c>
      <c r="Q33" s="62">
        <f>Districts!M62</f>
        <v>0</v>
      </c>
      <c r="R33" s="62">
        <f>Districts!N62</f>
        <v>0</v>
      </c>
      <c r="S33" s="62">
        <f>Districts!O62</f>
        <v>0</v>
      </c>
      <c r="U33" s="62">
        <f>Districts!P62</f>
        <v>0</v>
      </c>
      <c r="V33" s="62">
        <f>Districts!Q62</f>
        <v>0</v>
      </c>
      <c r="W33" s="62">
        <f>Districts!R62</f>
        <v>0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62</v>
      </c>
    </row>
    <row r="34" spans="1:26">
      <c r="A34" t="str">
        <f>IF(ISNA(VLOOKUP($B34,DD_Info!$A$2:$F$221,2,0)),0,VLOOKUP($B34,DD_Info!$A$2:$F$221,2,0))</f>
        <v>Joe  Hernandez</v>
      </c>
      <c r="B34" s="24">
        <v>63</v>
      </c>
      <c r="C34" s="85">
        <f>IF(ISNA(VLOOKUP($B34,DD_Info!$A$2:$F$221,5,0)),0,VLOOKUP($B34,DD_Info!$A$2:$F$221,5,0))</f>
        <v>3</v>
      </c>
      <c r="D34" s="62">
        <f>Districts!C63</f>
        <v>108</v>
      </c>
      <c r="E34" s="62">
        <f>Districts!D63</f>
        <v>4</v>
      </c>
      <c r="F34" s="62">
        <f>Districts!E63</f>
        <v>0</v>
      </c>
      <c r="G34" s="62">
        <f>Districts!F63</f>
        <v>0</v>
      </c>
      <c r="H34" s="62">
        <f>Districts!G63</f>
        <v>0</v>
      </c>
      <c r="J34" s="62">
        <f>Districts!H63</f>
        <v>0</v>
      </c>
      <c r="K34" s="62">
        <f>Districts!I63</f>
        <v>0</v>
      </c>
      <c r="L34" s="62">
        <f>Districts!J63</f>
        <v>0</v>
      </c>
      <c r="M34" s="61">
        <f t="shared" si="0"/>
        <v>0</v>
      </c>
      <c r="N34">
        <f ca="1">IF(ISNA(VLOOKUP($Z34,'DD Mbr'!$A$2:$N$212,14,0)),0,VLOOKUP($Z34,'DD Mbr'!$A$2:$N$212,14,0))</f>
        <v>127</v>
      </c>
      <c r="P34" s="62">
        <f>Districts!L63</f>
        <v>0</v>
      </c>
      <c r="Q34" s="62">
        <f>Districts!M63</f>
        <v>0</v>
      </c>
      <c r="R34" s="62">
        <f>Districts!N63</f>
        <v>0</v>
      </c>
      <c r="S34" s="62">
        <f>Districts!O63</f>
        <v>0</v>
      </c>
      <c r="U34" s="62">
        <f>Districts!P63</f>
        <v>0</v>
      </c>
      <c r="V34" s="62">
        <f>Districts!Q63</f>
        <v>0</v>
      </c>
      <c r="W34" s="62">
        <f>Districts!R63</f>
        <v>0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11620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132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12928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23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2810</v>
      </c>
      <c r="B3" t="str">
        <f>IF(ISNA(VLOOKUP($A3,Councils!$B$6:$AE$841,3,0)),0,VLOOKUP($A3,Councils!$B$6:$AE$841,3,0))</f>
        <v>Hebbronville</v>
      </c>
      <c r="C3">
        <f>IF(ISNA(VLOOKUP($A3,Councils!$B$6:$AE$841,4,0)),0,VLOOKUP($A3,Councils!$B$6:$AE$841,4,0))</f>
        <v>71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9650</v>
      </c>
      <c r="B4" t="str">
        <f>IF(ISNA(VLOOKUP($A4,Councils!$B$6:$AE$841,3,0)),0,VLOOKUP($A4,Councils!$B$6:$AE$841,3,0))</f>
        <v>Zapata</v>
      </c>
      <c r="C4">
        <f>IF(ISNA(VLOOKUP($A4,Councils!$B$6:$AE$841,4,0)),0,VLOOKUP($A4,Councils!$B$6:$AE$841,4,0))</f>
        <v>73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14805</v>
      </c>
      <c r="B5" t="str">
        <f>IF(ISNA(VLOOKUP($A5,Councils!$B$6:$AE$841,3,0)),0,VLOOKUP($A5,Councils!$B$6:$AE$841,3,0))</f>
        <v>Rio Bravo/El Cenizo</v>
      </c>
      <c r="C5">
        <f>IF(ISNA(VLOOKUP($A5,Councils!$B$6:$AE$841,4,0)),0,VLOOKUP($A5,Councils!$B$6:$AE$841,4,0))</f>
        <v>32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4412</v>
      </c>
      <c r="B3" t="str">
        <f>IF(ISNA(VLOOKUP($A3,Councils!$B$6:$AE$841,3,0)),0,VLOOKUP($A3,Councils!$B$6:$AE$841,3,0))</f>
        <v>Plainview</v>
      </c>
      <c r="C3">
        <f>IF(ISNA(VLOOKUP($A3,Councils!$B$6:$AE$841,4,0)),0,VLOOKUP($A3,Councils!$B$6:$AE$841,4,0))</f>
        <v>31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7094</v>
      </c>
      <c r="B4" t="str">
        <f>IF(ISNA(VLOOKUP($A4,Councils!$B$6:$AE$841,3,0)),0,VLOOKUP($A4,Councils!$B$6:$AE$841,3,0))</f>
        <v>New Deal</v>
      </c>
      <c r="C4">
        <f>IF(ISNA(VLOOKUP($A4,Councils!$B$6:$AE$841,4,0)),0,VLOOKUP($A4,Councils!$B$6:$AE$841,4,0))</f>
        <v>42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12828</v>
      </c>
      <c r="B5" t="str">
        <f>IF(ISNA(VLOOKUP($A5,Councils!$B$6:$AE$841,3,0)),0,VLOOKUP($A5,Councils!$B$6:$AE$841,3,0))</f>
        <v>Plainview</v>
      </c>
      <c r="C5">
        <f>IF(ISNA(VLOOKUP($A5,Councils!$B$6:$AE$841,4,0)),0,VLOOKUP($A5,Councils!$B$6:$AE$841,4,0))</f>
        <v>20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8875</v>
      </c>
      <c r="B3" t="str">
        <f>IF(ISNA(VLOOKUP($A3,Councils!$B$6:$AE$841,3,0)),0,VLOOKUP($A3,Councils!$B$6:$AE$841,3,0))</f>
        <v>Snyder</v>
      </c>
      <c r="C3">
        <f>IF(ISNA(VLOOKUP($A3,Councils!$B$6:$AE$841,4,0)),0,VLOOKUP($A3,Councils!$B$6:$AE$841,4,0))</f>
        <v>65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10480</v>
      </c>
      <c r="B4" t="str">
        <f>IF(ISNA(VLOOKUP($A4,Councils!$B$6:$AE$841,3,0)),0,VLOOKUP($A4,Councils!$B$6:$AE$841,3,0))</f>
        <v>Stamford</v>
      </c>
      <c r="C4">
        <f>IF(ISNA(VLOOKUP($A4,Councils!$B$6:$AE$841,4,0)),0,VLOOKUP($A4,Councils!$B$6:$AE$841,4,0))</f>
        <v>49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10310</v>
      </c>
      <c r="B3" t="str">
        <f>IF(ISNA(VLOOKUP($A3,Councils!$B$6:$AE$841,3,0)),0,VLOOKUP($A3,Councils!$B$6:$AE$841,3,0))</f>
        <v>Plainview</v>
      </c>
      <c r="C3">
        <f>IF(ISNA(VLOOKUP($A3,Councils!$B$6:$AE$841,4,0)),0,VLOOKUP($A3,Councils!$B$6:$AE$841,4,0))</f>
        <v>92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IF(ISNA(VLOOKUP($A3,Councils!$B$6:$AE$81423,0)),0,VLOOKUP($A3,Councils!$B$6:$AE$841,8,0))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11807</v>
      </c>
      <c r="B4" t="str">
        <f>IF(ISNA(VLOOKUP($A4,Councils!$B$6:$AE$841,3,0)),0,VLOOKUP($A4,Councils!$B$6:$AE$841,3,0))</f>
        <v>Lubbock</v>
      </c>
      <c r="C4">
        <f>IF(ISNA(VLOOKUP($A4,Councils!$B$6:$AE$841,4,0)),0,VLOOKUP($A4,Councils!$B$6:$AE$841,4,0))</f>
        <v>149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IF(ISNA(VLOOKUP($A4,Councils!$B$6:$AE$81423,0)),0,VLOOKUP($A4,Councils!$B$6:$AE$841,8,0))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-1</v>
      </c>
      <c r="K4" s="63">
        <f>IFERROR(J4/D4,0)</f>
        <v>-0.14285714285714285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50">
        <v>13447</v>
      </c>
      <c r="B5" t="str">
        <f>IF(ISNA(VLOOKUP($A5,Councils!$B$6:$AE$841,3,0)),0,VLOOKUP($A5,Councils!$B$6:$AE$841,3,0))</f>
        <v>Lubbock</v>
      </c>
      <c r="C5">
        <f>IF(ISNA(VLOOKUP($A5,Councils!$B$6:$AE$841,4,0)),0,VLOOKUP($A5,Councils!$B$6:$AE$841,4,0))</f>
        <v>156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IF(ISNA(VLOOKUP($A5,Councils!$B$6:$AE$81423,0)),0,VLOOKUP($A5,Councils!$B$6:$AE$841,8,0))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0.2857142857142857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  <row r="6" spans="1:22">
      <c r="A6" s="76">
        <v>16451</v>
      </c>
      <c r="B6" t="str">
        <f>IF(ISNA(VLOOKUP($A6,Councils!$B$6:$AE$841,3,0)),0,VLOOKUP($A6,Councils!$B$6:$AE$841,3,0))</f>
        <v>Lubbock</v>
      </c>
      <c r="C6">
        <f>IF(ISNA(VLOOKUP($A6,Councils!$B$6:$AE$841,4,0)),0,VLOOKUP($A6,Councils!$B$6:$AE$841,4,0))</f>
        <v>58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IF(ISNA(VLOOKUP($A6,Councils!$B$6:$AE$81423,0)),0,VLOOKUP($A6,Councils!$B$6:$AE$841,8,0))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76">
        <v>16775</v>
      </c>
      <c r="B7" t="str">
        <f>IF(ISNA(VLOOKUP($A7,Councils!$B$6:$AE$841,3,0)),0,VLOOKUP($A7,Councils!$B$6:$AE$841,3,0))</f>
        <v>Olton</v>
      </c>
      <c r="C7">
        <f>IF(ISNA(VLOOKUP($A7,Councils!$B$6:$AE$841,4,0)),0,VLOOKUP($A7,Councils!$B$6:$AE$841,4,0))</f>
        <v>26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IF(ISNA(VLOOKUP($A7,Councils!$B$6:$AE$81423,0)),0,VLOOKUP($A7,Councils!$B$6:$AE$841,8,0))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-1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8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7882</v>
      </c>
      <c r="B3" t="str">
        <f>IF(ISNA(VLOOKUP($A3,Councils!$B$6:$AE$841,3,0)),0,VLOOKUP($A3,Councils!$B$6:$AE$841,3,0))</f>
        <v>Littlefield</v>
      </c>
      <c r="C3">
        <f>IF(ISNA(VLOOKUP($A3,Councils!$B$6:$AE$841,4,0)),0,VLOOKUP($A3,Councils!$B$6:$AE$841,4,0))</f>
        <v>52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 t="shared" ref="K3:K8" si="0"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 t="shared" ref="T3:T8" si="1"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8097</v>
      </c>
      <c r="B4" t="str">
        <f>IF(ISNA(VLOOKUP($A4,Councils!$B$6:$AE$841,3,0)),0,VLOOKUP($A4,Councils!$B$6:$AE$841,3,0))</f>
        <v>Lubbock</v>
      </c>
      <c r="C4">
        <f>IF(ISNA(VLOOKUP($A4,Councils!$B$6:$AE$841,4,0)),0,VLOOKUP($A4,Councils!$B$6:$AE$841,4,0))</f>
        <v>123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 t="shared" si="0"/>
        <v>0.16666666666666666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 t="shared" si="1"/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15876</v>
      </c>
      <c r="B5" t="str">
        <f>IF(ISNA(VLOOKUP($A5,Councils!$B$6:$AE$841,3,0)),0,VLOOKUP($A5,Councils!$B$6:$AE$841,3,0))</f>
        <v>Lubbock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si="0"/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 t="shared" si="1"/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16210</v>
      </c>
      <c r="B6" t="str">
        <f>IF(ISNA(VLOOKUP($A6,Councils!$B$6:$AE$841,3,0)),0,VLOOKUP($A6,Councils!$B$6:$AE$841,3,0))</f>
        <v>Idalou</v>
      </c>
      <c r="C6">
        <f>IF(ISNA(VLOOKUP($A6,Councils!$B$6:$AE$841,4,0)),0,VLOOKUP($A6,Councils!$B$6:$AE$841,4,0))</f>
        <v>51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 t="shared" si="1"/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76">
        <v>16358</v>
      </c>
      <c r="B7" t="str">
        <f>IF(ISNA(VLOOKUP($A7,Councils!$B$6:$AE$841,3,0)),0,VLOOKUP($A7,Councils!$B$6:$AE$841,3,0))</f>
        <v>Shallowater</v>
      </c>
      <c r="C7">
        <f>IF(ISNA(VLOOKUP($A7,Councils!$B$6:$AE$841,4,0)),0,VLOOKUP($A7,Councils!$B$6:$AE$841,4,0))</f>
        <v>30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 t="shared" si="0"/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 t="shared" si="1"/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  <row r="8" spans="1:22">
      <c r="A8" s="76">
        <v>17583</v>
      </c>
      <c r="B8" t="str">
        <f>IF(ISNA(VLOOKUP($A8,Councils!$B$6:$AE$841,3,0)),0,VLOOKUP($A8,Councils!$B$6:$AE$841,3,0))</f>
        <v>Abernathy</v>
      </c>
      <c r="C8">
        <f>IF(ISNA(VLOOKUP($A8,Councils!$B$6:$AE$841,4,0)),0,VLOOKUP($A8,Councils!$B$6:$AE$841,4,0))</f>
        <v>0</v>
      </c>
      <c r="D8">
        <f>IF(ISNA(VLOOKUP($A8,Councils!$B$6:$AE$841,5,0)),0,VLOOKUP($A8,Councils!$B$6:$AE$841,5,0))</f>
        <v>0</v>
      </c>
      <c r="E8">
        <f>IF(ISNA(VLOOKUP($A8,Councils!$B$6:$AE$841,6,0)),0,VLOOKUP($A8,Councils!$B$6:$AE$841,6,0))</f>
        <v>0</v>
      </c>
      <c r="F8">
        <f>IF(ISNA(VLOOKUP($A8,Councils!$B$6:$AE$841,7,0)),0,VLOOKUP($A8,Councils!$B$6:$AE$841,7,0))</f>
        <v>0</v>
      </c>
      <c r="G8">
        <f>IF(ISNA(VLOOKUP($A8,Councils!$B$6:$AE$81023,0)),0,VLOOKUP($A8,Councils!$B$6:$AE$841,8,0))</f>
        <v>0</v>
      </c>
      <c r="H8">
        <f>IF(ISNA(VLOOKUP($A8,Councils!$B$6:$AE$841,9,0)),0,VLOOKUP($A8,Councils!$B$6:$AE$841,9,0))</f>
        <v>15</v>
      </c>
      <c r="I8">
        <f>IF(ISNA(VLOOKUP($A8,Councils!$B$6:$AE$841,10,0)),0,VLOOKUP($A8,Councils!$B$6:$AE$841,10,0))</f>
        <v>0</v>
      </c>
      <c r="J8">
        <f>IF(ISNA(VLOOKUP($A8,Councils!$B$6:$AE$841,11,0)),0,VLOOKUP($A8,Councils!$B$6:$AE$841,11,0))</f>
        <v>15</v>
      </c>
      <c r="K8" s="63">
        <f t="shared" si="0"/>
        <v>0</v>
      </c>
      <c r="M8">
        <f>IF(ISNA(VLOOKUP($A8,Councils!$B$6:$AE$841,14,0)),0,VLOOKUP($A8,Councils!$B$6:$AE$841,14,0))</f>
        <v>0</v>
      </c>
      <c r="N8">
        <f>IF(ISNA(VLOOKUP($A8,Councils!$B$6:$AE$841,15,0)),0,VLOOKUP($A8,Councils!$B$6:$AE$841,15,0))</f>
        <v>0</v>
      </c>
      <c r="O8">
        <f>IF(ISNA(VLOOKUP($A8,Councils!$B$6:$AE$841,16,0)),0,VLOOKUP($A8,Councils!$B$6:$AE$841,16,0))</f>
        <v>0</v>
      </c>
      <c r="P8">
        <f>IF(ISNA(VLOOKUP($A8,Councils!$B$6:$AE$841,17,0)),0,VLOOKUP($A8,Councils!$B$6:$AE$841,17,0))</f>
        <v>0</v>
      </c>
      <c r="Q8">
        <f>IF(ISNA(VLOOKUP($A8,Councils!$B$6:$AE$841,18,0)),0,VLOOKUP($A8,Councils!$B$6:$AE$841,18,0))</f>
        <v>0</v>
      </c>
      <c r="R8">
        <f>IF(ISNA(VLOOKUP($A8,Councils!$B$6:$AE$841,19,0)),0,VLOOKUP($A8,Councils!$B$6:$AE$841,19,0))</f>
        <v>0</v>
      </c>
      <c r="S8">
        <f>IF(ISNA(VLOOKUP($A8,Councils!$B$6:$AE$841,20,0)),0,VLOOKUP($A8,Councils!$B$6:$AE$841,20,0))</f>
        <v>0</v>
      </c>
      <c r="T8" s="63">
        <f t="shared" si="1"/>
        <v>0</v>
      </c>
      <c r="U8" t="str">
        <f>IF(ISNA(VLOOKUP($A8,Council_Data!$A$3:$Z$837,24,0)),0,VLOOKUP($A8,Council_Data!$A$3:$Z$837,24,0))</f>
        <v>Payne</v>
      </c>
      <c r="V8">
        <f>IF(ISNA(VLOOKUP($A8,Council_Data!$A$3:$Z$837,23,0)),0,VLOOKUP($A8,Council_Data!$A$3:$Z$837,23,0))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4542</v>
      </c>
      <c r="B3" t="str">
        <f>IF(ISNA(VLOOKUP($A3,Councils!$B$6:$AE$841,3,0)),0,VLOOKUP($A3,Councils!$B$6:$AE$841,3,0))</f>
        <v>Levelland</v>
      </c>
      <c r="C3">
        <f>IF(ISNA(VLOOKUP($A3,Councils!$B$6:$AE$841,4,0)),0,VLOOKUP($A3,Councils!$B$6:$AE$841,4,0))</f>
        <v>117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7953</v>
      </c>
      <c r="B4" t="str">
        <f>IF(ISNA(VLOOKUP($A4,Councils!$B$6:$AE$841,3,0)),0,VLOOKUP($A4,Councils!$B$6:$AE$841,3,0))</f>
        <v>Lamesa</v>
      </c>
      <c r="C4">
        <f>IF(ISNA(VLOOKUP($A4,Councils!$B$6:$AE$841,4,0)),0,VLOOKUP($A4,Councils!$B$6:$AE$841,4,0))</f>
        <v>62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-3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8517</v>
      </c>
      <c r="B5" t="str">
        <f>IF(ISNA(VLOOKUP($A5,Councils!$B$6:$AE$841,3,0)),0,VLOOKUP($A5,Councils!$B$6:$AE$841,3,0))</f>
        <v>Denver City</v>
      </c>
      <c r="C5">
        <f>IF(ISNA(VLOOKUP($A5,Councils!$B$6:$AE$841,4,0)),0,VLOOKUP($A5,Councils!$B$6:$AE$841,4,0))</f>
        <v>35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0.66666666666666663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76">
        <v>11365</v>
      </c>
      <c r="B6" t="str">
        <f>IF(ISNA(VLOOKUP($A6,Councils!$B$6:$AE$841,3,0)),0,VLOOKUP($A6,Councils!$B$6:$AE$841,3,0))</f>
        <v>Odonnell</v>
      </c>
      <c r="C6">
        <f>IF(ISNA(VLOOKUP($A6,Councils!$B$6:$AE$841,4,0)),0,VLOOKUP($A6,Councils!$B$6:$AE$841,4,0))</f>
        <v>26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368">
        <v>16394</v>
      </c>
      <c r="B7" t="str">
        <f>IF(ISNA(VLOOKUP($A7,Councils!$B$6:$AE$841,3,0)),0,VLOOKUP($A7,Councils!$B$6:$AE$841,3,0))</f>
        <v>Woodrow</v>
      </c>
      <c r="C7">
        <f>IF(ISNA(VLOOKUP($A7,Councils!$B$6:$AE$841,4,0)),0,VLOOKUP($A7,Councils!$B$6:$AE$841,4,0))</f>
        <v>44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1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1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2571</v>
      </c>
      <c r="B3" t="str">
        <f>IF(ISNA(VLOOKUP($A3,Councils!$B$6:$AE$841,3,0)),0,VLOOKUP($A3,Councils!$B$6:$AE$841,3,0))</f>
        <v>Slaton</v>
      </c>
      <c r="C3">
        <f>IF(ISNA(VLOOKUP($A3,Councils!$B$6:$AE$841,4,0)),0,VLOOKUP($A3,Councils!$B$6:$AE$841,4,0))</f>
        <v>139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3008</v>
      </c>
      <c r="B4" t="str">
        <f>IF(ISNA(VLOOKUP($A4,Councils!$B$6:$AE$841,3,0)),0,VLOOKUP($A4,Councils!$B$6:$AE$841,3,0))</f>
        <v>Lubbock</v>
      </c>
      <c r="C4">
        <f>IF(ISNA(VLOOKUP($A4,Councils!$B$6:$AE$841,4,0)),0,VLOOKUP($A4,Councils!$B$6:$AE$841,4,0))</f>
        <v>278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5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5</v>
      </c>
      <c r="H4">
        <f>IF(ISNA(VLOOKUP($A4,Councils!$B$6:$AE$841,9,0)),0,VLOOKUP($A4,Councils!$B$6:$AE$841,9,0))</f>
        <v>8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8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6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6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77">
        <v>7590</v>
      </c>
      <c r="B5" t="str">
        <f>IF(ISNA(VLOOKUP($A5,Councils!$B$6:$AE$841,3,0)),0,VLOOKUP($A5,Councils!$B$6:$AE$841,3,0))</f>
        <v>Lubbock</v>
      </c>
      <c r="C5">
        <f>IF(ISNA(VLOOKUP($A5,Councils!$B$6:$AE$841,4,0)),0,VLOOKUP($A5,Councils!$B$6:$AE$841,4,0))</f>
        <v>54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77">
        <v>12803</v>
      </c>
      <c r="B6" t="str">
        <f>IF(ISNA(VLOOKUP($A6,Councils!$B$6:$AE$841,3,0)),0,VLOOKUP($A6,Councils!$B$6:$AE$841,3,0))</f>
        <v>Lubbock</v>
      </c>
      <c r="C6">
        <f>IF(ISNA(VLOOKUP($A6,Councils!$B$6:$AE$841,4,0)),0,VLOOKUP($A6,Councils!$B$6:$AE$841,4,0))</f>
        <v>137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6</v>
      </c>
      <c r="J6">
        <f>IF(ISNA(VLOOKUP($A6,Councils!$B$6:$AE$841,11,0)),0,VLOOKUP($A6,Councils!$B$6:$AE$841,11,0))</f>
        <v>-5</v>
      </c>
      <c r="K6" s="63">
        <f>IFERROR(J6/D6,0)</f>
        <v>-0.83333333333333337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  <row r="7" spans="1:22">
      <c r="A7" s="77">
        <v>14426</v>
      </c>
      <c r="B7" t="str">
        <f>IF(ISNA(VLOOKUP($A7,Councils!$B$6:$AE$841,3,0)),0,VLOOKUP($A7,Councils!$B$6:$AE$841,3,0))</f>
        <v>Lubbock</v>
      </c>
      <c r="C7">
        <f>IF(ISNA(VLOOKUP($A7,Councils!$B$6:$AE$841,4,0)),0,VLOOKUP($A7,Councils!$B$6:$AE$841,4,0))</f>
        <v>142</v>
      </c>
      <c r="D7">
        <f>IF(ISNA(VLOOKUP($A7,Councils!$B$6:$AE$841,5,0)),0,VLOOKUP($A7,Councils!$B$6:$AE$841,5,0))</f>
        <v>7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13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13</v>
      </c>
      <c r="K7" s="63">
        <f>IFERROR(J7/D7,0)</f>
        <v>1.8571428571428572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1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1</v>
      </c>
      <c r="Q7">
        <f>IF(ISNA(VLOOKUP($A7,Councils!$B$6:$AE$841,18,0)),0,VLOOKUP($A7,Councils!$B$6:$AE$841,18,0))</f>
        <v>2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2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1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5537</v>
      </c>
      <c r="B3" t="str">
        <f>IF(ISNA(VLOOKUP($A3,Councils!$B$6:$AE$841,3,0)),0,VLOOKUP($A3,Councils!$B$6:$AE$841,3,0))</f>
        <v>Pep</v>
      </c>
      <c r="C3">
        <f>IF(ISNA(VLOOKUP($A3,Councils!$B$6:$AE$841,4,0)),0,VLOOKUP($A3,Councils!$B$6:$AE$841,4,0))</f>
        <v>45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11012</v>
      </c>
      <c r="B4" t="str">
        <f>IF(ISNA(VLOOKUP($A4,Councils!$B$6:$AE$841,3,0)),0,VLOOKUP($A4,Councils!$B$6:$AE$841,3,0))</f>
        <v>Seminole</v>
      </c>
      <c r="C4">
        <f>IF(ISNA(VLOOKUP($A4,Councils!$B$6:$AE$841,4,0)),0,VLOOKUP($A4,Councils!$B$6:$AE$841,4,0))</f>
        <v>44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12292</v>
      </c>
      <c r="B5" t="str">
        <f>IF(ISNA(VLOOKUP($A5,Councils!$B$6:$AE$841,3,0)),0,VLOOKUP($A5,Councils!$B$6:$AE$841,3,0))</f>
        <v>Brownfield</v>
      </c>
      <c r="C5">
        <f>IF(ISNA(VLOOKUP($A5,Councils!$B$6:$AE$841,4,0)),0,VLOOKUP($A5,Councils!$B$6:$AE$841,4,0))</f>
        <v>63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0.7109375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Philip  Chauvin</v>
      </c>
      <c r="B5" s="24">
        <v>121</v>
      </c>
      <c r="C5" s="85">
        <f>IF(ISNA(VLOOKUP($B5,DD_Info!$A$2:$F$221,5,0)),0,VLOOKUP($B5,DD_Info!$A$2:$F$221,5,0))</f>
        <v>2</v>
      </c>
      <c r="D5" s="62">
        <f>Districts!C116</f>
        <v>418</v>
      </c>
      <c r="E5" s="62">
        <f>Districts!D116</f>
        <v>15</v>
      </c>
      <c r="F5" s="62">
        <f>Districts!E116</f>
        <v>0</v>
      </c>
      <c r="G5" s="62">
        <f>Districts!F116</f>
        <v>1</v>
      </c>
      <c r="H5" s="62">
        <f>Districts!G116</f>
        <v>-1</v>
      </c>
      <c r="J5" s="62">
        <f>Districts!H116</f>
        <v>6</v>
      </c>
      <c r="K5" s="62">
        <f>Districts!I116</f>
        <v>6</v>
      </c>
      <c r="L5" s="62">
        <f>Districts!J116</f>
        <v>0</v>
      </c>
      <c r="M5" s="61">
        <f>IFERROR(L5/E5,0)</f>
        <v>0</v>
      </c>
      <c r="N5">
        <f ca="1">IF(ISNA(VLOOKUP($Z5,'DD Mbr'!$A$2:$N$212,14,0)),0,VLOOKUP($Z5,'DD Mbr'!$A$2:$N$212,14,0))</f>
        <v>127</v>
      </c>
      <c r="P5" s="62">
        <f>Districts!L116</f>
        <v>0</v>
      </c>
      <c r="Q5" s="62">
        <f>Districts!M116</f>
        <v>0</v>
      </c>
      <c r="R5" s="62">
        <f>Districts!N116</f>
        <v>2</v>
      </c>
      <c r="S5" s="62">
        <f>Districts!O116</f>
        <v>-2</v>
      </c>
      <c r="U5" s="62">
        <f>Districts!P116</f>
        <v>0</v>
      </c>
      <c r="V5" s="62">
        <f>Districts!Q116</f>
        <v>5</v>
      </c>
      <c r="W5" s="62">
        <f>Districts!R116</f>
        <v>-5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121</v>
      </c>
    </row>
    <row r="6" spans="1:26">
      <c r="A6" t="str">
        <f>IF(ISNA(VLOOKUP($B6,DD_Info!$A$2:$F$221,2,0)),0,VLOOKUP($B6,DD_Info!$A$2:$F$221,2,0))</f>
        <v>Jason L Kelley</v>
      </c>
      <c r="B6" s="24">
        <v>122</v>
      </c>
      <c r="C6" s="85">
        <f>IF(ISNA(VLOOKUP($B6,DD_Info!$A$2:$F$221,5,0)),0,VLOOKUP($B6,DD_Info!$A$2:$F$221,5,0))</f>
        <v>1</v>
      </c>
      <c r="D6" s="62">
        <f>Districts!C117</f>
        <v>988</v>
      </c>
      <c r="E6" s="62">
        <f>Districts!D117</f>
        <v>33</v>
      </c>
      <c r="F6" s="62">
        <f>Districts!E117</f>
        <v>1</v>
      </c>
      <c r="G6" s="62">
        <f>Districts!F117</f>
        <v>0</v>
      </c>
      <c r="H6" s="62">
        <f>Districts!G117</f>
        <v>1</v>
      </c>
      <c r="J6" s="62">
        <f>Districts!H117</f>
        <v>15</v>
      </c>
      <c r="K6" s="62">
        <f>Districts!I117</f>
        <v>2</v>
      </c>
      <c r="L6" s="62">
        <f>Districts!J117</f>
        <v>13</v>
      </c>
      <c r="M6" s="61">
        <f t="shared" ref="M6:M11" si="0">IFERROR(L6/E6,0)</f>
        <v>0.39393939393939392</v>
      </c>
      <c r="N6">
        <f ca="1">IF(ISNA(VLOOKUP($Z6,'DD Mbr'!$A$2:$N$212,14,0)),0,VLOOKUP($Z6,'DD Mbr'!$A$2:$N$212,14,0))</f>
        <v>42</v>
      </c>
      <c r="P6" s="62">
        <f>Districts!L117</f>
        <v>0</v>
      </c>
      <c r="Q6" s="62">
        <f>Districts!M117</f>
        <v>2</v>
      </c>
      <c r="R6" s="62">
        <f>Districts!N117</f>
        <v>3</v>
      </c>
      <c r="S6" s="62">
        <f>Districts!O117</f>
        <v>-1</v>
      </c>
      <c r="U6" s="62">
        <f>Districts!P117</f>
        <v>2</v>
      </c>
      <c r="V6" s="62">
        <f>Districts!Q117</f>
        <v>6</v>
      </c>
      <c r="W6" s="62">
        <f>Districts!R117</f>
        <v>-4</v>
      </c>
      <c r="X6" s="61">
        <f t="shared" ref="X6:X11" si="1">IFERROR(W6/P6,0)</f>
        <v>0</v>
      </c>
      <c r="Y6">
        <f>IF(ISNA(VLOOKUP($Z6,'DD Ins'!$A$2:$N$217,14,0)),0,VLOOKUP($Z6,'DD Ins'!$A$2:$N$217,14,0))</f>
        <v>1</v>
      </c>
      <c r="Z6">
        <f t="shared" ref="Z6:Z11" si="2">+B6</f>
        <v>122</v>
      </c>
    </row>
    <row r="7" spans="1:26">
      <c r="A7" t="str">
        <f>IF(ISNA(VLOOKUP($B7,DD_Info!$A$2:$F$221,2,0)),0,VLOOKUP($B7,DD_Info!$A$2:$F$221,2,0))</f>
        <v>Robert "Bobby"  Wilson</v>
      </c>
      <c r="B7" s="24">
        <v>123</v>
      </c>
      <c r="C7" s="85">
        <f>IF(ISNA(VLOOKUP($B7,DD_Info!$A$2:$F$221,5,0)),0,VLOOKUP($B7,DD_Info!$A$2:$F$221,5,0))</f>
        <v>3</v>
      </c>
      <c r="D7" s="62">
        <f>Districts!C118</f>
        <v>260</v>
      </c>
      <c r="E7" s="62">
        <f>Districts!D118</f>
        <v>9</v>
      </c>
      <c r="F7" s="62">
        <f>Districts!E118</f>
        <v>0</v>
      </c>
      <c r="G7" s="62">
        <f>Districts!F118</f>
        <v>0</v>
      </c>
      <c r="H7" s="62">
        <f>Districts!G118</f>
        <v>0</v>
      </c>
      <c r="J7" s="62">
        <f>Districts!H118</f>
        <v>1</v>
      </c>
      <c r="K7" s="62">
        <f>Districts!I118</f>
        <v>0</v>
      </c>
      <c r="L7" s="62">
        <f>Districts!J118</f>
        <v>1</v>
      </c>
      <c r="M7" s="61">
        <f t="shared" si="0"/>
        <v>0.1111111111111111</v>
      </c>
      <c r="N7">
        <f ca="1">IF(ISNA(VLOOKUP($Z7,'DD Mbr'!$A$2:$N$212,14,0)),0,VLOOKUP($Z7,'DD Mbr'!$A$2:$N$212,14,0))</f>
        <v>82</v>
      </c>
      <c r="P7" s="62">
        <f>Districts!L118</f>
        <v>0</v>
      </c>
      <c r="Q7" s="62">
        <f>Districts!M118</f>
        <v>0</v>
      </c>
      <c r="R7" s="62">
        <f>Districts!N118</f>
        <v>0</v>
      </c>
      <c r="S7" s="62">
        <f>Districts!O118</f>
        <v>0</v>
      </c>
      <c r="U7" s="62">
        <f>Districts!P118</f>
        <v>0</v>
      </c>
      <c r="V7" s="62">
        <f>Districts!Q118</f>
        <v>0</v>
      </c>
      <c r="W7" s="62">
        <f>Districts!R118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123</v>
      </c>
    </row>
    <row r="8" spans="1:26">
      <c r="A8" t="str">
        <f>IF(ISNA(VLOOKUP($B8,DD_Info!$A$2:$F$221,2,0)),0,VLOOKUP($B8,DD_Info!$A$2:$F$221,2,0))</f>
        <v>John  Badeaux Sr</v>
      </c>
      <c r="B8" s="24">
        <v>124</v>
      </c>
      <c r="C8" s="85">
        <f>IF(ISNA(VLOOKUP($B8,DD_Info!$A$2:$F$221,5,0)),0,VLOOKUP($B8,DD_Info!$A$2:$F$221,5,0))</f>
        <v>2</v>
      </c>
      <c r="D8" s="62">
        <f>Districts!C119</f>
        <v>456</v>
      </c>
      <c r="E8" s="62">
        <f>Districts!D119</f>
        <v>21</v>
      </c>
      <c r="F8" s="62">
        <f>Districts!E119</f>
        <v>0</v>
      </c>
      <c r="G8" s="62">
        <f>Districts!F119</f>
        <v>1</v>
      </c>
      <c r="H8" s="62">
        <f>Districts!G119</f>
        <v>-1</v>
      </c>
      <c r="J8" s="62">
        <f>Districts!H119</f>
        <v>0</v>
      </c>
      <c r="K8" s="62">
        <f>Districts!I119</f>
        <v>2</v>
      </c>
      <c r="L8" s="62">
        <f>Districts!J119</f>
        <v>-2</v>
      </c>
      <c r="M8" s="61">
        <f t="shared" si="0"/>
        <v>-9.5238095238095233E-2</v>
      </c>
      <c r="N8">
        <f ca="1">IF(ISNA(VLOOKUP($Z8,'DD Mbr'!$A$2:$N$212,14,0)),0,VLOOKUP($Z8,'DD Mbr'!$A$2:$N$212,14,0))</f>
        <v>175</v>
      </c>
      <c r="P8" s="62">
        <f>Districts!L119</f>
        <v>0</v>
      </c>
      <c r="Q8" s="62">
        <f>Districts!M119</f>
        <v>0</v>
      </c>
      <c r="R8" s="62">
        <f>Districts!N119</f>
        <v>1</v>
      </c>
      <c r="S8" s="62">
        <f>Districts!O119</f>
        <v>-1</v>
      </c>
      <c r="U8" s="62">
        <f>Districts!P119</f>
        <v>0</v>
      </c>
      <c r="V8" s="62">
        <f>Districts!Q119</f>
        <v>5</v>
      </c>
      <c r="W8" s="62">
        <f>Districts!R119</f>
        <v>-5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124</v>
      </c>
    </row>
    <row r="9" spans="1:26">
      <c r="A9" t="str">
        <f>IF(ISNA(VLOOKUP($B9,DD_Info!$A$2:$F$221,2,0)),0,VLOOKUP($B9,DD_Info!$A$2:$F$221,2,0))</f>
        <v>Marcus A James</v>
      </c>
      <c r="B9" s="24">
        <v>125</v>
      </c>
      <c r="C9" s="85">
        <f>IF(ISNA(VLOOKUP($B9,DD_Info!$A$2:$F$221,5,0)),0,VLOOKUP($B9,DD_Info!$A$2:$F$221,5,0))</f>
        <v>1</v>
      </c>
      <c r="D9" s="62">
        <f>Districts!C120</f>
        <v>595</v>
      </c>
      <c r="E9" s="62">
        <f>Districts!D120</f>
        <v>19</v>
      </c>
      <c r="F9" s="62">
        <f>Districts!E120</f>
        <v>0</v>
      </c>
      <c r="G9" s="62">
        <f>Districts!F120</f>
        <v>0</v>
      </c>
      <c r="H9" s="62">
        <f>Districts!G120</f>
        <v>0</v>
      </c>
      <c r="J9" s="62">
        <f>Districts!H120</f>
        <v>1</v>
      </c>
      <c r="K9" s="62">
        <f>Districts!I120</f>
        <v>0</v>
      </c>
      <c r="L9" s="62">
        <f>Districts!J120</f>
        <v>1</v>
      </c>
      <c r="M9" s="61">
        <f t="shared" si="0"/>
        <v>5.2631578947368418E-2</v>
      </c>
      <c r="N9">
        <f ca="1">IF(ISNA(VLOOKUP($Z9,'DD Mbr'!$A$2:$N$212,14,0)),0,VLOOKUP($Z9,'DD Mbr'!$A$2:$N$212,14,0))</f>
        <v>115</v>
      </c>
      <c r="P9" s="62">
        <f>Districts!L120</f>
        <v>0</v>
      </c>
      <c r="Q9" s="62">
        <f>Districts!M120</f>
        <v>0</v>
      </c>
      <c r="R9" s="62">
        <f>Districts!N120</f>
        <v>2</v>
      </c>
      <c r="S9" s="62">
        <f>Districts!O120</f>
        <v>-2</v>
      </c>
      <c r="U9" s="62">
        <f>Districts!P120</f>
        <v>1</v>
      </c>
      <c r="V9" s="62">
        <f>Districts!Q120</f>
        <v>3</v>
      </c>
      <c r="W9" s="62">
        <f>Districts!R120</f>
        <v>-2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125</v>
      </c>
    </row>
    <row r="10" spans="1:26">
      <c r="A10" t="str">
        <f>IF(ISNA(VLOOKUP($B10,DD_Info!$A$2:$F$221,2,0)),0,VLOOKUP($B10,DD_Info!$A$2:$F$221,2,0))</f>
        <v>James M Langford</v>
      </c>
      <c r="B10" s="24">
        <v>126</v>
      </c>
      <c r="C10" s="85">
        <f>IF(ISNA(VLOOKUP($B10,DD_Info!$A$2:$F$221,5,0)),0,VLOOKUP($B10,DD_Info!$A$2:$F$221,5,0))</f>
        <v>2</v>
      </c>
      <c r="D10" s="62">
        <f>Districts!C121</f>
        <v>410</v>
      </c>
      <c r="E10" s="62">
        <f>Districts!D121</f>
        <v>15</v>
      </c>
      <c r="F10" s="62">
        <f>Districts!E121</f>
        <v>0</v>
      </c>
      <c r="G10" s="62">
        <f>Districts!F121</f>
        <v>0</v>
      </c>
      <c r="H10" s="62">
        <f>Districts!G121</f>
        <v>0</v>
      </c>
      <c r="J10" s="62">
        <f>Districts!H121</f>
        <v>5</v>
      </c>
      <c r="K10" s="62">
        <f>Districts!I121</f>
        <v>0</v>
      </c>
      <c r="L10" s="62">
        <f>Districts!J121</f>
        <v>5</v>
      </c>
      <c r="M10" s="61">
        <f t="shared" si="0"/>
        <v>0.33333333333333331</v>
      </c>
      <c r="N10">
        <f ca="1">IF(ISNA(VLOOKUP($Z10,'DD Mbr'!$A$2:$N$212,14,0)),0,VLOOKUP($Z10,'DD Mbr'!$A$2:$N$212,14,0))</f>
        <v>44</v>
      </c>
      <c r="P10" s="62">
        <f>Districts!L121</f>
        <v>0</v>
      </c>
      <c r="Q10" s="62">
        <f>Districts!M121</f>
        <v>1</v>
      </c>
      <c r="R10" s="62">
        <f>Districts!N121</f>
        <v>1</v>
      </c>
      <c r="S10" s="62">
        <f>Districts!O121</f>
        <v>0</v>
      </c>
      <c r="U10" s="62">
        <f>Districts!P121</f>
        <v>2</v>
      </c>
      <c r="V10" s="62">
        <f>Districts!Q121</f>
        <v>2</v>
      </c>
      <c r="W10" s="62">
        <f>Districts!R121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126</v>
      </c>
    </row>
    <row r="11" spans="1:26">
      <c r="A11" t="str">
        <f>IF(ISNA(VLOOKUP($B11,DD_Info!$A$2:$F$221,2,0)),0,VLOOKUP($B11,DD_Info!$A$2:$F$221,2,0))</f>
        <v>Charles D Trahan</v>
      </c>
      <c r="B11" s="24">
        <v>127</v>
      </c>
      <c r="C11" s="85">
        <f>IF(ISNA(VLOOKUP($B11,DD_Info!$A$2:$F$221,5,0)),0,VLOOKUP($B11,DD_Info!$A$2:$F$221,5,0))</f>
        <v>3</v>
      </c>
      <c r="D11" s="62">
        <f>Districts!C122</f>
        <v>37</v>
      </c>
      <c r="E11" s="62">
        <f>Districts!D122</f>
        <v>10</v>
      </c>
      <c r="F11" s="62">
        <f>Districts!E122</f>
        <v>0</v>
      </c>
      <c r="G11" s="62">
        <f>Districts!F122</f>
        <v>0</v>
      </c>
      <c r="H11" s="62">
        <f>Districts!G122</f>
        <v>0</v>
      </c>
      <c r="J11" s="62">
        <f>Districts!H122</f>
        <v>0</v>
      </c>
      <c r="K11" s="62">
        <f>Districts!I122</f>
        <v>0</v>
      </c>
      <c r="L11" s="62">
        <f>Districts!J122</f>
        <v>0</v>
      </c>
      <c r="M11" s="61">
        <f t="shared" si="0"/>
        <v>0</v>
      </c>
      <c r="N11">
        <f ca="1">IF(ISNA(VLOOKUP($Z11,'DD Mbr'!$A$2:$N$212,14,0)),0,VLOOKUP($Z11,'DD Mbr'!$A$2:$N$212,14,0))</f>
        <v>127</v>
      </c>
      <c r="P11" s="62">
        <f>Districts!L122</f>
        <v>0</v>
      </c>
      <c r="Q11" s="62">
        <f>Districts!M122</f>
        <v>0</v>
      </c>
      <c r="R11" s="62">
        <f>Districts!N122</f>
        <v>0</v>
      </c>
      <c r="S11" s="62">
        <f>Districts!O122</f>
        <v>0</v>
      </c>
      <c r="U11" s="62">
        <f>Districts!P122</f>
        <v>0</v>
      </c>
      <c r="V11" s="62">
        <f>Districts!Q122</f>
        <v>0</v>
      </c>
      <c r="W11" s="62">
        <f>Districts!R122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127</v>
      </c>
    </row>
    <row r="12" spans="1:26">
      <c r="D12" s="62">
        <f>SUM(D5:D11)</f>
        <v>3164</v>
      </c>
      <c r="E12" s="62">
        <f t="shared" ref="E12:L12" si="3">SUM(E5:E11)</f>
        <v>122</v>
      </c>
      <c r="F12" s="62">
        <f t="shared" si="3"/>
        <v>1</v>
      </c>
      <c r="G12" s="62">
        <f t="shared" si="3"/>
        <v>2</v>
      </c>
      <c r="H12" s="62">
        <f t="shared" si="3"/>
        <v>-1</v>
      </c>
      <c r="I12" s="62">
        <f t="shared" si="3"/>
        <v>0</v>
      </c>
      <c r="J12" s="62">
        <f t="shared" si="3"/>
        <v>28</v>
      </c>
      <c r="K12" s="62">
        <f t="shared" si="3"/>
        <v>10</v>
      </c>
      <c r="L12" s="62">
        <f t="shared" si="3"/>
        <v>18</v>
      </c>
      <c r="P12" s="62">
        <f>SUM(P5:P11)</f>
        <v>0</v>
      </c>
      <c r="Q12" s="62">
        <f t="shared" ref="Q12:W12" si="4">SUM(Q5:Q11)</f>
        <v>3</v>
      </c>
      <c r="R12" s="62">
        <f t="shared" si="4"/>
        <v>9</v>
      </c>
      <c r="S12" s="62">
        <f t="shared" si="4"/>
        <v>-6</v>
      </c>
      <c r="T12" s="62">
        <f t="shared" si="4"/>
        <v>0</v>
      </c>
      <c r="U12" s="62">
        <f t="shared" si="4"/>
        <v>5</v>
      </c>
      <c r="V12" s="62">
        <f t="shared" si="4"/>
        <v>21</v>
      </c>
      <c r="W12" s="62">
        <f t="shared" si="4"/>
        <v>-16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W18" sqref="W18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Jose  Garza Jr</v>
      </c>
      <c r="B5" s="55">
        <v>206</v>
      </c>
      <c r="C5" s="85">
        <f>IF(ISNA(VLOOKUP($B5,DD_Info!$A$2:$F$221,5,0)),0,VLOOKUP($B5,DD_Info!$A$2:$F$221,5,0))</f>
        <v>3</v>
      </c>
      <c r="D5" s="62">
        <f>Districts!C184</f>
        <v>183</v>
      </c>
      <c r="E5" s="62">
        <f>Districts!D184</f>
        <v>8</v>
      </c>
      <c r="F5" s="62">
        <f>Districts!E184</f>
        <v>0</v>
      </c>
      <c r="G5" s="62">
        <f>Districts!F184</f>
        <v>0</v>
      </c>
      <c r="H5" s="62">
        <f>Districts!G184</f>
        <v>0</v>
      </c>
      <c r="J5" s="62">
        <f>Districts!H184</f>
        <v>0</v>
      </c>
      <c r="K5" s="62">
        <f>Districts!I184</f>
        <v>0</v>
      </c>
      <c r="L5" s="62">
        <f>Districts!J184</f>
        <v>0</v>
      </c>
      <c r="M5" s="61">
        <f>IFERROR(ROUND(+L5/E5,3),0)</f>
        <v>0</v>
      </c>
      <c r="N5">
        <f ca="1">IF(ISNA(VLOOKUP($Z5,'DD Mbr'!$A$2:$N$212,14,0)),0,VLOOKUP($Z5,'DD Mbr'!$A$2:$N$212,14,0))</f>
        <v>127</v>
      </c>
      <c r="P5" s="62">
        <f>Districts!L184</f>
        <v>0</v>
      </c>
      <c r="Q5" s="62">
        <f>Districts!M184</f>
        <v>0</v>
      </c>
      <c r="R5" s="62">
        <f>Districts!N184</f>
        <v>0</v>
      </c>
      <c r="S5" s="62">
        <f>Districts!O184</f>
        <v>0</v>
      </c>
      <c r="U5" s="62">
        <f>Districts!P184</f>
        <v>0</v>
      </c>
      <c r="V5" s="62">
        <f>Districts!Q184</f>
        <v>1</v>
      </c>
      <c r="W5" s="62">
        <f>Districts!R184</f>
        <v>-1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206</v>
      </c>
    </row>
    <row r="6" spans="1:26">
      <c r="A6" t="str">
        <f>IF(ISNA(VLOOKUP($B6,DD_Info!$A$2:$F$221,2,0)),0,VLOOKUP($B6,DD_Info!$A$2:$F$221,2,0))</f>
        <v>Juan A Lopez</v>
      </c>
      <c r="B6" s="55">
        <v>207</v>
      </c>
      <c r="C6" s="85">
        <f>IF(ISNA(VLOOKUP($B6,DD_Info!$A$2:$F$221,5,0)),0,VLOOKUP($B6,DD_Info!$A$2:$F$221,5,0))</f>
        <v>1</v>
      </c>
      <c r="D6" s="62">
        <f>Districts!C185</f>
        <v>718</v>
      </c>
      <c r="E6" s="62">
        <f>Districts!D185</f>
        <v>25</v>
      </c>
      <c r="F6" s="62">
        <f>Districts!E185</f>
        <v>0</v>
      </c>
      <c r="G6" s="62">
        <f>Districts!F185</f>
        <v>0</v>
      </c>
      <c r="H6" s="62">
        <f>Districts!G185</f>
        <v>0</v>
      </c>
      <c r="J6" s="62">
        <f>Districts!H185</f>
        <v>8</v>
      </c>
      <c r="K6" s="62">
        <f>Districts!I185</f>
        <v>1</v>
      </c>
      <c r="L6" s="62">
        <f>Districts!J185</f>
        <v>7</v>
      </c>
      <c r="M6" s="61">
        <f t="shared" ref="M6:M16" si="0">IFERROR(ROUND(+L6/E6,3),0)</f>
        <v>0.28000000000000003</v>
      </c>
      <c r="N6">
        <f ca="1">IF(ISNA(VLOOKUP($Z6,'DD Mbr'!$A$2:$N$212,14,0)),0,VLOOKUP($Z6,'DD Mbr'!$A$2:$N$212,14,0))</f>
        <v>58</v>
      </c>
      <c r="P6" s="62">
        <f>Districts!L185</f>
        <v>0</v>
      </c>
      <c r="Q6" s="62">
        <f>Districts!M185</f>
        <v>1</v>
      </c>
      <c r="R6" s="62">
        <f>Districts!N185</f>
        <v>0</v>
      </c>
      <c r="S6" s="62">
        <f>Districts!O185</f>
        <v>1</v>
      </c>
      <c r="U6" s="62">
        <f>Districts!P185</f>
        <v>2</v>
      </c>
      <c r="V6" s="62">
        <f>Districts!Q185</f>
        <v>3</v>
      </c>
      <c r="W6" s="62">
        <f>Districts!R185</f>
        <v>-1</v>
      </c>
      <c r="X6" s="61">
        <f t="shared" ref="X6:X16" si="1">IFERROR(ROUND(+W6/P6,3),0)</f>
        <v>0</v>
      </c>
      <c r="Y6">
        <f>IF(ISNA(VLOOKUP($Z6,'DD Ins'!$A$2:$N$217,14,0)),0,VLOOKUP($Z6,'DD Ins'!$A$2:$N$217,14,0))</f>
        <v>1</v>
      </c>
      <c r="Z6">
        <f t="shared" ref="Z6:Z16" si="2">+B6</f>
        <v>207</v>
      </c>
    </row>
    <row r="7" spans="1:26">
      <c r="A7" t="str">
        <f>IF(ISNA(VLOOKUP($B7,DD_Info!$A$2:$F$221,2,0)),0,VLOOKUP($B7,DD_Info!$A$2:$F$221,2,0))</f>
        <v>Albert  Esparza</v>
      </c>
      <c r="B7" s="55">
        <v>208</v>
      </c>
      <c r="C7" s="85">
        <f>IF(ISNA(VLOOKUP($B7,DD_Info!$A$2:$F$221,5,0)),0,VLOOKUP($B7,DD_Info!$A$2:$F$221,5,0))</f>
        <v>2</v>
      </c>
      <c r="D7" s="62">
        <f>Districts!C186</f>
        <v>512</v>
      </c>
      <c r="E7" s="62">
        <f>Districts!D186</f>
        <v>18</v>
      </c>
      <c r="F7" s="62">
        <f>Districts!E186</f>
        <v>0</v>
      </c>
      <c r="G7" s="62">
        <f>Districts!F186</f>
        <v>0</v>
      </c>
      <c r="H7" s="62">
        <f>Districts!G186</f>
        <v>0</v>
      </c>
      <c r="J7" s="62">
        <f>Districts!H186</f>
        <v>2</v>
      </c>
      <c r="K7" s="62">
        <f>Districts!I186</f>
        <v>0</v>
      </c>
      <c r="L7" s="62">
        <f>Districts!J186</f>
        <v>2</v>
      </c>
      <c r="M7" s="61">
        <f t="shared" si="0"/>
        <v>0.111</v>
      </c>
      <c r="N7">
        <f ca="1">IF(ISNA(VLOOKUP($Z7,'DD Mbr'!$A$2:$N$212,14,0)),0,VLOOKUP($Z7,'DD Mbr'!$A$2:$N$212,14,0))</f>
        <v>110</v>
      </c>
      <c r="P7" s="62">
        <f>Districts!L186</f>
        <v>0</v>
      </c>
      <c r="Q7" s="62">
        <f>Districts!M186</f>
        <v>0</v>
      </c>
      <c r="R7" s="62">
        <f>Districts!N186</f>
        <v>1</v>
      </c>
      <c r="S7" s="62">
        <f>Districts!O186</f>
        <v>-1</v>
      </c>
      <c r="U7" s="62">
        <f>Districts!P186</f>
        <v>2</v>
      </c>
      <c r="V7" s="62">
        <f>Districts!Q186</f>
        <v>2</v>
      </c>
      <c r="W7" s="62">
        <f>Districts!R186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208</v>
      </c>
    </row>
    <row r="8" spans="1:26">
      <c r="A8" t="str">
        <f>IF(ISNA(VLOOKUP($B8,DD_Info!$A$2:$F$221,2,0)),0,VLOOKUP($B8,DD_Info!$A$2:$F$221,2,0))</f>
        <v>George L Ramirez</v>
      </c>
      <c r="B8" s="55">
        <v>209</v>
      </c>
      <c r="C8" s="85">
        <f>IF(ISNA(VLOOKUP($B8,DD_Info!$A$2:$F$221,5,0)),0,VLOOKUP($B8,DD_Info!$A$2:$F$221,5,0))</f>
        <v>2</v>
      </c>
      <c r="D8" s="62">
        <f>Districts!C187</f>
        <v>435</v>
      </c>
      <c r="E8" s="62">
        <f>Districts!D187</f>
        <v>15</v>
      </c>
      <c r="F8" s="62">
        <f>Districts!E187</f>
        <v>1</v>
      </c>
      <c r="G8" s="62">
        <f>Districts!F187</f>
        <v>0</v>
      </c>
      <c r="H8" s="62">
        <f>Districts!G187</f>
        <v>1</v>
      </c>
      <c r="J8" s="62">
        <f>Districts!H187</f>
        <v>6</v>
      </c>
      <c r="K8" s="62">
        <f>Districts!I187</f>
        <v>6</v>
      </c>
      <c r="L8" s="62">
        <f>Districts!J187</f>
        <v>0</v>
      </c>
      <c r="M8" s="61">
        <f t="shared" si="0"/>
        <v>0</v>
      </c>
      <c r="N8">
        <f ca="1">IF(ISNA(VLOOKUP($Z8,'DD Mbr'!$A$2:$N$212,14,0)),0,VLOOKUP($Z8,'DD Mbr'!$A$2:$N$212,14,0))</f>
        <v>127</v>
      </c>
      <c r="P8" s="62">
        <f>Districts!L187</f>
        <v>0</v>
      </c>
      <c r="Q8" s="62">
        <f>Districts!M187</f>
        <v>0</v>
      </c>
      <c r="R8" s="62">
        <f>Districts!N187</f>
        <v>0</v>
      </c>
      <c r="S8" s="62">
        <f>Districts!O187</f>
        <v>0</v>
      </c>
      <c r="U8" s="62">
        <f>Districts!P187</f>
        <v>0</v>
      </c>
      <c r="V8" s="62">
        <f>Districts!Q187</f>
        <v>1</v>
      </c>
      <c r="W8" s="62">
        <f>Districts!R187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209</v>
      </c>
    </row>
    <row r="9" spans="1:26">
      <c r="A9" t="str">
        <f>IF(ISNA(VLOOKUP($B9,DD_Info!$A$2:$F$221,2,0)),0,VLOOKUP($B9,DD_Info!$A$2:$F$221,2,0))</f>
        <v>Antonio C Puente Sr</v>
      </c>
      <c r="B9" s="55">
        <v>210</v>
      </c>
      <c r="C9" s="85">
        <f>IF(ISNA(VLOOKUP($B9,DD_Info!$A$2:$F$221,5,0)),0,VLOOKUP($B9,DD_Info!$A$2:$F$221,5,0))</f>
        <v>2</v>
      </c>
      <c r="D9" s="62">
        <f>Districts!C188</f>
        <v>574</v>
      </c>
      <c r="E9" s="62">
        <f>Districts!D188</f>
        <v>20</v>
      </c>
      <c r="F9" s="62">
        <f>Districts!E188</f>
        <v>2</v>
      </c>
      <c r="G9" s="62">
        <f>Districts!F188</f>
        <v>0</v>
      </c>
      <c r="H9" s="62">
        <f>Districts!G188</f>
        <v>2</v>
      </c>
      <c r="J9" s="62">
        <f>Districts!H188</f>
        <v>17</v>
      </c>
      <c r="K9" s="62">
        <f>Districts!I188</f>
        <v>0</v>
      </c>
      <c r="L9" s="62">
        <f>Districts!J188</f>
        <v>17</v>
      </c>
      <c r="M9" s="61">
        <f t="shared" si="0"/>
        <v>0.85</v>
      </c>
      <c r="N9">
        <f ca="1">IF(ISNA(VLOOKUP($Z9,'DD Mbr'!$A$2:$N$212,14,0)),0,VLOOKUP($Z9,'DD Mbr'!$A$2:$N$212,14,0))</f>
        <v>10</v>
      </c>
      <c r="P9" s="62">
        <f>Districts!L188</f>
        <v>0</v>
      </c>
      <c r="Q9" s="62">
        <f>Districts!M188</f>
        <v>0</v>
      </c>
      <c r="R9" s="62">
        <f>Districts!N188</f>
        <v>1</v>
      </c>
      <c r="S9" s="62">
        <f>Districts!O188</f>
        <v>-1</v>
      </c>
      <c r="U9" s="62">
        <f>Districts!P188</f>
        <v>3</v>
      </c>
      <c r="V9" s="62">
        <f>Districts!Q188</f>
        <v>4</v>
      </c>
      <c r="W9" s="62">
        <f>Districts!R188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210</v>
      </c>
    </row>
    <row r="10" spans="1:26">
      <c r="A10" t="str">
        <f>IF(ISNA(VLOOKUP($B10,DD_Info!$A$2:$F$221,2,0)),0,VLOOKUP($B10,DD_Info!$A$2:$F$221,2,0))</f>
        <v>Martin  Rivas</v>
      </c>
      <c r="B10" s="55">
        <v>211</v>
      </c>
      <c r="C10" s="85">
        <f>IF(ISNA(VLOOKUP($B10,DD_Info!$A$2:$F$221,5,0)),0,VLOOKUP($B10,DD_Info!$A$2:$F$221,5,0))</f>
        <v>3</v>
      </c>
      <c r="D10" s="62">
        <f>Districts!C189</f>
        <v>129</v>
      </c>
      <c r="E10" s="62">
        <f>Districts!D189</f>
        <v>6</v>
      </c>
      <c r="F10" s="62">
        <f>Districts!E189</f>
        <v>1</v>
      </c>
      <c r="G10" s="62">
        <f>Districts!F189</f>
        <v>0</v>
      </c>
      <c r="H10" s="62">
        <f>Districts!G189</f>
        <v>1</v>
      </c>
      <c r="J10" s="62">
        <f>Districts!H189</f>
        <v>2</v>
      </c>
      <c r="K10" s="62">
        <f>Districts!I189</f>
        <v>0</v>
      </c>
      <c r="L10" s="62">
        <f>Districts!J189</f>
        <v>2</v>
      </c>
      <c r="M10" s="61">
        <f t="shared" si="0"/>
        <v>0.33300000000000002</v>
      </c>
      <c r="N10">
        <f ca="1">IF(ISNA(VLOOKUP($Z10,'DD Mbr'!$A$2:$N$212,14,0)),0,VLOOKUP($Z10,'DD Mbr'!$A$2:$N$212,14,0))</f>
        <v>65</v>
      </c>
      <c r="P10" s="62">
        <f>Districts!L189</f>
        <v>0</v>
      </c>
      <c r="Q10" s="62">
        <f>Districts!M189</f>
        <v>0</v>
      </c>
      <c r="R10" s="62">
        <f>Districts!N189</f>
        <v>0</v>
      </c>
      <c r="S10" s="62">
        <f>Districts!O189</f>
        <v>0</v>
      </c>
      <c r="U10" s="62">
        <f>Districts!P189</f>
        <v>1</v>
      </c>
      <c r="V10" s="62">
        <f>Districts!Q189</f>
        <v>1</v>
      </c>
      <c r="W10" s="62">
        <f>Districts!R189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211</v>
      </c>
    </row>
    <row r="11" spans="1:26">
      <c r="A11" t="str">
        <f>IF(ISNA(VLOOKUP($B11,DD_Info!$A$2:$F$221,2,0)),0,VLOOKUP($B11,DD_Info!$A$2:$F$221,2,0))</f>
        <v>Noel P Benavides Jr</v>
      </c>
      <c r="B11" s="86">
        <v>212</v>
      </c>
      <c r="C11" s="85">
        <f>IF(ISNA(VLOOKUP($B11,DD_Info!$A$2:$F$221,5,0)),0,VLOOKUP($B11,DD_Info!$A$2:$F$221,5,0))</f>
        <v>1</v>
      </c>
      <c r="D11" s="62">
        <f>Districts!C190</f>
        <v>637</v>
      </c>
      <c r="E11" s="62">
        <f>Districts!D190</f>
        <v>22</v>
      </c>
      <c r="F11" s="62">
        <f>Districts!E190</f>
        <v>0</v>
      </c>
      <c r="G11" s="62">
        <f>Districts!F190</f>
        <v>0</v>
      </c>
      <c r="H11" s="62">
        <f>Districts!G190</f>
        <v>0</v>
      </c>
      <c r="J11" s="62">
        <f>Districts!H190</f>
        <v>1</v>
      </c>
      <c r="K11" s="62">
        <f>Districts!I190</f>
        <v>0</v>
      </c>
      <c r="L11" s="62">
        <f>Districts!J190</f>
        <v>1</v>
      </c>
      <c r="M11" s="61">
        <f t="shared" si="0"/>
        <v>4.4999999999999998E-2</v>
      </c>
      <c r="N11">
        <f ca="1">IF(ISNA(VLOOKUP($Z11,'DD Mbr'!$A$2:$N$212,14,0)),0,VLOOKUP($Z11,'DD Mbr'!$A$2:$N$212,14,0))</f>
        <v>120</v>
      </c>
      <c r="P11" s="62">
        <f>Districts!L190</f>
        <v>0</v>
      </c>
      <c r="Q11" s="62">
        <f>Districts!M190</f>
        <v>0</v>
      </c>
      <c r="R11" s="62">
        <f>Districts!N190</f>
        <v>3</v>
      </c>
      <c r="S11" s="62">
        <f>Districts!O190</f>
        <v>-3</v>
      </c>
      <c r="U11" s="62">
        <f>Districts!P190</f>
        <v>0</v>
      </c>
      <c r="V11" s="62">
        <f>Districts!Q190</f>
        <v>4</v>
      </c>
      <c r="W11" s="62">
        <f>Districts!R190</f>
        <v>-4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212</v>
      </c>
    </row>
    <row r="12" spans="1:26">
      <c r="A12" t="str">
        <f>IF(ISNA(VLOOKUP($B12,DD_Info!$A$2:$F$221,2,0)),0,VLOOKUP($B12,DD_Info!$A$2:$F$221,2,0))</f>
        <v>Vincent M Pena</v>
      </c>
      <c r="B12" s="86">
        <v>213</v>
      </c>
      <c r="C12" s="85">
        <f>IF(ISNA(VLOOKUP($B12,DD_Info!$A$2:$F$221,5,0)),0,VLOOKUP($B12,DD_Info!$A$2:$F$221,5,0))</f>
        <v>2</v>
      </c>
      <c r="D12" s="62">
        <f>Districts!C191</f>
        <v>384</v>
      </c>
      <c r="E12" s="62">
        <f>Districts!D191</f>
        <v>14</v>
      </c>
      <c r="F12" s="62">
        <f>Districts!E191</f>
        <v>0</v>
      </c>
      <c r="G12" s="62">
        <f>Districts!F191</f>
        <v>0</v>
      </c>
      <c r="H12" s="62">
        <f>Districts!G191</f>
        <v>0</v>
      </c>
      <c r="J12" s="62">
        <f>Districts!H191</f>
        <v>1</v>
      </c>
      <c r="K12" s="62">
        <f>Districts!I191</f>
        <v>6</v>
      </c>
      <c r="L12" s="62">
        <f>Districts!J191</f>
        <v>-5</v>
      </c>
      <c r="M12" s="61">
        <f t="shared" si="0"/>
        <v>-0.35699999999999998</v>
      </c>
      <c r="N12">
        <f ca="1">IF(ISNA(VLOOKUP($Z12,'DD Mbr'!$A$2:$N$212,14,0)),0,VLOOKUP($Z12,'DD Mbr'!$A$2:$N$212,14,0))</f>
        <v>193</v>
      </c>
      <c r="P12" s="62">
        <f>Districts!L191</f>
        <v>0</v>
      </c>
      <c r="Q12" s="62">
        <f>Districts!M191</f>
        <v>0</v>
      </c>
      <c r="R12" s="62">
        <f>Districts!N191</f>
        <v>1</v>
      </c>
      <c r="S12" s="62">
        <f>Districts!O191</f>
        <v>-1</v>
      </c>
      <c r="U12" s="62">
        <f>Districts!P191</f>
        <v>1</v>
      </c>
      <c r="V12" s="62">
        <f>Districts!Q191</f>
        <v>3</v>
      </c>
      <c r="W12" s="62">
        <f>Districts!R191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213</v>
      </c>
    </row>
    <row r="13" spans="1:26">
      <c r="A13" t="str">
        <f>IF(ISNA(VLOOKUP($B13,DD_Info!$A$2:$F$221,2,0)),0,VLOOKUP($B13,DD_Info!$A$2:$F$221,2,0))</f>
        <v>Apolonio  Zuniga Jr</v>
      </c>
      <c r="B13" s="86">
        <v>214</v>
      </c>
      <c r="C13" s="85">
        <f>IF(ISNA(VLOOKUP($B13,DD_Info!$A$2:$F$221,5,0)),0,VLOOKUP($B13,DD_Info!$A$2:$F$221,5,0))</f>
        <v>2</v>
      </c>
      <c r="D13" s="62">
        <f>Districts!C192</f>
        <v>338</v>
      </c>
      <c r="E13" s="62">
        <f>Districts!D192</f>
        <v>11</v>
      </c>
      <c r="F13" s="62">
        <f>Districts!E192</f>
        <v>0</v>
      </c>
      <c r="G13" s="62">
        <f>Districts!F192</f>
        <v>0</v>
      </c>
      <c r="H13" s="62">
        <f>Districts!G192</f>
        <v>0</v>
      </c>
      <c r="J13" s="62">
        <f>Districts!H192</f>
        <v>2</v>
      </c>
      <c r="K13" s="62">
        <f>Districts!I192</f>
        <v>0</v>
      </c>
      <c r="L13" s="62">
        <f>Districts!J192</f>
        <v>2</v>
      </c>
      <c r="M13" s="61">
        <f t="shared" si="0"/>
        <v>0.182</v>
      </c>
      <c r="N13">
        <f ca="1">IF(ISNA(VLOOKUP($Z13,'DD Mbr'!$A$2:$N$212,14,0)),0,VLOOKUP($Z13,'DD Mbr'!$A$2:$N$212,14,0))</f>
        <v>88</v>
      </c>
      <c r="P13" s="62">
        <f>Districts!L192</f>
        <v>0</v>
      </c>
      <c r="Q13" s="62">
        <f>Districts!M192</f>
        <v>0</v>
      </c>
      <c r="R13" s="62">
        <f>Districts!N192</f>
        <v>0</v>
      </c>
      <c r="S13" s="62">
        <f>Districts!O192</f>
        <v>0</v>
      </c>
      <c r="U13" s="62">
        <f>Districts!P192</f>
        <v>1</v>
      </c>
      <c r="V13" s="62">
        <f>Districts!Q192</f>
        <v>1</v>
      </c>
      <c r="W13" s="62">
        <f>Districts!R192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214</v>
      </c>
    </row>
    <row r="14" spans="1:26">
      <c r="A14" t="str">
        <f>IF(ISNA(VLOOKUP($B14,DD_Info!$A$2:$F$221,2,0)),0,VLOOKUP($B14,DD_Info!$A$2:$F$221,2,0))</f>
        <v>Arnulfo  Esqueda</v>
      </c>
      <c r="B14" s="86">
        <v>215</v>
      </c>
      <c r="C14" s="85">
        <f>IF(ISNA(VLOOKUP($B14,DD_Info!$A$2:$F$221,5,0)),0,VLOOKUP($B14,DD_Info!$A$2:$F$221,5,0))</f>
        <v>2</v>
      </c>
      <c r="D14" s="62">
        <f>Districts!C193</f>
        <v>367</v>
      </c>
      <c r="E14" s="62">
        <f>Districts!D193</f>
        <v>13</v>
      </c>
      <c r="F14" s="62">
        <f>Districts!E193</f>
        <v>0</v>
      </c>
      <c r="G14" s="62">
        <f>Districts!F193</f>
        <v>4</v>
      </c>
      <c r="H14" s="62">
        <f>Districts!G193</f>
        <v>-4</v>
      </c>
      <c r="J14" s="62">
        <f>Districts!H193</f>
        <v>0</v>
      </c>
      <c r="K14" s="62">
        <f>Districts!I193</f>
        <v>5</v>
      </c>
      <c r="L14" s="62">
        <f>Districts!J193</f>
        <v>-5</v>
      </c>
      <c r="M14" s="61">
        <f t="shared" si="0"/>
        <v>-0.38500000000000001</v>
      </c>
      <c r="N14">
        <f ca="1">IF(ISNA(VLOOKUP($Z14,'DD Mbr'!$A$2:$N$212,14,0)),0,VLOOKUP($Z14,'DD Mbr'!$A$2:$N$212,14,0))</f>
        <v>195</v>
      </c>
      <c r="P14" s="62">
        <f>Districts!L193</f>
        <v>0</v>
      </c>
      <c r="Q14" s="62">
        <f>Districts!M193</f>
        <v>0</v>
      </c>
      <c r="R14" s="62">
        <f>Districts!N193</f>
        <v>2</v>
      </c>
      <c r="S14" s="62">
        <f>Districts!O193</f>
        <v>-2</v>
      </c>
      <c r="U14" s="62">
        <f>Districts!P193</f>
        <v>1</v>
      </c>
      <c r="V14" s="62">
        <f>Districts!Q193</f>
        <v>3</v>
      </c>
      <c r="W14" s="62">
        <f>Districts!R193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215</v>
      </c>
    </row>
    <row r="15" spans="1:26">
      <c r="A15" t="str">
        <f>IF(ISNA(VLOOKUP($B15,DD_Info!$A$2:$F$221,2,0)),0,VLOOKUP($B15,DD_Info!$A$2:$F$221,2,0))</f>
        <v>Carlos  Perez</v>
      </c>
      <c r="B15" s="86">
        <v>216</v>
      </c>
      <c r="C15" s="85">
        <f>IF(ISNA(VLOOKUP($B15,DD_Info!$A$2:$F$221,5,0)),0,VLOOKUP($B15,DD_Info!$A$2:$F$221,5,0))</f>
        <v>3</v>
      </c>
      <c r="D15" s="62">
        <f>Districts!C194</f>
        <v>282</v>
      </c>
      <c r="E15" s="62">
        <f>Districts!D194</f>
        <v>11</v>
      </c>
      <c r="F15" s="62">
        <f>Districts!E194</f>
        <v>1</v>
      </c>
      <c r="G15" s="62">
        <f>Districts!F194</f>
        <v>0</v>
      </c>
      <c r="H15" s="62">
        <f>Districts!G194</f>
        <v>1</v>
      </c>
      <c r="J15" s="62">
        <f>Districts!H194</f>
        <v>7</v>
      </c>
      <c r="K15" s="62">
        <f>Districts!I194</f>
        <v>0</v>
      </c>
      <c r="L15" s="62">
        <f>Districts!J194</f>
        <v>7</v>
      </c>
      <c r="M15" s="61">
        <f t="shared" si="0"/>
        <v>0.63600000000000001</v>
      </c>
      <c r="N15">
        <f ca="1">IF(ISNA(VLOOKUP($Z15,'DD Mbr'!$A$2:$N$212,14,0)),0,VLOOKUP($Z15,'DD Mbr'!$A$2:$N$212,14,0))</f>
        <v>19</v>
      </c>
      <c r="P15" s="62">
        <f>Districts!L194</f>
        <v>0</v>
      </c>
      <c r="Q15" s="62">
        <f>Districts!M194</f>
        <v>0</v>
      </c>
      <c r="R15" s="62">
        <f>Districts!N194</f>
        <v>0</v>
      </c>
      <c r="S15" s="62">
        <f>Districts!O194</f>
        <v>0</v>
      </c>
      <c r="U15" s="62">
        <f>Districts!P194</f>
        <v>6</v>
      </c>
      <c r="V15" s="62">
        <f>Districts!Q194</f>
        <v>2</v>
      </c>
      <c r="W15" s="62">
        <f>Districts!R194</f>
        <v>4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216</v>
      </c>
    </row>
    <row r="16" spans="1:26">
      <c r="A16" t="str">
        <f>IF(ISNA(VLOOKUP($B16,DD_Info!$A$2:$F$221,2,0)),0,VLOOKUP($B16,DD_Info!$A$2:$F$221,2,0))</f>
        <v>Eduardo  Garcia</v>
      </c>
      <c r="B16" s="86">
        <v>217</v>
      </c>
      <c r="C16" s="85">
        <f>IF(ISNA(VLOOKUP($B16,DD_Info!$A$2:$F$221,5,0)),0,VLOOKUP($B16,DD_Info!$A$2:$F$221,5,0))</f>
        <v>3</v>
      </c>
      <c r="D16" s="62">
        <f>Districts!C195</f>
        <v>270</v>
      </c>
      <c r="E16" s="62">
        <f>Districts!D195</f>
        <v>9</v>
      </c>
      <c r="F16" s="62">
        <f>Districts!E195</f>
        <v>0</v>
      </c>
      <c r="G16" s="62">
        <f>Districts!F195</f>
        <v>0</v>
      </c>
      <c r="H16" s="62">
        <f>Districts!G195</f>
        <v>0</v>
      </c>
      <c r="J16" s="62">
        <f>Districts!H195</f>
        <v>2</v>
      </c>
      <c r="K16" s="62">
        <f>Districts!I195</f>
        <v>0</v>
      </c>
      <c r="L16" s="62">
        <f>Districts!J195</f>
        <v>2</v>
      </c>
      <c r="M16" s="61">
        <f t="shared" si="0"/>
        <v>0.222</v>
      </c>
      <c r="N16">
        <f ca="1">IF(ISNA(VLOOKUP($Z16,'DD Mbr'!$A$2:$N$212,14,0)),0,VLOOKUP($Z16,'DD Mbr'!$A$2:$N$212,14,0))</f>
        <v>82</v>
      </c>
      <c r="P16" s="62">
        <f>Districts!L195</f>
        <v>0</v>
      </c>
      <c r="Q16" s="62">
        <f>Districts!M195</f>
        <v>0</v>
      </c>
      <c r="R16" s="62">
        <f>Districts!N195</f>
        <v>2</v>
      </c>
      <c r="S16" s="62">
        <f>Districts!O195</f>
        <v>-2</v>
      </c>
      <c r="U16" s="62">
        <f>Districts!P195</f>
        <v>3</v>
      </c>
      <c r="V16" s="62">
        <f>Districts!Q195</f>
        <v>5</v>
      </c>
      <c r="W16" s="62">
        <f>Districts!R195</f>
        <v>-2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217</v>
      </c>
    </row>
    <row r="17" spans="1:25">
      <c r="A17" t="str">
        <f>IF(ISNA(VLOOKUP($B17,DD_Info!$A$2:$F$221,2,0)),0,VLOOKUP($B17,DD_Info!$A$2:$F$221,2,0))</f>
        <v>Fernando  Garcia</v>
      </c>
      <c r="B17" s="86">
        <v>218</v>
      </c>
      <c r="C17" s="85">
        <f>IF(ISNA(VLOOKUP($B17,DD_Info!$A$2:$F$221,5,0)),0,VLOOKUP($B17,DD_Info!$A$2:$F$221,5,0))</f>
        <v>3</v>
      </c>
      <c r="D17" s="62">
        <f>Districts!C196</f>
        <v>214</v>
      </c>
      <c r="E17" s="62">
        <f>Districts!D196</f>
        <v>10</v>
      </c>
      <c r="F17" s="62">
        <f>Districts!E196</f>
        <v>0</v>
      </c>
      <c r="G17" s="62">
        <f>Districts!F196</f>
        <v>0</v>
      </c>
      <c r="H17" s="62">
        <f>Districts!G196</f>
        <v>0</v>
      </c>
      <c r="J17" s="62">
        <f>Districts!H196</f>
        <v>0</v>
      </c>
      <c r="K17" s="62">
        <f>Districts!I196</f>
        <v>0</v>
      </c>
      <c r="L17" s="62">
        <f>Districts!J196</f>
        <v>0</v>
      </c>
      <c r="M17" s="61">
        <f>IFERROR(ROUND(+L17/E17,3),0)</f>
        <v>0</v>
      </c>
      <c r="N17">
        <f>IF(ISNA(VLOOKUP($Z17,'DD Mbr'!$A$2:$N$212,14,0)),0,VLOOKUP($Z17,'DD Mbr'!$A$2:$N$212,14,0))</f>
        <v>0</v>
      </c>
      <c r="P17" s="62">
        <f>Districts!L196</f>
        <v>0</v>
      </c>
      <c r="Q17" s="62">
        <f>Districts!M196</f>
        <v>0</v>
      </c>
      <c r="R17" s="62">
        <f>Districts!N196</f>
        <v>2</v>
      </c>
      <c r="S17" s="62">
        <f>Districts!O196</f>
        <v>-2</v>
      </c>
      <c r="U17" s="62">
        <f>Districts!P196</f>
        <v>0</v>
      </c>
      <c r="V17" s="62">
        <f>Districts!Q196</f>
        <v>2</v>
      </c>
      <c r="W17" s="62">
        <f>Districts!R196</f>
        <v>-2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IF(ISNA(VLOOKUP($B18,DD_Info!$A$2:$F$221,2,0)),0,VLOOKUP($B18,DD_Info!$A$2:$F$221,2,0))</f>
        <v>Ralph  Cavazos</v>
      </c>
      <c r="B18" s="86">
        <v>219</v>
      </c>
      <c r="C18" s="85">
        <f>IF(ISNA(VLOOKUP($B18,DD_Info!$A$2:$F$221,5,0)),0,VLOOKUP($B18,DD_Info!$A$2:$F$221,5,0))</f>
        <v>3</v>
      </c>
      <c r="D18" s="62">
        <f>Districts!C197</f>
        <v>214</v>
      </c>
      <c r="E18" s="62">
        <f>Districts!D197</f>
        <v>11</v>
      </c>
      <c r="F18" s="62">
        <f>Districts!E197</f>
        <v>0</v>
      </c>
      <c r="G18" s="62">
        <f>Districts!F197</f>
        <v>0</v>
      </c>
      <c r="H18" s="62">
        <f>Districts!G197</f>
        <v>0</v>
      </c>
      <c r="J18" s="62">
        <f>Districts!H197</f>
        <v>0</v>
      </c>
      <c r="K18" s="62">
        <f>Districts!I197</f>
        <v>0</v>
      </c>
      <c r="L18" s="62">
        <f>Districts!J197</f>
        <v>0</v>
      </c>
      <c r="M18" s="61">
        <f>IFERROR(ROUND(+L18/E18,3),0)</f>
        <v>0</v>
      </c>
      <c r="N18">
        <f>IF(ISNA(VLOOKUP($Z18,'DD Mbr'!$A$2:$N$212,14,0)),0,VLOOKUP($Z18,'DD Mbr'!$A$2:$N$212,14,0))</f>
        <v>0</v>
      </c>
      <c r="P18" s="62">
        <f>Districts!L197</f>
        <v>0</v>
      </c>
      <c r="Q18" s="62">
        <f>Districts!M197</f>
        <v>0</v>
      </c>
      <c r="R18" s="62">
        <f>Districts!N197</f>
        <v>0</v>
      </c>
      <c r="S18" s="62">
        <f>Districts!O197</f>
        <v>0</v>
      </c>
      <c r="U18" s="62">
        <f>Districts!P197</f>
        <v>0</v>
      </c>
      <c r="V18" s="62">
        <f>Districts!Q197</f>
        <v>0</v>
      </c>
      <c r="W18" s="62">
        <f>Districts!R197</f>
        <v>0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5043</v>
      </c>
      <c r="E19" s="62">
        <f t="shared" ref="E19:L19" si="3">SUM(E5:E17)</f>
        <v>182</v>
      </c>
      <c r="F19" s="62">
        <f t="shared" si="3"/>
        <v>5</v>
      </c>
      <c r="G19" s="62">
        <f t="shared" si="3"/>
        <v>4</v>
      </c>
      <c r="H19" s="62">
        <f t="shared" si="3"/>
        <v>1</v>
      </c>
      <c r="I19" s="62">
        <f t="shared" si="3"/>
        <v>0</v>
      </c>
      <c r="J19" s="62">
        <f t="shared" si="3"/>
        <v>48</v>
      </c>
      <c r="K19" s="62">
        <f t="shared" si="3"/>
        <v>18</v>
      </c>
      <c r="L19" s="62">
        <f t="shared" si="3"/>
        <v>30</v>
      </c>
      <c r="P19" s="62">
        <f>SUM(P5:P17)</f>
        <v>0</v>
      </c>
      <c r="Q19" s="62">
        <f t="shared" ref="Q19:W19" si="4">SUM(Q5:Q17)</f>
        <v>1</v>
      </c>
      <c r="R19" s="62">
        <f t="shared" si="4"/>
        <v>12</v>
      </c>
      <c r="S19" s="62">
        <f t="shared" si="4"/>
        <v>-11</v>
      </c>
      <c r="T19" s="62">
        <f t="shared" si="4"/>
        <v>0</v>
      </c>
      <c r="U19" s="62">
        <f t="shared" si="4"/>
        <v>20</v>
      </c>
      <c r="V19" s="62">
        <f t="shared" si="4"/>
        <v>32</v>
      </c>
      <c r="W19" s="62">
        <f t="shared" si="4"/>
        <v>-12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43"/>
  <sheetViews>
    <sheetView topLeftCell="A828" zoomScaleNormal="100" workbookViewId="0">
      <selection activeCell="V838" sqref="V838"/>
    </sheetView>
  </sheetViews>
  <sheetFormatPr defaultRowHeight="12.75"/>
  <cols>
    <col min="1" max="1" width="10.140625" bestFit="1" customWidth="1"/>
    <col min="2" max="2" width="12.5703125" bestFit="1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6" max="26" width="10.28515625" style="82" bestFit="1" customWidth="1"/>
  </cols>
  <sheetData>
    <row r="1" spans="1:26">
      <c r="A1" s="82">
        <f>RptDate</f>
        <v>44227</v>
      </c>
    </row>
    <row r="2" spans="1:26" s="51" customFormat="1" ht="29.1" customHeight="1" thickBot="1">
      <c r="A2" s="313" t="s">
        <v>9</v>
      </c>
      <c r="B2" s="314" t="s">
        <v>10</v>
      </c>
      <c r="C2" s="315" t="s">
        <v>11</v>
      </c>
      <c r="D2" s="315" t="s">
        <v>602</v>
      </c>
      <c r="E2" s="316" t="s">
        <v>12</v>
      </c>
      <c r="F2" s="317" t="s">
        <v>725</v>
      </c>
      <c r="G2" s="317" t="s">
        <v>724</v>
      </c>
      <c r="H2" s="317" t="s">
        <v>726</v>
      </c>
      <c r="I2" s="315" t="s">
        <v>727</v>
      </c>
      <c r="J2" s="317" t="s">
        <v>728</v>
      </c>
      <c r="K2" s="317" t="s">
        <v>729</v>
      </c>
      <c r="L2" s="315" t="s">
        <v>730</v>
      </c>
      <c r="M2" s="318" t="s">
        <v>818</v>
      </c>
      <c r="N2" s="317" t="s">
        <v>732</v>
      </c>
      <c r="O2" s="317" t="s">
        <v>733</v>
      </c>
      <c r="P2" s="317" t="s">
        <v>734</v>
      </c>
      <c r="Q2" s="315" t="s">
        <v>735</v>
      </c>
      <c r="R2" s="317" t="s">
        <v>736</v>
      </c>
      <c r="S2" s="317" t="s">
        <v>737</v>
      </c>
      <c r="T2" s="315" t="s">
        <v>738</v>
      </c>
      <c r="U2" s="318" t="s">
        <v>819</v>
      </c>
      <c r="V2" s="319" t="s">
        <v>846</v>
      </c>
      <c r="W2" s="320" t="s">
        <v>829</v>
      </c>
      <c r="X2" s="321" t="s">
        <v>820</v>
      </c>
      <c r="Y2" s="210" t="s">
        <v>920</v>
      </c>
      <c r="Z2" s="82" t="s">
        <v>921</v>
      </c>
    </row>
    <row r="3" spans="1:26" ht="33" customHeight="1" thickBot="1">
      <c r="A3" s="45">
        <v>638</v>
      </c>
      <c r="B3" s="322" t="str">
        <f>Councils!C6</f>
        <v>001</v>
      </c>
      <c r="C3" s="322" t="str">
        <f>Councils!D6</f>
        <v>El Paso</v>
      </c>
      <c r="D3" s="322" t="str">
        <f>IF(ISNA(VLOOKUP($V3,DD_Info!$A$1:$E$221,3,0)),0,VLOOKUP($V3,DD_Info!$A$1:$E$221,3,0))</f>
        <v>El Paso</v>
      </c>
      <c r="E3" s="322">
        <f>Councils!E6</f>
        <v>91</v>
      </c>
      <c r="F3" s="322">
        <f>Councils!F6</f>
        <v>4</v>
      </c>
      <c r="G3" s="322">
        <f>Councils!G6</f>
        <v>0</v>
      </c>
      <c r="H3" s="322">
        <f>Councils!H6</f>
        <v>0</v>
      </c>
      <c r="I3" s="322">
        <f>Councils!I6</f>
        <v>0</v>
      </c>
      <c r="J3" s="322">
        <f>Councils!J6</f>
        <v>0</v>
      </c>
      <c r="K3" s="322">
        <f>Councils!K6</f>
        <v>0</v>
      </c>
      <c r="L3" s="322">
        <f>Councils!L6</f>
        <v>0</v>
      </c>
      <c r="M3" s="323">
        <f>Councils!M6</f>
        <v>0</v>
      </c>
      <c r="N3" s="322">
        <f>Councils!O6</f>
        <v>0</v>
      </c>
      <c r="O3" s="322">
        <f>Councils!P6</f>
        <v>0</v>
      </c>
      <c r="P3" s="322">
        <f>Councils!Q6</f>
        <v>1</v>
      </c>
      <c r="Q3" s="322">
        <f>Councils!R6</f>
        <v>-1</v>
      </c>
      <c r="R3" s="322">
        <f>Councils!S6</f>
        <v>0</v>
      </c>
      <c r="S3" s="322">
        <f>Councils!T6</f>
        <v>1</v>
      </c>
      <c r="T3" s="322">
        <f>Councils!U6</f>
        <v>-1</v>
      </c>
      <c r="U3" s="323">
        <f>Councils!V6</f>
        <v>0</v>
      </c>
      <c r="V3" s="376">
        <v>1</v>
      </c>
      <c r="W3" s="377">
        <f t="shared" ref="W3:W66" si="0">_xlfn.IFS($E3&gt;=140,1,$E3&gt;65,2,$E3&lt;=65,3)</f>
        <v>2</v>
      </c>
      <c r="X3" s="378" t="str">
        <f>IF(ISNA(VLOOKUP($A3,GA!$A$1:$D$834,3,0))," ",VLOOKUP($A3,GA!$A$1:$D$834,3,0))</f>
        <v>Payne</v>
      </c>
      <c r="Y3" s="379" t="str">
        <f>IF(ISNA(VLOOKUP($A3,Dormant_Councils!$A$1:$E$811,5,0)),"No",VLOOKUP($A3,Dormant_Councils!$A$1:$E$811,5,0))</f>
        <v>No</v>
      </c>
      <c r="Z3" s="381" t="str">
        <f>IF(ISNA(VLOOKUP($A3,SUSPENDED!$A$2:$F$837,6,0))," ",VLOOKUP($A3,SUSPENDED!$A$2:$F$837,6,0))</f>
        <v xml:space="preserve"> </v>
      </c>
    </row>
    <row r="4" spans="1:26" ht="29.1" customHeight="1" thickBot="1">
      <c r="A4" s="45">
        <v>759</v>
      </c>
      <c r="B4" s="322" t="str">
        <f>Councils!C7</f>
        <v>018</v>
      </c>
      <c r="C4" s="322" t="str">
        <f>Councils!D7</f>
        <v>Keller</v>
      </c>
      <c r="D4" s="322" t="str">
        <f>IF(ISNA(VLOOKUP($V4,DD_Info!$A$1:$E$221,3,0)),0,VLOOKUP($V4,DD_Info!$A$1:$E$221,3,0))</f>
        <v>Fort Worth</v>
      </c>
      <c r="E4" s="322">
        <f>Councils!E7</f>
        <v>561</v>
      </c>
      <c r="F4" s="322">
        <f>Councils!F7</f>
        <v>20</v>
      </c>
      <c r="G4" s="322">
        <f>Councils!G7</f>
        <v>0</v>
      </c>
      <c r="H4" s="322">
        <f>Councils!H7</f>
        <v>0</v>
      </c>
      <c r="I4" s="322">
        <f>Councils!I7</f>
        <v>0</v>
      </c>
      <c r="J4" s="322">
        <f>Councils!J7</f>
        <v>6</v>
      </c>
      <c r="K4" s="322">
        <f>Councils!K7</f>
        <v>0</v>
      </c>
      <c r="L4" s="322">
        <f>Councils!L7</f>
        <v>6</v>
      </c>
      <c r="M4" s="323">
        <f>Councils!M7</f>
        <v>30</v>
      </c>
      <c r="N4" s="322">
        <f>Councils!O7</f>
        <v>0</v>
      </c>
      <c r="O4" s="322">
        <f>Councils!P7</f>
        <v>1</v>
      </c>
      <c r="P4" s="322">
        <f>Councils!Q7</f>
        <v>0</v>
      </c>
      <c r="Q4" s="322">
        <f>Councils!R7</f>
        <v>1</v>
      </c>
      <c r="R4" s="322">
        <f>Councils!S7</f>
        <v>6</v>
      </c>
      <c r="S4" s="322">
        <f>Councils!T7</f>
        <v>1</v>
      </c>
      <c r="T4" s="322">
        <f>Councils!U7</f>
        <v>5</v>
      </c>
      <c r="U4" s="323">
        <f>Councils!V7</f>
        <v>0</v>
      </c>
      <c r="V4" s="376">
        <v>18</v>
      </c>
      <c r="W4" s="377">
        <f t="shared" si="0"/>
        <v>1</v>
      </c>
      <c r="X4" s="378" t="str">
        <f>IF(ISNA(VLOOKUP($A4,GA!$A$1:$D$834,3,0))," ",VLOOKUP($A4,GA!$A$1:$D$834,3,0))</f>
        <v>Stark</v>
      </c>
      <c r="Y4" s="379" t="str">
        <f>IF(ISNA(VLOOKUP($A4,Dormant_Councils!$A$1:$E$811,5,0)),"No",VLOOKUP($A4,Dormant_Councils!$A$1:$E$811,5,0))</f>
        <v>No</v>
      </c>
      <c r="Z4" s="381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22" t="str">
        <f>Councils!C8</f>
        <v>047</v>
      </c>
      <c r="C5" s="322" t="str">
        <f>Councils!D8</f>
        <v>San Antonio</v>
      </c>
      <c r="D5" s="322" t="str">
        <f>IF(ISNA(VLOOKUP($V5,DD_Info!$A$1:$E$221,3,0)),0,VLOOKUP($V5,DD_Info!$A$1:$E$221,3,0))</f>
        <v>San Antonio</v>
      </c>
      <c r="E5" s="322">
        <f>Councils!E8</f>
        <v>305</v>
      </c>
      <c r="F5" s="322">
        <f>Councils!F8</f>
        <v>14</v>
      </c>
      <c r="G5" s="322">
        <f>Councils!G8</f>
        <v>0</v>
      </c>
      <c r="H5" s="322">
        <f>Councils!H8</f>
        <v>0</v>
      </c>
      <c r="I5" s="322">
        <f>Councils!I8</f>
        <v>0</v>
      </c>
      <c r="J5" s="322">
        <f>Councils!J8</f>
        <v>2</v>
      </c>
      <c r="K5" s="322">
        <f>Councils!K8</f>
        <v>0</v>
      </c>
      <c r="L5" s="322">
        <f>Councils!L8</f>
        <v>2</v>
      </c>
      <c r="M5" s="323">
        <f>Councils!M8</f>
        <v>14.29</v>
      </c>
      <c r="N5" s="322">
        <f>Councils!O8</f>
        <v>0</v>
      </c>
      <c r="O5" s="322">
        <f>Councils!P8</f>
        <v>0</v>
      </c>
      <c r="P5" s="322">
        <f>Councils!Q8</f>
        <v>1</v>
      </c>
      <c r="Q5" s="322">
        <f>Councils!R8</f>
        <v>-1</v>
      </c>
      <c r="R5" s="322">
        <f>Councils!S8</f>
        <v>3</v>
      </c>
      <c r="S5" s="322">
        <f>Councils!T8</f>
        <v>1</v>
      </c>
      <c r="T5" s="322">
        <f>Councils!U8</f>
        <v>2</v>
      </c>
      <c r="U5" s="323">
        <f>Councils!V8</f>
        <v>0</v>
      </c>
      <c r="V5" s="376">
        <v>47</v>
      </c>
      <c r="W5" s="377">
        <f t="shared" si="0"/>
        <v>1</v>
      </c>
      <c r="X5" s="378" t="str">
        <f>IF(ISNA(VLOOKUP($A5,GA!$A$1:$D$834,3,0))," ",VLOOKUP($A5,GA!$A$1:$D$834,3,0))</f>
        <v>Dougherty</v>
      </c>
      <c r="Y5" s="379" t="str">
        <f>IF(ISNA(VLOOKUP($A5,Dormant_Councils!$A$1:$E$811,5,0)),"No",VLOOKUP($A5,Dormant_Councils!$A$1:$E$811,5,0))</f>
        <v>No</v>
      </c>
      <c r="Z5" s="381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22" t="str">
        <f>Councils!C9</f>
        <v>067</v>
      </c>
      <c r="C6" s="322" t="str">
        <f>Councils!D9</f>
        <v>Galveston</v>
      </c>
      <c r="D6" s="322" t="str">
        <f>IF(ISNA(VLOOKUP($V6,DD_Info!$A$1:$E$221,3,0)),0,VLOOKUP($V6,DD_Info!$A$1:$E$221,3,0))</f>
        <v>Galv/Hous</v>
      </c>
      <c r="E6" s="322">
        <f>Councils!E9</f>
        <v>274</v>
      </c>
      <c r="F6" s="322">
        <f>Councils!F9</f>
        <v>12</v>
      </c>
      <c r="G6" s="322">
        <f>Councils!G9</f>
        <v>0</v>
      </c>
      <c r="H6" s="322">
        <f>Councils!H9</f>
        <v>0</v>
      </c>
      <c r="I6" s="322">
        <f>Councils!I9</f>
        <v>0</v>
      </c>
      <c r="J6" s="322">
        <f>Councils!J9</f>
        <v>1</v>
      </c>
      <c r="K6" s="322">
        <f>Councils!K9</f>
        <v>0</v>
      </c>
      <c r="L6" s="322">
        <f>Councils!L9</f>
        <v>1</v>
      </c>
      <c r="M6" s="323">
        <f>Councils!M9</f>
        <v>8.33</v>
      </c>
      <c r="N6" s="322">
        <f>Councils!O9</f>
        <v>0</v>
      </c>
      <c r="O6" s="322">
        <f>Councils!P9</f>
        <v>0</v>
      </c>
      <c r="P6" s="322">
        <f>Councils!Q9</f>
        <v>0</v>
      </c>
      <c r="Q6" s="322">
        <f>Councils!R9</f>
        <v>0</v>
      </c>
      <c r="R6" s="322">
        <f>Councils!S9</f>
        <v>0</v>
      </c>
      <c r="S6" s="322">
        <f>Councils!T9</f>
        <v>0</v>
      </c>
      <c r="T6" s="322">
        <f>Councils!U9</f>
        <v>0</v>
      </c>
      <c r="U6" s="323">
        <f>Councils!V9</f>
        <v>0</v>
      </c>
      <c r="V6" s="376">
        <v>67</v>
      </c>
      <c r="W6" s="377">
        <f t="shared" si="0"/>
        <v>1</v>
      </c>
      <c r="X6" s="378" t="str">
        <f>IF(ISNA(VLOOKUP($A6,GA!$A$1:$D$834,3,0))," ",VLOOKUP($A6,GA!$A$1:$D$834,3,0))</f>
        <v>Rangel</v>
      </c>
      <c r="Y6" s="379" t="str">
        <f>IF(ISNA(VLOOKUP($A6,Dormant_Councils!$A$1:$E$811,5,0)),"No",VLOOKUP($A6,Dormant_Councils!$A$1:$E$811,5,0))</f>
        <v>No</v>
      </c>
      <c r="Z6" s="381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22" t="str">
        <f>Councils!C10</f>
        <v>104</v>
      </c>
      <c r="C7" s="322" t="str">
        <f>Councils!D10</f>
        <v>Dallas</v>
      </c>
      <c r="D7" s="322" t="str">
        <f>IF(ISNA(VLOOKUP($V7,DD_Info!$A$1:$E$221,3,0)),0,VLOOKUP($V7,DD_Info!$A$1:$E$221,3,0))</f>
        <v>Dallas</v>
      </c>
      <c r="E7" s="322">
        <f>Councils!E10</f>
        <v>1744</v>
      </c>
      <c r="F7" s="322">
        <f>Councils!F10</f>
        <v>20</v>
      </c>
      <c r="G7" s="322">
        <f>Councils!G10</f>
        <v>1</v>
      </c>
      <c r="H7" s="322">
        <f>Councils!H10</f>
        <v>1</v>
      </c>
      <c r="I7" s="322">
        <f>Councils!I10</f>
        <v>0</v>
      </c>
      <c r="J7" s="322">
        <f>Councils!J10</f>
        <v>5</v>
      </c>
      <c r="K7" s="322">
        <f>Councils!K10</f>
        <v>7</v>
      </c>
      <c r="L7" s="322">
        <f>Councils!L10</f>
        <v>-2</v>
      </c>
      <c r="M7" s="323">
        <f>Councils!M10</f>
        <v>0</v>
      </c>
      <c r="N7" s="322">
        <f>Councils!O10</f>
        <v>0</v>
      </c>
      <c r="O7" s="322">
        <f>Councils!P10</f>
        <v>0</v>
      </c>
      <c r="P7" s="322">
        <f>Councils!Q10</f>
        <v>2</v>
      </c>
      <c r="Q7" s="322">
        <f>Councils!R10</f>
        <v>-2</v>
      </c>
      <c r="R7" s="322">
        <f>Councils!S10</f>
        <v>3</v>
      </c>
      <c r="S7" s="322">
        <f>Councils!T10</f>
        <v>7</v>
      </c>
      <c r="T7" s="322">
        <f>Councils!U10</f>
        <v>-4</v>
      </c>
      <c r="U7" s="323">
        <f>Councils!V10</f>
        <v>0</v>
      </c>
      <c r="V7" s="376">
        <v>104</v>
      </c>
      <c r="W7" s="377">
        <f t="shared" si="0"/>
        <v>1</v>
      </c>
      <c r="X7" s="378" t="str">
        <f>IF(ISNA(VLOOKUP($A7,GA!$A$1:$D$834,3,0))," ",VLOOKUP($A7,GA!$A$1:$D$834,3,0))</f>
        <v>Regan</v>
      </c>
      <c r="Y7" s="379" t="str">
        <f>IF(ISNA(VLOOKUP($A7,Dormant_Councils!$A$1:$E$811,5,0)),"No",VLOOKUP($A7,Dormant_Councils!$A$1:$E$811,5,0))</f>
        <v>No</v>
      </c>
      <c r="Z7" s="381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22" t="str">
        <f>Councils!C11</f>
        <v>083</v>
      </c>
      <c r="C8" s="322" t="str">
        <f>Councils!D11</f>
        <v>Houston</v>
      </c>
      <c r="D8" s="322" t="str">
        <f>IF(ISNA(VLOOKUP($V8,DD_Info!$A$1:$E$221,3,0)),0,VLOOKUP($V8,DD_Info!$A$1:$E$221,3,0))</f>
        <v>Galv/Hous</v>
      </c>
      <c r="E8" s="322">
        <f>Councils!E11</f>
        <v>311</v>
      </c>
      <c r="F8" s="322">
        <f>Councils!F11</f>
        <v>14</v>
      </c>
      <c r="G8" s="322">
        <f>Councils!G11</f>
        <v>0</v>
      </c>
      <c r="H8" s="322">
        <f>Councils!H11</f>
        <v>0</v>
      </c>
      <c r="I8" s="322">
        <f>Councils!I11</f>
        <v>0</v>
      </c>
      <c r="J8" s="322">
        <f>Councils!J11</f>
        <v>0</v>
      </c>
      <c r="K8" s="322">
        <f>Councils!K11</f>
        <v>0</v>
      </c>
      <c r="L8" s="322">
        <f>Councils!L11</f>
        <v>0</v>
      </c>
      <c r="M8" s="323">
        <f>Councils!M11</f>
        <v>0</v>
      </c>
      <c r="N8" s="322">
        <f>Councils!O11</f>
        <v>0</v>
      </c>
      <c r="O8" s="322">
        <f>Councils!P11</f>
        <v>0</v>
      </c>
      <c r="P8" s="322">
        <f>Councils!Q11</f>
        <v>1</v>
      </c>
      <c r="Q8" s="322">
        <f>Councils!R11</f>
        <v>-1</v>
      </c>
      <c r="R8" s="322">
        <f>Councils!S11</f>
        <v>0</v>
      </c>
      <c r="S8" s="322">
        <f>Councils!T11</f>
        <v>1</v>
      </c>
      <c r="T8" s="322">
        <f>Councils!U11</f>
        <v>-1</v>
      </c>
      <c r="U8" s="323">
        <f>Councils!V11</f>
        <v>0</v>
      </c>
      <c r="V8" s="376">
        <v>83</v>
      </c>
      <c r="W8" s="377">
        <f t="shared" si="0"/>
        <v>1</v>
      </c>
      <c r="X8" s="378" t="str">
        <f>IF(ISNA(VLOOKUP($A8,GA!$A$1:$D$834,3,0))," ",VLOOKUP($A8,GA!$A$1:$D$834,3,0))</f>
        <v>Rangel</v>
      </c>
      <c r="Y8" s="379" t="str">
        <f>IF(ISNA(VLOOKUP($A8,Dormant_Councils!$A$1:$E$811,5,0)),"No",VLOOKUP($A8,Dormant_Councils!$A$1:$E$811,5,0))</f>
        <v>No</v>
      </c>
      <c r="Z8" s="381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22" t="str">
        <f>Councils!C12</f>
        <v>101</v>
      </c>
      <c r="C9" s="322" t="str">
        <f>Councils!D12</f>
        <v>Denison</v>
      </c>
      <c r="D9" s="322" t="str">
        <f>IF(ISNA(VLOOKUP($V9,DD_Info!$A$1:$E$221,3,0)),0,VLOOKUP($V9,DD_Info!$A$1:$E$221,3,0))</f>
        <v>Dallas</v>
      </c>
      <c r="E9" s="322">
        <f>Councils!E12</f>
        <v>174</v>
      </c>
      <c r="F9" s="322">
        <f>Councils!F12</f>
        <v>8</v>
      </c>
      <c r="G9" s="322">
        <f>Councils!G12</f>
        <v>1</v>
      </c>
      <c r="H9" s="322">
        <f>Councils!H12</f>
        <v>0</v>
      </c>
      <c r="I9" s="322">
        <f>Councils!I12</f>
        <v>1</v>
      </c>
      <c r="J9" s="322">
        <f>Councils!J12</f>
        <v>7</v>
      </c>
      <c r="K9" s="322">
        <f>Councils!K12</f>
        <v>0</v>
      </c>
      <c r="L9" s="322">
        <f>Councils!L12</f>
        <v>7</v>
      </c>
      <c r="M9" s="323">
        <f>Councils!M12</f>
        <v>87.5</v>
      </c>
      <c r="N9" s="322">
        <f>Councils!O12</f>
        <v>0</v>
      </c>
      <c r="O9" s="322">
        <f>Councils!P12</f>
        <v>1</v>
      </c>
      <c r="P9" s="322">
        <f>Councils!Q12</f>
        <v>1</v>
      </c>
      <c r="Q9" s="322">
        <f>Councils!R12</f>
        <v>0</v>
      </c>
      <c r="R9" s="322">
        <f>Councils!S12</f>
        <v>2</v>
      </c>
      <c r="S9" s="322">
        <f>Councils!T12</f>
        <v>2</v>
      </c>
      <c r="T9" s="322">
        <f>Councils!U12</f>
        <v>0</v>
      </c>
      <c r="U9" s="323">
        <f>Councils!V12</f>
        <v>0</v>
      </c>
      <c r="V9" s="376">
        <v>101</v>
      </c>
      <c r="W9" s="377">
        <f t="shared" si="0"/>
        <v>1</v>
      </c>
      <c r="X9" s="378" t="str">
        <f>IF(ISNA(VLOOKUP($A9,GA!$A$1:$D$834,3,0))," ",VLOOKUP($A9,GA!$A$1:$D$834,3,0))</f>
        <v>Regan</v>
      </c>
      <c r="Y9" s="379" t="str">
        <f>IF(ISNA(VLOOKUP($A9,Dormant_Councils!$A$1:$E$811,5,0)),"No",VLOOKUP($A9,Dormant_Councils!$A$1:$E$811,5,0))</f>
        <v>No</v>
      </c>
      <c r="Z9" s="381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22" t="str">
        <f>Councils!C13</f>
        <v>125</v>
      </c>
      <c r="C10" s="322" t="str">
        <f>Councils!D13</f>
        <v>Beaumont</v>
      </c>
      <c r="D10" s="322" t="str">
        <f>IF(ISNA(VLOOKUP($V10,DD_Info!$A$1:$E$221,3,0)),0,VLOOKUP($V10,DD_Info!$A$1:$E$221,3,0))</f>
        <v>Beaumont</v>
      </c>
      <c r="E10" s="322">
        <f>Councils!E13</f>
        <v>181</v>
      </c>
      <c r="F10" s="322">
        <f>Councils!F13</f>
        <v>8</v>
      </c>
      <c r="G10" s="322">
        <f>Councils!G13</f>
        <v>0</v>
      </c>
      <c r="H10" s="322">
        <f>Councils!H13</f>
        <v>0</v>
      </c>
      <c r="I10" s="322">
        <f>Councils!I13</f>
        <v>0</v>
      </c>
      <c r="J10" s="322">
        <f>Councils!J13</f>
        <v>1</v>
      </c>
      <c r="K10" s="322">
        <f>Councils!K13</f>
        <v>0</v>
      </c>
      <c r="L10" s="322">
        <f>Councils!L13</f>
        <v>1</v>
      </c>
      <c r="M10" s="323">
        <f>Councils!M13</f>
        <v>12.5</v>
      </c>
      <c r="N10" s="322">
        <f>Councils!O13</f>
        <v>0</v>
      </c>
      <c r="O10" s="322">
        <f>Councils!P13</f>
        <v>0</v>
      </c>
      <c r="P10" s="322">
        <f>Councils!Q13</f>
        <v>1</v>
      </c>
      <c r="Q10" s="322">
        <f>Councils!R13</f>
        <v>-1</v>
      </c>
      <c r="R10" s="322">
        <f>Councils!S13</f>
        <v>1</v>
      </c>
      <c r="S10" s="322">
        <f>Councils!T13</f>
        <v>1</v>
      </c>
      <c r="T10" s="322">
        <f>Councils!U13</f>
        <v>0</v>
      </c>
      <c r="U10" s="323">
        <f>Councils!V13</f>
        <v>0</v>
      </c>
      <c r="V10" s="376">
        <v>125</v>
      </c>
      <c r="W10" s="377">
        <f t="shared" si="0"/>
        <v>1</v>
      </c>
      <c r="X10" s="378" t="str">
        <f>IF(ISNA(VLOOKUP($A10,GA!$A$1:$D$834,3,0))," ",VLOOKUP($A10,GA!$A$1:$D$834,3,0))</f>
        <v>Rangel</v>
      </c>
      <c r="Y10" s="379" t="str">
        <f>IF(ISNA(VLOOKUP($A10,Dormant_Councils!$A$1:$E$811,5,0)),"No",VLOOKUP($A10,Dormant_Councils!$A$1:$E$811,5,0))</f>
        <v>No</v>
      </c>
      <c r="Z10" s="381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22" t="str">
        <f>Councils!C14</f>
        <v>136</v>
      </c>
      <c r="C11" s="322" t="str">
        <f>Councils!D14</f>
        <v>Texarkana</v>
      </c>
      <c r="D11" s="322" t="str">
        <f>IF(ISNA(VLOOKUP($V11,DD_Info!$A$1:$E$221,3,0)),0,VLOOKUP($V11,DD_Info!$A$1:$E$221,3,0))</f>
        <v>Tyler</v>
      </c>
      <c r="E11" s="322">
        <f>Councils!E14</f>
        <v>193</v>
      </c>
      <c r="F11" s="322">
        <f>Councils!F14</f>
        <v>10</v>
      </c>
      <c r="G11" s="322">
        <f>Councils!G14</f>
        <v>0</v>
      </c>
      <c r="H11" s="322">
        <f>Councils!H14</f>
        <v>0</v>
      </c>
      <c r="I11" s="322">
        <f>Councils!I14</f>
        <v>0</v>
      </c>
      <c r="J11" s="322">
        <f>Councils!J14</f>
        <v>0</v>
      </c>
      <c r="K11" s="322">
        <f>Councils!K14</f>
        <v>0</v>
      </c>
      <c r="L11" s="322">
        <f>Councils!L14</f>
        <v>0</v>
      </c>
      <c r="M11" s="323">
        <f>Councils!M14</f>
        <v>0</v>
      </c>
      <c r="N11" s="322">
        <f>Councils!O14</f>
        <v>0</v>
      </c>
      <c r="O11" s="322">
        <f>Councils!P14</f>
        <v>0</v>
      </c>
      <c r="P11" s="322">
        <f>Councils!Q14</f>
        <v>1</v>
      </c>
      <c r="Q11" s="322">
        <f>Councils!R14</f>
        <v>-1</v>
      </c>
      <c r="R11" s="322">
        <f>Councils!S14</f>
        <v>1</v>
      </c>
      <c r="S11" s="322">
        <f>Councils!T14</f>
        <v>2</v>
      </c>
      <c r="T11" s="322">
        <f>Councils!U14</f>
        <v>-1</v>
      </c>
      <c r="U11" s="323">
        <f>Councils!V14</f>
        <v>0</v>
      </c>
      <c r="V11" s="376">
        <v>136</v>
      </c>
      <c r="W11" s="377">
        <f t="shared" si="0"/>
        <v>1</v>
      </c>
      <c r="X11" s="378" t="str">
        <f>IF(ISNA(VLOOKUP($A11,GA!$A$1:$D$834,3,0))," ",VLOOKUP($A11,GA!$A$1:$D$834,3,0))</f>
        <v>Regan</v>
      </c>
      <c r="Y11" s="379" t="str">
        <f>IF(ISNA(VLOOKUP($A11,Dormant_Councils!$A$1:$E$811,5,0)),"No",VLOOKUP($A11,Dormant_Councils!$A$1:$E$811,5,0))</f>
        <v>No</v>
      </c>
      <c r="Z11" s="381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22" t="str">
        <f>Councils!C15</f>
        <v>153</v>
      </c>
      <c r="C12" s="322" t="str">
        <f>Councils!D15</f>
        <v>Austin</v>
      </c>
      <c r="D12" s="322" t="str">
        <f>IF(ISNA(VLOOKUP($V12,DD_Info!$A$1:$E$221,3,0)),0,VLOOKUP($V12,DD_Info!$A$1:$E$221,3,0))</f>
        <v>Austin</v>
      </c>
      <c r="E12" s="322">
        <f>Councils!E15</f>
        <v>94</v>
      </c>
      <c r="F12" s="322">
        <f>Councils!F15</f>
        <v>4</v>
      </c>
      <c r="G12" s="322">
        <f>Councils!G15</f>
        <v>0</v>
      </c>
      <c r="H12" s="322">
        <f>Councils!H15</f>
        <v>0</v>
      </c>
      <c r="I12" s="322">
        <f>Councils!I15</f>
        <v>0</v>
      </c>
      <c r="J12" s="322">
        <f>Councils!J15</f>
        <v>0</v>
      </c>
      <c r="K12" s="322">
        <f>Councils!K15</f>
        <v>0</v>
      </c>
      <c r="L12" s="322">
        <f>Councils!L15</f>
        <v>0</v>
      </c>
      <c r="M12" s="323">
        <f>Councils!M15</f>
        <v>0</v>
      </c>
      <c r="N12" s="322">
        <f>Councils!O15</f>
        <v>0</v>
      </c>
      <c r="O12" s="322">
        <f>Councils!P15</f>
        <v>0</v>
      </c>
      <c r="P12" s="322">
        <f>Councils!Q15</f>
        <v>0</v>
      </c>
      <c r="Q12" s="322">
        <f>Councils!R15</f>
        <v>0</v>
      </c>
      <c r="R12" s="322">
        <f>Councils!S15</f>
        <v>0</v>
      </c>
      <c r="S12" s="322">
        <f>Councils!T15</f>
        <v>0</v>
      </c>
      <c r="T12" s="322">
        <f>Councils!U15</f>
        <v>0</v>
      </c>
      <c r="U12" s="323">
        <f>Councils!V15</f>
        <v>0</v>
      </c>
      <c r="V12" s="376">
        <v>153</v>
      </c>
      <c r="W12" s="377">
        <f t="shared" si="0"/>
        <v>2</v>
      </c>
      <c r="X12" s="378" t="str">
        <f>IF(ISNA(VLOOKUP($A12,GA!$A$1:$D$834,3,0))," ",VLOOKUP($A12,GA!$A$1:$D$834,3,0))</f>
        <v>Britten</v>
      </c>
      <c r="Y12" s="379" t="str">
        <f>IF(ISNA(VLOOKUP($A12,Dormant_Councils!$A$1:$E$811,5,0)),"No",VLOOKUP($A12,Dormant_Councils!$A$1:$E$811,5,0))</f>
        <v>No</v>
      </c>
      <c r="Z12" s="381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22" t="str">
        <f>Councils!C16</f>
        <v>021</v>
      </c>
      <c r="C13" s="322" t="str">
        <f>Councils!D16</f>
        <v>Gainesville</v>
      </c>
      <c r="D13" s="322" t="str">
        <f>IF(ISNA(VLOOKUP($V13,DD_Info!$A$1:$E$221,3,0)),0,VLOOKUP($V13,DD_Info!$A$1:$E$221,3,0))</f>
        <v>Fort Worth</v>
      </c>
      <c r="E13" s="322">
        <f>Councils!E16</f>
        <v>255</v>
      </c>
      <c r="F13" s="322">
        <f>Councils!F16</f>
        <v>12</v>
      </c>
      <c r="G13" s="322">
        <f>Councils!G16</f>
        <v>0</v>
      </c>
      <c r="H13" s="322">
        <f>Councils!H16</f>
        <v>0</v>
      </c>
      <c r="I13" s="322">
        <f>Councils!I16</f>
        <v>0</v>
      </c>
      <c r="J13" s="322">
        <f>Councils!J16</f>
        <v>0</v>
      </c>
      <c r="K13" s="322">
        <f>Councils!K16</f>
        <v>0</v>
      </c>
      <c r="L13" s="322">
        <f>Councils!L16</f>
        <v>0</v>
      </c>
      <c r="M13" s="323">
        <f>Councils!M16</f>
        <v>0</v>
      </c>
      <c r="N13" s="322">
        <f>Councils!O16</f>
        <v>0</v>
      </c>
      <c r="O13" s="322">
        <f>Councils!P16</f>
        <v>0</v>
      </c>
      <c r="P13" s="322">
        <f>Councils!Q16</f>
        <v>0</v>
      </c>
      <c r="Q13" s="322">
        <f>Councils!R16</f>
        <v>0</v>
      </c>
      <c r="R13" s="322">
        <f>Councils!S16</f>
        <v>0</v>
      </c>
      <c r="S13" s="322">
        <f>Councils!T16</f>
        <v>0</v>
      </c>
      <c r="T13" s="322">
        <f>Councils!U16</f>
        <v>0</v>
      </c>
      <c r="U13" s="323">
        <f>Councils!V16</f>
        <v>0</v>
      </c>
      <c r="V13" s="376">
        <v>21</v>
      </c>
      <c r="W13" s="377">
        <f t="shared" si="0"/>
        <v>1</v>
      </c>
      <c r="X13" s="378" t="str">
        <f>IF(ISNA(VLOOKUP($A13,GA!$A$1:$D$834,3,0))," ",VLOOKUP($A13,GA!$A$1:$D$834,3,0))</f>
        <v>Stark</v>
      </c>
      <c r="Y13" s="379" t="str">
        <f>IF(ISNA(VLOOKUP($A13,Dormant_Councils!$A$1:$E$811,5,0)),"No",VLOOKUP($A13,Dormant_Councils!$A$1:$E$811,5,0))</f>
        <v>No</v>
      </c>
      <c r="Z13" s="381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22" t="str">
        <f>Councils!C17</f>
        <v>174</v>
      </c>
      <c r="C14" s="322" t="str">
        <f>Councils!D17</f>
        <v>Corpus Christi</v>
      </c>
      <c r="D14" s="322" t="str">
        <f>IF(ISNA(VLOOKUP($V14,DD_Info!$A$1:$E$221,3,0)),0,VLOOKUP($V14,DD_Info!$A$1:$E$221,3,0))</f>
        <v>Corpus Christi</v>
      </c>
      <c r="E14" s="322">
        <f>Councils!E17</f>
        <v>104</v>
      </c>
      <c r="F14" s="322">
        <f>Councils!F17</f>
        <v>5</v>
      </c>
      <c r="G14" s="322">
        <f>Councils!G17</f>
        <v>0</v>
      </c>
      <c r="H14" s="322">
        <f>Councils!H17</f>
        <v>2</v>
      </c>
      <c r="I14" s="322">
        <f>Councils!I17</f>
        <v>-2</v>
      </c>
      <c r="J14" s="322">
        <f>Councils!J17</f>
        <v>1</v>
      </c>
      <c r="K14" s="322">
        <f>Councils!K17</f>
        <v>2</v>
      </c>
      <c r="L14" s="322">
        <f>Councils!L17</f>
        <v>-1</v>
      </c>
      <c r="M14" s="323">
        <f>Councils!M17</f>
        <v>0</v>
      </c>
      <c r="N14" s="322">
        <f>Councils!O17</f>
        <v>0</v>
      </c>
      <c r="O14" s="322">
        <f>Councils!P17</f>
        <v>0</v>
      </c>
      <c r="P14" s="322">
        <f>Councils!Q17</f>
        <v>0</v>
      </c>
      <c r="Q14" s="322">
        <f>Councils!R17</f>
        <v>0</v>
      </c>
      <c r="R14" s="322">
        <f>Councils!S17</f>
        <v>0</v>
      </c>
      <c r="S14" s="322">
        <f>Councils!T17</f>
        <v>0</v>
      </c>
      <c r="T14" s="322">
        <f>Councils!U17</f>
        <v>0</v>
      </c>
      <c r="U14" s="323">
        <f>Councils!V17</f>
        <v>0</v>
      </c>
      <c r="V14" s="376">
        <v>174</v>
      </c>
      <c r="W14" s="377">
        <f t="shared" si="0"/>
        <v>2</v>
      </c>
      <c r="X14" s="378" t="str">
        <f>IF(ISNA(VLOOKUP($A14,GA!$A$1:$D$834,3,0))," ",VLOOKUP($A14,GA!$A$1:$D$834,3,0))</f>
        <v>Carlin</v>
      </c>
      <c r="Y14" s="379" t="str">
        <f>IF(ISNA(VLOOKUP($A14,Dormant_Councils!$A$1:$E$811,5,0)),"No",VLOOKUP($A14,Dormant_Councils!$A$1:$E$811,5,0))</f>
        <v>No</v>
      </c>
      <c r="Z14" s="381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22" t="str">
        <f>Councils!C18</f>
        <v>150</v>
      </c>
      <c r="C15" s="322" t="str">
        <f>Councils!D18</f>
        <v>Taylor</v>
      </c>
      <c r="D15" s="322" t="str">
        <f>IF(ISNA(VLOOKUP($V15,DD_Info!$A$1:$E$221,3,0)),0,VLOOKUP($V15,DD_Info!$A$1:$E$221,3,0))</f>
        <v>Austin</v>
      </c>
      <c r="E15" s="322">
        <f>Councils!E18</f>
        <v>127</v>
      </c>
      <c r="F15" s="322">
        <f>Councils!F18</f>
        <v>6</v>
      </c>
      <c r="G15" s="322">
        <f>Councils!G18</f>
        <v>0</v>
      </c>
      <c r="H15" s="322">
        <f>Councils!H18</f>
        <v>0</v>
      </c>
      <c r="I15" s="322">
        <f>Councils!I18</f>
        <v>0</v>
      </c>
      <c r="J15" s="322">
        <f>Councils!J18</f>
        <v>0</v>
      </c>
      <c r="K15" s="322">
        <f>Councils!K18</f>
        <v>0</v>
      </c>
      <c r="L15" s="322">
        <f>Councils!L18</f>
        <v>0</v>
      </c>
      <c r="M15" s="323">
        <f>Councils!M18</f>
        <v>0</v>
      </c>
      <c r="N15" s="322">
        <f>Councils!O18</f>
        <v>0</v>
      </c>
      <c r="O15" s="322">
        <f>Councils!P18</f>
        <v>0</v>
      </c>
      <c r="P15" s="322">
        <f>Councils!Q18</f>
        <v>0</v>
      </c>
      <c r="Q15" s="322">
        <f>Councils!R18</f>
        <v>0</v>
      </c>
      <c r="R15" s="322">
        <f>Councils!S18</f>
        <v>0</v>
      </c>
      <c r="S15" s="322">
        <f>Councils!T18</f>
        <v>0</v>
      </c>
      <c r="T15" s="322">
        <f>Councils!U18</f>
        <v>0</v>
      </c>
      <c r="U15" s="323">
        <f>Councils!V18</f>
        <v>0</v>
      </c>
      <c r="V15" s="376">
        <v>150</v>
      </c>
      <c r="W15" s="377">
        <f t="shared" si="0"/>
        <v>2</v>
      </c>
      <c r="X15" s="378" t="str">
        <f>IF(ISNA(VLOOKUP($A15,GA!$A$1:$D$834,3,0))," ",VLOOKUP($A15,GA!$A$1:$D$834,3,0))</f>
        <v>Britten</v>
      </c>
      <c r="Y15" s="379" t="str">
        <f>IF(ISNA(VLOOKUP($A15,Dormant_Councils!$A$1:$E$811,5,0)),"No",VLOOKUP($A15,Dormant_Councils!$A$1:$E$811,5,0))</f>
        <v>No</v>
      </c>
      <c r="Z15" s="381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22" t="str">
        <f>Councils!C19</f>
        <v>101</v>
      </c>
      <c r="C16" s="322" t="str">
        <f>Councils!D19</f>
        <v>Sherman</v>
      </c>
      <c r="D16" s="322" t="str">
        <f>IF(ISNA(VLOOKUP($V16,DD_Info!$A$1:$E$221,3,0)),0,VLOOKUP($V16,DD_Info!$A$1:$E$221,3,0))</f>
        <v>Dallas</v>
      </c>
      <c r="E16" s="322">
        <f>Councils!E19</f>
        <v>132</v>
      </c>
      <c r="F16" s="322">
        <f>Councils!F19</f>
        <v>7</v>
      </c>
      <c r="G16" s="322">
        <f>Councils!G19</f>
        <v>0</v>
      </c>
      <c r="H16" s="322">
        <f>Councils!H19</f>
        <v>9</v>
      </c>
      <c r="I16" s="322">
        <f>Councils!I19</f>
        <v>-9</v>
      </c>
      <c r="J16" s="322">
        <f>Councils!J19</f>
        <v>0</v>
      </c>
      <c r="K16" s="322">
        <f>Councils!K19</f>
        <v>9</v>
      </c>
      <c r="L16" s="322">
        <f>Councils!L19</f>
        <v>-9</v>
      </c>
      <c r="M16" s="323">
        <f>Councils!M19</f>
        <v>0</v>
      </c>
      <c r="N16" s="322">
        <f>Councils!O19</f>
        <v>0</v>
      </c>
      <c r="O16" s="322">
        <f>Councils!P19</f>
        <v>0</v>
      </c>
      <c r="P16" s="322">
        <f>Councils!Q19</f>
        <v>2</v>
      </c>
      <c r="Q16" s="322">
        <f>Councils!R19</f>
        <v>-2</v>
      </c>
      <c r="R16" s="322">
        <f>Councils!S19</f>
        <v>0</v>
      </c>
      <c r="S16" s="322">
        <f>Councils!T19</f>
        <v>2</v>
      </c>
      <c r="T16" s="322">
        <f>Councils!U19</f>
        <v>-2</v>
      </c>
      <c r="U16" s="323">
        <f>Councils!V19</f>
        <v>0</v>
      </c>
      <c r="V16" s="376">
        <v>101</v>
      </c>
      <c r="W16" s="377">
        <f t="shared" si="0"/>
        <v>2</v>
      </c>
      <c r="X16" s="378" t="str">
        <f>IF(ISNA(VLOOKUP($A16,GA!$A$1:$D$834,3,0))," ",VLOOKUP($A16,GA!$A$1:$D$834,3,0))</f>
        <v>Regan</v>
      </c>
      <c r="Y16" s="379" t="str">
        <f>IF(ISNA(VLOOKUP($A16,Dormant_Councils!$A$1:$E$811,5,0)),"No",VLOOKUP($A16,Dormant_Councils!$A$1:$E$811,5,0))</f>
        <v>No</v>
      </c>
      <c r="Z16" s="381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22" t="str">
        <f>Councils!C20</f>
        <v>127</v>
      </c>
      <c r="C17" s="322" t="str">
        <f>Councils!D20</f>
        <v>Port Arthur</v>
      </c>
      <c r="D17" s="322" t="str">
        <f>IF(ISNA(VLOOKUP($V17,DD_Info!$A$1:$E$221,3,0)),0,VLOOKUP($V17,DD_Info!$A$1:$E$221,3,0))</f>
        <v>Beaumont</v>
      </c>
      <c r="E17" s="322">
        <f>Councils!E20</f>
        <v>16</v>
      </c>
      <c r="F17" s="322">
        <f>Councils!F20</f>
        <v>11</v>
      </c>
      <c r="G17" s="322">
        <f>Councils!G20</f>
        <v>0</v>
      </c>
      <c r="H17" s="322">
        <f>Councils!H20</f>
        <v>0</v>
      </c>
      <c r="I17" s="322">
        <f>Councils!I20</f>
        <v>0</v>
      </c>
      <c r="J17" s="322">
        <f>Councils!J20</f>
        <v>0</v>
      </c>
      <c r="K17" s="322">
        <f>Councils!K20</f>
        <v>0</v>
      </c>
      <c r="L17" s="322">
        <f>Councils!L20</f>
        <v>0</v>
      </c>
      <c r="M17" s="323">
        <f>Councils!M20</f>
        <v>0</v>
      </c>
      <c r="N17" s="322">
        <f>Councils!O20</f>
        <v>0</v>
      </c>
      <c r="O17" s="322">
        <f>Councils!P20</f>
        <v>0</v>
      </c>
      <c r="P17" s="322">
        <f>Councils!Q20</f>
        <v>0</v>
      </c>
      <c r="Q17" s="322">
        <f>Councils!R20</f>
        <v>0</v>
      </c>
      <c r="R17" s="322">
        <f>Councils!S20</f>
        <v>0</v>
      </c>
      <c r="S17" s="322">
        <f>Councils!T20</f>
        <v>0</v>
      </c>
      <c r="T17" s="322">
        <f>Councils!U20</f>
        <v>0</v>
      </c>
      <c r="U17" s="323">
        <f>Councils!V20</f>
        <v>0</v>
      </c>
      <c r="V17" s="376">
        <v>127</v>
      </c>
      <c r="W17" s="377">
        <f t="shared" si="0"/>
        <v>3</v>
      </c>
      <c r="X17" s="378" t="str">
        <f>IF(ISNA(VLOOKUP($A17,GA!$A$1:$D$834,3,0))," ",VLOOKUP($A17,GA!$A$1:$D$834,3,0))</f>
        <v>Rangel</v>
      </c>
      <c r="Y17" s="379" t="str">
        <f>IF(ISNA(VLOOKUP($A17,Dormant_Councils!$A$1:$E$811,5,0)),"No",VLOOKUP($A17,Dormant_Councils!$A$1:$E$811,5,0))</f>
        <v>Dormant</v>
      </c>
      <c r="Z17" s="381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22" t="str">
        <f>Councils!C21</f>
        <v>138</v>
      </c>
      <c r="C18" s="322" t="str">
        <f>Councils!D21</f>
        <v>Palestine</v>
      </c>
      <c r="D18" s="322" t="str">
        <f>IF(ISNA(VLOOKUP($V18,DD_Info!$A$1:$E$221,3,0)),0,VLOOKUP($V18,DD_Info!$A$1:$E$221,3,0))</f>
        <v>Tyler</v>
      </c>
      <c r="E18" s="322">
        <f>Councils!E21</f>
        <v>99</v>
      </c>
      <c r="F18" s="322">
        <f>Councils!F21</f>
        <v>5</v>
      </c>
      <c r="G18" s="322">
        <f>Councils!G21</f>
        <v>0</v>
      </c>
      <c r="H18" s="322">
        <f>Councils!H21</f>
        <v>0</v>
      </c>
      <c r="I18" s="322">
        <f>Councils!I21</f>
        <v>0</v>
      </c>
      <c r="J18" s="322">
        <f>Councils!J21</f>
        <v>1</v>
      </c>
      <c r="K18" s="322">
        <f>Councils!K21</f>
        <v>3</v>
      </c>
      <c r="L18" s="322">
        <f>Councils!L21</f>
        <v>-2</v>
      </c>
      <c r="M18" s="323">
        <f>Councils!M21</f>
        <v>0</v>
      </c>
      <c r="N18" s="322">
        <f>Councils!O21</f>
        <v>0</v>
      </c>
      <c r="O18" s="322">
        <f>Councils!P21</f>
        <v>0</v>
      </c>
      <c r="P18" s="322">
        <f>Councils!Q21</f>
        <v>0</v>
      </c>
      <c r="Q18" s="322">
        <f>Councils!R21</f>
        <v>0</v>
      </c>
      <c r="R18" s="322">
        <f>Councils!S21</f>
        <v>0</v>
      </c>
      <c r="S18" s="322">
        <f>Councils!T21</f>
        <v>0</v>
      </c>
      <c r="T18" s="322">
        <f>Councils!U21</f>
        <v>0</v>
      </c>
      <c r="U18" s="323">
        <f>Councils!V21</f>
        <v>0</v>
      </c>
      <c r="V18" s="376">
        <v>138</v>
      </c>
      <c r="W18" s="377">
        <f t="shared" si="0"/>
        <v>2</v>
      </c>
      <c r="X18" s="378" t="str">
        <f>IF(ISNA(VLOOKUP($A18,GA!$A$1:$D$834,3,0))," ",VLOOKUP($A18,GA!$A$1:$D$834,3,0))</f>
        <v>Regan</v>
      </c>
      <c r="Y18" s="379" t="str">
        <f>IF(ISNA(VLOOKUP($A18,Dormant_Councils!$A$1:$E$811,5,0)),"No",VLOOKUP($A18,Dormant_Councils!$A$1:$E$811,5,0))</f>
        <v>No</v>
      </c>
      <c r="Z18" s="381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22" t="str">
        <f>Councils!C22</f>
        <v>193</v>
      </c>
      <c r="C19" s="322" t="str">
        <f>Councils!D22</f>
        <v>Victoria</v>
      </c>
      <c r="D19" s="322" t="str">
        <f>IF(ISNA(VLOOKUP($V19,DD_Info!$A$1:$E$221,3,0)),0,VLOOKUP($V19,DD_Info!$A$1:$E$221,3,0))</f>
        <v>Victoria</v>
      </c>
      <c r="E19" s="322">
        <f>Councils!E22</f>
        <v>419</v>
      </c>
      <c r="F19" s="322">
        <f>Councils!F22</f>
        <v>20</v>
      </c>
      <c r="G19" s="322">
        <f>Councils!G22</f>
        <v>0</v>
      </c>
      <c r="H19" s="322">
        <f>Councils!H22</f>
        <v>3</v>
      </c>
      <c r="I19" s="322">
        <f>Councils!I22</f>
        <v>-3</v>
      </c>
      <c r="J19" s="322">
        <f>Councils!J22</f>
        <v>2</v>
      </c>
      <c r="K19" s="322">
        <f>Councils!K22</f>
        <v>3</v>
      </c>
      <c r="L19" s="322">
        <f>Councils!L22</f>
        <v>-1</v>
      </c>
      <c r="M19" s="323">
        <f>Councils!M22</f>
        <v>0</v>
      </c>
      <c r="N19" s="322">
        <f>Councils!O22</f>
        <v>0</v>
      </c>
      <c r="O19" s="322">
        <f>Councils!P22</f>
        <v>0</v>
      </c>
      <c r="P19" s="322">
        <f>Councils!Q22</f>
        <v>2</v>
      </c>
      <c r="Q19" s="322">
        <f>Councils!R22</f>
        <v>-2</v>
      </c>
      <c r="R19" s="322">
        <f>Councils!S22</f>
        <v>2</v>
      </c>
      <c r="S19" s="322">
        <f>Councils!T22</f>
        <v>5</v>
      </c>
      <c r="T19" s="322">
        <f>Councils!U22</f>
        <v>-3</v>
      </c>
      <c r="U19" s="323">
        <f>Councils!V22</f>
        <v>0</v>
      </c>
      <c r="V19" s="376">
        <v>193</v>
      </c>
      <c r="W19" s="377">
        <f t="shared" si="0"/>
        <v>1</v>
      </c>
      <c r="X19" s="378" t="str">
        <f>IF(ISNA(VLOOKUP($A19,GA!$A$1:$D$834,3,0))," ",VLOOKUP($A19,GA!$A$1:$D$834,3,0))</f>
        <v>Supak</v>
      </c>
      <c r="Y19" s="379" t="str">
        <f>IF(ISNA(VLOOKUP($A19,Dormant_Councils!$A$1:$E$811,5,0)),"No",VLOOKUP($A19,Dormant_Councils!$A$1:$E$811,5,0))</f>
        <v>No</v>
      </c>
      <c r="Z19" s="381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22" t="str">
        <f>Councils!C23</f>
        <v>102</v>
      </c>
      <c r="C20" s="322" t="str">
        <f>Councils!D23</f>
        <v>Ennis</v>
      </c>
      <c r="D20" s="322" t="str">
        <f>IF(ISNA(VLOOKUP($V20,DD_Info!$A$1:$E$221,3,0)),0,VLOOKUP($V20,DD_Info!$A$1:$E$221,3,0))</f>
        <v>Dallas</v>
      </c>
      <c r="E20" s="322">
        <f>Councils!E23</f>
        <v>325</v>
      </c>
      <c r="F20" s="322">
        <f>Councils!F23</f>
        <v>15</v>
      </c>
      <c r="G20" s="322">
        <f>Councils!G23</f>
        <v>1</v>
      </c>
      <c r="H20" s="322">
        <f>Councils!H23</f>
        <v>0</v>
      </c>
      <c r="I20" s="322">
        <f>Councils!I23</f>
        <v>1</v>
      </c>
      <c r="J20" s="322">
        <f>Councils!J23</f>
        <v>5</v>
      </c>
      <c r="K20" s="322">
        <f>Councils!K23</f>
        <v>4</v>
      </c>
      <c r="L20" s="322">
        <f>Councils!L23</f>
        <v>1</v>
      </c>
      <c r="M20" s="323">
        <f>Councils!M23</f>
        <v>6.67</v>
      </c>
      <c r="N20" s="322">
        <f>Councils!O23</f>
        <v>0</v>
      </c>
      <c r="O20" s="322">
        <f>Councils!P23</f>
        <v>0</v>
      </c>
      <c r="P20" s="322">
        <f>Councils!Q23</f>
        <v>0</v>
      </c>
      <c r="Q20" s="322">
        <f>Councils!R23</f>
        <v>0</v>
      </c>
      <c r="R20" s="322">
        <f>Councils!S23</f>
        <v>0</v>
      </c>
      <c r="S20" s="322">
        <f>Councils!T23</f>
        <v>1</v>
      </c>
      <c r="T20" s="322">
        <f>Councils!U23</f>
        <v>-1</v>
      </c>
      <c r="U20" s="323">
        <f>Councils!V23</f>
        <v>0</v>
      </c>
      <c r="V20" s="376">
        <v>102</v>
      </c>
      <c r="W20" s="377">
        <f t="shared" si="0"/>
        <v>1</v>
      </c>
      <c r="X20" s="378" t="str">
        <f>IF(ISNA(VLOOKUP($A20,GA!$A$1:$D$834,3,0))," ",VLOOKUP($A20,GA!$A$1:$D$834,3,0))</f>
        <v>Regan</v>
      </c>
      <c r="Y20" s="379" t="str">
        <f>IF(ISNA(VLOOKUP($A20,Dormant_Councils!$A$1:$E$811,5,0)),"No",VLOOKUP($A20,Dormant_Councils!$A$1:$E$811,5,0))</f>
        <v>No</v>
      </c>
      <c r="Z20" s="381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22" t="str">
        <f>Councils!C24</f>
        <v>141</v>
      </c>
      <c r="C21" s="322" t="str">
        <f>Councils!D24</f>
        <v>Waco</v>
      </c>
      <c r="D21" s="322" t="str">
        <f>IF(ISNA(VLOOKUP($V21,DD_Info!$A$1:$E$221,3,0)),0,VLOOKUP($V21,DD_Info!$A$1:$E$221,3,0))</f>
        <v>Austin</v>
      </c>
      <c r="E21" s="322">
        <f>Councils!E24</f>
        <v>125</v>
      </c>
      <c r="F21" s="322">
        <f>Councils!F24</f>
        <v>5</v>
      </c>
      <c r="G21" s="322">
        <f>Councils!G24</f>
        <v>0</v>
      </c>
      <c r="H21" s="322">
        <f>Councils!H24</f>
        <v>0</v>
      </c>
      <c r="I21" s="322">
        <f>Councils!I24</f>
        <v>0</v>
      </c>
      <c r="J21" s="322">
        <f>Councils!J24</f>
        <v>0</v>
      </c>
      <c r="K21" s="322">
        <f>Councils!K24</f>
        <v>0</v>
      </c>
      <c r="L21" s="322">
        <f>Councils!L24</f>
        <v>0</v>
      </c>
      <c r="M21" s="323">
        <f>Councils!M24</f>
        <v>0</v>
      </c>
      <c r="N21" s="322">
        <f>Councils!O24</f>
        <v>0</v>
      </c>
      <c r="O21" s="322">
        <f>Councils!P24</f>
        <v>0</v>
      </c>
      <c r="P21" s="322">
        <f>Councils!Q24</f>
        <v>0</v>
      </c>
      <c r="Q21" s="322">
        <f>Councils!R24</f>
        <v>0</v>
      </c>
      <c r="R21" s="322">
        <f>Councils!S24</f>
        <v>0</v>
      </c>
      <c r="S21" s="322">
        <f>Councils!T24</f>
        <v>0</v>
      </c>
      <c r="T21" s="322">
        <f>Councils!U24</f>
        <v>0</v>
      </c>
      <c r="U21" s="323">
        <f>Councils!V24</f>
        <v>0</v>
      </c>
      <c r="V21" s="376">
        <v>141</v>
      </c>
      <c r="W21" s="377">
        <f t="shared" si="0"/>
        <v>2</v>
      </c>
      <c r="X21" s="378" t="str">
        <f>IF(ISNA(VLOOKUP($A21,GA!$A$1:$D$834,3,0))," ",VLOOKUP($A21,GA!$A$1:$D$834,3,0))</f>
        <v>Rangel</v>
      </c>
      <c r="Y21" s="379" t="str">
        <f>IF(ISNA(VLOOKUP($A21,Dormant_Councils!$A$1:$E$811,5,0)),"No",VLOOKUP($A21,Dormant_Councils!$A$1:$E$811,5,0))</f>
        <v>No</v>
      </c>
      <c r="Z21" s="381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22" t="str">
        <f>Councils!C25</f>
        <v>133</v>
      </c>
      <c r="C22" s="322" t="str">
        <f>Councils!D25</f>
        <v>Marshall</v>
      </c>
      <c r="D22" s="322" t="str">
        <f>IF(ISNA(VLOOKUP($V22,DD_Info!$A$1:$E$221,3,0)),0,VLOOKUP($V22,DD_Info!$A$1:$E$221,3,0))</f>
        <v>Tyler</v>
      </c>
      <c r="E22" s="322">
        <f>Councils!E25</f>
        <v>196</v>
      </c>
      <c r="F22" s="322">
        <f>Councils!F25</f>
        <v>10</v>
      </c>
      <c r="G22" s="322">
        <f>Councils!G25</f>
        <v>0</v>
      </c>
      <c r="H22" s="322">
        <f>Councils!H25</f>
        <v>0</v>
      </c>
      <c r="I22" s="322">
        <f>Councils!I25</f>
        <v>0</v>
      </c>
      <c r="J22" s="322">
        <f>Councils!J25</f>
        <v>0</v>
      </c>
      <c r="K22" s="322">
        <f>Councils!K25</f>
        <v>0</v>
      </c>
      <c r="L22" s="322">
        <f>Councils!L25</f>
        <v>0</v>
      </c>
      <c r="M22" s="323">
        <f>Councils!M25</f>
        <v>0</v>
      </c>
      <c r="N22" s="322">
        <f>Councils!O25</f>
        <v>0</v>
      </c>
      <c r="O22" s="322">
        <f>Councils!P25</f>
        <v>0</v>
      </c>
      <c r="P22" s="322">
        <f>Councils!Q25</f>
        <v>0</v>
      </c>
      <c r="Q22" s="322">
        <f>Councils!R25</f>
        <v>0</v>
      </c>
      <c r="R22" s="322">
        <f>Councils!S25</f>
        <v>0</v>
      </c>
      <c r="S22" s="322">
        <f>Councils!T25</f>
        <v>0</v>
      </c>
      <c r="T22" s="322">
        <f>Councils!U25</f>
        <v>0</v>
      </c>
      <c r="U22" s="323">
        <f>Councils!V25</f>
        <v>0</v>
      </c>
      <c r="V22" s="376">
        <v>133</v>
      </c>
      <c r="W22" s="377">
        <f t="shared" si="0"/>
        <v>1</v>
      </c>
      <c r="X22" s="378" t="str">
        <f>IF(ISNA(VLOOKUP($A22,GA!$A$1:$D$834,3,0))," ",VLOOKUP($A22,GA!$A$1:$D$834,3,0))</f>
        <v>Regan</v>
      </c>
      <c r="Y22" s="379" t="str">
        <f>IF(ISNA(VLOOKUP($A22,Dormant_Councils!$A$1:$E$811,5,0)),"No",VLOOKUP($A22,Dormant_Councils!$A$1:$E$811,5,0))</f>
        <v>No</v>
      </c>
      <c r="Z22" s="381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22" t="str">
        <f>Councils!C26</f>
        <v>199</v>
      </c>
      <c r="C23" s="322" t="str">
        <f>Councils!D26</f>
        <v>Amarillo</v>
      </c>
      <c r="D23" s="322" t="str">
        <f>IF(ISNA(VLOOKUP($V23,DD_Info!$A$1:$E$221,3,0)),0,VLOOKUP($V23,DD_Info!$A$1:$E$221,3,0))</f>
        <v>Amarillo</v>
      </c>
      <c r="E23" s="322">
        <f>Councils!E26</f>
        <v>199</v>
      </c>
      <c r="F23" s="322">
        <f>Councils!F26</f>
        <v>9</v>
      </c>
      <c r="G23" s="322">
        <f>Councils!G26</f>
        <v>0</v>
      </c>
      <c r="H23" s="322">
        <f>Councils!H26</f>
        <v>0</v>
      </c>
      <c r="I23" s="322">
        <f>Councils!I26</f>
        <v>0</v>
      </c>
      <c r="J23" s="322">
        <f>Councils!J26</f>
        <v>1</v>
      </c>
      <c r="K23" s="322">
        <f>Councils!K26</f>
        <v>2</v>
      </c>
      <c r="L23" s="322">
        <f>Councils!L26</f>
        <v>-1</v>
      </c>
      <c r="M23" s="323">
        <f>Councils!M26</f>
        <v>0</v>
      </c>
      <c r="N23" s="322">
        <f>Councils!O26</f>
        <v>0</v>
      </c>
      <c r="O23" s="322">
        <f>Councils!P26</f>
        <v>0</v>
      </c>
      <c r="P23" s="322">
        <f>Councils!Q26</f>
        <v>0</v>
      </c>
      <c r="Q23" s="322">
        <f>Councils!R26</f>
        <v>0</v>
      </c>
      <c r="R23" s="322">
        <f>Councils!S26</f>
        <v>1</v>
      </c>
      <c r="S23" s="322">
        <f>Councils!T26</f>
        <v>3</v>
      </c>
      <c r="T23" s="322">
        <f>Councils!U26</f>
        <v>-2</v>
      </c>
      <c r="U23" s="323">
        <f>Councils!V26</f>
        <v>0</v>
      </c>
      <c r="V23" s="376">
        <v>199</v>
      </c>
      <c r="W23" s="377">
        <f t="shared" si="0"/>
        <v>1</v>
      </c>
      <c r="X23" s="378" t="str">
        <f>IF(ISNA(VLOOKUP($A23,GA!$A$1:$D$834,3,0))," ",VLOOKUP($A23,GA!$A$1:$D$834,3,0))</f>
        <v>Payne</v>
      </c>
      <c r="Y23" s="379" t="str">
        <f>IF(ISNA(VLOOKUP($A23,Dormant_Councils!$A$1:$E$811,5,0)),"No",VLOOKUP($A23,Dormant_Councils!$A$1:$E$811,5,0))</f>
        <v>No</v>
      </c>
      <c r="Z23" s="381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22" t="str">
        <f>Councils!C27</f>
        <v>021</v>
      </c>
      <c r="C24" s="322" t="str">
        <f>Councils!D27</f>
        <v>Muenster</v>
      </c>
      <c r="D24" s="322" t="str">
        <f>IF(ISNA(VLOOKUP($V24,DD_Info!$A$1:$E$221,3,0)),0,VLOOKUP($V24,DD_Info!$A$1:$E$221,3,0))</f>
        <v>Fort Worth</v>
      </c>
      <c r="E24" s="322">
        <f>Councils!E27</f>
        <v>288</v>
      </c>
      <c r="F24" s="322">
        <f>Councils!F27</f>
        <v>14</v>
      </c>
      <c r="G24" s="322">
        <f>Councils!G27</f>
        <v>0</v>
      </c>
      <c r="H24" s="322">
        <f>Councils!H27</f>
        <v>0</v>
      </c>
      <c r="I24" s="322">
        <f>Councils!I27</f>
        <v>0</v>
      </c>
      <c r="J24" s="322">
        <f>Councils!J27</f>
        <v>2</v>
      </c>
      <c r="K24" s="322">
        <f>Councils!K27</f>
        <v>0</v>
      </c>
      <c r="L24" s="322">
        <f>Councils!L27</f>
        <v>2</v>
      </c>
      <c r="M24" s="323">
        <f>Councils!M27</f>
        <v>14.29</v>
      </c>
      <c r="N24" s="322">
        <f>Councils!O27</f>
        <v>0</v>
      </c>
      <c r="O24" s="322">
        <f>Councils!P27</f>
        <v>0</v>
      </c>
      <c r="P24" s="322">
        <f>Councils!Q27</f>
        <v>0</v>
      </c>
      <c r="Q24" s="322">
        <f>Councils!R27</f>
        <v>0</v>
      </c>
      <c r="R24" s="322">
        <f>Councils!S27</f>
        <v>0</v>
      </c>
      <c r="S24" s="322">
        <f>Councils!T27</f>
        <v>0</v>
      </c>
      <c r="T24" s="322">
        <f>Councils!U27</f>
        <v>0</v>
      </c>
      <c r="U24" s="323">
        <f>Councils!V27</f>
        <v>0</v>
      </c>
      <c r="V24" s="376">
        <v>21</v>
      </c>
      <c r="W24" s="377">
        <f t="shared" si="0"/>
        <v>1</v>
      </c>
      <c r="X24" s="378" t="str">
        <f>IF(ISNA(VLOOKUP($A24,GA!$A$1:$D$834,3,0))," ",VLOOKUP($A24,GA!$A$1:$D$834,3,0))</f>
        <v>Stark</v>
      </c>
      <c r="Y24" s="379" t="str">
        <f>IF(ISNA(VLOOKUP($A24,Dormant_Councils!$A$1:$E$811,5,0)),"No",VLOOKUP($A24,Dormant_Councils!$A$1:$E$811,5,0))</f>
        <v>No</v>
      </c>
      <c r="Z24" s="381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22" t="str">
        <f>Councils!C28</f>
        <v>022</v>
      </c>
      <c r="C25" s="322" t="str">
        <f>Councils!D28</f>
        <v>Wichita Falls</v>
      </c>
      <c r="D25" s="322" t="str">
        <f>IF(ISNA(VLOOKUP($V25,DD_Info!$A$1:$E$221,3,0)),0,VLOOKUP($V25,DD_Info!$A$1:$E$221,3,0))</f>
        <v>Fort Worth</v>
      </c>
      <c r="E25" s="322">
        <f>Councils!E28</f>
        <v>152</v>
      </c>
      <c r="F25" s="322">
        <f>Councils!F28</f>
        <v>7</v>
      </c>
      <c r="G25" s="322">
        <f>Councils!G28</f>
        <v>0</v>
      </c>
      <c r="H25" s="322">
        <f>Councils!H28</f>
        <v>0</v>
      </c>
      <c r="I25" s="322">
        <f>Councils!I28</f>
        <v>0</v>
      </c>
      <c r="J25" s="322">
        <f>Councils!J28</f>
        <v>2</v>
      </c>
      <c r="K25" s="322">
        <f>Councils!K28</f>
        <v>0</v>
      </c>
      <c r="L25" s="322">
        <f>Councils!L28</f>
        <v>2</v>
      </c>
      <c r="M25" s="323">
        <f>Councils!M28</f>
        <v>28.57</v>
      </c>
      <c r="N25" s="322">
        <f>Councils!O28</f>
        <v>0</v>
      </c>
      <c r="O25" s="322">
        <f>Councils!P28</f>
        <v>0</v>
      </c>
      <c r="P25" s="322">
        <f>Councils!Q28</f>
        <v>0</v>
      </c>
      <c r="Q25" s="322">
        <f>Councils!R28</f>
        <v>0</v>
      </c>
      <c r="R25" s="322">
        <f>Councils!S28</f>
        <v>1</v>
      </c>
      <c r="S25" s="322">
        <f>Councils!T28</f>
        <v>1</v>
      </c>
      <c r="T25" s="322">
        <f>Councils!U28</f>
        <v>0</v>
      </c>
      <c r="U25" s="323">
        <f>Councils!V28</f>
        <v>0</v>
      </c>
      <c r="V25" s="376">
        <v>22</v>
      </c>
      <c r="W25" s="377">
        <f t="shared" si="0"/>
        <v>1</v>
      </c>
      <c r="X25" s="378" t="str">
        <f>IF(ISNA(VLOOKUP($A25,GA!$A$1:$D$834,3,0))," ",VLOOKUP($A25,GA!$A$1:$D$834,3,0))</f>
        <v>Stark</v>
      </c>
      <c r="Y25" s="379" t="str">
        <f>IF(ISNA(VLOOKUP($A25,Dormant_Councils!$A$1:$E$811,5,0)),"No",VLOOKUP($A25,Dormant_Councils!$A$1:$E$811,5,0))</f>
        <v>No</v>
      </c>
      <c r="Z25" s="381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22" t="str">
        <f>Councils!C29</f>
        <v>137</v>
      </c>
      <c r="C26" s="322" t="str">
        <f>Councils!D29</f>
        <v>Tyler</v>
      </c>
      <c r="D26" s="322" t="str">
        <f>IF(ISNA(VLOOKUP($V26,DD_Info!$A$1:$E$221,3,0)),0,VLOOKUP($V26,DD_Info!$A$1:$E$221,3,0))</f>
        <v>Tyler</v>
      </c>
      <c r="E26" s="322">
        <f>Councils!E29</f>
        <v>203</v>
      </c>
      <c r="F26" s="322">
        <f>Councils!F29</f>
        <v>10</v>
      </c>
      <c r="G26" s="322">
        <f>Councils!G29</f>
        <v>0</v>
      </c>
      <c r="H26" s="322">
        <f>Councils!H29</f>
        <v>7</v>
      </c>
      <c r="I26" s="322">
        <f>Councils!I29</f>
        <v>-7</v>
      </c>
      <c r="J26" s="322">
        <f>Councils!J29</f>
        <v>6</v>
      </c>
      <c r="K26" s="322">
        <f>Councils!K29</f>
        <v>7</v>
      </c>
      <c r="L26" s="322">
        <f>Councils!L29</f>
        <v>-1</v>
      </c>
      <c r="M26" s="323">
        <f>Councils!M29</f>
        <v>0</v>
      </c>
      <c r="N26" s="322">
        <f>Councils!O29</f>
        <v>0</v>
      </c>
      <c r="O26" s="322">
        <f>Councils!P29</f>
        <v>0</v>
      </c>
      <c r="P26" s="322">
        <f>Councils!Q29</f>
        <v>0</v>
      </c>
      <c r="Q26" s="322">
        <f>Councils!R29</f>
        <v>0</v>
      </c>
      <c r="R26" s="322">
        <f>Councils!S29</f>
        <v>1</v>
      </c>
      <c r="S26" s="322">
        <f>Councils!T29</f>
        <v>0</v>
      </c>
      <c r="T26" s="322">
        <f>Councils!U29</f>
        <v>1</v>
      </c>
      <c r="U26" s="323">
        <f>Councils!V29</f>
        <v>0</v>
      </c>
      <c r="V26" s="376">
        <v>137</v>
      </c>
      <c r="W26" s="377">
        <f t="shared" si="0"/>
        <v>1</v>
      </c>
      <c r="X26" s="378" t="str">
        <f>IF(ISNA(VLOOKUP($A26,GA!$A$1:$D$834,3,0))," ",VLOOKUP($A26,GA!$A$1:$D$834,3,0))</f>
        <v>Regan</v>
      </c>
      <c r="Y26" s="379" t="str">
        <f>IF(ISNA(VLOOKUP($A26,Dormant_Councils!$A$1:$E$811,5,0)),"No",VLOOKUP($A26,Dormant_Councils!$A$1:$E$811,5,0))</f>
        <v>No</v>
      </c>
      <c r="Z26" s="381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22" t="str">
        <f>Councils!C30</f>
        <v>210</v>
      </c>
      <c r="C27" s="322" t="str">
        <f>Councils!D30</f>
        <v>Brownsville</v>
      </c>
      <c r="D27" s="322" t="str">
        <f>IF(ISNA(VLOOKUP($V27,DD_Info!$A$1:$E$221,3,0)),0,VLOOKUP($V27,DD_Info!$A$1:$E$221,3,0))</f>
        <v>Brownsville</v>
      </c>
      <c r="E27" s="322">
        <f>Councils!E30</f>
        <v>254</v>
      </c>
      <c r="F27" s="322">
        <f>Councils!F30</f>
        <v>12</v>
      </c>
      <c r="G27" s="322">
        <f>Councils!G30</f>
        <v>0</v>
      </c>
      <c r="H27" s="322">
        <f>Councils!H30</f>
        <v>0</v>
      </c>
      <c r="I27" s="322">
        <f>Councils!I30</f>
        <v>0</v>
      </c>
      <c r="J27" s="322">
        <f>Councils!J30</f>
        <v>4</v>
      </c>
      <c r="K27" s="322">
        <f>Councils!K30</f>
        <v>0</v>
      </c>
      <c r="L27" s="322">
        <f>Councils!L30</f>
        <v>4</v>
      </c>
      <c r="M27" s="323">
        <f>Councils!M30</f>
        <v>33.33</v>
      </c>
      <c r="N27" s="322">
        <f>Councils!O30</f>
        <v>0</v>
      </c>
      <c r="O27" s="322">
        <f>Councils!P30</f>
        <v>0</v>
      </c>
      <c r="P27" s="322">
        <f>Councils!Q30</f>
        <v>1</v>
      </c>
      <c r="Q27" s="322">
        <f>Councils!R30</f>
        <v>-1</v>
      </c>
      <c r="R27" s="322">
        <f>Councils!S30</f>
        <v>1</v>
      </c>
      <c r="S27" s="322">
        <f>Councils!T30</f>
        <v>2</v>
      </c>
      <c r="T27" s="322">
        <f>Councils!U30</f>
        <v>-1</v>
      </c>
      <c r="U27" s="323">
        <f>Councils!V30</f>
        <v>0</v>
      </c>
      <c r="V27" s="376">
        <v>210</v>
      </c>
      <c r="W27" s="377">
        <f t="shared" si="0"/>
        <v>1</v>
      </c>
      <c r="X27" s="378" t="str">
        <f>IF(ISNA(VLOOKUP($A27,GA!$A$1:$D$834,3,0))," ",VLOOKUP($A27,GA!$A$1:$D$834,3,0))</f>
        <v>Carlin</v>
      </c>
      <c r="Y27" s="379" t="str">
        <f>IF(ISNA(VLOOKUP($A27,Dormant_Councils!$A$1:$E$811,5,0)),"No",VLOOKUP($A27,Dormant_Councils!$A$1:$E$811,5,0))</f>
        <v>No</v>
      </c>
      <c r="Z27" s="381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22" t="str">
        <f>Councils!C31</f>
        <v>192</v>
      </c>
      <c r="C28" s="322" t="str">
        <f>Councils!D31</f>
        <v>Yoakum</v>
      </c>
      <c r="D28" s="322" t="str">
        <f>IF(ISNA(VLOOKUP($V28,DD_Info!$A$1:$E$221,3,0)),0,VLOOKUP($V28,DD_Info!$A$1:$E$221,3,0))</f>
        <v>Victoria</v>
      </c>
      <c r="E28" s="322">
        <f>Councils!E31</f>
        <v>317</v>
      </c>
      <c r="F28" s="322">
        <f>Councils!F31</f>
        <v>16</v>
      </c>
      <c r="G28" s="322">
        <f>Councils!G31</f>
        <v>0</v>
      </c>
      <c r="H28" s="322">
        <f>Councils!H31</f>
        <v>0</v>
      </c>
      <c r="I28" s="322">
        <f>Councils!I31</f>
        <v>0</v>
      </c>
      <c r="J28" s="322">
        <f>Councils!J31</f>
        <v>0</v>
      </c>
      <c r="K28" s="322">
        <f>Councils!K31</f>
        <v>1</v>
      </c>
      <c r="L28" s="322">
        <f>Councils!L31</f>
        <v>-1</v>
      </c>
      <c r="M28" s="323">
        <f>Councils!M31</f>
        <v>0</v>
      </c>
      <c r="N28" s="322">
        <f>Councils!O31</f>
        <v>0</v>
      </c>
      <c r="O28" s="322">
        <f>Councils!P31</f>
        <v>0</v>
      </c>
      <c r="P28" s="322">
        <f>Councils!Q31</f>
        <v>0</v>
      </c>
      <c r="Q28" s="322">
        <f>Councils!R31</f>
        <v>0</v>
      </c>
      <c r="R28" s="322">
        <f>Councils!S31</f>
        <v>1</v>
      </c>
      <c r="S28" s="322">
        <f>Councils!T31</f>
        <v>1</v>
      </c>
      <c r="T28" s="322">
        <f>Councils!U31</f>
        <v>0</v>
      </c>
      <c r="U28" s="323">
        <f>Councils!V31</f>
        <v>0</v>
      </c>
      <c r="V28" s="376">
        <v>192</v>
      </c>
      <c r="W28" s="377">
        <f t="shared" si="0"/>
        <v>1</v>
      </c>
      <c r="X28" s="378" t="str">
        <f>IF(ISNA(VLOOKUP($A28,GA!$A$1:$D$834,3,0))," ",VLOOKUP($A28,GA!$A$1:$D$834,3,0))</f>
        <v>Supak</v>
      </c>
      <c r="Y28" s="379" t="str">
        <f>IF(ISNA(VLOOKUP($A28,Dormant_Councils!$A$1:$E$811,5,0)),"No",VLOOKUP($A28,Dormant_Councils!$A$1:$E$811,5,0))</f>
        <v>No</v>
      </c>
      <c r="Z28" s="381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22" t="str">
        <f>Councils!C32</f>
        <v>178</v>
      </c>
      <c r="C29" s="322" t="str">
        <f>Councils!D32</f>
        <v>Refugio</v>
      </c>
      <c r="D29" s="322" t="str">
        <f>IF(ISNA(VLOOKUP($V29,DD_Info!$A$1:$E$221,3,0)),0,VLOOKUP($V29,DD_Info!$A$1:$E$221,3,0))</f>
        <v>Corpus Christi</v>
      </c>
      <c r="E29" s="322">
        <f>Councils!E32</f>
        <v>55</v>
      </c>
      <c r="F29" s="322">
        <f>Councils!F32</f>
        <v>3</v>
      </c>
      <c r="G29" s="322">
        <f>Councils!G32</f>
        <v>0</v>
      </c>
      <c r="H29" s="322">
        <f>Councils!H32</f>
        <v>0</v>
      </c>
      <c r="I29" s="322">
        <f>Councils!I32</f>
        <v>0</v>
      </c>
      <c r="J29" s="322">
        <f>Councils!J32</f>
        <v>0</v>
      </c>
      <c r="K29" s="322">
        <f>Councils!K32</f>
        <v>0</v>
      </c>
      <c r="L29" s="322">
        <f>Councils!L32</f>
        <v>0</v>
      </c>
      <c r="M29" s="323">
        <f>Councils!M32</f>
        <v>0</v>
      </c>
      <c r="N29" s="322">
        <f>Councils!O32</f>
        <v>0</v>
      </c>
      <c r="O29" s="322">
        <f>Councils!P32</f>
        <v>0</v>
      </c>
      <c r="P29" s="322">
        <f>Councils!Q32</f>
        <v>0</v>
      </c>
      <c r="Q29" s="322">
        <f>Councils!R32</f>
        <v>0</v>
      </c>
      <c r="R29" s="322">
        <f>Councils!S32</f>
        <v>0</v>
      </c>
      <c r="S29" s="322">
        <f>Councils!T32</f>
        <v>0</v>
      </c>
      <c r="T29" s="322">
        <f>Councils!U32</f>
        <v>0</v>
      </c>
      <c r="U29" s="323">
        <f>Councils!V32</f>
        <v>0</v>
      </c>
      <c r="V29" s="376">
        <v>178</v>
      </c>
      <c r="W29" s="377">
        <f t="shared" si="0"/>
        <v>3</v>
      </c>
      <c r="X29" s="378" t="str">
        <f>IF(ISNA(VLOOKUP($A29,GA!$A$1:$D$834,3,0))," ",VLOOKUP($A29,GA!$A$1:$D$834,3,0))</f>
        <v>Carlin</v>
      </c>
      <c r="Y29" s="379" t="str">
        <f>IF(ISNA(VLOOKUP($A29,Dormant_Councils!$A$1:$E$811,5,0)),"No",VLOOKUP($A29,Dormant_Councils!$A$1:$E$811,5,0))</f>
        <v>No</v>
      </c>
      <c r="Z29" s="381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22" t="str">
        <f>Councils!C33</f>
        <v>166</v>
      </c>
      <c r="C30" s="322" t="str">
        <f>Councils!D33</f>
        <v>Beeville</v>
      </c>
      <c r="D30" s="322" t="str">
        <f>IF(ISNA(VLOOKUP($V30,DD_Info!$A$1:$E$221,3,0)),0,VLOOKUP($V30,DD_Info!$A$1:$E$221,3,0))</f>
        <v>Corpus Christi</v>
      </c>
      <c r="E30" s="322">
        <f>Councils!E33</f>
        <v>105</v>
      </c>
      <c r="F30" s="322">
        <f>Councils!F33</f>
        <v>5</v>
      </c>
      <c r="G30" s="322">
        <f>Councils!G33</f>
        <v>0</v>
      </c>
      <c r="H30" s="322">
        <f>Councils!H33</f>
        <v>0</v>
      </c>
      <c r="I30" s="322">
        <f>Councils!I33</f>
        <v>0</v>
      </c>
      <c r="J30" s="322">
        <f>Councils!J33</f>
        <v>0</v>
      </c>
      <c r="K30" s="322">
        <f>Councils!K33</f>
        <v>0</v>
      </c>
      <c r="L30" s="322">
        <f>Councils!L33</f>
        <v>0</v>
      </c>
      <c r="M30" s="323">
        <f>Councils!M33</f>
        <v>0</v>
      </c>
      <c r="N30" s="322">
        <f>Councils!O33</f>
        <v>0</v>
      </c>
      <c r="O30" s="322">
        <f>Councils!P33</f>
        <v>0</v>
      </c>
      <c r="P30" s="322">
        <f>Councils!Q33</f>
        <v>0</v>
      </c>
      <c r="Q30" s="322">
        <f>Councils!R33</f>
        <v>0</v>
      </c>
      <c r="R30" s="322">
        <f>Councils!S33</f>
        <v>0</v>
      </c>
      <c r="S30" s="322">
        <f>Councils!T33</f>
        <v>0</v>
      </c>
      <c r="T30" s="322">
        <f>Councils!U33</f>
        <v>0</v>
      </c>
      <c r="U30" s="323">
        <f>Councils!V33</f>
        <v>0</v>
      </c>
      <c r="V30" s="376">
        <v>166</v>
      </c>
      <c r="W30" s="377">
        <f t="shared" si="0"/>
        <v>2</v>
      </c>
      <c r="X30" s="378" t="str">
        <f>IF(ISNA(VLOOKUP($A30,GA!$A$1:$D$834,3,0))," ",VLOOKUP($A30,GA!$A$1:$D$834,3,0))</f>
        <v>Carlin</v>
      </c>
      <c r="Y30" s="379" t="str">
        <f>IF(ISNA(VLOOKUP($A30,Dormant_Councils!$A$1:$E$811,5,0)),"No",VLOOKUP($A30,Dormant_Councils!$A$1:$E$811,5,0))</f>
        <v>No</v>
      </c>
      <c r="Z30" s="381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22" t="str">
        <f>Councils!C34</f>
        <v>124</v>
      </c>
      <c r="C31" s="322" t="str">
        <f>Councils!D34</f>
        <v>Orange</v>
      </c>
      <c r="D31" s="322" t="str">
        <f>IF(ISNA(VLOOKUP($V31,DD_Info!$A$1:$E$221,3,0)),0,VLOOKUP($V31,DD_Info!$A$1:$E$221,3,0))</f>
        <v>Beaumont</v>
      </c>
      <c r="E31" s="322">
        <f>Councils!E34</f>
        <v>81</v>
      </c>
      <c r="F31" s="322">
        <f>Councils!F34</f>
        <v>4</v>
      </c>
      <c r="G31" s="322">
        <f>Councils!G34</f>
        <v>0</v>
      </c>
      <c r="H31" s="322">
        <f>Councils!H34</f>
        <v>1</v>
      </c>
      <c r="I31" s="322">
        <f>Councils!I34</f>
        <v>-1</v>
      </c>
      <c r="J31" s="322">
        <f>Councils!J34</f>
        <v>0</v>
      </c>
      <c r="K31" s="322">
        <f>Councils!K34</f>
        <v>1</v>
      </c>
      <c r="L31" s="322">
        <f>Councils!L34</f>
        <v>-1</v>
      </c>
      <c r="M31" s="323">
        <f>Councils!M34</f>
        <v>0</v>
      </c>
      <c r="N31" s="322">
        <f>Councils!O34</f>
        <v>0</v>
      </c>
      <c r="O31" s="322">
        <f>Councils!P34</f>
        <v>0</v>
      </c>
      <c r="P31" s="322">
        <f>Councils!Q34</f>
        <v>1</v>
      </c>
      <c r="Q31" s="322">
        <f>Councils!R34</f>
        <v>-1</v>
      </c>
      <c r="R31" s="322">
        <f>Councils!S34</f>
        <v>0</v>
      </c>
      <c r="S31" s="322">
        <f>Councils!T34</f>
        <v>2</v>
      </c>
      <c r="T31" s="322">
        <f>Councils!U34</f>
        <v>-2</v>
      </c>
      <c r="U31" s="323">
        <f>Councils!V34</f>
        <v>0</v>
      </c>
      <c r="V31" s="376">
        <v>124</v>
      </c>
      <c r="W31" s="377">
        <f t="shared" si="0"/>
        <v>2</v>
      </c>
      <c r="X31" s="378" t="str">
        <f>IF(ISNA(VLOOKUP($A31,GA!$A$1:$D$834,3,0))," ",VLOOKUP($A31,GA!$A$1:$D$834,3,0))</f>
        <v>Rangel</v>
      </c>
      <c r="Y31" s="379" t="str">
        <f>IF(ISNA(VLOOKUP($A31,Dormant_Councils!$A$1:$E$811,5,0)),"No",VLOOKUP($A31,Dormant_Councils!$A$1:$E$811,5,0))</f>
        <v>No</v>
      </c>
      <c r="Z31" s="381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22" t="str">
        <f>Councils!C35</f>
        <v>192</v>
      </c>
      <c r="C32" s="322" t="str">
        <f>Councils!D35</f>
        <v>Cuero</v>
      </c>
      <c r="D32" s="322" t="str">
        <f>IF(ISNA(VLOOKUP($V32,DD_Info!$A$1:$E$221,3,0)),0,VLOOKUP($V32,DD_Info!$A$1:$E$221,3,0))</f>
        <v>Victoria</v>
      </c>
      <c r="E32" s="322">
        <f>Councils!E35</f>
        <v>98</v>
      </c>
      <c r="F32" s="322">
        <f>Councils!F35</f>
        <v>5</v>
      </c>
      <c r="G32" s="322">
        <f>Councils!G35</f>
        <v>0</v>
      </c>
      <c r="H32" s="322">
        <f>Councils!H35</f>
        <v>0</v>
      </c>
      <c r="I32" s="322">
        <f>Councils!I35</f>
        <v>0</v>
      </c>
      <c r="J32" s="322">
        <f>Councils!J35</f>
        <v>0</v>
      </c>
      <c r="K32" s="322">
        <f>Councils!K35</f>
        <v>0</v>
      </c>
      <c r="L32" s="322">
        <f>Councils!L35</f>
        <v>0</v>
      </c>
      <c r="M32" s="323">
        <f>Councils!M35</f>
        <v>0</v>
      </c>
      <c r="N32" s="322">
        <f>Councils!O35</f>
        <v>0</v>
      </c>
      <c r="O32" s="322">
        <f>Councils!P35</f>
        <v>0</v>
      </c>
      <c r="P32" s="322">
        <f>Councils!Q35</f>
        <v>0</v>
      </c>
      <c r="Q32" s="322">
        <f>Councils!R35</f>
        <v>0</v>
      </c>
      <c r="R32" s="322">
        <f>Councils!S35</f>
        <v>0</v>
      </c>
      <c r="S32" s="322">
        <f>Councils!T35</f>
        <v>1</v>
      </c>
      <c r="T32" s="322">
        <f>Councils!U35</f>
        <v>-1</v>
      </c>
      <c r="U32" s="323">
        <f>Councils!V35</f>
        <v>0</v>
      </c>
      <c r="V32" s="376">
        <v>192</v>
      </c>
      <c r="W32" s="377">
        <f t="shared" si="0"/>
        <v>2</v>
      </c>
      <c r="X32" s="378" t="str">
        <f>IF(ISNA(VLOOKUP($A32,GA!$A$1:$D$834,3,0))," ",VLOOKUP($A32,GA!$A$1:$D$834,3,0))</f>
        <v>Supak</v>
      </c>
      <c r="Y32" s="379" t="str">
        <f>IF(ISNA(VLOOKUP($A32,Dormant_Councils!$A$1:$E$811,5,0)),"No",VLOOKUP($A32,Dormant_Councils!$A$1:$E$811,5,0))</f>
        <v>No</v>
      </c>
      <c r="Z32" s="381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22" t="str">
        <f>Councils!C36</f>
        <v>023</v>
      </c>
      <c r="C33" s="322" t="str">
        <f>Councils!D36</f>
        <v>Scotland</v>
      </c>
      <c r="D33" s="322" t="str">
        <f>IF(ISNA(VLOOKUP($V33,DD_Info!$A$1:$E$221,3,0)),0,VLOOKUP($V33,DD_Info!$A$1:$E$221,3,0))</f>
        <v>Fort Worth</v>
      </c>
      <c r="E33" s="322">
        <f>Councils!E36</f>
        <v>91</v>
      </c>
      <c r="F33" s="322">
        <f>Councils!F36</f>
        <v>4</v>
      </c>
      <c r="G33" s="322">
        <f>Councils!G36</f>
        <v>0</v>
      </c>
      <c r="H33" s="322">
        <f>Councils!H36</f>
        <v>0</v>
      </c>
      <c r="I33" s="322">
        <f>Councils!I36</f>
        <v>0</v>
      </c>
      <c r="J33" s="322">
        <f>Councils!J36</f>
        <v>0</v>
      </c>
      <c r="K33" s="322">
        <f>Councils!K36</f>
        <v>0</v>
      </c>
      <c r="L33" s="322">
        <f>Councils!L36</f>
        <v>0</v>
      </c>
      <c r="M33" s="323">
        <f>Councils!M36</f>
        <v>0</v>
      </c>
      <c r="N33" s="322">
        <f>Councils!O36</f>
        <v>0</v>
      </c>
      <c r="O33" s="322">
        <f>Councils!P36</f>
        <v>0</v>
      </c>
      <c r="P33" s="322">
        <f>Councils!Q36</f>
        <v>0</v>
      </c>
      <c r="Q33" s="322">
        <f>Councils!R36</f>
        <v>0</v>
      </c>
      <c r="R33" s="322">
        <f>Councils!S36</f>
        <v>1</v>
      </c>
      <c r="S33" s="322">
        <f>Councils!T36</f>
        <v>1</v>
      </c>
      <c r="T33" s="322">
        <f>Councils!U36</f>
        <v>0</v>
      </c>
      <c r="U33" s="323">
        <f>Councils!V36</f>
        <v>0</v>
      </c>
      <c r="V33" s="376">
        <v>23</v>
      </c>
      <c r="W33" s="377">
        <f t="shared" si="0"/>
        <v>2</v>
      </c>
      <c r="X33" s="378" t="str">
        <f>IF(ISNA(VLOOKUP($A33,GA!$A$1:$D$834,3,0))," ",VLOOKUP($A33,GA!$A$1:$D$834,3,0))</f>
        <v>Stark</v>
      </c>
      <c r="Y33" s="379" t="str">
        <f>IF(ISNA(VLOOKUP($A33,Dormant_Councils!$A$1:$E$811,5,0)),"No",VLOOKUP($A33,Dormant_Councils!$A$1:$E$811,5,0))</f>
        <v>No</v>
      </c>
      <c r="Z33" s="381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22" t="str">
        <f>Councils!C37</f>
        <v>023</v>
      </c>
      <c r="C34" s="322" t="str">
        <f>Councils!D37</f>
        <v>Rhineland</v>
      </c>
      <c r="D34" s="322" t="str">
        <f>IF(ISNA(VLOOKUP($V34,DD_Info!$A$1:$E$221,3,0)),0,VLOOKUP($V34,DD_Info!$A$1:$E$221,3,0))</f>
        <v>Fort Worth</v>
      </c>
      <c r="E34" s="322">
        <f>Councils!E37</f>
        <v>101</v>
      </c>
      <c r="F34" s="322">
        <f>Councils!F37</f>
        <v>5</v>
      </c>
      <c r="G34" s="322">
        <f>Councils!G37</f>
        <v>0</v>
      </c>
      <c r="H34" s="322">
        <f>Councils!H37</f>
        <v>0</v>
      </c>
      <c r="I34" s="322">
        <f>Councils!I37</f>
        <v>0</v>
      </c>
      <c r="J34" s="322">
        <f>Councils!J37</f>
        <v>0</v>
      </c>
      <c r="K34" s="322">
        <f>Councils!K37</f>
        <v>0</v>
      </c>
      <c r="L34" s="322">
        <f>Councils!L37</f>
        <v>0</v>
      </c>
      <c r="M34" s="323">
        <f>Councils!M37</f>
        <v>0</v>
      </c>
      <c r="N34" s="322">
        <f>Councils!O37</f>
        <v>0</v>
      </c>
      <c r="O34" s="322">
        <f>Councils!P37</f>
        <v>0</v>
      </c>
      <c r="P34" s="322">
        <f>Councils!Q37</f>
        <v>0</v>
      </c>
      <c r="Q34" s="322">
        <f>Councils!R37</f>
        <v>0</v>
      </c>
      <c r="R34" s="322">
        <f>Councils!S37</f>
        <v>0</v>
      </c>
      <c r="S34" s="322">
        <f>Councils!T37</f>
        <v>0</v>
      </c>
      <c r="T34" s="322">
        <f>Councils!U37</f>
        <v>0</v>
      </c>
      <c r="U34" s="323">
        <f>Councils!V37</f>
        <v>0</v>
      </c>
      <c r="V34" s="376">
        <v>23</v>
      </c>
      <c r="W34" s="377">
        <f t="shared" si="0"/>
        <v>2</v>
      </c>
      <c r="X34" s="378" t="str">
        <f>IF(ISNA(VLOOKUP($A34,GA!$A$1:$D$834,3,0))," ",VLOOKUP($A34,GA!$A$1:$D$834,3,0))</f>
        <v>Stark</v>
      </c>
      <c r="Y34" s="379" t="str">
        <f>IF(ISNA(VLOOKUP($A34,Dormant_Councils!$A$1:$E$811,5,0)),"No",VLOOKUP($A34,Dormant_Councils!$A$1:$E$811,5,0))</f>
        <v>No</v>
      </c>
      <c r="Z34" s="381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22" t="str">
        <f>Councils!C38</f>
        <v>023</v>
      </c>
      <c r="C35" s="322" t="str">
        <f>Councils!D38</f>
        <v>Windthorst</v>
      </c>
      <c r="D35" s="322" t="str">
        <f>IF(ISNA(VLOOKUP($V35,DD_Info!$A$1:$E$221,3,0)),0,VLOOKUP($V35,DD_Info!$A$1:$E$221,3,0))</f>
        <v>Fort Worth</v>
      </c>
      <c r="E35" s="322">
        <f>Councils!E38</f>
        <v>275</v>
      </c>
      <c r="F35" s="322">
        <f>Councils!F38</f>
        <v>13</v>
      </c>
      <c r="G35" s="322">
        <f>Councils!G38</f>
        <v>0</v>
      </c>
      <c r="H35" s="322">
        <f>Councils!H38</f>
        <v>0</v>
      </c>
      <c r="I35" s="322">
        <f>Councils!I38</f>
        <v>0</v>
      </c>
      <c r="J35" s="322">
        <f>Councils!J38</f>
        <v>0</v>
      </c>
      <c r="K35" s="322">
        <f>Councils!K38</f>
        <v>0</v>
      </c>
      <c r="L35" s="322">
        <f>Councils!L38</f>
        <v>0</v>
      </c>
      <c r="M35" s="323">
        <f>Councils!M38</f>
        <v>0</v>
      </c>
      <c r="N35" s="322">
        <f>Councils!O38</f>
        <v>0</v>
      </c>
      <c r="O35" s="322">
        <f>Councils!P38</f>
        <v>0</v>
      </c>
      <c r="P35" s="322">
        <f>Councils!Q38</f>
        <v>0</v>
      </c>
      <c r="Q35" s="322">
        <f>Councils!R38</f>
        <v>0</v>
      </c>
      <c r="R35" s="322">
        <f>Councils!S38</f>
        <v>0</v>
      </c>
      <c r="S35" s="322">
        <f>Councils!T38</f>
        <v>0</v>
      </c>
      <c r="T35" s="322">
        <f>Councils!U38</f>
        <v>0</v>
      </c>
      <c r="U35" s="323">
        <f>Councils!V38</f>
        <v>0</v>
      </c>
      <c r="V35" s="376">
        <v>23</v>
      </c>
      <c r="W35" s="377">
        <f t="shared" si="0"/>
        <v>1</v>
      </c>
      <c r="X35" s="378" t="str">
        <f>IF(ISNA(VLOOKUP($A35,GA!$A$1:$D$834,3,0))," ",VLOOKUP($A35,GA!$A$1:$D$834,3,0))</f>
        <v>Stark</v>
      </c>
      <c r="Y35" s="379" t="str">
        <f>IF(ISNA(VLOOKUP($A35,Dormant_Councils!$A$1:$E$811,5,0)),"No",VLOOKUP($A35,Dormant_Councils!$A$1:$E$811,5,0))</f>
        <v>No</v>
      </c>
      <c r="Z35" s="381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22" t="str">
        <f>Councils!C39</f>
        <v>146</v>
      </c>
      <c r="C36" s="322" t="str">
        <f>Councils!D39</f>
        <v>Bryan</v>
      </c>
      <c r="D36" s="322" t="str">
        <f>IF(ISNA(VLOOKUP($V36,DD_Info!$A$1:$E$221,3,0)),0,VLOOKUP($V36,DD_Info!$A$1:$E$221,3,0))</f>
        <v>Austin</v>
      </c>
      <c r="E36" s="322">
        <f>Councils!E39</f>
        <v>265</v>
      </c>
      <c r="F36" s="322">
        <f>Councils!F39</f>
        <v>11</v>
      </c>
      <c r="G36" s="322">
        <f>Councils!G39</f>
        <v>0</v>
      </c>
      <c r="H36" s="322">
        <f>Councils!H39</f>
        <v>0</v>
      </c>
      <c r="I36" s="322">
        <f>Councils!I39</f>
        <v>0</v>
      </c>
      <c r="J36" s="322">
        <f>Councils!J39</f>
        <v>0</v>
      </c>
      <c r="K36" s="322">
        <f>Councils!K39</f>
        <v>0</v>
      </c>
      <c r="L36" s="322">
        <f>Councils!L39</f>
        <v>0</v>
      </c>
      <c r="M36" s="323">
        <f>Councils!M39</f>
        <v>0</v>
      </c>
      <c r="N36" s="322">
        <f>Councils!O39</f>
        <v>0</v>
      </c>
      <c r="O36" s="322">
        <f>Councils!P39</f>
        <v>0</v>
      </c>
      <c r="P36" s="322">
        <f>Councils!Q39</f>
        <v>0</v>
      </c>
      <c r="Q36" s="322">
        <f>Councils!R39</f>
        <v>0</v>
      </c>
      <c r="R36" s="322">
        <f>Councils!S39</f>
        <v>0</v>
      </c>
      <c r="S36" s="322">
        <f>Councils!T39</f>
        <v>1</v>
      </c>
      <c r="T36" s="322">
        <f>Councils!U39</f>
        <v>-1</v>
      </c>
      <c r="U36" s="323">
        <f>Councils!V39</f>
        <v>0</v>
      </c>
      <c r="V36" s="376">
        <v>146</v>
      </c>
      <c r="W36" s="377">
        <f t="shared" si="0"/>
        <v>1</v>
      </c>
      <c r="X36" s="378" t="str">
        <f>IF(ISNA(VLOOKUP($A36,GA!$A$1:$D$834,3,0))," ",VLOOKUP($A36,GA!$A$1:$D$834,3,0))</f>
        <v>Britten</v>
      </c>
      <c r="Y36" s="379" t="str">
        <f>IF(ISNA(VLOOKUP($A36,Dormant_Councils!$A$1:$E$811,5,0)),"No",VLOOKUP($A36,Dormant_Councils!$A$1:$E$811,5,0))</f>
        <v>No</v>
      </c>
      <c r="Z36" s="381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22" t="str">
        <f>Councils!C40</f>
        <v>030</v>
      </c>
      <c r="C37" s="322" t="str">
        <f>Councils!D40</f>
        <v>Pilot Point</v>
      </c>
      <c r="D37" s="322" t="str">
        <f>IF(ISNA(VLOOKUP($V37,DD_Info!$A$1:$E$221,3,0)),0,VLOOKUP($V37,DD_Info!$A$1:$E$221,3,0))</f>
        <v>Fort Worth</v>
      </c>
      <c r="E37" s="322">
        <f>Councils!E40</f>
        <v>151</v>
      </c>
      <c r="F37" s="322">
        <f>Councils!F40</f>
        <v>7</v>
      </c>
      <c r="G37" s="322">
        <f>Councils!G40</f>
        <v>0</v>
      </c>
      <c r="H37" s="322">
        <f>Councils!H40</f>
        <v>0</v>
      </c>
      <c r="I37" s="322">
        <f>Councils!I40</f>
        <v>0</v>
      </c>
      <c r="J37" s="322">
        <f>Councils!J40</f>
        <v>2</v>
      </c>
      <c r="K37" s="322">
        <f>Councils!K40</f>
        <v>1</v>
      </c>
      <c r="L37" s="322">
        <f>Councils!L40</f>
        <v>1</v>
      </c>
      <c r="M37" s="323">
        <f>Councils!M40</f>
        <v>14.29</v>
      </c>
      <c r="N37" s="322">
        <f>Councils!O40</f>
        <v>0</v>
      </c>
      <c r="O37" s="322">
        <f>Councils!P40</f>
        <v>0</v>
      </c>
      <c r="P37" s="322">
        <f>Councils!Q40</f>
        <v>0</v>
      </c>
      <c r="Q37" s="322">
        <f>Councils!R40</f>
        <v>0</v>
      </c>
      <c r="R37" s="322">
        <f>Councils!S40</f>
        <v>0</v>
      </c>
      <c r="S37" s="322">
        <f>Councils!T40</f>
        <v>0</v>
      </c>
      <c r="T37" s="322">
        <f>Councils!U40</f>
        <v>0</v>
      </c>
      <c r="U37" s="323">
        <f>Councils!V40</f>
        <v>0</v>
      </c>
      <c r="V37" s="376">
        <v>30</v>
      </c>
      <c r="W37" s="377">
        <f t="shared" si="0"/>
        <v>1</v>
      </c>
      <c r="X37" s="378" t="str">
        <f>IF(ISNA(VLOOKUP($A37,GA!$A$1:$D$834,3,0))," ",VLOOKUP($A37,GA!$A$1:$D$834,3,0))</f>
        <v>Stark</v>
      </c>
      <c r="Y37" s="379" t="str">
        <f>IF(ISNA(VLOOKUP($A37,Dormant_Councils!$A$1:$E$811,5,0)),"No",VLOOKUP($A37,Dormant_Councils!$A$1:$E$811,5,0))</f>
        <v>No</v>
      </c>
      <c r="Z37" s="381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22" t="str">
        <f>Councils!C41</f>
        <v>016</v>
      </c>
      <c r="C38" s="322" t="str">
        <f>Councils!D41</f>
        <v>Ranger</v>
      </c>
      <c r="D38" s="322" t="str">
        <f>IF(ISNA(VLOOKUP($V38,DD_Info!$A$1:$E$221,3,0)),0,VLOOKUP($V38,DD_Info!$A$1:$E$221,3,0))</f>
        <v>Fort Worth</v>
      </c>
      <c r="E38" s="322">
        <f>Councils!E41</f>
        <v>53</v>
      </c>
      <c r="F38" s="322">
        <f>Councils!F41</f>
        <v>3</v>
      </c>
      <c r="G38" s="322">
        <f>Councils!G41</f>
        <v>0</v>
      </c>
      <c r="H38" s="322">
        <f>Councils!H41</f>
        <v>0</v>
      </c>
      <c r="I38" s="322">
        <f>Councils!I41</f>
        <v>0</v>
      </c>
      <c r="J38" s="322">
        <f>Councils!J41</f>
        <v>0</v>
      </c>
      <c r="K38" s="322">
        <f>Councils!K41</f>
        <v>0</v>
      </c>
      <c r="L38" s="322">
        <f>Councils!L41</f>
        <v>0</v>
      </c>
      <c r="M38" s="323">
        <f>Councils!M41</f>
        <v>0</v>
      </c>
      <c r="N38" s="322">
        <f>Councils!O41</f>
        <v>0</v>
      </c>
      <c r="O38" s="322">
        <f>Councils!P41</f>
        <v>0</v>
      </c>
      <c r="P38" s="322">
        <f>Councils!Q41</f>
        <v>0</v>
      </c>
      <c r="Q38" s="322">
        <f>Councils!R41</f>
        <v>0</v>
      </c>
      <c r="R38" s="322">
        <f>Councils!S41</f>
        <v>0</v>
      </c>
      <c r="S38" s="322">
        <f>Councils!T41</f>
        <v>0</v>
      </c>
      <c r="T38" s="322">
        <f>Councils!U41</f>
        <v>0</v>
      </c>
      <c r="U38" s="323">
        <f>Councils!V41</f>
        <v>0</v>
      </c>
      <c r="V38" s="376">
        <v>16</v>
      </c>
      <c r="W38" s="377">
        <f t="shared" si="0"/>
        <v>3</v>
      </c>
      <c r="X38" s="378" t="str">
        <f>IF(ISNA(VLOOKUP($A38,GA!$A$1:$D$834,3,0))," ",VLOOKUP($A38,GA!$A$1:$D$834,3,0))</f>
        <v>Stark</v>
      </c>
      <c r="Y38" s="379" t="str">
        <f>IF(ISNA(VLOOKUP($A38,Dormant_Councils!$A$1:$E$811,5,0)),"No",VLOOKUP($A38,Dormant_Councils!$A$1:$E$811,5,0))</f>
        <v>No</v>
      </c>
      <c r="Z38" s="381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22" t="str">
        <f>Councils!C42</f>
        <v>224</v>
      </c>
      <c r="C39" s="322" t="str">
        <f>Councils!D42</f>
        <v>San Angelo</v>
      </c>
      <c r="D39" s="322" t="str">
        <f>IF(ISNA(VLOOKUP($V39,DD_Info!$A$1:$E$221,3,0)),0,VLOOKUP($V39,DD_Info!$A$1:$E$221,3,0))</f>
        <v>San Angelo</v>
      </c>
      <c r="E39" s="322">
        <f>Councils!E42</f>
        <v>193</v>
      </c>
      <c r="F39" s="322">
        <f>Councils!F42</f>
        <v>9</v>
      </c>
      <c r="G39" s="322">
        <f>Councils!G42</f>
        <v>0</v>
      </c>
      <c r="H39" s="322">
        <f>Councils!H42</f>
        <v>0</v>
      </c>
      <c r="I39" s="322">
        <f>Councils!I42</f>
        <v>0</v>
      </c>
      <c r="J39" s="322">
        <f>Councils!J42</f>
        <v>1</v>
      </c>
      <c r="K39" s="322">
        <f>Councils!K42</f>
        <v>0</v>
      </c>
      <c r="L39" s="322">
        <f>Councils!L42</f>
        <v>1</v>
      </c>
      <c r="M39" s="323">
        <f>Councils!M42</f>
        <v>11.11</v>
      </c>
      <c r="N39" s="322">
        <f>Councils!O42</f>
        <v>0</v>
      </c>
      <c r="O39" s="322">
        <f>Councils!P42</f>
        <v>0</v>
      </c>
      <c r="P39" s="322">
        <f>Councils!Q42</f>
        <v>0</v>
      </c>
      <c r="Q39" s="322">
        <f>Councils!R42</f>
        <v>0</v>
      </c>
      <c r="R39" s="322">
        <f>Councils!S42</f>
        <v>0</v>
      </c>
      <c r="S39" s="322">
        <f>Councils!T42</f>
        <v>1</v>
      </c>
      <c r="T39" s="322">
        <f>Councils!U42</f>
        <v>-1</v>
      </c>
      <c r="U39" s="323">
        <f>Councils!V42</f>
        <v>0</v>
      </c>
      <c r="V39" s="376">
        <v>224</v>
      </c>
      <c r="W39" s="377">
        <f t="shared" si="0"/>
        <v>1</v>
      </c>
      <c r="X39" s="378" t="str">
        <f>IF(ISNA(VLOOKUP($A39,GA!$A$1:$D$834,3,0))," ",VLOOKUP($A39,GA!$A$1:$D$834,3,0))</f>
        <v>Payne</v>
      </c>
      <c r="Y39" s="379" t="str">
        <f>IF(ISNA(VLOOKUP($A39,Dormant_Councils!$A$1:$E$811,5,0)),"No",VLOOKUP($A39,Dormant_Councils!$A$1:$E$811,5,0))</f>
        <v>No</v>
      </c>
      <c r="Z39" s="381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22" t="str">
        <f>Councils!C43</f>
        <v>190</v>
      </c>
      <c r="C40" s="322" t="str">
        <f>Councils!D43</f>
        <v>Weimar</v>
      </c>
      <c r="D40" s="322" t="str">
        <f>IF(ISNA(VLOOKUP($V40,DD_Info!$A$1:$E$221,3,0)),0,VLOOKUP($V40,DD_Info!$A$1:$E$221,3,0))</f>
        <v>Victoria</v>
      </c>
      <c r="E40" s="322">
        <f>Councils!E43</f>
        <v>262</v>
      </c>
      <c r="F40" s="322">
        <f>Councils!F43</f>
        <v>13</v>
      </c>
      <c r="G40" s="322">
        <f>Councils!G43</f>
        <v>0</v>
      </c>
      <c r="H40" s="322">
        <f>Councils!H43</f>
        <v>0</v>
      </c>
      <c r="I40" s="322">
        <f>Councils!I43</f>
        <v>0</v>
      </c>
      <c r="J40" s="322">
        <f>Councils!J43</f>
        <v>1</v>
      </c>
      <c r="K40" s="322">
        <f>Councils!K43</f>
        <v>0</v>
      </c>
      <c r="L40" s="322">
        <f>Councils!L43</f>
        <v>1</v>
      </c>
      <c r="M40" s="323">
        <f>Councils!M43</f>
        <v>7.69</v>
      </c>
      <c r="N40" s="322">
        <f>Councils!O43</f>
        <v>0</v>
      </c>
      <c r="O40" s="322">
        <f>Councils!P43</f>
        <v>0</v>
      </c>
      <c r="P40" s="322">
        <f>Councils!Q43</f>
        <v>0</v>
      </c>
      <c r="Q40" s="322">
        <f>Councils!R43</f>
        <v>0</v>
      </c>
      <c r="R40" s="322">
        <f>Councils!S43</f>
        <v>1</v>
      </c>
      <c r="S40" s="322">
        <f>Councils!T43</f>
        <v>0</v>
      </c>
      <c r="T40" s="322">
        <f>Councils!U43</f>
        <v>1</v>
      </c>
      <c r="U40" s="323">
        <f>Councils!V43</f>
        <v>0</v>
      </c>
      <c r="V40" s="376">
        <v>190</v>
      </c>
      <c r="W40" s="377">
        <f t="shared" si="0"/>
        <v>1</v>
      </c>
      <c r="X40" s="378" t="str">
        <f>IF(ISNA(VLOOKUP($A40,GA!$A$1:$D$834,3,0))," ",VLOOKUP($A40,GA!$A$1:$D$834,3,0))</f>
        <v>Supak</v>
      </c>
      <c r="Y40" s="379" t="str">
        <f>IF(ISNA(VLOOKUP($A40,Dormant_Councils!$A$1:$E$811,5,0)),"No",VLOOKUP($A40,Dormant_Councils!$A$1:$E$811,5,0))</f>
        <v>No</v>
      </c>
      <c r="Z40" s="381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22" t="str">
        <f>Councils!C44</f>
        <v>228</v>
      </c>
      <c r="C41" s="322" t="str">
        <f>Councils!D44</f>
        <v>Abilene</v>
      </c>
      <c r="D41" s="322" t="str">
        <f>IF(ISNA(VLOOKUP($V41,DD_Info!$A$1:$E$221,3,0)),0,VLOOKUP($V41,DD_Info!$A$1:$E$221,3,0))</f>
        <v>San Angelo</v>
      </c>
      <c r="E41" s="322">
        <f>Councils!E44</f>
        <v>195</v>
      </c>
      <c r="F41" s="322">
        <f>Councils!F44</f>
        <v>9</v>
      </c>
      <c r="G41" s="322">
        <f>Councils!G44</f>
        <v>0</v>
      </c>
      <c r="H41" s="322">
        <f>Councils!H44</f>
        <v>0</v>
      </c>
      <c r="I41" s="322">
        <f>Councils!I44</f>
        <v>0</v>
      </c>
      <c r="J41" s="322">
        <f>Councils!J44</f>
        <v>1</v>
      </c>
      <c r="K41" s="322">
        <f>Councils!K44</f>
        <v>0</v>
      </c>
      <c r="L41" s="322">
        <f>Councils!L44</f>
        <v>1</v>
      </c>
      <c r="M41" s="323">
        <f>Councils!M44</f>
        <v>11.11</v>
      </c>
      <c r="N41" s="322">
        <f>Councils!O44</f>
        <v>0</v>
      </c>
      <c r="O41" s="322">
        <f>Councils!P44</f>
        <v>0</v>
      </c>
      <c r="P41" s="322">
        <f>Councils!Q44</f>
        <v>0</v>
      </c>
      <c r="Q41" s="322">
        <f>Councils!R44</f>
        <v>0</v>
      </c>
      <c r="R41" s="322">
        <f>Councils!S44</f>
        <v>0</v>
      </c>
      <c r="S41" s="322">
        <f>Councils!T44</f>
        <v>0</v>
      </c>
      <c r="T41" s="322">
        <f>Councils!U44</f>
        <v>0</v>
      </c>
      <c r="U41" s="323">
        <f>Councils!V44</f>
        <v>0</v>
      </c>
      <c r="V41" s="376">
        <v>228</v>
      </c>
      <c r="W41" s="377">
        <f t="shared" si="0"/>
        <v>1</v>
      </c>
      <c r="X41" s="378" t="str">
        <f>IF(ISNA(VLOOKUP($A41,GA!$A$1:$D$834,3,0))," ",VLOOKUP($A41,GA!$A$1:$D$834,3,0))</f>
        <v>Payne</v>
      </c>
      <c r="Y41" s="379" t="str">
        <f>IF(ISNA(VLOOKUP($A41,Dormant_Councils!$A$1:$E$811,5,0)),"No",VLOOKUP($A41,Dormant_Councils!$A$1:$E$811,5,0))</f>
        <v>No</v>
      </c>
      <c r="Z41" s="381" t="str">
        <f>IF(ISNA(VLOOKUP($A41,SUSPENDED!$A$2:$F$837,6,0))," ",VLOOKUP($A41,SUSPENDED!$A$2:$F$837,6,0))</f>
        <v xml:space="preserve"> </v>
      </c>
    </row>
    <row r="42" spans="1:26" s="51" customFormat="1" ht="29.1" customHeight="1" thickBot="1">
      <c r="A42" s="45">
        <v>2304</v>
      </c>
      <c r="B42" s="322" t="str">
        <f>Councils!C45</f>
        <v>232</v>
      </c>
      <c r="C42" s="322" t="str">
        <f>Councils!D45</f>
        <v>Laredo</v>
      </c>
      <c r="D42" s="322" t="str">
        <f>IF(ISNA(VLOOKUP($V42,DD_Info!$A$1:$E$221,3,0)),0,VLOOKUP($V42,DD_Info!$A$1:$E$221,3,0))</f>
        <v>Laredo</v>
      </c>
      <c r="E42" s="322">
        <f>Councils!E45</f>
        <v>81</v>
      </c>
      <c r="F42" s="322">
        <f>Councils!F45</f>
        <v>4</v>
      </c>
      <c r="G42" s="322">
        <f>Councils!G45</f>
        <v>0</v>
      </c>
      <c r="H42" s="322">
        <f>Councils!H45</f>
        <v>0</v>
      </c>
      <c r="I42" s="322">
        <f>Councils!I45</f>
        <v>0</v>
      </c>
      <c r="J42" s="322">
        <f>Councils!J45</f>
        <v>1</v>
      </c>
      <c r="K42" s="322">
        <f>Councils!K45</f>
        <v>0</v>
      </c>
      <c r="L42" s="322">
        <f>Councils!L45</f>
        <v>1</v>
      </c>
      <c r="M42" s="323">
        <f>Councils!M45</f>
        <v>25</v>
      </c>
      <c r="N42" s="322">
        <f>Councils!O45</f>
        <v>0</v>
      </c>
      <c r="O42" s="322">
        <f>Councils!P45</f>
        <v>0</v>
      </c>
      <c r="P42" s="322">
        <f>Councils!Q45</f>
        <v>0</v>
      </c>
      <c r="Q42" s="322">
        <f>Councils!R45</f>
        <v>0</v>
      </c>
      <c r="R42" s="322">
        <f>Councils!S45</f>
        <v>0</v>
      </c>
      <c r="S42" s="322">
        <f>Councils!T45</f>
        <v>0</v>
      </c>
      <c r="T42" s="322">
        <f>Councils!U45</f>
        <v>0</v>
      </c>
      <c r="U42" s="323">
        <f>Councils!V45</f>
        <v>0</v>
      </c>
      <c r="V42" s="376">
        <v>232</v>
      </c>
      <c r="W42" s="377">
        <f t="shared" si="0"/>
        <v>2</v>
      </c>
      <c r="X42" s="378" t="str">
        <f>IF(ISNA(VLOOKUP($A42,GA!$A$1:$D$834,3,0))," ",VLOOKUP($A42,GA!$A$1:$D$834,3,0))</f>
        <v>Carlin</v>
      </c>
      <c r="Y42" s="379" t="str">
        <f>IF(ISNA(VLOOKUP($A42,Dormant_Councils!$A$1:$E$811,5,0)),"No",VLOOKUP($A42,Dormant_Councils!$A$1:$E$811,5,0))</f>
        <v>No</v>
      </c>
      <c r="Z42" s="381" t="str">
        <f>IF(ISNA(VLOOKUP($A42,SUSPENDED!$A$2:$F$837,6,0))," ",VLOOKUP($A42,SUSPENDED!$A$2:$F$837,6,0))</f>
        <v xml:space="preserve"> </v>
      </c>
    </row>
    <row r="43" spans="1:26" ht="29.1" customHeight="1" thickBot="1">
      <c r="A43" s="45">
        <v>2305</v>
      </c>
      <c r="B43" s="322" t="str">
        <f>Councils!C46</f>
        <v>141</v>
      </c>
      <c r="C43" s="322" t="str">
        <f>Councils!D46</f>
        <v>West</v>
      </c>
      <c r="D43" s="322" t="str">
        <f>IF(ISNA(VLOOKUP($V43,DD_Info!$A$1:$E$221,3,0)),0,VLOOKUP($V43,DD_Info!$A$1:$E$221,3,0))</f>
        <v>Austin</v>
      </c>
      <c r="E43" s="322">
        <f>Councils!E46</f>
        <v>506</v>
      </c>
      <c r="F43" s="322">
        <f>Councils!F46</f>
        <v>20</v>
      </c>
      <c r="G43" s="322">
        <f>Councils!G46</f>
        <v>0</v>
      </c>
      <c r="H43" s="322">
        <f>Councils!H46</f>
        <v>0</v>
      </c>
      <c r="I43" s="322">
        <f>Councils!I46</f>
        <v>0</v>
      </c>
      <c r="J43" s="322">
        <f>Councils!J46</f>
        <v>2</v>
      </c>
      <c r="K43" s="322">
        <f>Councils!K46</f>
        <v>0</v>
      </c>
      <c r="L43" s="322">
        <f>Councils!L46</f>
        <v>2</v>
      </c>
      <c r="M43" s="323">
        <f>Councils!M46</f>
        <v>10</v>
      </c>
      <c r="N43" s="322">
        <f>Councils!O46</f>
        <v>0</v>
      </c>
      <c r="O43" s="322">
        <f>Councils!P46</f>
        <v>0</v>
      </c>
      <c r="P43" s="322">
        <f>Councils!Q46</f>
        <v>1</v>
      </c>
      <c r="Q43" s="322">
        <f>Councils!R46</f>
        <v>-1</v>
      </c>
      <c r="R43" s="322">
        <f>Councils!S46</f>
        <v>1</v>
      </c>
      <c r="S43" s="322">
        <f>Councils!T46</f>
        <v>1</v>
      </c>
      <c r="T43" s="322">
        <f>Councils!U46</f>
        <v>0</v>
      </c>
      <c r="U43" s="323">
        <f>Councils!V46</f>
        <v>0</v>
      </c>
      <c r="V43" s="376">
        <v>141</v>
      </c>
      <c r="W43" s="377">
        <f t="shared" si="0"/>
        <v>1</v>
      </c>
      <c r="X43" s="378" t="str">
        <f>IF(ISNA(VLOOKUP($A43,GA!$A$1:$D$834,3,0))," ",VLOOKUP($A43,GA!$A$1:$D$834,3,0))</f>
        <v>Britten</v>
      </c>
      <c r="Y43" s="379" t="str">
        <f>IF(ISNA(VLOOKUP($A43,Dormant_Councils!$A$1:$E$811,5,0)),"No",VLOOKUP($A43,Dormant_Councils!$A$1:$E$811,5,0))</f>
        <v>No</v>
      </c>
      <c r="Z43" s="381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22" t="str">
        <f>Councils!C47</f>
        <v>Unassigned</v>
      </c>
      <c r="C44" s="322" t="str">
        <f>Councils!D47</f>
        <v>Cameron</v>
      </c>
      <c r="D44" s="322">
        <f>IF(ISNA(VLOOKUP($V44,DD_Info!$A$1:$E$221,3,0)),0,VLOOKUP($V44,DD_Info!$A$1:$E$221,3,0))</f>
        <v>0</v>
      </c>
      <c r="E44" s="322">
        <f>Councils!E47</f>
        <v>0</v>
      </c>
      <c r="F44" s="322">
        <f>Councils!F47</f>
        <v>0</v>
      </c>
      <c r="G44" s="322">
        <f>Councils!G47</f>
        <v>0</v>
      </c>
      <c r="H44" s="322">
        <f>Councils!H47</f>
        <v>0</v>
      </c>
      <c r="I44" s="322">
        <f>Councils!I47</f>
        <v>0</v>
      </c>
      <c r="J44" s="322">
        <f>Councils!J47</f>
        <v>0</v>
      </c>
      <c r="K44" s="322">
        <f>Councils!K47</f>
        <v>0</v>
      </c>
      <c r="L44" s="322">
        <f>Councils!L47</f>
        <v>0</v>
      </c>
      <c r="M44" s="323">
        <f>Councils!M47</f>
        <v>0</v>
      </c>
      <c r="N44" s="322">
        <f>Councils!O47</f>
        <v>0</v>
      </c>
      <c r="O44" s="322">
        <f>Councils!P47</f>
        <v>0</v>
      </c>
      <c r="P44" s="322">
        <f>Councils!Q47</f>
        <v>0</v>
      </c>
      <c r="Q44" s="322">
        <f>Councils!R47</f>
        <v>0</v>
      </c>
      <c r="R44" s="322">
        <f>Councils!S47</f>
        <v>0</v>
      </c>
      <c r="S44" s="322">
        <f>Councils!T47</f>
        <v>0</v>
      </c>
      <c r="T44" s="322">
        <f>Councils!U47</f>
        <v>0</v>
      </c>
      <c r="U44" s="323">
        <f>Councils!V47</f>
        <v>0</v>
      </c>
      <c r="V44" s="45" t="s">
        <v>93</v>
      </c>
      <c r="W44" s="377">
        <f t="shared" si="0"/>
        <v>3</v>
      </c>
      <c r="X44" s="378" t="str">
        <f>IF(ISNA(VLOOKUP($A44,GA!$A$1:$D$834,3,0))," ",VLOOKUP($A44,GA!$A$1:$D$834,3,0))</f>
        <v xml:space="preserve"> </v>
      </c>
      <c r="Y44" s="379" t="str">
        <f>IF(ISNA(VLOOKUP($A44,Dormant_Councils!$A$1:$E$811,5,0)),"No",VLOOKUP($A44,Dormant_Councils!$A$1:$E$811,5,0))</f>
        <v>No</v>
      </c>
      <c r="Z44" s="381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22" t="str">
        <f>Councils!C48</f>
        <v>191</v>
      </c>
      <c r="C45" s="322" t="str">
        <f>Councils!D48</f>
        <v>Hallettsville</v>
      </c>
      <c r="D45" s="322" t="str">
        <f>IF(ISNA(VLOOKUP($V45,DD_Info!$A$1:$E$221,3,0)),0,VLOOKUP($V45,DD_Info!$A$1:$E$221,3,0))</f>
        <v>Victoria</v>
      </c>
      <c r="E45" s="322">
        <f>Councils!E48</f>
        <v>655</v>
      </c>
      <c r="F45" s="322">
        <f>Councils!F48</f>
        <v>20</v>
      </c>
      <c r="G45" s="322">
        <f>Councils!G48</f>
        <v>0</v>
      </c>
      <c r="H45" s="322">
        <f>Councils!H48</f>
        <v>0</v>
      </c>
      <c r="I45" s="322">
        <f>Councils!I48</f>
        <v>0</v>
      </c>
      <c r="J45" s="322">
        <f>Councils!J48</f>
        <v>2</v>
      </c>
      <c r="K45" s="322">
        <f>Councils!K48</f>
        <v>0</v>
      </c>
      <c r="L45" s="322">
        <f>Councils!L48</f>
        <v>2</v>
      </c>
      <c r="M45" s="323">
        <f>Councils!M48</f>
        <v>10</v>
      </c>
      <c r="N45" s="322">
        <f>Councils!O48</f>
        <v>0</v>
      </c>
      <c r="O45" s="322">
        <f>Councils!P48</f>
        <v>0</v>
      </c>
      <c r="P45" s="322">
        <f>Councils!Q48</f>
        <v>0</v>
      </c>
      <c r="Q45" s="322">
        <f>Councils!R48</f>
        <v>0</v>
      </c>
      <c r="R45" s="322">
        <f>Councils!S48</f>
        <v>1</v>
      </c>
      <c r="S45" s="322">
        <f>Councils!T48</f>
        <v>1</v>
      </c>
      <c r="T45" s="322">
        <f>Councils!U48</f>
        <v>0</v>
      </c>
      <c r="U45" s="323">
        <f>Councils!V48</f>
        <v>0</v>
      </c>
      <c r="V45" s="376">
        <v>191</v>
      </c>
      <c r="W45" s="377">
        <f t="shared" si="0"/>
        <v>1</v>
      </c>
      <c r="X45" s="378" t="str">
        <f>IF(ISNA(VLOOKUP($A45,GA!$A$1:$D$834,3,0))," ",VLOOKUP($A45,GA!$A$1:$D$834,3,0))</f>
        <v>Supak</v>
      </c>
      <c r="Y45" s="379" t="str">
        <f>IF(ISNA(VLOOKUP($A45,Dormant_Councils!$A$1:$E$811,5,0)),"No",VLOOKUP($A45,Dormant_Councils!$A$1:$E$811,5,0))</f>
        <v>No</v>
      </c>
      <c r="Z45" s="381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22" t="str">
        <f>Councils!C49</f>
        <v>122</v>
      </c>
      <c r="C46" s="322" t="str">
        <f>Councils!D49</f>
        <v>Port Neches</v>
      </c>
      <c r="D46" s="322" t="str">
        <f>IF(ISNA(VLOOKUP($V46,DD_Info!$A$1:$E$221,3,0)),0,VLOOKUP($V46,DD_Info!$A$1:$E$221,3,0))</f>
        <v>Beaumont</v>
      </c>
      <c r="E46" s="322">
        <f>Councils!E49</f>
        <v>212</v>
      </c>
      <c r="F46" s="322">
        <f>Councils!F49</f>
        <v>10</v>
      </c>
      <c r="G46" s="322">
        <f>Councils!G49</f>
        <v>0</v>
      </c>
      <c r="H46" s="322">
        <f>Councils!H49</f>
        <v>0</v>
      </c>
      <c r="I46" s="322">
        <f>Councils!I49</f>
        <v>0</v>
      </c>
      <c r="J46" s="322">
        <f>Councils!J49</f>
        <v>2</v>
      </c>
      <c r="K46" s="322">
        <f>Councils!K49</f>
        <v>0</v>
      </c>
      <c r="L46" s="322">
        <f>Councils!L49</f>
        <v>2</v>
      </c>
      <c r="M46" s="323">
        <f>Councils!M49</f>
        <v>20</v>
      </c>
      <c r="N46" s="322">
        <f>Councils!O49</f>
        <v>0</v>
      </c>
      <c r="O46" s="322">
        <f>Councils!P49</f>
        <v>0</v>
      </c>
      <c r="P46" s="322">
        <f>Councils!Q49</f>
        <v>0</v>
      </c>
      <c r="Q46" s="322">
        <f>Councils!R49</f>
        <v>0</v>
      </c>
      <c r="R46" s="322">
        <f>Councils!S49</f>
        <v>0</v>
      </c>
      <c r="S46" s="322">
        <f>Councils!T49</f>
        <v>0</v>
      </c>
      <c r="T46" s="322">
        <f>Councils!U49</f>
        <v>0</v>
      </c>
      <c r="U46" s="323">
        <f>Councils!V49</f>
        <v>0</v>
      </c>
      <c r="V46" s="376">
        <v>122</v>
      </c>
      <c r="W46" s="377">
        <f t="shared" si="0"/>
        <v>1</v>
      </c>
      <c r="X46" s="378" t="str">
        <f>IF(ISNA(VLOOKUP($A46,GA!$A$1:$D$834,3,0))," ",VLOOKUP($A46,GA!$A$1:$D$834,3,0))</f>
        <v>Rangel</v>
      </c>
      <c r="Y46" s="379" t="str">
        <f>IF(ISNA(VLOOKUP($A46,Dormant_Councils!$A$1:$E$811,5,0)),"No",VLOOKUP($A46,Dormant_Councils!$A$1:$E$811,5,0))</f>
        <v>No</v>
      </c>
      <c r="Z46" s="381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22" t="str">
        <f>Councils!C50</f>
        <v>192</v>
      </c>
      <c r="C47" s="322" t="str">
        <f>Councils!D50</f>
        <v>Yorktown</v>
      </c>
      <c r="D47" s="322" t="str">
        <f>IF(ISNA(VLOOKUP($V47,DD_Info!$A$1:$E$221,3,0)),0,VLOOKUP($V47,DD_Info!$A$1:$E$221,3,0))</f>
        <v>Victoria</v>
      </c>
      <c r="E47" s="322">
        <f>Councils!E50</f>
        <v>57</v>
      </c>
      <c r="F47" s="322">
        <f>Councils!F50</f>
        <v>3</v>
      </c>
      <c r="G47" s="322">
        <f>Councils!G50</f>
        <v>0</v>
      </c>
      <c r="H47" s="322">
        <f>Councils!H50</f>
        <v>0</v>
      </c>
      <c r="I47" s="322">
        <f>Councils!I50</f>
        <v>0</v>
      </c>
      <c r="J47" s="322">
        <f>Councils!J50</f>
        <v>0</v>
      </c>
      <c r="K47" s="322">
        <f>Councils!K50</f>
        <v>0</v>
      </c>
      <c r="L47" s="322">
        <f>Councils!L50</f>
        <v>0</v>
      </c>
      <c r="M47" s="323">
        <f>Councils!M50</f>
        <v>0</v>
      </c>
      <c r="N47" s="322">
        <f>Councils!O50</f>
        <v>0</v>
      </c>
      <c r="O47" s="322">
        <f>Councils!P50</f>
        <v>0</v>
      </c>
      <c r="P47" s="322">
        <f>Councils!Q50</f>
        <v>0</v>
      </c>
      <c r="Q47" s="322">
        <f>Councils!R50</f>
        <v>0</v>
      </c>
      <c r="R47" s="322">
        <f>Councils!S50</f>
        <v>0</v>
      </c>
      <c r="S47" s="322">
        <f>Councils!T50</f>
        <v>1</v>
      </c>
      <c r="T47" s="322">
        <f>Councils!U50</f>
        <v>-1</v>
      </c>
      <c r="U47" s="323">
        <f>Councils!V50</f>
        <v>0</v>
      </c>
      <c r="V47" s="376">
        <v>192</v>
      </c>
      <c r="W47" s="377">
        <f t="shared" si="0"/>
        <v>3</v>
      </c>
      <c r="X47" s="378" t="str">
        <f>IF(ISNA(VLOOKUP($A47,GA!$A$1:$D$834,3,0))," ",VLOOKUP($A47,GA!$A$1:$D$834,3,0))</f>
        <v>Supak</v>
      </c>
      <c r="Y47" s="379" t="str">
        <f>IF(ISNA(VLOOKUP($A47,Dormant_Councils!$A$1:$E$811,5,0)),"No",VLOOKUP($A47,Dormant_Councils!$A$1:$E$811,5,0))</f>
        <v>No</v>
      </c>
      <c r="Z47" s="381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22" t="str">
        <f>Councils!C51</f>
        <v>188</v>
      </c>
      <c r="C48" s="322" t="str">
        <f>Councils!D51</f>
        <v>El Campo</v>
      </c>
      <c r="D48" s="322" t="str">
        <f>IF(ISNA(VLOOKUP($V48,DD_Info!$A$1:$E$221,3,0)),0,VLOOKUP($V48,DD_Info!$A$1:$E$221,3,0))</f>
        <v>Victoria</v>
      </c>
      <c r="E48" s="322">
        <f>Councils!E51</f>
        <v>491</v>
      </c>
      <c r="F48" s="322">
        <f>Councils!F51</f>
        <v>20</v>
      </c>
      <c r="G48" s="322">
        <f>Councils!G51</f>
        <v>0</v>
      </c>
      <c r="H48" s="322">
        <f>Councils!H51</f>
        <v>0</v>
      </c>
      <c r="I48" s="322">
        <f>Councils!I51</f>
        <v>0</v>
      </c>
      <c r="J48" s="322">
        <f>Councils!J51</f>
        <v>0</v>
      </c>
      <c r="K48" s="322">
        <f>Councils!K51</f>
        <v>2</v>
      </c>
      <c r="L48" s="322">
        <f>Councils!L51</f>
        <v>-2</v>
      </c>
      <c r="M48" s="323">
        <f>Councils!M51</f>
        <v>0</v>
      </c>
      <c r="N48" s="322">
        <f>Councils!O51</f>
        <v>0</v>
      </c>
      <c r="O48" s="322">
        <f>Councils!P51</f>
        <v>0</v>
      </c>
      <c r="P48" s="322">
        <f>Councils!Q51</f>
        <v>1</v>
      </c>
      <c r="Q48" s="322">
        <f>Councils!R51</f>
        <v>-1</v>
      </c>
      <c r="R48" s="322">
        <f>Councils!S51</f>
        <v>0</v>
      </c>
      <c r="S48" s="322">
        <f>Councils!T51</f>
        <v>1</v>
      </c>
      <c r="T48" s="322">
        <f>Councils!U51</f>
        <v>-1</v>
      </c>
      <c r="U48" s="323">
        <f>Councils!V51</f>
        <v>0</v>
      </c>
      <c r="V48" s="376">
        <v>188</v>
      </c>
      <c r="W48" s="377">
        <f t="shared" si="0"/>
        <v>1</v>
      </c>
      <c r="X48" s="378" t="str">
        <f>IF(ISNA(VLOOKUP($A48,GA!$A$1:$D$834,3,0))," ",VLOOKUP($A48,GA!$A$1:$D$834,3,0))</f>
        <v>Supak</v>
      </c>
      <c r="Y48" s="379" t="str">
        <f>IF(ISNA(VLOOKUP($A48,Dormant_Councils!$A$1:$E$811,5,0)),"No",VLOOKUP($A48,Dormant_Councils!$A$1:$E$811,5,0))</f>
        <v>No</v>
      </c>
      <c r="Z48" s="381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22" t="str">
        <f>Councils!C52</f>
        <v>189</v>
      </c>
      <c r="C49" s="322" t="str">
        <f>Councils!D52</f>
        <v>East Bernard</v>
      </c>
      <c r="D49" s="322" t="str">
        <f>IF(ISNA(VLOOKUP($V49,DD_Info!$A$1:$E$221,3,0)),0,VLOOKUP($V49,DD_Info!$A$1:$E$221,3,0))</f>
        <v>Victoria</v>
      </c>
      <c r="E49" s="322">
        <f>Councils!E52</f>
        <v>253</v>
      </c>
      <c r="F49" s="322">
        <f>Councils!F52</f>
        <v>12</v>
      </c>
      <c r="G49" s="322">
        <f>Councils!G52</f>
        <v>0</v>
      </c>
      <c r="H49" s="322">
        <f>Councils!H52</f>
        <v>0</v>
      </c>
      <c r="I49" s="322">
        <f>Councils!I52</f>
        <v>0</v>
      </c>
      <c r="J49" s="322">
        <f>Councils!J52</f>
        <v>0</v>
      </c>
      <c r="K49" s="322">
        <f>Councils!K52</f>
        <v>0</v>
      </c>
      <c r="L49" s="322">
        <f>Councils!L52</f>
        <v>0</v>
      </c>
      <c r="M49" s="323">
        <f>Councils!M52</f>
        <v>0</v>
      </c>
      <c r="N49" s="322">
        <f>Councils!O52</f>
        <v>0</v>
      </c>
      <c r="O49" s="322">
        <f>Councils!P52</f>
        <v>0</v>
      </c>
      <c r="P49" s="322">
        <f>Councils!Q52</f>
        <v>0</v>
      </c>
      <c r="Q49" s="322">
        <f>Councils!R52</f>
        <v>0</v>
      </c>
      <c r="R49" s="322">
        <f>Councils!S52</f>
        <v>0</v>
      </c>
      <c r="S49" s="322">
        <f>Councils!T52</f>
        <v>2</v>
      </c>
      <c r="T49" s="322">
        <f>Councils!U52</f>
        <v>-2</v>
      </c>
      <c r="U49" s="323">
        <f>Councils!V52</f>
        <v>0</v>
      </c>
      <c r="V49" s="376">
        <v>189</v>
      </c>
      <c r="W49" s="377">
        <f t="shared" si="0"/>
        <v>1</v>
      </c>
      <c r="X49" s="378" t="str">
        <f>IF(ISNA(VLOOKUP($A49,GA!$A$1:$D$834,3,0))," ",VLOOKUP($A49,GA!$A$1:$D$834,3,0))</f>
        <v>Supak</v>
      </c>
      <c r="Y49" s="379" t="str">
        <f>IF(ISNA(VLOOKUP($A49,Dormant_Councils!$A$1:$E$811,5,0)),"No",VLOOKUP($A49,Dormant_Councils!$A$1:$E$811,5,0))</f>
        <v>No</v>
      </c>
      <c r="Z49" s="381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22" t="str">
        <f>Councils!C53</f>
        <v>056</v>
      </c>
      <c r="C50" s="322" t="str">
        <f>Councils!D53</f>
        <v>Falls City</v>
      </c>
      <c r="D50" s="322" t="str">
        <f>IF(ISNA(VLOOKUP($V50,DD_Info!$A$1:$E$221,3,0)),0,VLOOKUP($V50,DD_Info!$A$1:$E$221,3,0))</f>
        <v>San Antonio</v>
      </c>
      <c r="E50" s="322">
        <f>Councils!E53</f>
        <v>77</v>
      </c>
      <c r="F50" s="322">
        <f>Councils!F53</f>
        <v>4</v>
      </c>
      <c r="G50" s="322">
        <f>Councils!G53</f>
        <v>0</v>
      </c>
      <c r="H50" s="322">
        <f>Councils!H53</f>
        <v>0</v>
      </c>
      <c r="I50" s="322">
        <f>Councils!I53</f>
        <v>0</v>
      </c>
      <c r="J50" s="322">
        <f>Councils!J53</f>
        <v>0</v>
      </c>
      <c r="K50" s="322">
        <f>Councils!K53</f>
        <v>0</v>
      </c>
      <c r="L50" s="322">
        <f>Councils!L53</f>
        <v>0</v>
      </c>
      <c r="M50" s="323">
        <f>Councils!M53</f>
        <v>0</v>
      </c>
      <c r="N50" s="322">
        <f>Councils!O53</f>
        <v>0</v>
      </c>
      <c r="O50" s="322">
        <f>Councils!P53</f>
        <v>0</v>
      </c>
      <c r="P50" s="322">
        <f>Councils!Q53</f>
        <v>0</v>
      </c>
      <c r="Q50" s="322">
        <f>Councils!R53</f>
        <v>0</v>
      </c>
      <c r="R50" s="322">
        <f>Councils!S53</f>
        <v>0</v>
      </c>
      <c r="S50" s="322">
        <f>Councils!T53</f>
        <v>0</v>
      </c>
      <c r="T50" s="322">
        <f>Councils!U53</f>
        <v>0</v>
      </c>
      <c r="U50" s="323">
        <f>Councils!V53</f>
        <v>0</v>
      </c>
      <c r="V50" s="376">
        <v>56</v>
      </c>
      <c r="W50" s="377">
        <f t="shared" si="0"/>
        <v>2</v>
      </c>
      <c r="X50" s="378" t="str">
        <f>IF(ISNA(VLOOKUP($A50,GA!$A$1:$D$834,3,0))," ",VLOOKUP($A50,GA!$A$1:$D$834,3,0))</f>
        <v>Dougherty</v>
      </c>
      <c r="Y50" s="379" t="str">
        <f>IF(ISNA(VLOOKUP($A50,Dormant_Councils!$A$1:$E$811,5,0)),"No",VLOOKUP($A50,Dormant_Councils!$A$1:$E$811,5,0))</f>
        <v>No</v>
      </c>
      <c r="Z50" s="381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22" t="str">
        <f>Councils!C54</f>
        <v>231</v>
      </c>
      <c r="C51" s="322" t="str">
        <f>Councils!D54</f>
        <v>Eagle Pass</v>
      </c>
      <c r="D51" s="322" t="str">
        <f>IF(ISNA(VLOOKUP($V51,DD_Info!$A$1:$E$221,3,0)),0,VLOOKUP($V51,DD_Info!$A$1:$E$221,3,0))</f>
        <v>Laredo</v>
      </c>
      <c r="E51" s="322">
        <f>Councils!E54</f>
        <v>187</v>
      </c>
      <c r="F51" s="322">
        <f>Councils!F54</f>
        <v>9</v>
      </c>
      <c r="G51" s="322">
        <f>Councils!G54</f>
        <v>0</v>
      </c>
      <c r="H51" s="322">
        <f>Councils!H54</f>
        <v>0</v>
      </c>
      <c r="I51" s="322">
        <f>Councils!I54</f>
        <v>0</v>
      </c>
      <c r="J51" s="322">
        <f>Councils!J54</f>
        <v>1</v>
      </c>
      <c r="K51" s="322">
        <f>Councils!K54</f>
        <v>21</v>
      </c>
      <c r="L51" s="322">
        <f>Councils!L54</f>
        <v>-20</v>
      </c>
      <c r="M51" s="323">
        <f>Councils!M54</f>
        <v>0</v>
      </c>
      <c r="N51" s="322">
        <f>Councils!O54</f>
        <v>0</v>
      </c>
      <c r="O51" s="322">
        <f>Councils!P54</f>
        <v>0</v>
      </c>
      <c r="P51" s="322">
        <f>Councils!Q54</f>
        <v>0</v>
      </c>
      <c r="Q51" s="322">
        <f>Councils!R54</f>
        <v>0</v>
      </c>
      <c r="R51" s="322">
        <f>Councils!S54</f>
        <v>0</v>
      </c>
      <c r="S51" s="322">
        <f>Councils!T54</f>
        <v>1</v>
      </c>
      <c r="T51" s="322">
        <f>Councils!U54</f>
        <v>-1</v>
      </c>
      <c r="U51" s="323">
        <f>Councils!V54</f>
        <v>0</v>
      </c>
      <c r="V51" s="376">
        <v>231</v>
      </c>
      <c r="W51" s="377">
        <f t="shared" si="0"/>
        <v>1</v>
      </c>
      <c r="X51" s="378" t="str">
        <f>IF(ISNA(VLOOKUP($A51,GA!$A$1:$D$834,3,0))," ",VLOOKUP($A51,GA!$A$1:$D$834,3,0))</f>
        <v>Carlin</v>
      </c>
      <c r="Y51" s="379" t="str">
        <f>IF(ISNA(VLOOKUP($A51,Dormant_Councils!$A$1:$E$811,5,0)),"No",VLOOKUP($A51,Dormant_Councils!$A$1:$E$811,5,0))</f>
        <v>No</v>
      </c>
      <c r="Z51" s="381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22" t="str">
        <f>Councils!C55</f>
        <v>162</v>
      </c>
      <c r="C52" s="322" t="str">
        <f>Councils!D55</f>
        <v>Austin</v>
      </c>
      <c r="D52" s="322" t="str">
        <f>IF(ISNA(VLOOKUP($V52,DD_Info!$A$1:$E$221,3,0)),0,VLOOKUP($V52,DD_Info!$A$1:$E$221,3,0))</f>
        <v>Austin</v>
      </c>
      <c r="E52" s="322">
        <f>Councils!E55</f>
        <v>72</v>
      </c>
      <c r="F52" s="322">
        <f>Councils!F55</f>
        <v>4</v>
      </c>
      <c r="G52" s="322">
        <f>Councils!G55</f>
        <v>0</v>
      </c>
      <c r="H52" s="322">
        <f>Councils!H55</f>
        <v>0</v>
      </c>
      <c r="I52" s="322">
        <f>Councils!I55</f>
        <v>0</v>
      </c>
      <c r="J52" s="322">
        <f>Councils!J55</f>
        <v>0</v>
      </c>
      <c r="K52" s="322">
        <f>Councils!K55</f>
        <v>0</v>
      </c>
      <c r="L52" s="322">
        <f>Councils!L55</f>
        <v>0</v>
      </c>
      <c r="M52" s="323">
        <f>Councils!M55</f>
        <v>0</v>
      </c>
      <c r="N52" s="322">
        <f>Councils!O55</f>
        <v>0</v>
      </c>
      <c r="O52" s="322">
        <f>Councils!P55</f>
        <v>0</v>
      </c>
      <c r="P52" s="322">
        <f>Councils!Q55</f>
        <v>0</v>
      </c>
      <c r="Q52" s="322">
        <f>Councils!R55</f>
        <v>0</v>
      </c>
      <c r="R52" s="322">
        <f>Councils!S55</f>
        <v>0</v>
      </c>
      <c r="S52" s="322">
        <f>Councils!T55</f>
        <v>0</v>
      </c>
      <c r="T52" s="322">
        <f>Councils!U55</f>
        <v>0</v>
      </c>
      <c r="U52" s="323">
        <f>Councils!V55</f>
        <v>0</v>
      </c>
      <c r="V52" s="376">
        <v>162</v>
      </c>
      <c r="W52" s="377">
        <f t="shared" si="0"/>
        <v>2</v>
      </c>
      <c r="X52" s="378" t="str">
        <f>IF(ISNA(VLOOKUP($A52,GA!$A$1:$D$834,3,0))," ",VLOOKUP($A52,GA!$A$1:$D$834,3,0))</f>
        <v>Britten</v>
      </c>
      <c r="Y52" s="379" t="str">
        <f>IF(ISNA(VLOOKUP($A52,Dormant_Councils!$A$1:$E$811,5,0)),"No",VLOOKUP($A52,Dormant_Councils!$A$1:$E$811,5,0))</f>
        <v>Dormant</v>
      </c>
      <c r="Z52" s="381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22" t="str">
        <f>Councils!C56</f>
        <v>246</v>
      </c>
      <c r="C53" s="322" t="str">
        <f>Councils!D56</f>
        <v>Slaton</v>
      </c>
      <c r="D53" s="322" t="str">
        <f>IF(ISNA(VLOOKUP($V53,DD_Info!$A$1:$E$221,3,0)),0,VLOOKUP($V53,DD_Info!$A$1:$E$221,3,0))</f>
        <v>Lubbock</v>
      </c>
      <c r="E53" s="322">
        <f>Councils!E56</f>
        <v>139</v>
      </c>
      <c r="F53" s="322">
        <f>Councils!F56</f>
        <v>7</v>
      </c>
      <c r="G53" s="322">
        <f>Councils!G56</f>
        <v>0</v>
      </c>
      <c r="H53" s="322">
        <f>Councils!H56</f>
        <v>0</v>
      </c>
      <c r="I53" s="322">
        <f>Councils!I56</f>
        <v>0</v>
      </c>
      <c r="J53" s="322">
        <f>Councils!J56</f>
        <v>0</v>
      </c>
      <c r="K53" s="322">
        <f>Councils!K56</f>
        <v>0</v>
      </c>
      <c r="L53" s="322">
        <f>Councils!L56</f>
        <v>0</v>
      </c>
      <c r="M53" s="323">
        <f>Councils!M56</f>
        <v>0</v>
      </c>
      <c r="N53" s="322">
        <f>Councils!O56</f>
        <v>0</v>
      </c>
      <c r="O53" s="322">
        <f>Councils!P56</f>
        <v>0</v>
      </c>
      <c r="P53" s="322">
        <f>Councils!Q56</f>
        <v>0</v>
      </c>
      <c r="Q53" s="322">
        <f>Councils!R56</f>
        <v>0</v>
      </c>
      <c r="R53" s="322">
        <f>Councils!S56</f>
        <v>1</v>
      </c>
      <c r="S53" s="322">
        <f>Councils!T56</f>
        <v>2</v>
      </c>
      <c r="T53" s="322">
        <f>Councils!U56</f>
        <v>-1</v>
      </c>
      <c r="U53" s="323">
        <f>Councils!V56</f>
        <v>0</v>
      </c>
      <c r="V53" s="376">
        <v>246</v>
      </c>
      <c r="W53" s="377">
        <f t="shared" si="0"/>
        <v>2</v>
      </c>
      <c r="X53" s="378" t="str">
        <f>IF(ISNA(VLOOKUP($A53,GA!$A$1:$D$834,3,0))," ",VLOOKUP($A53,GA!$A$1:$D$834,3,0))</f>
        <v>Payne</v>
      </c>
      <c r="Y53" s="379" t="str">
        <f>IF(ISNA(VLOOKUP($A53,Dormant_Councils!$A$1:$E$811,5,0)),"No",VLOOKUP($A53,Dormant_Councils!$A$1:$E$811,5,0))</f>
        <v>No</v>
      </c>
      <c r="Z53" s="381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22" t="str">
        <f>Councils!C57</f>
        <v>154</v>
      </c>
      <c r="C54" s="322" t="str">
        <f>Councils!D57</f>
        <v>La Grange</v>
      </c>
      <c r="D54" s="322" t="str">
        <f>IF(ISNA(VLOOKUP($V54,DD_Info!$A$1:$E$221,3,0)),0,VLOOKUP($V54,DD_Info!$A$1:$E$221,3,0))</f>
        <v>Austin</v>
      </c>
      <c r="E54" s="322">
        <f>Councils!E57</f>
        <v>604</v>
      </c>
      <c r="F54" s="322">
        <f>Councils!F57</f>
        <v>20</v>
      </c>
      <c r="G54" s="322">
        <f>Councils!G57</f>
        <v>0</v>
      </c>
      <c r="H54" s="322">
        <f>Councils!H57</f>
        <v>0</v>
      </c>
      <c r="I54" s="322">
        <f>Councils!I57</f>
        <v>0</v>
      </c>
      <c r="J54" s="322">
        <f>Councils!J57</f>
        <v>7</v>
      </c>
      <c r="K54" s="322">
        <f>Councils!K57</f>
        <v>0</v>
      </c>
      <c r="L54" s="322">
        <f>Councils!L57</f>
        <v>7</v>
      </c>
      <c r="M54" s="323">
        <f>Councils!M57</f>
        <v>35</v>
      </c>
      <c r="N54" s="322">
        <f>Councils!O57</f>
        <v>0</v>
      </c>
      <c r="O54" s="322">
        <f>Councils!P57</f>
        <v>1</v>
      </c>
      <c r="P54" s="322">
        <f>Councils!Q57</f>
        <v>1</v>
      </c>
      <c r="Q54" s="322">
        <f>Councils!R57</f>
        <v>0</v>
      </c>
      <c r="R54" s="322">
        <f>Councils!S57</f>
        <v>7</v>
      </c>
      <c r="S54" s="322">
        <f>Councils!T57</f>
        <v>2</v>
      </c>
      <c r="T54" s="322">
        <f>Councils!U57</f>
        <v>5</v>
      </c>
      <c r="U54" s="323">
        <f>Councils!V57</f>
        <v>0</v>
      </c>
      <c r="V54" s="376">
        <v>154</v>
      </c>
      <c r="W54" s="377">
        <f t="shared" si="0"/>
        <v>1</v>
      </c>
      <c r="X54" s="378" t="str">
        <f>IF(ISNA(VLOOKUP($A54,GA!$A$1:$D$834,3,0))," ",VLOOKUP($A54,GA!$A$1:$D$834,3,0))</f>
        <v>Supak</v>
      </c>
      <c r="Y54" s="379" t="str">
        <f>IF(ISNA(VLOOKUP($A54,Dormant_Councils!$A$1:$E$811,5,0)),"No",VLOOKUP($A54,Dormant_Councils!$A$1:$E$811,5,0))</f>
        <v>No</v>
      </c>
      <c r="Z54" s="381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22" t="str">
        <f>Councils!C58</f>
        <v>007</v>
      </c>
      <c r="C55" s="322" t="str">
        <f>Councils!D58</f>
        <v>El Paso</v>
      </c>
      <c r="D55" s="322" t="str">
        <f>IF(ISNA(VLOOKUP($V55,DD_Info!$A$1:$E$221,3,0)),0,VLOOKUP($V55,DD_Info!$A$1:$E$221,3,0))</f>
        <v>El Paso</v>
      </c>
      <c r="E55" s="322">
        <f>Councils!E58</f>
        <v>91</v>
      </c>
      <c r="F55" s="322">
        <f>Councils!F58</f>
        <v>4</v>
      </c>
      <c r="G55" s="322">
        <f>Councils!G58</f>
        <v>0</v>
      </c>
      <c r="H55" s="322">
        <f>Councils!H58</f>
        <v>0</v>
      </c>
      <c r="I55" s="322">
        <f>Councils!I58</f>
        <v>0</v>
      </c>
      <c r="J55" s="322">
        <f>Councils!J58</f>
        <v>1</v>
      </c>
      <c r="K55" s="322">
        <f>Councils!K58</f>
        <v>2</v>
      </c>
      <c r="L55" s="322">
        <f>Councils!L58</f>
        <v>-1</v>
      </c>
      <c r="M55" s="323">
        <f>Councils!M58</f>
        <v>0</v>
      </c>
      <c r="N55" s="322">
        <f>Councils!O58</f>
        <v>0</v>
      </c>
      <c r="O55" s="322">
        <f>Councils!P58</f>
        <v>0</v>
      </c>
      <c r="P55" s="322">
        <f>Councils!Q58</f>
        <v>0</v>
      </c>
      <c r="Q55" s="322">
        <f>Councils!R58</f>
        <v>0</v>
      </c>
      <c r="R55" s="322">
        <f>Councils!S58</f>
        <v>0</v>
      </c>
      <c r="S55" s="322">
        <f>Councils!T58</f>
        <v>1</v>
      </c>
      <c r="T55" s="322">
        <f>Councils!U58</f>
        <v>-1</v>
      </c>
      <c r="U55" s="323">
        <f>Councils!V58</f>
        <v>0</v>
      </c>
      <c r="V55" s="376">
        <v>7</v>
      </c>
      <c r="W55" s="377">
        <f t="shared" si="0"/>
        <v>2</v>
      </c>
      <c r="X55" s="378" t="str">
        <f>IF(ISNA(VLOOKUP($A55,GA!$A$1:$D$834,3,0))," ",VLOOKUP($A55,GA!$A$1:$D$834,3,0))</f>
        <v>Payne</v>
      </c>
      <c r="Y55" s="379" t="str">
        <f>IF(ISNA(VLOOKUP($A55,Dormant_Councils!$A$1:$E$811,5,0)),"No",VLOOKUP($A55,Dormant_Councils!$A$1:$E$811,5,0))</f>
        <v>No</v>
      </c>
      <c r="Z55" s="381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22" t="str">
        <f>Councils!C59</f>
        <v>212</v>
      </c>
      <c r="C56" s="322" t="str">
        <f>Councils!D59</f>
        <v>Rio Grande City</v>
      </c>
      <c r="D56" s="322" t="str">
        <f>IF(ISNA(VLOOKUP($V56,DD_Info!$A$1:$E$221,3,0)),0,VLOOKUP($V56,DD_Info!$A$1:$E$221,3,0))</f>
        <v>Brownsville</v>
      </c>
      <c r="E56" s="322">
        <f>Councils!E59</f>
        <v>344</v>
      </c>
      <c r="F56" s="322">
        <f>Councils!F59</f>
        <v>17</v>
      </c>
      <c r="G56" s="322">
        <f>Councils!G59</f>
        <v>0</v>
      </c>
      <c r="H56" s="322">
        <f>Councils!H59</f>
        <v>0</v>
      </c>
      <c r="I56" s="322">
        <f>Councils!I59</f>
        <v>0</v>
      </c>
      <c r="J56" s="322">
        <f>Councils!J59</f>
        <v>1</v>
      </c>
      <c r="K56" s="322">
        <f>Councils!K59</f>
        <v>0</v>
      </c>
      <c r="L56" s="322">
        <f>Councils!L59</f>
        <v>1</v>
      </c>
      <c r="M56" s="323">
        <f>Councils!M59</f>
        <v>5.88</v>
      </c>
      <c r="N56" s="322">
        <f>Councils!O59</f>
        <v>0</v>
      </c>
      <c r="O56" s="322">
        <f>Councils!P59</f>
        <v>0</v>
      </c>
      <c r="P56" s="322">
        <f>Councils!Q59</f>
        <v>1</v>
      </c>
      <c r="Q56" s="322">
        <f>Councils!R59</f>
        <v>-1</v>
      </c>
      <c r="R56" s="322">
        <f>Councils!S59</f>
        <v>0</v>
      </c>
      <c r="S56" s="322">
        <f>Councils!T59</f>
        <v>1</v>
      </c>
      <c r="T56" s="322">
        <f>Councils!U59</f>
        <v>-1</v>
      </c>
      <c r="U56" s="323">
        <f>Councils!V59</f>
        <v>0</v>
      </c>
      <c r="V56" s="376">
        <v>212</v>
      </c>
      <c r="W56" s="377">
        <f t="shared" si="0"/>
        <v>1</v>
      </c>
      <c r="X56" s="378" t="str">
        <f>IF(ISNA(VLOOKUP($A56,GA!$A$1:$D$834,3,0))," ",VLOOKUP($A56,GA!$A$1:$D$834,3,0))</f>
        <v>Carlin</v>
      </c>
      <c r="Y56" s="379" t="str">
        <f>IF(ISNA(VLOOKUP($A56,Dormant_Councils!$A$1:$E$811,5,0)),"No",VLOOKUP($A56,Dormant_Councils!$A$1:$E$811,5,0))</f>
        <v>No</v>
      </c>
      <c r="Z56" s="381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22" t="str">
        <f>Councils!C60</f>
        <v>056</v>
      </c>
      <c r="C57" s="322" t="str">
        <f>Councils!D60</f>
        <v>Poth</v>
      </c>
      <c r="D57" s="322" t="str">
        <f>IF(ISNA(VLOOKUP($V57,DD_Info!$A$1:$E$221,3,0)),0,VLOOKUP($V57,DD_Info!$A$1:$E$221,3,0))</f>
        <v>San Antonio</v>
      </c>
      <c r="E57" s="322">
        <f>Councils!E60</f>
        <v>147</v>
      </c>
      <c r="F57" s="322">
        <f>Councils!F60</f>
        <v>7</v>
      </c>
      <c r="G57" s="322">
        <f>Councils!G60</f>
        <v>0</v>
      </c>
      <c r="H57" s="322">
        <f>Councils!H60</f>
        <v>0</v>
      </c>
      <c r="I57" s="322">
        <f>Councils!I60</f>
        <v>0</v>
      </c>
      <c r="J57" s="322">
        <f>Councils!J60</f>
        <v>0</v>
      </c>
      <c r="K57" s="322">
        <f>Councils!K60</f>
        <v>0</v>
      </c>
      <c r="L57" s="322">
        <f>Councils!L60</f>
        <v>0</v>
      </c>
      <c r="M57" s="323">
        <f>Councils!M60</f>
        <v>0</v>
      </c>
      <c r="N57" s="322">
        <f>Councils!O60</f>
        <v>0</v>
      </c>
      <c r="O57" s="322">
        <f>Councils!P60</f>
        <v>0</v>
      </c>
      <c r="P57" s="322">
        <f>Councils!Q60</f>
        <v>0</v>
      </c>
      <c r="Q57" s="322">
        <f>Councils!R60</f>
        <v>0</v>
      </c>
      <c r="R57" s="322">
        <f>Councils!S60</f>
        <v>0</v>
      </c>
      <c r="S57" s="322">
        <f>Councils!T60</f>
        <v>0</v>
      </c>
      <c r="T57" s="322">
        <f>Councils!U60</f>
        <v>0</v>
      </c>
      <c r="U57" s="323">
        <f>Councils!V60</f>
        <v>0</v>
      </c>
      <c r="V57" s="376">
        <v>56</v>
      </c>
      <c r="W57" s="377">
        <f t="shared" si="0"/>
        <v>1</v>
      </c>
      <c r="X57" s="378" t="str">
        <f>IF(ISNA(VLOOKUP($A57,GA!$A$1:$D$834,3,0))," ",VLOOKUP($A57,GA!$A$1:$D$834,3,0))</f>
        <v>Dougherty</v>
      </c>
      <c r="Y57" s="379" t="str">
        <f>IF(ISNA(VLOOKUP($A57,Dormant_Councils!$A$1:$E$811,5,0)),"No",VLOOKUP($A57,Dormant_Councils!$A$1:$E$811,5,0))</f>
        <v>No</v>
      </c>
      <c r="Z57" s="381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22" t="str">
        <f>Councils!C61</f>
        <v>172</v>
      </c>
      <c r="C58" s="322" t="str">
        <f>Councils!D61</f>
        <v>Kingsville</v>
      </c>
      <c r="D58" s="322" t="str">
        <f>IF(ISNA(VLOOKUP($V58,DD_Info!$A$1:$E$221,3,0)),0,VLOOKUP($V58,DD_Info!$A$1:$E$221,3,0))</f>
        <v>Corpus Christi</v>
      </c>
      <c r="E58" s="322">
        <f>Councils!E61</f>
        <v>174</v>
      </c>
      <c r="F58" s="322">
        <f>Councils!F61</f>
        <v>8</v>
      </c>
      <c r="G58" s="322">
        <f>Councils!G61</f>
        <v>0</v>
      </c>
      <c r="H58" s="322">
        <f>Councils!H61</f>
        <v>0</v>
      </c>
      <c r="I58" s="322">
        <f>Councils!I61</f>
        <v>0</v>
      </c>
      <c r="J58" s="322">
        <f>Councils!J61</f>
        <v>0</v>
      </c>
      <c r="K58" s="322">
        <f>Councils!K61</f>
        <v>0</v>
      </c>
      <c r="L58" s="322">
        <f>Councils!L61</f>
        <v>0</v>
      </c>
      <c r="M58" s="323">
        <f>Councils!M61</f>
        <v>0</v>
      </c>
      <c r="N58" s="322">
        <f>Councils!O61</f>
        <v>0</v>
      </c>
      <c r="O58" s="322">
        <f>Councils!P61</f>
        <v>0</v>
      </c>
      <c r="P58" s="322">
        <f>Councils!Q61</f>
        <v>0</v>
      </c>
      <c r="Q58" s="322">
        <f>Councils!R61</f>
        <v>0</v>
      </c>
      <c r="R58" s="322">
        <f>Councils!S61</f>
        <v>0</v>
      </c>
      <c r="S58" s="322">
        <f>Councils!T61</f>
        <v>0</v>
      </c>
      <c r="T58" s="322">
        <f>Councils!U61</f>
        <v>0</v>
      </c>
      <c r="U58" s="323">
        <f>Councils!V61</f>
        <v>0</v>
      </c>
      <c r="V58" s="376">
        <v>172</v>
      </c>
      <c r="W58" s="377">
        <f t="shared" si="0"/>
        <v>1</v>
      </c>
      <c r="X58" s="378" t="str">
        <f>IF(ISNA(VLOOKUP($A58,GA!$A$1:$D$834,3,0))," ",VLOOKUP($A58,GA!$A$1:$D$834,3,0))</f>
        <v>Carlin</v>
      </c>
      <c r="Y58" s="379" t="str">
        <f>IF(ISNA(VLOOKUP($A58,Dormant_Councils!$A$1:$E$811,5,0)),"No",VLOOKUP($A58,Dormant_Councils!$A$1:$E$811,5,0))</f>
        <v>No</v>
      </c>
      <c r="Z58" s="381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22" t="str">
        <f>Councils!C62</f>
        <v>226</v>
      </c>
      <c r="C59" s="322" t="str">
        <f>Councils!D62</f>
        <v>Rowena</v>
      </c>
      <c r="D59" s="322" t="str">
        <f>IF(ISNA(VLOOKUP($V59,DD_Info!$A$1:$E$221,3,0)),0,VLOOKUP($V59,DD_Info!$A$1:$E$221,3,0))</f>
        <v>San Angelo</v>
      </c>
      <c r="E59" s="322">
        <f>Councils!E62</f>
        <v>84</v>
      </c>
      <c r="F59" s="322">
        <f>Councils!F62</f>
        <v>4</v>
      </c>
      <c r="G59" s="322">
        <f>Councils!G62</f>
        <v>0</v>
      </c>
      <c r="H59" s="322">
        <f>Councils!H62</f>
        <v>0</v>
      </c>
      <c r="I59" s="322">
        <f>Councils!I62</f>
        <v>0</v>
      </c>
      <c r="J59" s="322">
        <f>Councils!J62</f>
        <v>0</v>
      </c>
      <c r="K59" s="322">
        <f>Councils!K62</f>
        <v>0</v>
      </c>
      <c r="L59" s="322">
        <f>Councils!L62</f>
        <v>0</v>
      </c>
      <c r="M59" s="323">
        <f>Councils!M62</f>
        <v>0</v>
      </c>
      <c r="N59" s="322">
        <f>Councils!O62</f>
        <v>0</v>
      </c>
      <c r="O59" s="322">
        <f>Councils!P62</f>
        <v>0</v>
      </c>
      <c r="P59" s="322">
        <f>Councils!Q62</f>
        <v>0</v>
      </c>
      <c r="Q59" s="322">
        <f>Councils!R62</f>
        <v>0</v>
      </c>
      <c r="R59" s="322">
        <f>Councils!S62</f>
        <v>0</v>
      </c>
      <c r="S59" s="322">
        <f>Councils!T62</f>
        <v>0</v>
      </c>
      <c r="T59" s="322">
        <f>Councils!U62</f>
        <v>0</v>
      </c>
      <c r="U59" s="323">
        <f>Councils!V62</f>
        <v>0</v>
      </c>
      <c r="V59" s="376">
        <v>226</v>
      </c>
      <c r="W59" s="377">
        <f t="shared" si="0"/>
        <v>2</v>
      </c>
      <c r="X59" s="378" t="str">
        <f>IF(ISNA(VLOOKUP($A59,GA!$A$1:$D$834,3,0))," ",VLOOKUP($A59,GA!$A$1:$D$834,3,0))</f>
        <v>Payne</v>
      </c>
      <c r="Y59" s="379" t="str">
        <f>IF(ISNA(VLOOKUP($A59,Dormant_Councils!$A$1:$E$811,5,0)),"No",VLOOKUP($A59,Dormant_Councils!$A$1:$E$811,5,0))</f>
        <v>No</v>
      </c>
      <c r="Z59" s="381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22" t="str">
        <f>Councils!C63</f>
        <v>196</v>
      </c>
      <c r="C60" s="322" t="str">
        <f>Councils!D63</f>
        <v>Nazareth</v>
      </c>
      <c r="D60" s="322" t="str">
        <f>IF(ISNA(VLOOKUP($V60,DD_Info!$A$1:$E$221,3,0)),0,VLOOKUP($V60,DD_Info!$A$1:$E$221,3,0))</f>
        <v>Amarillo</v>
      </c>
      <c r="E60" s="322">
        <f>Councils!E63</f>
        <v>143</v>
      </c>
      <c r="F60" s="322">
        <f>Councils!F63</f>
        <v>6</v>
      </c>
      <c r="G60" s="322">
        <f>Councils!G63</f>
        <v>0</v>
      </c>
      <c r="H60" s="322">
        <f>Councils!H63</f>
        <v>0</v>
      </c>
      <c r="I60" s="322">
        <f>Councils!I63</f>
        <v>0</v>
      </c>
      <c r="J60" s="322">
        <f>Councils!J63</f>
        <v>0</v>
      </c>
      <c r="K60" s="322">
        <f>Councils!K63</f>
        <v>0</v>
      </c>
      <c r="L60" s="322">
        <f>Councils!L63</f>
        <v>0</v>
      </c>
      <c r="M60" s="323">
        <f>Councils!M63</f>
        <v>0</v>
      </c>
      <c r="N60" s="322">
        <f>Councils!O63</f>
        <v>0</v>
      </c>
      <c r="O60" s="322">
        <f>Councils!P63</f>
        <v>0</v>
      </c>
      <c r="P60" s="322">
        <f>Councils!Q63</f>
        <v>0</v>
      </c>
      <c r="Q60" s="322">
        <f>Councils!R63</f>
        <v>0</v>
      </c>
      <c r="R60" s="322">
        <f>Councils!S63</f>
        <v>0</v>
      </c>
      <c r="S60" s="322">
        <f>Councils!T63</f>
        <v>0</v>
      </c>
      <c r="T60" s="322">
        <f>Councils!U63</f>
        <v>0</v>
      </c>
      <c r="U60" s="323">
        <f>Councils!V63</f>
        <v>0</v>
      </c>
      <c r="V60" s="376">
        <v>196</v>
      </c>
      <c r="W60" s="377">
        <f t="shared" si="0"/>
        <v>1</v>
      </c>
      <c r="X60" s="378" t="str">
        <f>IF(ISNA(VLOOKUP($A60,GA!$A$1:$D$834,3,0))," ",VLOOKUP($A60,GA!$A$1:$D$834,3,0))</f>
        <v>Payne</v>
      </c>
      <c r="Y60" s="379" t="str">
        <f>IF(ISNA(VLOOKUP($A60,Dormant_Councils!$A$1:$E$811,5,0)),"No",VLOOKUP($A60,Dormant_Councils!$A$1:$E$811,5,0))</f>
        <v>No</v>
      </c>
      <c r="Z60" s="381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22" t="str">
        <f>Councils!C64</f>
        <v>036</v>
      </c>
      <c r="C61" s="322" t="str">
        <f>Councils!D64</f>
        <v>Del Rio</v>
      </c>
      <c r="D61" s="322" t="str">
        <f>IF(ISNA(VLOOKUP($V61,DD_Info!$A$1:$E$221,3,0)),0,VLOOKUP($V61,DD_Info!$A$1:$E$221,3,0))</f>
        <v>San Antonio</v>
      </c>
      <c r="E61" s="322">
        <f>Councils!E64</f>
        <v>170</v>
      </c>
      <c r="F61" s="322">
        <f>Councils!F64</f>
        <v>8</v>
      </c>
      <c r="G61" s="322">
        <f>Councils!G64</f>
        <v>0</v>
      </c>
      <c r="H61" s="322">
        <f>Councils!H64</f>
        <v>0</v>
      </c>
      <c r="I61" s="322">
        <f>Councils!I64</f>
        <v>0</v>
      </c>
      <c r="J61" s="322">
        <f>Councils!J64</f>
        <v>0</v>
      </c>
      <c r="K61" s="322">
        <f>Councils!K64</f>
        <v>0</v>
      </c>
      <c r="L61" s="322">
        <f>Councils!L64</f>
        <v>0</v>
      </c>
      <c r="M61" s="323">
        <f>Councils!M64</f>
        <v>0</v>
      </c>
      <c r="N61" s="322">
        <f>Councils!O64</f>
        <v>0</v>
      </c>
      <c r="O61" s="322">
        <f>Councils!P64</f>
        <v>0</v>
      </c>
      <c r="P61" s="322">
        <f>Councils!Q64</f>
        <v>0</v>
      </c>
      <c r="Q61" s="322">
        <f>Councils!R64</f>
        <v>0</v>
      </c>
      <c r="R61" s="322">
        <f>Councils!S64</f>
        <v>1</v>
      </c>
      <c r="S61" s="322">
        <f>Councils!T64</f>
        <v>1</v>
      </c>
      <c r="T61" s="322">
        <f>Councils!U64</f>
        <v>0</v>
      </c>
      <c r="U61" s="323">
        <f>Councils!V64</f>
        <v>0</v>
      </c>
      <c r="V61" s="376">
        <v>36</v>
      </c>
      <c r="W61" s="377">
        <f t="shared" si="0"/>
        <v>1</v>
      </c>
      <c r="X61" s="378" t="str">
        <f>IF(ISNA(VLOOKUP($A61,GA!$A$1:$D$834,3,0))," ",VLOOKUP($A61,GA!$A$1:$D$834,3,0))</f>
        <v>Dougherty</v>
      </c>
      <c r="Y61" s="379" t="str">
        <f>IF(ISNA(VLOOKUP($A61,Dormant_Councils!$A$1:$E$811,5,0)),"No",VLOOKUP($A61,Dormant_Councils!$A$1:$E$811,5,0))</f>
        <v>No</v>
      </c>
      <c r="Z61" s="381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22" t="str">
        <f>Councils!C65</f>
        <v>215</v>
      </c>
      <c r="C62" s="322" t="str">
        <f>Councils!D65</f>
        <v>Mission</v>
      </c>
      <c r="D62" s="322" t="str">
        <f>IF(ISNA(VLOOKUP($V62,DD_Info!$A$1:$E$221,3,0)),0,VLOOKUP($V62,DD_Info!$A$1:$E$221,3,0))</f>
        <v>Brownsville</v>
      </c>
      <c r="E62" s="322">
        <f>Councils!E65</f>
        <v>158</v>
      </c>
      <c r="F62" s="322">
        <f>Councils!F65</f>
        <v>8</v>
      </c>
      <c r="G62" s="322">
        <f>Councils!G65</f>
        <v>0</v>
      </c>
      <c r="H62" s="322">
        <f>Councils!H65</f>
        <v>3</v>
      </c>
      <c r="I62" s="322">
        <f>Councils!I65</f>
        <v>-3</v>
      </c>
      <c r="J62" s="322">
        <f>Councils!J65</f>
        <v>0</v>
      </c>
      <c r="K62" s="322">
        <f>Councils!K65</f>
        <v>3</v>
      </c>
      <c r="L62" s="322">
        <f>Councils!L65</f>
        <v>-3</v>
      </c>
      <c r="M62" s="323">
        <f>Councils!M65</f>
        <v>0</v>
      </c>
      <c r="N62" s="322">
        <f>Councils!O65</f>
        <v>0</v>
      </c>
      <c r="O62" s="322">
        <f>Councils!P65</f>
        <v>0</v>
      </c>
      <c r="P62" s="322">
        <f>Councils!Q65</f>
        <v>0</v>
      </c>
      <c r="Q62" s="322">
        <f>Councils!R65</f>
        <v>0</v>
      </c>
      <c r="R62" s="322">
        <f>Councils!S65</f>
        <v>0</v>
      </c>
      <c r="S62" s="322">
        <f>Councils!T65</f>
        <v>0</v>
      </c>
      <c r="T62" s="322">
        <f>Councils!U65</f>
        <v>0</v>
      </c>
      <c r="U62" s="323">
        <f>Councils!V65</f>
        <v>0</v>
      </c>
      <c r="V62" s="376">
        <v>215</v>
      </c>
      <c r="W62" s="377">
        <f t="shared" si="0"/>
        <v>1</v>
      </c>
      <c r="X62" s="378" t="str">
        <f>IF(ISNA(VLOOKUP($A62,GA!$A$1:$D$834,3,0))," ",VLOOKUP($A62,GA!$A$1:$D$834,3,0))</f>
        <v>Carlin</v>
      </c>
      <c r="Y62" s="379" t="str">
        <f>IF(ISNA(VLOOKUP($A62,Dormant_Councils!$A$1:$E$811,5,0)),"No",VLOOKUP($A62,Dormant_Councils!$A$1:$E$811,5,0))</f>
        <v>No</v>
      </c>
      <c r="Z62" s="381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22" t="str">
        <f>Councils!C66</f>
        <v>172</v>
      </c>
      <c r="C63" s="322" t="str">
        <f>Councils!D66</f>
        <v>Falfurrias</v>
      </c>
      <c r="D63" s="322" t="str">
        <f>IF(ISNA(VLOOKUP($V63,DD_Info!$A$1:$E$221,3,0)),0,VLOOKUP($V63,DD_Info!$A$1:$E$221,3,0))</f>
        <v>Corpus Christi</v>
      </c>
      <c r="E63" s="322">
        <f>Councils!E66</f>
        <v>63</v>
      </c>
      <c r="F63" s="322">
        <f>Councils!F66</f>
        <v>3</v>
      </c>
      <c r="G63" s="322">
        <f>Councils!G66</f>
        <v>0</v>
      </c>
      <c r="H63" s="322">
        <f>Councils!H66</f>
        <v>0</v>
      </c>
      <c r="I63" s="322">
        <f>Councils!I66</f>
        <v>0</v>
      </c>
      <c r="J63" s="322">
        <f>Councils!J66</f>
        <v>0</v>
      </c>
      <c r="K63" s="322">
        <f>Councils!K66</f>
        <v>0</v>
      </c>
      <c r="L63" s="322">
        <f>Councils!L66</f>
        <v>0</v>
      </c>
      <c r="M63" s="323">
        <f>Councils!M66</f>
        <v>0</v>
      </c>
      <c r="N63" s="322">
        <f>Councils!O66</f>
        <v>0</v>
      </c>
      <c r="O63" s="322">
        <f>Councils!P66</f>
        <v>0</v>
      </c>
      <c r="P63" s="322">
        <f>Councils!Q66</f>
        <v>1</v>
      </c>
      <c r="Q63" s="322">
        <f>Councils!R66</f>
        <v>-1</v>
      </c>
      <c r="R63" s="322">
        <f>Councils!S66</f>
        <v>0</v>
      </c>
      <c r="S63" s="322">
        <f>Councils!T66</f>
        <v>1</v>
      </c>
      <c r="T63" s="322">
        <f>Councils!U66</f>
        <v>-1</v>
      </c>
      <c r="U63" s="323">
        <f>Councils!V66</f>
        <v>0</v>
      </c>
      <c r="V63" s="376">
        <v>172</v>
      </c>
      <c r="W63" s="377">
        <f t="shared" si="0"/>
        <v>3</v>
      </c>
      <c r="X63" s="378" t="str">
        <f>IF(ISNA(VLOOKUP($A63,GA!$A$1:$D$834,3,0))," ",VLOOKUP($A63,GA!$A$1:$D$834,3,0))</f>
        <v>Carlin</v>
      </c>
      <c r="Y63" s="379" t="str">
        <f>IF(ISNA(VLOOKUP($A63,Dormant_Councils!$A$1:$E$811,5,0)),"No",VLOOKUP($A63,Dormant_Councils!$A$1:$E$811,5,0))</f>
        <v>No</v>
      </c>
      <c r="Z63" s="381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22" t="str">
        <f>Councils!C67</f>
        <v>174</v>
      </c>
      <c r="C64" s="322" t="str">
        <f>Councils!D67</f>
        <v>Corpus Christi</v>
      </c>
      <c r="D64" s="322" t="str">
        <f>IF(ISNA(VLOOKUP($V64,DD_Info!$A$1:$E$221,3,0)),0,VLOOKUP($V64,DD_Info!$A$1:$E$221,3,0))</f>
        <v>Corpus Christi</v>
      </c>
      <c r="E64" s="322">
        <f>Councils!E67</f>
        <v>44</v>
      </c>
      <c r="F64" s="322">
        <f>Councils!F67</f>
        <v>3</v>
      </c>
      <c r="G64" s="322">
        <f>Councils!G67</f>
        <v>0</v>
      </c>
      <c r="H64" s="322">
        <f>Councils!H67</f>
        <v>0</v>
      </c>
      <c r="I64" s="322">
        <f>Councils!I67</f>
        <v>0</v>
      </c>
      <c r="J64" s="322">
        <f>Councils!J67</f>
        <v>0</v>
      </c>
      <c r="K64" s="322">
        <f>Councils!K67</f>
        <v>0</v>
      </c>
      <c r="L64" s="322">
        <f>Councils!L67</f>
        <v>0</v>
      </c>
      <c r="M64" s="323">
        <f>Councils!M67</f>
        <v>0</v>
      </c>
      <c r="N64" s="322">
        <f>Councils!O67</f>
        <v>0</v>
      </c>
      <c r="O64" s="322">
        <f>Councils!P67</f>
        <v>0</v>
      </c>
      <c r="P64" s="322">
        <f>Councils!Q67</f>
        <v>0</v>
      </c>
      <c r="Q64" s="322">
        <f>Councils!R67</f>
        <v>0</v>
      </c>
      <c r="R64" s="322">
        <f>Councils!S67</f>
        <v>0</v>
      </c>
      <c r="S64" s="322">
        <f>Councils!T67</f>
        <v>1</v>
      </c>
      <c r="T64" s="322">
        <f>Councils!U67</f>
        <v>-1</v>
      </c>
      <c r="U64" s="323">
        <f>Councils!V67</f>
        <v>0</v>
      </c>
      <c r="V64" s="376">
        <v>174</v>
      </c>
      <c r="W64" s="377">
        <f t="shared" si="0"/>
        <v>3</v>
      </c>
      <c r="X64" s="378" t="str">
        <f>IF(ISNA(VLOOKUP($A64,GA!$A$1:$D$834,3,0))," ",VLOOKUP($A64,GA!$A$1:$D$834,3,0))</f>
        <v>Carlin</v>
      </c>
      <c r="Y64" s="379" t="str">
        <f>IF(ISNA(VLOOKUP($A64,Dormant_Councils!$A$1:$E$811,5,0)),"No",VLOOKUP($A64,Dormant_Councils!$A$1:$E$811,5,0))</f>
        <v>No</v>
      </c>
      <c r="Z64" s="381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22" t="str">
        <f>Councils!C68</f>
        <v>197</v>
      </c>
      <c r="C65" s="322" t="str">
        <f>Councils!D68</f>
        <v>Pampa</v>
      </c>
      <c r="D65" s="322" t="str">
        <f>IF(ISNA(VLOOKUP($V65,DD_Info!$A$1:$E$221,3,0)),0,VLOOKUP($V65,DD_Info!$A$1:$E$221,3,0))</f>
        <v>Amarillo</v>
      </c>
      <c r="E65" s="322">
        <f>Councils!E68</f>
        <v>131</v>
      </c>
      <c r="F65" s="322">
        <f>Councils!F68</f>
        <v>6</v>
      </c>
      <c r="G65" s="322">
        <f>Councils!G68</f>
        <v>0</v>
      </c>
      <c r="H65" s="322">
        <f>Councils!H68</f>
        <v>0</v>
      </c>
      <c r="I65" s="322">
        <f>Councils!I68</f>
        <v>0</v>
      </c>
      <c r="J65" s="322">
        <f>Councils!J68</f>
        <v>0</v>
      </c>
      <c r="K65" s="322">
        <f>Councils!K68</f>
        <v>0</v>
      </c>
      <c r="L65" s="322">
        <f>Councils!L68</f>
        <v>0</v>
      </c>
      <c r="M65" s="323">
        <f>Councils!M68</f>
        <v>0</v>
      </c>
      <c r="N65" s="322">
        <f>Councils!O68</f>
        <v>0</v>
      </c>
      <c r="O65" s="322">
        <f>Councils!P68</f>
        <v>0</v>
      </c>
      <c r="P65" s="322">
        <f>Councils!Q68</f>
        <v>0</v>
      </c>
      <c r="Q65" s="322">
        <f>Councils!R68</f>
        <v>0</v>
      </c>
      <c r="R65" s="322">
        <f>Councils!S68</f>
        <v>0</v>
      </c>
      <c r="S65" s="322">
        <f>Councils!T68</f>
        <v>2</v>
      </c>
      <c r="T65" s="322">
        <f>Councils!U68</f>
        <v>-2</v>
      </c>
      <c r="U65" s="323">
        <f>Councils!V68</f>
        <v>0</v>
      </c>
      <c r="V65" s="376">
        <v>197</v>
      </c>
      <c r="W65" s="377">
        <f t="shared" si="0"/>
        <v>2</v>
      </c>
      <c r="X65" s="378" t="str">
        <f>IF(ISNA(VLOOKUP($A65,GA!$A$1:$D$834,3,0))," ",VLOOKUP($A65,GA!$A$1:$D$834,3,0))</f>
        <v>Payne</v>
      </c>
      <c r="Y65" s="379" t="str">
        <f>IF(ISNA(VLOOKUP($A65,Dormant_Councils!$A$1:$E$811,5,0)),"No",VLOOKUP($A65,Dormant_Councils!$A$1:$E$811,5,0))</f>
        <v>No</v>
      </c>
      <c r="Z65" s="381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22" t="str">
        <f>Councils!C69</f>
        <v>133</v>
      </c>
      <c r="C66" s="322" t="str">
        <f>Councils!D69</f>
        <v>Longview</v>
      </c>
      <c r="D66" s="322" t="str">
        <f>IF(ISNA(VLOOKUP($V66,DD_Info!$A$1:$E$221,3,0)),0,VLOOKUP($V66,DD_Info!$A$1:$E$221,3,0))</f>
        <v>Tyler</v>
      </c>
      <c r="E66" s="322">
        <f>Councils!E69</f>
        <v>166</v>
      </c>
      <c r="F66" s="322">
        <f>Councils!F69</f>
        <v>8</v>
      </c>
      <c r="G66" s="322">
        <f>Councils!G69</f>
        <v>0</v>
      </c>
      <c r="H66" s="322">
        <f>Councils!H69</f>
        <v>0</v>
      </c>
      <c r="I66" s="322">
        <f>Councils!I69</f>
        <v>0</v>
      </c>
      <c r="J66" s="322">
        <f>Councils!J69</f>
        <v>9</v>
      </c>
      <c r="K66" s="322">
        <f>Councils!K69</f>
        <v>0</v>
      </c>
      <c r="L66" s="322">
        <f>Councils!L69</f>
        <v>9</v>
      </c>
      <c r="M66" s="323">
        <f>Councils!M69</f>
        <v>112.5</v>
      </c>
      <c r="N66" s="322">
        <f>Councils!O69</f>
        <v>0</v>
      </c>
      <c r="O66" s="322">
        <f>Councils!P69</f>
        <v>0</v>
      </c>
      <c r="P66" s="322">
        <f>Councils!Q69</f>
        <v>0</v>
      </c>
      <c r="Q66" s="322">
        <f>Councils!R69</f>
        <v>0</v>
      </c>
      <c r="R66" s="322">
        <f>Councils!S69</f>
        <v>0</v>
      </c>
      <c r="S66" s="322">
        <f>Councils!T69</f>
        <v>0</v>
      </c>
      <c r="T66" s="322">
        <f>Councils!U69</f>
        <v>0</v>
      </c>
      <c r="U66" s="323">
        <f>Councils!V69</f>
        <v>0</v>
      </c>
      <c r="V66" s="376">
        <v>133</v>
      </c>
      <c r="W66" s="377">
        <f t="shared" si="0"/>
        <v>1</v>
      </c>
      <c r="X66" s="378" t="str">
        <f>IF(ISNA(VLOOKUP($A66,GA!$A$1:$D$834,3,0))," ",VLOOKUP($A66,GA!$A$1:$D$834,3,0))</f>
        <v>Regan</v>
      </c>
      <c r="Y66" s="379" t="str">
        <f>IF(ISNA(VLOOKUP($A66,Dormant_Councils!$A$1:$E$811,5,0)),"No",VLOOKUP($A66,Dormant_Councils!$A$1:$E$811,5,0))</f>
        <v>No</v>
      </c>
      <c r="Z66" s="381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22" t="str">
        <f>Councils!C70</f>
        <v>226</v>
      </c>
      <c r="C67" s="322" t="str">
        <f>Councils!D70</f>
        <v>Olfen</v>
      </c>
      <c r="D67" s="322" t="str">
        <f>IF(ISNA(VLOOKUP($V67,DD_Info!$A$1:$E$221,3,0)),0,VLOOKUP($V67,DD_Info!$A$1:$E$221,3,0))</f>
        <v>San Angelo</v>
      </c>
      <c r="E67" s="322">
        <f>Councils!E70</f>
        <v>45</v>
      </c>
      <c r="F67" s="322">
        <f>Councils!F70</f>
        <v>3</v>
      </c>
      <c r="G67" s="322">
        <f>Councils!G70</f>
        <v>0</v>
      </c>
      <c r="H67" s="322">
        <f>Councils!H70</f>
        <v>0</v>
      </c>
      <c r="I67" s="322">
        <f>Councils!I70</f>
        <v>0</v>
      </c>
      <c r="J67" s="322">
        <f>Councils!J70</f>
        <v>0</v>
      </c>
      <c r="K67" s="322">
        <f>Councils!K70</f>
        <v>0</v>
      </c>
      <c r="L67" s="322">
        <f>Councils!L70</f>
        <v>0</v>
      </c>
      <c r="M67" s="323">
        <f>Councils!M70</f>
        <v>0</v>
      </c>
      <c r="N67" s="322">
        <f>Councils!O70</f>
        <v>0</v>
      </c>
      <c r="O67" s="322">
        <f>Councils!P70</f>
        <v>0</v>
      </c>
      <c r="P67" s="322">
        <f>Councils!Q70</f>
        <v>0</v>
      </c>
      <c r="Q67" s="322">
        <f>Councils!R70</f>
        <v>0</v>
      </c>
      <c r="R67" s="322">
        <f>Councils!S70</f>
        <v>0</v>
      </c>
      <c r="S67" s="322">
        <f>Councils!T70</f>
        <v>0</v>
      </c>
      <c r="T67" s="322">
        <f>Councils!U70</f>
        <v>0</v>
      </c>
      <c r="U67" s="323">
        <f>Councils!V70</f>
        <v>0</v>
      </c>
      <c r="V67" s="376">
        <v>226</v>
      </c>
      <c r="W67" s="377">
        <f t="shared" ref="W67:W130" si="1">_xlfn.IFS($E67&gt;=140,1,$E67&gt;65,2,$E67&lt;=65,3)</f>
        <v>3</v>
      </c>
      <c r="X67" s="378" t="str">
        <f>IF(ISNA(VLOOKUP($A67,GA!$A$1:$D$834,3,0))," ",VLOOKUP($A67,GA!$A$1:$D$834,3,0))</f>
        <v>Payne</v>
      </c>
      <c r="Y67" s="379" t="str">
        <f>IF(ISNA(VLOOKUP($A67,Dormant_Councils!$A$1:$E$811,5,0)),"No",VLOOKUP($A67,Dormant_Councils!$A$1:$E$811,5,0))</f>
        <v>No</v>
      </c>
      <c r="Z67" s="381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22" t="str">
        <f>Councils!C71</f>
        <v>198</v>
      </c>
      <c r="C68" s="322" t="str">
        <f>Councils!D71</f>
        <v>Dalhart</v>
      </c>
      <c r="D68" s="322" t="str">
        <f>IF(ISNA(VLOOKUP($V68,DD_Info!$A$1:$E$221,3,0)),0,VLOOKUP($V68,DD_Info!$A$1:$E$221,3,0))</f>
        <v>Amarillo</v>
      </c>
      <c r="E68" s="322">
        <f>Councils!E71</f>
        <v>136</v>
      </c>
      <c r="F68" s="322">
        <f>Councils!F71</f>
        <v>7</v>
      </c>
      <c r="G68" s="322">
        <f>Councils!G71</f>
        <v>0</v>
      </c>
      <c r="H68" s="322">
        <f>Councils!H71</f>
        <v>0</v>
      </c>
      <c r="I68" s="322">
        <f>Councils!I71</f>
        <v>0</v>
      </c>
      <c r="J68" s="322">
        <f>Councils!J71</f>
        <v>0</v>
      </c>
      <c r="K68" s="322">
        <f>Councils!K71</f>
        <v>0</v>
      </c>
      <c r="L68" s="322">
        <f>Councils!L71</f>
        <v>0</v>
      </c>
      <c r="M68" s="323">
        <f>Councils!M71</f>
        <v>0</v>
      </c>
      <c r="N68" s="322">
        <f>Councils!O71</f>
        <v>0</v>
      </c>
      <c r="O68" s="322">
        <f>Councils!P71</f>
        <v>0</v>
      </c>
      <c r="P68" s="322">
        <f>Councils!Q71</f>
        <v>0</v>
      </c>
      <c r="Q68" s="322">
        <f>Councils!R71</f>
        <v>0</v>
      </c>
      <c r="R68" s="322">
        <f>Councils!S71</f>
        <v>0</v>
      </c>
      <c r="S68" s="322">
        <f>Councils!T71</f>
        <v>3</v>
      </c>
      <c r="T68" s="322">
        <f>Councils!U71</f>
        <v>-3</v>
      </c>
      <c r="U68" s="323">
        <f>Councils!V71</f>
        <v>0</v>
      </c>
      <c r="V68" s="376">
        <v>198</v>
      </c>
      <c r="W68" s="377">
        <f t="shared" si="1"/>
        <v>2</v>
      </c>
      <c r="X68" s="378" t="str">
        <f>IF(ISNA(VLOOKUP($A68,GA!$A$1:$D$834,3,0))," ",VLOOKUP($A68,GA!$A$1:$D$834,3,0))</f>
        <v>Payne</v>
      </c>
      <c r="Y68" s="379" t="str">
        <f>IF(ISNA(VLOOKUP($A68,Dormant_Councils!$A$1:$E$811,5,0)),"No",VLOOKUP($A68,Dormant_Councils!$A$1:$E$811,5,0))</f>
        <v>No</v>
      </c>
      <c r="Z68" s="381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22" t="str">
        <f>Councils!C72</f>
        <v>200</v>
      </c>
      <c r="C69" s="322" t="str">
        <f>Councils!D72</f>
        <v>Hereford</v>
      </c>
      <c r="D69" s="322" t="str">
        <f>IF(ISNA(VLOOKUP($V69,DD_Info!$A$1:$E$221,3,0)),0,VLOOKUP($V69,DD_Info!$A$1:$E$221,3,0))</f>
        <v>Amarillo</v>
      </c>
      <c r="E69" s="322">
        <f>Councils!E72</f>
        <v>152</v>
      </c>
      <c r="F69" s="322">
        <f>Councils!F72</f>
        <v>7</v>
      </c>
      <c r="G69" s="322">
        <f>Councils!G72</f>
        <v>0</v>
      </c>
      <c r="H69" s="322">
        <f>Councils!H72</f>
        <v>0</v>
      </c>
      <c r="I69" s="322">
        <f>Councils!I72</f>
        <v>0</v>
      </c>
      <c r="J69" s="322">
        <f>Councils!J72</f>
        <v>0</v>
      </c>
      <c r="K69" s="322">
        <f>Councils!K72</f>
        <v>0</v>
      </c>
      <c r="L69" s="322">
        <f>Councils!L72</f>
        <v>0</v>
      </c>
      <c r="M69" s="323">
        <f>Councils!M72</f>
        <v>0</v>
      </c>
      <c r="N69" s="322">
        <f>Councils!O72</f>
        <v>0</v>
      </c>
      <c r="O69" s="322">
        <f>Councils!P72</f>
        <v>0</v>
      </c>
      <c r="P69" s="322">
        <f>Councils!Q72</f>
        <v>0</v>
      </c>
      <c r="Q69" s="322">
        <f>Councils!R72</f>
        <v>0</v>
      </c>
      <c r="R69" s="322">
        <f>Councils!S72</f>
        <v>0</v>
      </c>
      <c r="S69" s="322">
        <f>Councils!T72</f>
        <v>0</v>
      </c>
      <c r="T69" s="322">
        <f>Councils!U72</f>
        <v>0</v>
      </c>
      <c r="U69" s="323">
        <f>Councils!V72</f>
        <v>0</v>
      </c>
      <c r="V69" s="376">
        <v>200</v>
      </c>
      <c r="W69" s="377">
        <f t="shared" si="1"/>
        <v>1</v>
      </c>
      <c r="X69" s="378" t="str">
        <f>IF(ISNA(VLOOKUP($A69,GA!$A$1:$D$834,3,0))," ",VLOOKUP($A69,GA!$A$1:$D$834,3,0))</f>
        <v>Payne</v>
      </c>
      <c r="Y69" s="379" t="str">
        <f>IF(ISNA(VLOOKUP($A69,Dormant_Councils!$A$1:$E$811,5,0)),"No",VLOOKUP($A69,Dormant_Councils!$A$1:$E$811,5,0))</f>
        <v>No</v>
      </c>
      <c r="Z69" s="381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22" t="str">
        <f>Councils!C73</f>
        <v>216</v>
      </c>
      <c r="C70" s="322" t="str">
        <f>Councils!D73</f>
        <v>Harlingen</v>
      </c>
      <c r="D70" s="322" t="str">
        <f>IF(ISNA(VLOOKUP($V70,DD_Info!$A$1:$E$221,3,0)),0,VLOOKUP($V70,DD_Info!$A$1:$E$221,3,0))</f>
        <v>Brownsville</v>
      </c>
      <c r="E70" s="322">
        <f>Councils!E73</f>
        <v>191</v>
      </c>
      <c r="F70" s="322">
        <f>Councils!F73</f>
        <v>9</v>
      </c>
      <c r="G70" s="322">
        <f>Councils!G73</f>
        <v>1</v>
      </c>
      <c r="H70" s="322">
        <f>Councils!H73</f>
        <v>0</v>
      </c>
      <c r="I70" s="322">
        <f>Councils!I73</f>
        <v>1</v>
      </c>
      <c r="J70" s="322">
        <f>Councils!J73</f>
        <v>6</v>
      </c>
      <c r="K70" s="322">
        <f>Councils!K73</f>
        <v>0</v>
      </c>
      <c r="L70" s="322">
        <f>Councils!L73</f>
        <v>6</v>
      </c>
      <c r="M70" s="323">
        <f>Councils!M73</f>
        <v>66.67</v>
      </c>
      <c r="N70" s="322">
        <f>Councils!O73</f>
        <v>0</v>
      </c>
      <c r="O70" s="322">
        <f>Councils!P73</f>
        <v>0</v>
      </c>
      <c r="P70" s="322">
        <f>Councils!Q73</f>
        <v>0</v>
      </c>
      <c r="Q70" s="322">
        <f>Councils!R73</f>
        <v>0</v>
      </c>
      <c r="R70" s="322">
        <f>Councils!S73</f>
        <v>4</v>
      </c>
      <c r="S70" s="322">
        <f>Councils!T73</f>
        <v>2</v>
      </c>
      <c r="T70" s="322">
        <f>Councils!U73</f>
        <v>2</v>
      </c>
      <c r="U70" s="323">
        <f>Councils!V73</f>
        <v>0</v>
      </c>
      <c r="V70" s="376">
        <v>216</v>
      </c>
      <c r="W70" s="377">
        <f t="shared" si="1"/>
        <v>1</v>
      </c>
      <c r="X70" s="378" t="str">
        <f>IF(ISNA(VLOOKUP($A70,GA!$A$1:$D$834,3,0))," ",VLOOKUP($A70,GA!$A$1:$D$834,3,0))</f>
        <v>Carlin</v>
      </c>
      <c r="Y70" s="379" t="str">
        <f>IF(ISNA(VLOOKUP($A70,Dormant_Councils!$A$1:$E$811,5,0)),"No",VLOOKUP($A70,Dormant_Councils!$A$1:$E$811,5,0))</f>
        <v>No</v>
      </c>
      <c r="Z70" s="381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22" t="str">
        <f>Councils!C74</f>
        <v>071</v>
      </c>
      <c r="C71" s="322" t="str">
        <f>Councils!D74</f>
        <v>Baytown</v>
      </c>
      <c r="D71" s="322" t="str">
        <f>IF(ISNA(VLOOKUP($V71,DD_Info!$A$1:$E$221,3,0)),0,VLOOKUP($V71,DD_Info!$A$1:$E$221,3,0))</f>
        <v>Galv/Hous</v>
      </c>
      <c r="E71" s="322">
        <f>Councils!E74</f>
        <v>106</v>
      </c>
      <c r="F71" s="322">
        <f>Councils!F74</f>
        <v>5</v>
      </c>
      <c r="G71" s="322">
        <f>Councils!G74</f>
        <v>1</v>
      </c>
      <c r="H71" s="322">
        <f>Councils!H74</f>
        <v>0</v>
      </c>
      <c r="I71" s="322">
        <f>Councils!I74</f>
        <v>1</v>
      </c>
      <c r="J71" s="322">
        <f>Councils!J74</f>
        <v>1</v>
      </c>
      <c r="K71" s="322">
        <f>Councils!K74</f>
        <v>0</v>
      </c>
      <c r="L71" s="322">
        <f>Councils!L74</f>
        <v>1</v>
      </c>
      <c r="M71" s="323">
        <f>Councils!M74</f>
        <v>20</v>
      </c>
      <c r="N71" s="322">
        <f>Councils!O74</f>
        <v>0</v>
      </c>
      <c r="O71" s="322">
        <f>Councils!P74</f>
        <v>0</v>
      </c>
      <c r="P71" s="322">
        <f>Councils!Q74</f>
        <v>0</v>
      </c>
      <c r="Q71" s="322">
        <f>Councils!R74</f>
        <v>0</v>
      </c>
      <c r="R71" s="322">
        <f>Councils!S74</f>
        <v>0</v>
      </c>
      <c r="S71" s="322">
        <f>Councils!T74</f>
        <v>0</v>
      </c>
      <c r="T71" s="322">
        <f>Councils!U74</f>
        <v>0</v>
      </c>
      <c r="U71" s="323">
        <f>Councils!V74</f>
        <v>0</v>
      </c>
      <c r="V71" s="376">
        <v>71</v>
      </c>
      <c r="W71" s="377">
        <f t="shared" si="1"/>
        <v>2</v>
      </c>
      <c r="X71" s="378" t="str">
        <f>IF(ISNA(VLOOKUP($A71,GA!$A$1:$D$834,3,0))," ",VLOOKUP($A71,GA!$A$1:$D$834,3,0))</f>
        <v>Rangel</v>
      </c>
      <c r="Y71" s="379" t="str">
        <f>IF(ISNA(VLOOKUP($A71,Dormant_Councils!$A$1:$E$811,5,0)),"No",VLOOKUP($A71,Dormant_Councils!$A$1:$E$811,5,0))</f>
        <v>No</v>
      </c>
      <c r="Z71" s="381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22" t="str">
        <f>Councils!C75</f>
        <v>176</v>
      </c>
      <c r="C72" s="322" t="str">
        <f>Councils!D75</f>
        <v>San Diego</v>
      </c>
      <c r="D72" s="322" t="str">
        <f>IF(ISNA(VLOOKUP($V72,DD_Info!$A$1:$E$221,3,0)),0,VLOOKUP($V72,DD_Info!$A$1:$E$221,3,0))</f>
        <v>Corpus Christi</v>
      </c>
      <c r="E72" s="322">
        <f>Councils!E75</f>
        <v>85</v>
      </c>
      <c r="F72" s="322">
        <f>Councils!F75</f>
        <v>4</v>
      </c>
      <c r="G72" s="322">
        <f>Councils!G75</f>
        <v>0</v>
      </c>
      <c r="H72" s="322">
        <f>Councils!H75</f>
        <v>0</v>
      </c>
      <c r="I72" s="322">
        <f>Councils!I75</f>
        <v>0</v>
      </c>
      <c r="J72" s="322">
        <f>Councils!J75</f>
        <v>8</v>
      </c>
      <c r="K72" s="322">
        <f>Councils!K75</f>
        <v>0</v>
      </c>
      <c r="L72" s="322">
        <f>Councils!L75</f>
        <v>8</v>
      </c>
      <c r="M72" s="323">
        <f>Councils!M75</f>
        <v>200</v>
      </c>
      <c r="N72" s="322">
        <f>Councils!O75</f>
        <v>0</v>
      </c>
      <c r="O72" s="322">
        <f>Councils!P75</f>
        <v>0</v>
      </c>
      <c r="P72" s="322">
        <f>Councils!Q75</f>
        <v>0</v>
      </c>
      <c r="Q72" s="322">
        <f>Councils!R75</f>
        <v>0</v>
      </c>
      <c r="R72" s="322">
        <f>Councils!S75</f>
        <v>0</v>
      </c>
      <c r="S72" s="322">
        <f>Councils!T75</f>
        <v>0</v>
      </c>
      <c r="T72" s="322">
        <f>Councils!U75</f>
        <v>0</v>
      </c>
      <c r="U72" s="323">
        <f>Councils!V75</f>
        <v>0</v>
      </c>
      <c r="V72" s="376">
        <v>176</v>
      </c>
      <c r="W72" s="377">
        <f t="shared" si="1"/>
        <v>2</v>
      </c>
      <c r="X72" s="378" t="str">
        <f>IF(ISNA(VLOOKUP($A72,GA!$A$1:$D$834,3,0))," ",VLOOKUP($A72,GA!$A$1:$D$834,3,0))</f>
        <v>Carlin</v>
      </c>
      <c r="Y72" s="379" t="str">
        <f>IF(ISNA(VLOOKUP($A72,Dormant_Councils!$A$1:$E$811,5,0)),"No",VLOOKUP($A72,Dormant_Councils!$A$1:$E$811,5,0))</f>
        <v>No</v>
      </c>
      <c r="Z72" s="381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22" t="str">
        <f>Councils!C76</f>
        <v>075</v>
      </c>
      <c r="C73" s="322" t="str">
        <f>Councils!D76</f>
        <v>Rosenberg</v>
      </c>
      <c r="D73" s="322" t="str">
        <f>IF(ISNA(VLOOKUP($V73,DD_Info!$A$1:$E$221,3,0)),0,VLOOKUP($V73,DD_Info!$A$1:$E$221,3,0))</f>
        <v>Galv/Hous</v>
      </c>
      <c r="E73" s="322">
        <f>Councils!E76</f>
        <v>333</v>
      </c>
      <c r="F73" s="322">
        <f>Councils!F76</f>
        <v>16</v>
      </c>
      <c r="G73" s="322">
        <f>Councils!G76</f>
        <v>0</v>
      </c>
      <c r="H73" s="322">
        <f>Councils!H76</f>
        <v>0</v>
      </c>
      <c r="I73" s="322">
        <f>Councils!I76</f>
        <v>0</v>
      </c>
      <c r="J73" s="322">
        <f>Councils!J76</f>
        <v>0</v>
      </c>
      <c r="K73" s="322">
        <f>Councils!K76</f>
        <v>1</v>
      </c>
      <c r="L73" s="322">
        <f>Councils!L76</f>
        <v>-1</v>
      </c>
      <c r="M73" s="323">
        <f>Councils!M76</f>
        <v>0</v>
      </c>
      <c r="N73" s="322">
        <f>Councils!O76</f>
        <v>0</v>
      </c>
      <c r="O73" s="322">
        <f>Councils!P76</f>
        <v>0</v>
      </c>
      <c r="P73" s="322">
        <f>Councils!Q76</f>
        <v>2</v>
      </c>
      <c r="Q73" s="322">
        <f>Councils!R76</f>
        <v>-2</v>
      </c>
      <c r="R73" s="322">
        <f>Councils!S76</f>
        <v>0</v>
      </c>
      <c r="S73" s="322">
        <f>Councils!T76</f>
        <v>2</v>
      </c>
      <c r="T73" s="322">
        <f>Councils!U76</f>
        <v>-2</v>
      </c>
      <c r="U73" s="323">
        <f>Councils!V76</f>
        <v>0</v>
      </c>
      <c r="V73" s="376">
        <v>75</v>
      </c>
      <c r="W73" s="377">
        <f t="shared" si="1"/>
        <v>1</v>
      </c>
      <c r="X73" s="378" t="str">
        <f>IF(ISNA(VLOOKUP($A73,GA!$A$1:$D$834,3,0))," ",VLOOKUP($A73,GA!$A$1:$D$834,3,0))</f>
        <v>Supak</v>
      </c>
      <c r="Y73" s="379" t="str">
        <f>IF(ISNA(VLOOKUP($A73,Dormant_Councils!$A$1:$E$811,5,0)),"No",VLOOKUP($A73,Dormant_Councils!$A$1:$E$811,5,0))</f>
        <v>No</v>
      </c>
      <c r="Z73" s="381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22" t="str">
        <f>Councils!C77</f>
        <v>200</v>
      </c>
      <c r="C74" s="322" t="str">
        <f>Councils!D77</f>
        <v>Umbarger</v>
      </c>
      <c r="D74" s="322" t="str">
        <f>IF(ISNA(VLOOKUP($V74,DD_Info!$A$1:$E$221,3,0)),0,VLOOKUP($V74,DD_Info!$A$1:$E$221,3,0))</f>
        <v>Amarillo</v>
      </c>
      <c r="E74" s="322">
        <f>Councils!E77</f>
        <v>50</v>
      </c>
      <c r="F74" s="322">
        <f>Councils!F77</f>
        <v>3</v>
      </c>
      <c r="G74" s="322">
        <f>Councils!G77</f>
        <v>0</v>
      </c>
      <c r="H74" s="322">
        <f>Councils!H77</f>
        <v>0</v>
      </c>
      <c r="I74" s="322">
        <f>Councils!I77</f>
        <v>0</v>
      </c>
      <c r="J74" s="322">
        <f>Councils!J77</f>
        <v>0</v>
      </c>
      <c r="K74" s="322">
        <f>Councils!K77</f>
        <v>0</v>
      </c>
      <c r="L74" s="322">
        <f>Councils!L77</f>
        <v>0</v>
      </c>
      <c r="M74" s="323">
        <f>Councils!M77</f>
        <v>0</v>
      </c>
      <c r="N74" s="322">
        <f>Councils!O77</f>
        <v>0</v>
      </c>
      <c r="O74" s="322">
        <f>Councils!P77</f>
        <v>0</v>
      </c>
      <c r="P74" s="322">
        <f>Councils!Q77</f>
        <v>0</v>
      </c>
      <c r="Q74" s="322">
        <f>Councils!R77</f>
        <v>0</v>
      </c>
      <c r="R74" s="322">
        <f>Councils!S77</f>
        <v>0</v>
      </c>
      <c r="S74" s="322">
        <f>Councils!T77</f>
        <v>0</v>
      </c>
      <c r="T74" s="322">
        <f>Councils!U77</f>
        <v>0</v>
      </c>
      <c r="U74" s="323">
        <f>Councils!V77</f>
        <v>0</v>
      </c>
      <c r="V74" s="376">
        <v>200</v>
      </c>
      <c r="W74" s="377">
        <f t="shared" si="1"/>
        <v>3</v>
      </c>
      <c r="X74" s="378" t="str">
        <f>IF(ISNA(VLOOKUP($A74,GA!$A$1:$D$834,3,0))," ",VLOOKUP($A74,GA!$A$1:$D$834,3,0))</f>
        <v>Payne</v>
      </c>
      <c r="Y74" s="379" t="str">
        <f>IF(ISNA(VLOOKUP($A74,Dormant_Councils!$A$1:$E$811,5,0)),"No",VLOOKUP($A74,Dormant_Councils!$A$1:$E$811,5,0))</f>
        <v>No</v>
      </c>
      <c r="Z74" s="381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22" t="str">
        <f>Councils!C78</f>
        <v>238</v>
      </c>
      <c r="C75" s="322" t="str">
        <f>Councils!D78</f>
        <v>Hebbronville</v>
      </c>
      <c r="D75" s="322" t="str">
        <f>IF(ISNA(VLOOKUP($V75,DD_Info!$A$1:$E$221,3,0)),0,VLOOKUP($V75,DD_Info!$A$1:$E$221,3,0))</f>
        <v>Laredo</v>
      </c>
      <c r="E75" s="322">
        <f>Councils!E78</f>
        <v>71</v>
      </c>
      <c r="F75" s="322">
        <f>Councils!F78</f>
        <v>3</v>
      </c>
      <c r="G75" s="322">
        <f>Councils!G78</f>
        <v>0</v>
      </c>
      <c r="H75" s="322">
        <f>Councils!H78</f>
        <v>0</v>
      </c>
      <c r="I75" s="322">
        <f>Councils!I78</f>
        <v>0</v>
      </c>
      <c r="J75" s="322">
        <f>Councils!J78</f>
        <v>0</v>
      </c>
      <c r="K75" s="322">
        <f>Councils!K78</f>
        <v>0</v>
      </c>
      <c r="L75" s="322">
        <f>Councils!L78</f>
        <v>0</v>
      </c>
      <c r="M75" s="323">
        <f>Councils!M78</f>
        <v>0</v>
      </c>
      <c r="N75" s="322">
        <f>Councils!O78</f>
        <v>0</v>
      </c>
      <c r="O75" s="322">
        <f>Councils!P78</f>
        <v>0</v>
      </c>
      <c r="P75" s="322">
        <f>Councils!Q78</f>
        <v>0</v>
      </c>
      <c r="Q75" s="322">
        <f>Councils!R78</f>
        <v>0</v>
      </c>
      <c r="R75" s="322">
        <f>Councils!S78</f>
        <v>0</v>
      </c>
      <c r="S75" s="322">
        <f>Councils!T78</f>
        <v>0</v>
      </c>
      <c r="T75" s="322">
        <f>Councils!U78</f>
        <v>0</v>
      </c>
      <c r="U75" s="323">
        <f>Councils!V78</f>
        <v>0</v>
      </c>
      <c r="V75" s="376">
        <v>238</v>
      </c>
      <c r="W75" s="377">
        <f t="shared" si="1"/>
        <v>2</v>
      </c>
      <c r="X75" s="378" t="str">
        <f>IF(ISNA(VLOOKUP($A75,GA!$A$1:$D$834,3,0))," ",VLOOKUP($A75,GA!$A$1:$D$834,3,0))</f>
        <v>Carlin</v>
      </c>
      <c r="Y75" s="379" t="str">
        <f>IF(ISNA(VLOOKUP($A75,Dormant_Councils!$A$1:$E$811,5,0)),"No",VLOOKUP($A75,Dormant_Councils!$A$1:$E$811,5,0))</f>
        <v>No</v>
      </c>
      <c r="Z75" s="381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22" t="str">
        <f>Councils!C79</f>
        <v>020</v>
      </c>
      <c r="C76" s="322" t="str">
        <f>Councils!D79</f>
        <v>Fort Worth</v>
      </c>
      <c r="D76" s="322" t="str">
        <f>IF(ISNA(VLOOKUP($V76,DD_Info!$A$1:$E$221,3,0)),0,VLOOKUP($V76,DD_Info!$A$1:$E$221,3,0))</f>
        <v>Fort Worth</v>
      </c>
      <c r="E76" s="322">
        <f>Councils!E79</f>
        <v>235</v>
      </c>
      <c r="F76" s="322">
        <f>Councils!F79</f>
        <v>11</v>
      </c>
      <c r="G76" s="322">
        <f>Councils!G79</f>
        <v>0</v>
      </c>
      <c r="H76" s="322">
        <f>Councils!H79</f>
        <v>0</v>
      </c>
      <c r="I76" s="322">
        <f>Councils!I79</f>
        <v>0</v>
      </c>
      <c r="J76" s="322">
        <f>Councils!J79</f>
        <v>0</v>
      </c>
      <c r="K76" s="322">
        <f>Councils!K79</f>
        <v>0</v>
      </c>
      <c r="L76" s="322">
        <f>Councils!L79</f>
        <v>0</v>
      </c>
      <c r="M76" s="323">
        <f>Councils!M79</f>
        <v>0</v>
      </c>
      <c r="N76" s="322">
        <f>Councils!O79</f>
        <v>0</v>
      </c>
      <c r="O76" s="322">
        <f>Councils!P79</f>
        <v>0</v>
      </c>
      <c r="P76" s="322">
        <f>Councils!Q79</f>
        <v>0</v>
      </c>
      <c r="Q76" s="322">
        <f>Councils!R79</f>
        <v>0</v>
      </c>
      <c r="R76" s="322">
        <f>Councils!S79</f>
        <v>0</v>
      </c>
      <c r="S76" s="322">
        <f>Councils!T79</f>
        <v>0</v>
      </c>
      <c r="T76" s="322">
        <f>Councils!U79</f>
        <v>0</v>
      </c>
      <c r="U76" s="323">
        <f>Councils!V79</f>
        <v>0</v>
      </c>
      <c r="V76" s="376">
        <v>20</v>
      </c>
      <c r="W76" s="377">
        <f t="shared" si="1"/>
        <v>1</v>
      </c>
      <c r="X76" s="378" t="str">
        <f>IF(ISNA(VLOOKUP($A76,GA!$A$1:$D$834,3,0))," ",VLOOKUP($A76,GA!$A$1:$D$834,3,0))</f>
        <v>Stark</v>
      </c>
      <c r="Y76" s="379" t="str">
        <f>IF(ISNA(VLOOKUP($A76,Dormant_Councils!$A$1:$E$811,5,0)),"No",VLOOKUP($A76,Dormant_Councils!$A$1:$E$811,5,0))</f>
        <v>No</v>
      </c>
      <c r="Z76" s="381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22" t="str">
        <f>Councils!C80</f>
        <v>190</v>
      </c>
      <c r="C77" s="322" t="str">
        <f>Councils!D80</f>
        <v>Schulenburg</v>
      </c>
      <c r="D77" s="322" t="str">
        <f>IF(ISNA(VLOOKUP($V77,DD_Info!$A$1:$E$221,3,0)),0,VLOOKUP($V77,DD_Info!$A$1:$E$221,3,0))</f>
        <v>Victoria</v>
      </c>
      <c r="E77" s="322">
        <f>Councils!E80</f>
        <v>289</v>
      </c>
      <c r="F77" s="322">
        <f>Councils!F80</f>
        <v>14</v>
      </c>
      <c r="G77" s="322">
        <f>Councils!G80</f>
        <v>1</v>
      </c>
      <c r="H77" s="322">
        <f>Councils!H80</f>
        <v>0</v>
      </c>
      <c r="I77" s="322">
        <f>Councils!I80</f>
        <v>1</v>
      </c>
      <c r="J77" s="322">
        <f>Councils!J80</f>
        <v>3</v>
      </c>
      <c r="K77" s="322">
        <f>Councils!K80</f>
        <v>10</v>
      </c>
      <c r="L77" s="322">
        <f>Councils!L80</f>
        <v>-7</v>
      </c>
      <c r="M77" s="323">
        <f>Councils!M80</f>
        <v>0</v>
      </c>
      <c r="N77" s="322">
        <f>Councils!O80</f>
        <v>0</v>
      </c>
      <c r="O77" s="322">
        <f>Councils!P80</f>
        <v>1</v>
      </c>
      <c r="P77" s="322">
        <f>Councils!Q80</f>
        <v>0</v>
      </c>
      <c r="Q77" s="322">
        <f>Councils!R80</f>
        <v>1</v>
      </c>
      <c r="R77" s="322">
        <f>Councils!S80</f>
        <v>4</v>
      </c>
      <c r="S77" s="322">
        <f>Councils!T80</f>
        <v>1</v>
      </c>
      <c r="T77" s="322">
        <f>Councils!U80</f>
        <v>3</v>
      </c>
      <c r="U77" s="323">
        <f>Councils!V80</f>
        <v>0</v>
      </c>
      <c r="V77" s="376">
        <v>190</v>
      </c>
      <c r="W77" s="377">
        <f t="shared" si="1"/>
        <v>1</v>
      </c>
      <c r="X77" s="378" t="str">
        <f>IF(ISNA(VLOOKUP($A77,GA!$A$1:$D$834,3,0))," ",VLOOKUP($A77,GA!$A$1:$D$834,3,0))</f>
        <v>Supak</v>
      </c>
      <c r="Y77" s="379" t="str">
        <f>IF(ISNA(VLOOKUP($A77,Dormant_Councils!$A$1:$E$811,5,0)),"No",VLOOKUP($A77,Dormant_Councils!$A$1:$E$811,5,0))</f>
        <v>No</v>
      </c>
      <c r="Z77" s="381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22" t="str">
        <f>Councils!C81</f>
        <v>088</v>
      </c>
      <c r="C78" s="322" t="str">
        <f>Councils!D81</f>
        <v>Houston</v>
      </c>
      <c r="D78" s="322" t="str">
        <f>IF(ISNA(VLOOKUP($V78,DD_Info!$A$1:$E$221,3,0)),0,VLOOKUP($V78,DD_Info!$A$1:$E$221,3,0))</f>
        <v>Galv/Hous</v>
      </c>
      <c r="E78" s="322">
        <f>Councils!E81</f>
        <v>499</v>
      </c>
      <c r="F78" s="322">
        <f>Councils!F81</f>
        <v>20</v>
      </c>
      <c r="G78" s="322">
        <f>Councils!G81</f>
        <v>0</v>
      </c>
      <c r="H78" s="322">
        <f>Councils!H81</f>
        <v>0</v>
      </c>
      <c r="I78" s="322">
        <f>Councils!I81</f>
        <v>0</v>
      </c>
      <c r="J78" s="322">
        <f>Councils!J81</f>
        <v>6</v>
      </c>
      <c r="K78" s="322">
        <f>Councils!K81</f>
        <v>0</v>
      </c>
      <c r="L78" s="322">
        <f>Councils!L81</f>
        <v>6</v>
      </c>
      <c r="M78" s="323">
        <f>Councils!M81</f>
        <v>30</v>
      </c>
      <c r="N78" s="322">
        <f>Councils!O81</f>
        <v>0</v>
      </c>
      <c r="O78" s="322">
        <f>Councils!P81</f>
        <v>0</v>
      </c>
      <c r="P78" s="322">
        <f>Councils!Q81</f>
        <v>1</v>
      </c>
      <c r="Q78" s="322">
        <f>Councils!R81</f>
        <v>-1</v>
      </c>
      <c r="R78" s="322">
        <f>Councils!S81</f>
        <v>3</v>
      </c>
      <c r="S78" s="322">
        <f>Councils!T81</f>
        <v>2</v>
      </c>
      <c r="T78" s="322">
        <f>Councils!U81</f>
        <v>1</v>
      </c>
      <c r="U78" s="323">
        <f>Councils!V81</f>
        <v>0</v>
      </c>
      <c r="V78" s="376">
        <v>88</v>
      </c>
      <c r="W78" s="377">
        <f t="shared" si="1"/>
        <v>1</v>
      </c>
      <c r="X78" s="378" t="str">
        <f>IF(ISNA(VLOOKUP($A78,GA!$A$1:$D$834,3,0))," ",VLOOKUP($A78,GA!$A$1:$D$834,3,0))</f>
        <v>Rangel</v>
      </c>
      <c r="Y78" s="379" t="str">
        <f>IF(ISNA(VLOOKUP($A78,Dormant_Councils!$A$1:$E$811,5,0)),"No",VLOOKUP($A78,Dormant_Councils!$A$1:$E$811,5,0))</f>
        <v>No</v>
      </c>
      <c r="Z78" s="381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22" t="str">
        <f>Councils!C82</f>
        <v>190</v>
      </c>
      <c r="C79" s="322" t="str">
        <f>Councils!D82</f>
        <v>Columbus</v>
      </c>
      <c r="D79" s="322" t="str">
        <f>IF(ISNA(VLOOKUP($V79,DD_Info!$A$1:$E$221,3,0)),0,VLOOKUP($V79,DD_Info!$A$1:$E$221,3,0))</f>
        <v>Victoria</v>
      </c>
      <c r="E79" s="322">
        <f>Councils!E82</f>
        <v>204</v>
      </c>
      <c r="F79" s="322">
        <f>Councils!F82</f>
        <v>10</v>
      </c>
      <c r="G79" s="322">
        <f>Councils!G82</f>
        <v>0</v>
      </c>
      <c r="H79" s="322">
        <f>Councils!H82</f>
        <v>0</v>
      </c>
      <c r="I79" s="322">
        <f>Councils!I82</f>
        <v>0</v>
      </c>
      <c r="J79" s="322">
        <f>Councils!J82</f>
        <v>0</v>
      </c>
      <c r="K79" s="322">
        <f>Councils!K82</f>
        <v>0</v>
      </c>
      <c r="L79" s="322">
        <f>Councils!L82</f>
        <v>0</v>
      </c>
      <c r="M79" s="323">
        <f>Councils!M82</f>
        <v>0</v>
      </c>
      <c r="N79" s="322">
        <f>Councils!O82</f>
        <v>0</v>
      </c>
      <c r="O79" s="322">
        <f>Councils!P82</f>
        <v>0</v>
      </c>
      <c r="P79" s="322">
        <f>Councils!Q82</f>
        <v>0</v>
      </c>
      <c r="Q79" s="322">
        <f>Councils!R82</f>
        <v>0</v>
      </c>
      <c r="R79" s="322">
        <f>Councils!S82</f>
        <v>0</v>
      </c>
      <c r="S79" s="322">
        <f>Councils!T82</f>
        <v>1</v>
      </c>
      <c r="T79" s="322">
        <f>Councils!U82</f>
        <v>-1</v>
      </c>
      <c r="U79" s="323">
        <f>Councils!V82</f>
        <v>0</v>
      </c>
      <c r="V79" s="376">
        <v>190</v>
      </c>
      <c r="W79" s="377">
        <f t="shared" si="1"/>
        <v>1</v>
      </c>
      <c r="X79" s="378" t="str">
        <f>IF(ISNA(VLOOKUP($A79,GA!$A$1:$D$834,3,0))," ",VLOOKUP($A79,GA!$A$1:$D$834,3,0))</f>
        <v>Supak</v>
      </c>
      <c r="Y79" s="379" t="str">
        <f>IF(ISNA(VLOOKUP($A79,Dormant_Councils!$A$1:$E$811,5,0)),"No",VLOOKUP($A79,Dormant_Councils!$A$1:$E$811,5,0))</f>
        <v>No</v>
      </c>
      <c r="Z79" s="381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22" t="str">
        <f>Councils!C83</f>
        <v>173</v>
      </c>
      <c r="C80" s="322" t="str">
        <f>Councils!D83</f>
        <v>Alice</v>
      </c>
      <c r="D80" s="322" t="str">
        <f>IF(ISNA(VLOOKUP($V80,DD_Info!$A$1:$E$221,3,0)),0,VLOOKUP($V80,DD_Info!$A$1:$E$221,3,0))</f>
        <v>Corpus Christi</v>
      </c>
      <c r="E80" s="322">
        <f>Councils!E83</f>
        <v>69</v>
      </c>
      <c r="F80" s="322">
        <f>Councils!F83</f>
        <v>3</v>
      </c>
      <c r="G80" s="322">
        <f>Councils!G83</f>
        <v>0</v>
      </c>
      <c r="H80" s="322">
        <f>Councils!H83</f>
        <v>0</v>
      </c>
      <c r="I80" s="322">
        <f>Councils!I83</f>
        <v>0</v>
      </c>
      <c r="J80" s="322">
        <f>Councils!J83</f>
        <v>0</v>
      </c>
      <c r="K80" s="322">
        <f>Councils!K83</f>
        <v>0</v>
      </c>
      <c r="L80" s="322">
        <f>Councils!L83</f>
        <v>0</v>
      </c>
      <c r="M80" s="323">
        <f>Councils!M83</f>
        <v>0</v>
      </c>
      <c r="N80" s="322">
        <f>Councils!O83</f>
        <v>0</v>
      </c>
      <c r="O80" s="322">
        <f>Councils!P83</f>
        <v>0</v>
      </c>
      <c r="P80" s="322">
        <f>Councils!Q83</f>
        <v>0</v>
      </c>
      <c r="Q80" s="322">
        <f>Councils!R83</f>
        <v>0</v>
      </c>
      <c r="R80" s="322">
        <f>Councils!S83</f>
        <v>0</v>
      </c>
      <c r="S80" s="322">
        <f>Councils!T83</f>
        <v>0</v>
      </c>
      <c r="T80" s="322">
        <f>Councils!U83</f>
        <v>0</v>
      </c>
      <c r="U80" s="323">
        <f>Councils!V83</f>
        <v>0</v>
      </c>
      <c r="V80" s="376">
        <v>173</v>
      </c>
      <c r="W80" s="377">
        <f t="shared" si="1"/>
        <v>2</v>
      </c>
      <c r="X80" s="378" t="str">
        <f>IF(ISNA(VLOOKUP($A80,GA!$A$1:$D$834,3,0))," ",VLOOKUP($A80,GA!$A$1:$D$834,3,0))</f>
        <v>Carlin</v>
      </c>
      <c r="Y80" s="379" t="str">
        <f>IF(ISNA(VLOOKUP($A80,Dormant_Councils!$A$1:$E$811,5,0)),"No",VLOOKUP($A80,Dormant_Councils!$A$1:$E$811,5,0))</f>
        <v>No</v>
      </c>
      <c r="Z80" s="381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22" t="str">
        <f>Councils!C84</f>
        <v>Unassigned</v>
      </c>
      <c r="C81" s="322" t="str">
        <f>Councils!D84</f>
        <v>Robstown</v>
      </c>
      <c r="D81" s="322">
        <f>IF(ISNA(VLOOKUP($V81,DD_Info!$A$1:$E$221,3,0)),0,VLOOKUP($V81,DD_Info!$A$1:$E$221,3,0))</f>
        <v>0</v>
      </c>
      <c r="E81" s="322">
        <f>Councils!E84</f>
        <v>0</v>
      </c>
      <c r="F81" s="322">
        <f>Councils!F84</f>
        <v>0</v>
      </c>
      <c r="G81" s="322">
        <f>Councils!G84</f>
        <v>0</v>
      </c>
      <c r="H81" s="322">
        <f>Councils!H84</f>
        <v>0</v>
      </c>
      <c r="I81" s="322">
        <f>Councils!I84</f>
        <v>0</v>
      </c>
      <c r="J81" s="322">
        <f>Councils!J84</f>
        <v>0</v>
      </c>
      <c r="K81" s="322">
        <f>Councils!K84</f>
        <v>0</v>
      </c>
      <c r="L81" s="322">
        <f>Councils!L84</f>
        <v>0</v>
      </c>
      <c r="M81" s="323">
        <f>Councils!M84</f>
        <v>0</v>
      </c>
      <c r="N81" s="322">
        <f>Councils!O84</f>
        <v>0</v>
      </c>
      <c r="O81" s="322">
        <f>Councils!P84</f>
        <v>0</v>
      </c>
      <c r="P81" s="322">
        <f>Councils!Q84</f>
        <v>0</v>
      </c>
      <c r="Q81" s="322">
        <f>Councils!R84</f>
        <v>0</v>
      </c>
      <c r="R81" s="322">
        <f>Councils!S84</f>
        <v>0</v>
      </c>
      <c r="S81" s="322">
        <f>Councils!T84</f>
        <v>0</v>
      </c>
      <c r="T81" s="322">
        <f>Councils!U84</f>
        <v>0</v>
      </c>
      <c r="U81" s="323">
        <f>Councils!V84</f>
        <v>0</v>
      </c>
      <c r="V81" s="45" t="s">
        <v>93</v>
      </c>
      <c r="W81" s="377">
        <f t="shared" si="1"/>
        <v>3</v>
      </c>
      <c r="X81" s="378" t="str">
        <f>IF(ISNA(VLOOKUP($A81,GA!$A$1:$D$834,3,0))," ",VLOOKUP($A81,GA!$A$1:$D$834,3,0))</f>
        <v>Carlin</v>
      </c>
      <c r="Y81" s="379" t="str">
        <f>IF(ISNA(VLOOKUP($A81,Dormant_Councils!$A$1:$E$811,5,0)),"No",VLOOKUP($A81,Dormant_Councils!$A$1:$E$811,5,0))</f>
        <v>No</v>
      </c>
      <c r="Z81" s="381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22" t="str">
        <f>Councils!C85</f>
        <v>246</v>
      </c>
      <c r="C82" s="322" t="str">
        <f>Councils!D85</f>
        <v>Lubbock</v>
      </c>
      <c r="D82" s="322" t="str">
        <f>IF(ISNA(VLOOKUP($V82,DD_Info!$A$1:$E$221,3,0)),0,VLOOKUP($V82,DD_Info!$A$1:$E$221,3,0))</f>
        <v>Lubbock</v>
      </c>
      <c r="E82" s="322">
        <f>Councils!E85</f>
        <v>278</v>
      </c>
      <c r="F82" s="322">
        <f>Councils!F85</f>
        <v>12</v>
      </c>
      <c r="G82" s="322">
        <f>Councils!G85</f>
        <v>5</v>
      </c>
      <c r="H82" s="322">
        <f>Councils!H85</f>
        <v>0</v>
      </c>
      <c r="I82" s="322">
        <f>Councils!I85</f>
        <v>5</v>
      </c>
      <c r="J82" s="322">
        <f>Councils!J85</f>
        <v>8</v>
      </c>
      <c r="K82" s="322">
        <f>Councils!K85</f>
        <v>0</v>
      </c>
      <c r="L82" s="322">
        <f>Councils!L85</f>
        <v>8</v>
      </c>
      <c r="M82" s="323">
        <f>Councils!M85</f>
        <v>66.67</v>
      </c>
      <c r="N82" s="322">
        <f>Councils!O85</f>
        <v>0</v>
      </c>
      <c r="O82" s="322">
        <f>Councils!P85</f>
        <v>1</v>
      </c>
      <c r="P82" s="322">
        <f>Councils!Q85</f>
        <v>0</v>
      </c>
      <c r="Q82" s="322">
        <f>Councils!R85</f>
        <v>1</v>
      </c>
      <c r="R82" s="322">
        <f>Councils!S85</f>
        <v>6</v>
      </c>
      <c r="S82" s="322">
        <f>Councils!T85</f>
        <v>0</v>
      </c>
      <c r="T82" s="322">
        <f>Councils!U85</f>
        <v>6</v>
      </c>
      <c r="U82" s="323">
        <f>Councils!V85</f>
        <v>0</v>
      </c>
      <c r="V82" s="376">
        <v>246</v>
      </c>
      <c r="W82" s="377">
        <f t="shared" si="1"/>
        <v>1</v>
      </c>
      <c r="X82" s="378" t="str">
        <f>IF(ISNA(VLOOKUP($A82,GA!$A$1:$D$834,3,0))," ",VLOOKUP($A82,GA!$A$1:$D$834,3,0))</f>
        <v>Payne</v>
      </c>
      <c r="Y82" s="379" t="str">
        <f>IF(ISNA(VLOOKUP($A82,Dormant_Councils!$A$1:$E$811,5,0)),"No",VLOOKUP($A82,Dormant_Councils!$A$1:$E$811,5,0))</f>
        <v>No</v>
      </c>
      <c r="Z82" s="381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22" t="str">
        <f>Councils!C86</f>
        <v>187</v>
      </c>
      <c r="C83" s="322" t="str">
        <f>Councils!D86</f>
        <v>Bay City</v>
      </c>
      <c r="D83" s="322" t="str">
        <f>IF(ISNA(VLOOKUP($V83,DD_Info!$A$1:$E$221,3,0)),0,VLOOKUP($V83,DD_Info!$A$1:$E$221,3,0))</f>
        <v>Victoria</v>
      </c>
      <c r="E83" s="322">
        <f>Councils!E86</f>
        <v>169</v>
      </c>
      <c r="F83" s="322">
        <f>Councils!F86</f>
        <v>8</v>
      </c>
      <c r="G83" s="322">
        <f>Councils!G86</f>
        <v>0</v>
      </c>
      <c r="H83" s="322">
        <f>Councils!H86</f>
        <v>0</v>
      </c>
      <c r="I83" s="322">
        <f>Councils!I86</f>
        <v>0</v>
      </c>
      <c r="J83" s="322">
        <f>Councils!J86</f>
        <v>5</v>
      </c>
      <c r="K83" s="322">
        <f>Councils!K86</f>
        <v>0</v>
      </c>
      <c r="L83" s="322">
        <f>Councils!L86</f>
        <v>5</v>
      </c>
      <c r="M83" s="323">
        <f>Councils!M86</f>
        <v>62.5</v>
      </c>
      <c r="N83" s="322">
        <f>Councils!O86</f>
        <v>0</v>
      </c>
      <c r="O83" s="322">
        <f>Councils!P86</f>
        <v>0</v>
      </c>
      <c r="P83" s="322">
        <f>Councils!Q86</f>
        <v>0</v>
      </c>
      <c r="Q83" s="322">
        <f>Councils!R86</f>
        <v>0</v>
      </c>
      <c r="R83" s="322">
        <f>Councils!S86</f>
        <v>0</v>
      </c>
      <c r="S83" s="322">
        <f>Councils!T86</f>
        <v>0</v>
      </c>
      <c r="T83" s="322">
        <f>Councils!U86</f>
        <v>0</v>
      </c>
      <c r="U83" s="323">
        <f>Councils!V86</f>
        <v>0</v>
      </c>
      <c r="V83" s="376">
        <v>187</v>
      </c>
      <c r="W83" s="377">
        <f t="shared" si="1"/>
        <v>1</v>
      </c>
      <c r="X83" s="378" t="str">
        <f>IF(ISNA(VLOOKUP($A83,GA!$A$1:$D$834,3,0))," ",VLOOKUP($A83,GA!$A$1:$D$834,3,0))</f>
        <v>Supak</v>
      </c>
      <c r="Y83" s="379" t="str">
        <f>IF(ISNA(VLOOKUP($A83,Dormant_Councils!$A$1:$E$811,5,0)),"No",VLOOKUP($A83,Dormant_Councils!$A$1:$E$811,5,0))</f>
        <v>No</v>
      </c>
      <c r="Z83" s="381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22" t="str">
        <f>Councils!C87</f>
        <v>223</v>
      </c>
      <c r="C84" s="322" t="str">
        <f>Councils!D87</f>
        <v>Midland</v>
      </c>
      <c r="D84" s="322" t="str">
        <f>IF(ISNA(VLOOKUP($V84,DD_Info!$A$1:$E$221,3,0)),0,VLOOKUP($V84,DD_Info!$A$1:$E$221,3,0))</f>
        <v>San Angelo</v>
      </c>
      <c r="E84" s="322">
        <f>Councils!E87</f>
        <v>284</v>
      </c>
      <c r="F84" s="322">
        <f>Councils!F87</f>
        <v>14</v>
      </c>
      <c r="G84" s="322">
        <f>Councils!G87</f>
        <v>0</v>
      </c>
      <c r="H84" s="322">
        <f>Councils!H87</f>
        <v>0</v>
      </c>
      <c r="I84" s="322">
        <f>Councils!I87</f>
        <v>0</v>
      </c>
      <c r="J84" s="322">
        <f>Councils!J87</f>
        <v>0</v>
      </c>
      <c r="K84" s="322">
        <f>Councils!K87</f>
        <v>0</v>
      </c>
      <c r="L84" s="322">
        <f>Councils!L87</f>
        <v>0</v>
      </c>
      <c r="M84" s="323">
        <f>Councils!M87</f>
        <v>0</v>
      </c>
      <c r="N84" s="322">
        <f>Councils!O87</f>
        <v>0</v>
      </c>
      <c r="O84" s="322">
        <f>Councils!P87</f>
        <v>0</v>
      </c>
      <c r="P84" s="322">
        <f>Councils!Q87</f>
        <v>1</v>
      </c>
      <c r="Q84" s="322">
        <f>Councils!R87</f>
        <v>-1</v>
      </c>
      <c r="R84" s="322">
        <f>Councils!S87</f>
        <v>0</v>
      </c>
      <c r="S84" s="322">
        <f>Councils!T87</f>
        <v>4</v>
      </c>
      <c r="T84" s="322">
        <f>Councils!U87</f>
        <v>-4</v>
      </c>
      <c r="U84" s="323">
        <f>Councils!V87</f>
        <v>0</v>
      </c>
      <c r="V84" s="376">
        <v>223</v>
      </c>
      <c r="W84" s="377">
        <f t="shared" si="1"/>
        <v>1</v>
      </c>
      <c r="X84" s="378" t="str">
        <f>IF(ISNA(VLOOKUP($A84,GA!$A$1:$D$834,3,0))," ",VLOOKUP($A84,GA!$A$1:$D$834,3,0))</f>
        <v>Payne</v>
      </c>
      <c r="Y84" s="379" t="str">
        <f>IF(ISNA(VLOOKUP($A84,Dormant_Councils!$A$1:$E$811,5,0)),"No",VLOOKUP($A84,Dormant_Councils!$A$1:$E$811,5,0))</f>
        <v>No</v>
      </c>
      <c r="Z84" s="381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22" t="str">
        <f>Councils!C88</f>
        <v>081</v>
      </c>
      <c r="C85" s="322" t="str">
        <f>Councils!D88</f>
        <v>Houston</v>
      </c>
      <c r="D85" s="322" t="str">
        <f>IF(ISNA(VLOOKUP($V85,DD_Info!$A$1:$E$221,3,0)),0,VLOOKUP($V85,DD_Info!$A$1:$E$221,3,0))</f>
        <v>Galv/Hous</v>
      </c>
      <c r="E85" s="322">
        <f>Councils!E88</f>
        <v>237</v>
      </c>
      <c r="F85" s="322">
        <f>Councils!F88</f>
        <v>11</v>
      </c>
      <c r="G85" s="322">
        <f>Councils!G88</f>
        <v>0</v>
      </c>
      <c r="H85" s="322">
        <f>Councils!H88</f>
        <v>0</v>
      </c>
      <c r="I85" s="322">
        <f>Councils!I88</f>
        <v>0</v>
      </c>
      <c r="J85" s="322">
        <f>Councils!J88</f>
        <v>2</v>
      </c>
      <c r="K85" s="322">
        <f>Councils!K88</f>
        <v>0</v>
      </c>
      <c r="L85" s="322">
        <f>Councils!L88</f>
        <v>2</v>
      </c>
      <c r="M85" s="323">
        <f>Councils!M88</f>
        <v>18.18</v>
      </c>
      <c r="N85" s="322">
        <f>Councils!O88</f>
        <v>0</v>
      </c>
      <c r="O85" s="322">
        <f>Councils!P88</f>
        <v>0</v>
      </c>
      <c r="P85" s="322">
        <f>Councils!Q88</f>
        <v>2</v>
      </c>
      <c r="Q85" s="322">
        <f>Councils!R88</f>
        <v>-2</v>
      </c>
      <c r="R85" s="322">
        <f>Councils!S88</f>
        <v>3</v>
      </c>
      <c r="S85" s="322">
        <f>Councils!T88</f>
        <v>3</v>
      </c>
      <c r="T85" s="322">
        <f>Councils!U88</f>
        <v>0</v>
      </c>
      <c r="U85" s="323">
        <f>Councils!V88</f>
        <v>0</v>
      </c>
      <c r="V85" s="376">
        <v>81</v>
      </c>
      <c r="W85" s="377">
        <f t="shared" si="1"/>
        <v>1</v>
      </c>
      <c r="X85" s="378" t="str">
        <f>IF(ISNA(VLOOKUP($A85,GA!$A$1:$D$834,3,0))," ",VLOOKUP($A85,GA!$A$1:$D$834,3,0))</f>
        <v>Rangel</v>
      </c>
      <c r="Y85" s="379" t="str">
        <f>IF(ISNA(VLOOKUP($A85,Dormant_Councils!$A$1:$E$811,5,0)),"No",VLOOKUP($A85,Dormant_Councils!$A$1:$E$811,5,0))</f>
        <v>No</v>
      </c>
      <c r="Z85" s="381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22" t="str">
        <f>Councils!C89</f>
        <v>191</v>
      </c>
      <c r="C86" s="322" t="str">
        <f>Councils!D89</f>
        <v>Shiner</v>
      </c>
      <c r="D86" s="322" t="str">
        <f>IF(ISNA(VLOOKUP($V86,DD_Info!$A$1:$E$221,3,0)),0,VLOOKUP($V86,DD_Info!$A$1:$E$221,3,0))</f>
        <v>Victoria</v>
      </c>
      <c r="E86" s="322">
        <f>Councils!E89</f>
        <v>301</v>
      </c>
      <c r="F86" s="322">
        <f>Councils!F89</f>
        <v>15</v>
      </c>
      <c r="G86" s="322">
        <f>Councils!G89</f>
        <v>0</v>
      </c>
      <c r="H86" s="322">
        <f>Councils!H89</f>
        <v>1</v>
      </c>
      <c r="I86" s="322">
        <f>Councils!I89</f>
        <v>-1</v>
      </c>
      <c r="J86" s="322">
        <f>Councils!J89</f>
        <v>2</v>
      </c>
      <c r="K86" s="322">
        <f>Councils!K89</f>
        <v>2</v>
      </c>
      <c r="L86" s="322">
        <f>Councils!L89</f>
        <v>0</v>
      </c>
      <c r="M86" s="323">
        <f>Councils!M89</f>
        <v>0</v>
      </c>
      <c r="N86" s="322">
        <f>Councils!O89</f>
        <v>0</v>
      </c>
      <c r="O86" s="322">
        <f>Councils!P89</f>
        <v>0</v>
      </c>
      <c r="P86" s="322">
        <f>Councils!Q89</f>
        <v>1</v>
      </c>
      <c r="Q86" s="322">
        <f>Councils!R89</f>
        <v>-1</v>
      </c>
      <c r="R86" s="322">
        <f>Councils!S89</f>
        <v>3</v>
      </c>
      <c r="S86" s="322">
        <f>Councils!T89</f>
        <v>4</v>
      </c>
      <c r="T86" s="322">
        <f>Councils!U89</f>
        <v>-1</v>
      </c>
      <c r="U86" s="323">
        <f>Councils!V89</f>
        <v>0</v>
      </c>
      <c r="V86" s="376">
        <v>191</v>
      </c>
      <c r="W86" s="377">
        <f t="shared" si="1"/>
        <v>1</v>
      </c>
      <c r="X86" s="378" t="str">
        <f>IF(ISNA(VLOOKUP($A86,GA!$A$1:$D$834,3,0))," ",VLOOKUP($A86,GA!$A$1:$D$834,3,0))</f>
        <v>Supak</v>
      </c>
      <c r="Y86" s="379" t="str">
        <f>IF(ISNA(VLOOKUP($A86,Dormant_Councils!$A$1:$E$811,5,0)),"No",VLOOKUP($A86,Dormant_Councils!$A$1:$E$811,5,0))</f>
        <v>No</v>
      </c>
      <c r="Z86" s="381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22" t="str">
        <f>Councils!C90</f>
        <v>214</v>
      </c>
      <c r="C87" s="322" t="str">
        <f>Councils!D90</f>
        <v>Weslaco</v>
      </c>
      <c r="D87" s="322" t="str">
        <f>IF(ISNA(VLOOKUP($V87,DD_Info!$A$1:$E$221,3,0)),0,VLOOKUP($V87,DD_Info!$A$1:$E$221,3,0))</f>
        <v>Brownsville</v>
      </c>
      <c r="E87" s="322">
        <f>Councils!E90</f>
        <v>133</v>
      </c>
      <c r="F87" s="322">
        <f>Councils!F90</f>
        <v>6</v>
      </c>
      <c r="G87" s="322">
        <f>Councils!G90</f>
        <v>0</v>
      </c>
      <c r="H87" s="322">
        <f>Councils!H90</f>
        <v>0</v>
      </c>
      <c r="I87" s="322">
        <f>Councils!I90</f>
        <v>0</v>
      </c>
      <c r="J87" s="322">
        <f>Councils!J90</f>
        <v>0</v>
      </c>
      <c r="K87" s="322">
        <f>Councils!K90</f>
        <v>0</v>
      </c>
      <c r="L87" s="322">
        <f>Councils!L90</f>
        <v>0</v>
      </c>
      <c r="M87" s="323">
        <f>Councils!M90</f>
        <v>0</v>
      </c>
      <c r="N87" s="322">
        <f>Councils!O90</f>
        <v>0</v>
      </c>
      <c r="O87" s="322">
        <f>Councils!P90</f>
        <v>0</v>
      </c>
      <c r="P87" s="322">
        <f>Councils!Q90</f>
        <v>0</v>
      </c>
      <c r="Q87" s="322">
        <f>Councils!R90</f>
        <v>0</v>
      </c>
      <c r="R87" s="322">
        <f>Councils!S90</f>
        <v>0</v>
      </c>
      <c r="S87" s="322">
        <f>Councils!T90</f>
        <v>0</v>
      </c>
      <c r="T87" s="322">
        <f>Councils!U90</f>
        <v>0</v>
      </c>
      <c r="U87" s="323">
        <f>Councils!V90</f>
        <v>0</v>
      </c>
      <c r="V87" s="376">
        <v>214</v>
      </c>
      <c r="W87" s="377">
        <f t="shared" si="1"/>
        <v>2</v>
      </c>
      <c r="X87" s="378" t="str">
        <f>IF(ISNA(VLOOKUP($A87,GA!$A$1:$D$834,3,0))," ",VLOOKUP($A87,GA!$A$1:$D$834,3,0))</f>
        <v>Carlin</v>
      </c>
      <c r="Y87" s="379" t="str">
        <f>IF(ISNA(VLOOKUP($A87,Dormant_Councils!$A$1:$E$811,5,0)),"No",VLOOKUP($A87,Dormant_Councils!$A$1:$E$811,5,0))</f>
        <v>No</v>
      </c>
      <c r="Z87" s="381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22" t="str">
        <f>Councils!C91</f>
        <v>177</v>
      </c>
      <c r="C88" s="322" t="str">
        <f>Councils!D91</f>
        <v>Robstown</v>
      </c>
      <c r="D88" s="322" t="str">
        <f>IF(ISNA(VLOOKUP($V88,DD_Info!$A$1:$E$221,3,0)),0,VLOOKUP($V88,DD_Info!$A$1:$E$221,3,0))</f>
        <v>Corpus Christi</v>
      </c>
      <c r="E88" s="322">
        <f>Councils!E91</f>
        <v>146</v>
      </c>
      <c r="F88" s="322">
        <f>Councils!F91</f>
        <v>7</v>
      </c>
      <c r="G88" s="322">
        <f>Councils!G91</f>
        <v>0</v>
      </c>
      <c r="H88" s="322">
        <f>Councils!H91</f>
        <v>0</v>
      </c>
      <c r="I88" s="322">
        <f>Councils!I91</f>
        <v>0</v>
      </c>
      <c r="J88" s="322">
        <f>Councils!J91</f>
        <v>0</v>
      </c>
      <c r="K88" s="322">
        <f>Councils!K91</f>
        <v>0</v>
      </c>
      <c r="L88" s="322">
        <f>Councils!L91</f>
        <v>0</v>
      </c>
      <c r="M88" s="323">
        <f>Councils!M91</f>
        <v>0</v>
      </c>
      <c r="N88" s="322">
        <f>Councils!O91</f>
        <v>0</v>
      </c>
      <c r="O88" s="322">
        <f>Councils!P91</f>
        <v>0</v>
      </c>
      <c r="P88" s="322">
        <f>Councils!Q91</f>
        <v>1</v>
      </c>
      <c r="Q88" s="322">
        <f>Councils!R91</f>
        <v>-1</v>
      </c>
      <c r="R88" s="322">
        <f>Councils!S91</f>
        <v>0</v>
      </c>
      <c r="S88" s="322">
        <f>Councils!T91</f>
        <v>1</v>
      </c>
      <c r="T88" s="322">
        <f>Councils!U91</f>
        <v>-1</v>
      </c>
      <c r="U88" s="323">
        <f>Councils!V91</f>
        <v>0</v>
      </c>
      <c r="V88" s="376">
        <v>177</v>
      </c>
      <c r="W88" s="377">
        <f t="shared" si="1"/>
        <v>1</v>
      </c>
      <c r="X88" s="378" t="str">
        <f>IF(ISNA(VLOOKUP($A88,GA!$A$1:$D$834,3,0))," ",VLOOKUP($A88,GA!$A$1:$D$834,3,0))</f>
        <v>Carlin</v>
      </c>
      <c r="Y88" s="379" t="str">
        <f>IF(ISNA(VLOOKUP($A88,Dormant_Councils!$A$1:$E$811,5,0)),"No",VLOOKUP($A88,Dormant_Councils!$A$1:$E$811,5,0))</f>
        <v>No</v>
      </c>
      <c r="Z88" s="381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22" t="str">
        <f>Councils!C92</f>
        <v>154</v>
      </c>
      <c r="C89" s="322" t="str">
        <f>Councils!D92</f>
        <v>Fayetteville</v>
      </c>
      <c r="D89" s="322" t="str">
        <f>IF(ISNA(VLOOKUP($V89,DD_Info!$A$1:$E$221,3,0)),0,VLOOKUP($V89,DD_Info!$A$1:$E$221,3,0))</f>
        <v>Austin</v>
      </c>
      <c r="E89" s="322">
        <f>Councils!E92</f>
        <v>150</v>
      </c>
      <c r="F89" s="322">
        <f>Councils!F92</f>
        <v>7</v>
      </c>
      <c r="G89" s="322">
        <f>Councils!G92</f>
        <v>1</v>
      </c>
      <c r="H89" s="322">
        <f>Councils!H92</f>
        <v>0</v>
      </c>
      <c r="I89" s="322">
        <f>Councils!I92</f>
        <v>1</v>
      </c>
      <c r="J89" s="322">
        <f>Councils!J92</f>
        <v>4</v>
      </c>
      <c r="K89" s="322">
        <f>Councils!K92</f>
        <v>0</v>
      </c>
      <c r="L89" s="322">
        <f>Councils!L92</f>
        <v>4</v>
      </c>
      <c r="M89" s="323">
        <f>Councils!M92</f>
        <v>57.14</v>
      </c>
      <c r="N89" s="322">
        <f>Councils!O92</f>
        <v>0</v>
      </c>
      <c r="O89" s="322">
        <f>Councils!P92</f>
        <v>0</v>
      </c>
      <c r="P89" s="322">
        <f>Councils!Q92</f>
        <v>0</v>
      </c>
      <c r="Q89" s="322">
        <f>Councils!R92</f>
        <v>0</v>
      </c>
      <c r="R89" s="322">
        <f>Councils!S92</f>
        <v>0</v>
      </c>
      <c r="S89" s="322">
        <f>Councils!T92</f>
        <v>0</v>
      </c>
      <c r="T89" s="322">
        <f>Councils!U92</f>
        <v>0</v>
      </c>
      <c r="U89" s="323">
        <f>Councils!V92</f>
        <v>0</v>
      </c>
      <c r="V89" s="376">
        <v>154</v>
      </c>
      <c r="W89" s="377">
        <f t="shared" si="1"/>
        <v>1</v>
      </c>
      <c r="X89" s="378" t="str">
        <f>IF(ISNA(VLOOKUP($A89,GA!$A$1:$D$834,3,0))," ",VLOOKUP($A89,GA!$A$1:$D$834,3,0))</f>
        <v>Supak</v>
      </c>
      <c r="Y89" s="379" t="str">
        <f>IF(ISNA(VLOOKUP($A89,Dormant_Councils!$A$1:$E$811,5,0)),"No",VLOOKUP($A89,Dormant_Councils!$A$1:$E$811,5,0))</f>
        <v>No</v>
      </c>
      <c r="Z89" s="381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22" t="str">
        <f>Councils!C93</f>
        <v>173</v>
      </c>
      <c r="C90" s="322" t="str">
        <f>Councils!D93</f>
        <v>Alice</v>
      </c>
      <c r="D90" s="322" t="str">
        <f>IF(ISNA(VLOOKUP($V90,DD_Info!$A$1:$E$221,3,0)),0,VLOOKUP($V90,DD_Info!$A$1:$E$221,3,0))</f>
        <v>Corpus Christi</v>
      </c>
      <c r="E90" s="322">
        <f>Councils!E93</f>
        <v>314</v>
      </c>
      <c r="F90" s="322">
        <f>Councils!F93</f>
        <v>16</v>
      </c>
      <c r="G90" s="322">
        <f>Councils!G93</f>
        <v>0</v>
      </c>
      <c r="H90" s="322">
        <f>Councils!H93</f>
        <v>0</v>
      </c>
      <c r="I90" s="322">
        <f>Councils!I93</f>
        <v>0</v>
      </c>
      <c r="J90" s="322">
        <f>Councils!J93</f>
        <v>5</v>
      </c>
      <c r="K90" s="322">
        <f>Councils!K93</f>
        <v>0</v>
      </c>
      <c r="L90" s="322">
        <f>Councils!L93</f>
        <v>5</v>
      </c>
      <c r="M90" s="323">
        <f>Councils!M93</f>
        <v>31.25</v>
      </c>
      <c r="N90" s="322">
        <f>Councils!O93</f>
        <v>0</v>
      </c>
      <c r="O90" s="322">
        <f>Councils!P93</f>
        <v>0</v>
      </c>
      <c r="P90" s="322">
        <f>Councils!Q93</f>
        <v>2</v>
      </c>
      <c r="Q90" s="322">
        <f>Councils!R93</f>
        <v>-2</v>
      </c>
      <c r="R90" s="322">
        <f>Councils!S93</f>
        <v>1</v>
      </c>
      <c r="S90" s="322">
        <f>Councils!T93</f>
        <v>2</v>
      </c>
      <c r="T90" s="322">
        <f>Councils!U93</f>
        <v>-1</v>
      </c>
      <c r="U90" s="323">
        <f>Councils!V93</f>
        <v>0</v>
      </c>
      <c r="V90" s="376">
        <v>173</v>
      </c>
      <c r="W90" s="377">
        <f t="shared" si="1"/>
        <v>1</v>
      </c>
      <c r="X90" s="378" t="str">
        <f>IF(ISNA(VLOOKUP($A90,GA!$A$1:$D$834,3,0))," ",VLOOKUP($A90,GA!$A$1:$D$834,3,0))</f>
        <v>Carlin</v>
      </c>
      <c r="Y90" s="379" t="str">
        <f>IF(ISNA(VLOOKUP($A90,Dormant_Councils!$A$1:$E$811,5,0)),"No",VLOOKUP($A90,Dormant_Councils!$A$1:$E$811,5,0))</f>
        <v>No</v>
      </c>
      <c r="Z90" s="381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22" t="str">
        <f>Councils!C94</f>
        <v>123</v>
      </c>
      <c r="C91" s="322" t="str">
        <f>Councils!D94</f>
        <v>Port Arthur</v>
      </c>
      <c r="D91" s="322" t="str">
        <f>IF(ISNA(VLOOKUP($V91,DD_Info!$A$1:$E$221,3,0)),0,VLOOKUP($V91,DD_Info!$A$1:$E$221,3,0))</f>
        <v>Beaumont</v>
      </c>
      <c r="E91" s="322">
        <f>Councils!E94</f>
        <v>100</v>
      </c>
      <c r="F91" s="322">
        <f>Councils!F94</f>
        <v>5</v>
      </c>
      <c r="G91" s="322">
        <f>Councils!G94</f>
        <v>0</v>
      </c>
      <c r="H91" s="322">
        <f>Councils!H94</f>
        <v>0</v>
      </c>
      <c r="I91" s="322">
        <f>Councils!I94</f>
        <v>0</v>
      </c>
      <c r="J91" s="322">
        <f>Councils!J94</f>
        <v>1</v>
      </c>
      <c r="K91" s="322">
        <f>Councils!K94</f>
        <v>0</v>
      </c>
      <c r="L91" s="322">
        <f>Councils!L94</f>
        <v>1</v>
      </c>
      <c r="M91" s="323">
        <f>Councils!M94</f>
        <v>20</v>
      </c>
      <c r="N91" s="322">
        <f>Councils!O94</f>
        <v>0</v>
      </c>
      <c r="O91" s="322">
        <f>Councils!P94</f>
        <v>0</v>
      </c>
      <c r="P91" s="322">
        <f>Councils!Q94</f>
        <v>0</v>
      </c>
      <c r="Q91" s="322">
        <f>Councils!R94</f>
        <v>0</v>
      </c>
      <c r="R91" s="322">
        <f>Councils!S94</f>
        <v>0</v>
      </c>
      <c r="S91" s="322">
        <f>Councils!T94</f>
        <v>0</v>
      </c>
      <c r="T91" s="322">
        <f>Councils!U94</f>
        <v>0</v>
      </c>
      <c r="U91" s="323">
        <f>Councils!V94</f>
        <v>0</v>
      </c>
      <c r="V91" s="376">
        <v>123</v>
      </c>
      <c r="W91" s="377">
        <f t="shared" si="1"/>
        <v>2</v>
      </c>
      <c r="X91" s="378" t="str">
        <f>IF(ISNA(VLOOKUP($A91,GA!$A$1:$D$834,3,0))," ",VLOOKUP($A91,GA!$A$1:$D$834,3,0))</f>
        <v>Rangel</v>
      </c>
      <c r="Y91" s="379" t="str">
        <f>IF(ISNA(VLOOKUP($A91,Dormant_Councils!$A$1:$E$811,5,0)),"No",VLOOKUP($A91,Dormant_Councils!$A$1:$E$811,5,0))</f>
        <v>No</v>
      </c>
      <c r="Z91" s="381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22" t="str">
        <f>Councils!C95</f>
        <v>126</v>
      </c>
      <c r="C92" s="322" t="str">
        <f>Councils!D95</f>
        <v>Liberty</v>
      </c>
      <c r="D92" s="322" t="str">
        <f>IF(ISNA(VLOOKUP($V92,DD_Info!$A$1:$E$221,3,0)),0,VLOOKUP($V92,DD_Info!$A$1:$E$221,3,0))</f>
        <v>Beaumont</v>
      </c>
      <c r="E92" s="322">
        <f>Councils!E95</f>
        <v>53</v>
      </c>
      <c r="F92" s="322">
        <f>Councils!F95</f>
        <v>3</v>
      </c>
      <c r="G92" s="322">
        <f>Councils!G95</f>
        <v>0</v>
      </c>
      <c r="H92" s="322">
        <f>Councils!H95</f>
        <v>0</v>
      </c>
      <c r="I92" s="322">
        <f>Councils!I95</f>
        <v>0</v>
      </c>
      <c r="J92" s="322">
        <f>Councils!J95</f>
        <v>1</v>
      </c>
      <c r="K92" s="322">
        <f>Councils!K95</f>
        <v>0</v>
      </c>
      <c r="L92" s="322">
        <f>Councils!L95</f>
        <v>1</v>
      </c>
      <c r="M92" s="323">
        <f>Councils!M95</f>
        <v>33.33</v>
      </c>
      <c r="N92" s="322">
        <f>Councils!O95</f>
        <v>0</v>
      </c>
      <c r="O92" s="322">
        <f>Councils!P95</f>
        <v>0</v>
      </c>
      <c r="P92" s="322">
        <f>Councils!Q95</f>
        <v>0</v>
      </c>
      <c r="Q92" s="322">
        <f>Councils!R95</f>
        <v>0</v>
      </c>
      <c r="R92" s="322">
        <f>Councils!S95</f>
        <v>0</v>
      </c>
      <c r="S92" s="322">
        <f>Councils!T95</f>
        <v>0</v>
      </c>
      <c r="T92" s="322">
        <f>Councils!U95</f>
        <v>0</v>
      </c>
      <c r="U92" s="323">
        <f>Councils!V95</f>
        <v>0</v>
      </c>
      <c r="V92" s="376">
        <v>126</v>
      </c>
      <c r="W92" s="377">
        <f t="shared" si="1"/>
        <v>3</v>
      </c>
      <c r="X92" s="378" t="str">
        <f>IF(ISNA(VLOOKUP($A92,GA!$A$1:$D$834,3,0))," ",VLOOKUP($A92,GA!$A$1:$D$834,3,0))</f>
        <v>Rangel</v>
      </c>
      <c r="Y92" s="379" t="str">
        <f>IF(ISNA(VLOOKUP($A92,Dormant_Councils!$A$1:$E$811,5,0)),"No",VLOOKUP($A92,Dormant_Councils!$A$1:$E$811,5,0))</f>
        <v>No</v>
      </c>
      <c r="Z92" s="381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22" t="str">
        <f>Councils!C96</f>
        <v>222</v>
      </c>
      <c r="C93" s="322" t="str">
        <f>Councils!D96</f>
        <v>Odessa</v>
      </c>
      <c r="D93" s="322" t="str">
        <f>IF(ISNA(VLOOKUP($V93,DD_Info!$A$1:$E$221,3,0)),0,VLOOKUP($V93,DD_Info!$A$1:$E$221,3,0))</f>
        <v>San Angelo</v>
      </c>
      <c r="E93" s="322">
        <f>Councils!E96</f>
        <v>192</v>
      </c>
      <c r="F93" s="322">
        <f>Councils!F96</f>
        <v>9</v>
      </c>
      <c r="G93" s="322">
        <f>Councils!G96</f>
        <v>0</v>
      </c>
      <c r="H93" s="322">
        <f>Councils!H96</f>
        <v>0</v>
      </c>
      <c r="I93" s="322">
        <f>Councils!I96</f>
        <v>0</v>
      </c>
      <c r="J93" s="322">
        <f>Councils!J96</f>
        <v>1</v>
      </c>
      <c r="K93" s="322">
        <f>Councils!K96</f>
        <v>0</v>
      </c>
      <c r="L93" s="322">
        <f>Councils!L96</f>
        <v>1</v>
      </c>
      <c r="M93" s="323">
        <f>Councils!M96</f>
        <v>11.11</v>
      </c>
      <c r="N93" s="322">
        <f>Councils!O96</f>
        <v>0</v>
      </c>
      <c r="O93" s="322">
        <f>Councils!P96</f>
        <v>0</v>
      </c>
      <c r="P93" s="322">
        <f>Councils!Q96</f>
        <v>0</v>
      </c>
      <c r="Q93" s="322">
        <f>Councils!R96</f>
        <v>0</v>
      </c>
      <c r="R93" s="322">
        <f>Councils!S96</f>
        <v>0</v>
      </c>
      <c r="S93" s="322">
        <f>Councils!T96</f>
        <v>0</v>
      </c>
      <c r="T93" s="322">
        <f>Councils!U96</f>
        <v>0</v>
      </c>
      <c r="U93" s="323">
        <f>Councils!V96</f>
        <v>0</v>
      </c>
      <c r="V93" s="376">
        <v>222</v>
      </c>
      <c r="W93" s="377">
        <f t="shared" si="1"/>
        <v>1</v>
      </c>
      <c r="X93" s="378" t="str">
        <f>IF(ISNA(VLOOKUP($A93,GA!$A$1:$D$834,3,0))," ",VLOOKUP($A93,GA!$A$1:$D$834,3,0))</f>
        <v>Payne</v>
      </c>
      <c r="Y93" s="379" t="str">
        <f>IF(ISNA(VLOOKUP($A93,Dormant_Councils!$A$1:$E$811,5,0)),"No",VLOOKUP($A93,Dormant_Councils!$A$1:$E$811,5,0))</f>
        <v>No</v>
      </c>
      <c r="Z93" s="381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22" t="str">
        <f>Councils!C97</f>
        <v>186</v>
      </c>
      <c r="C94" s="322" t="str">
        <f>Councils!D97</f>
        <v>Ganado</v>
      </c>
      <c r="D94" s="322" t="str">
        <f>IF(ISNA(VLOOKUP($V94,DD_Info!$A$1:$E$221,3,0)),0,VLOOKUP($V94,DD_Info!$A$1:$E$221,3,0))</f>
        <v>Victoria</v>
      </c>
      <c r="E94" s="322">
        <f>Councils!E97</f>
        <v>150</v>
      </c>
      <c r="F94" s="322">
        <f>Councils!F97</f>
        <v>7</v>
      </c>
      <c r="G94" s="322">
        <f>Councils!G97</f>
        <v>0</v>
      </c>
      <c r="H94" s="322">
        <f>Councils!H97</f>
        <v>0</v>
      </c>
      <c r="I94" s="322">
        <f>Councils!I97</f>
        <v>0</v>
      </c>
      <c r="J94" s="322">
        <f>Councils!J97</f>
        <v>4</v>
      </c>
      <c r="K94" s="322">
        <f>Councils!K97</f>
        <v>0</v>
      </c>
      <c r="L94" s="322">
        <f>Councils!L97</f>
        <v>4</v>
      </c>
      <c r="M94" s="323">
        <f>Councils!M97</f>
        <v>57.14</v>
      </c>
      <c r="N94" s="322">
        <f>Councils!O97</f>
        <v>0</v>
      </c>
      <c r="O94" s="322">
        <f>Councils!P97</f>
        <v>0</v>
      </c>
      <c r="P94" s="322">
        <f>Councils!Q97</f>
        <v>0</v>
      </c>
      <c r="Q94" s="322">
        <f>Councils!R97</f>
        <v>0</v>
      </c>
      <c r="R94" s="322">
        <f>Councils!S97</f>
        <v>1</v>
      </c>
      <c r="S94" s="322">
        <f>Councils!T97</f>
        <v>1</v>
      </c>
      <c r="T94" s="322">
        <f>Councils!U97</f>
        <v>0</v>
      </c>
      <c r="U94" s="323">
        <f>Councils!V97</f>
        <v>0</v>
      </c>
      <c r="V94" s="376">
        <v>186</v>
      </c>
      <c r="W94" s="377">
        <f t="shared" si="1"/>
        <v>1</v>
      </c>
      <c r="X94" s="378" t="str">
        <f>IF(ISNA(VLOOKUP($A94,GA!$A$1:$D$834,3,0))," ",VLOOKUP($A94,GA!$A$1:$D$834,3,0))</f>
        <v>Supak</v>
      </c>
      <c r="Y94" s="379" t="str">
        <f>IF(ISNA(VLOOKUP($A94,Dormant_Councils!$A$1:$E$811,5,0)),"No",VLOOKUP($A94,Dormant_Councils!$A$1:$E$811,5,0))</f>
        <v>No</v>
      </c>
      <c r="Z94" s="381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22" t="str">
        <f>Councils!C98</f>
        <v>146</v>
      </c>
      <c r="C95" s="322" t="str">
        <f>Councils!D98</f>
        <v>College Station</v>
      </c>
      <c r="D95" s="322" t="str">
        <f>IF(ISNA(VLOOKUP($V95,DD_Info!$A$1:$E$221,3,0)),0,VLOOKUP($V95,DD_Info!$A$1:$E$221,3,0))</f>
        <v>Austin</v>
      </c>
      <c r="E95" s="322">
        <f>Councils!E98</f>
        <v>336</v>
      </c>
      <c r="F95" s="322">
        <f>Councils!F98</f>
        <v>15</v>
      </c>
      <c r="G95" s="322">
        <f>Councils!G98</f>
        <v>0</v>
      </c>
      <c r="H95" s="322">
        <f>Councils!H98</f>
        <v>1</v>
      </c>
      <c r="I95" s="322">
        <f>Councils!I98</f>
        <v>-1</v>
      </c>
      <c r="J95" s="322">
        <f>Councils!J98</f>
        <v>1</v>
      </c>
      <c r="K95" s="322">
        <f>Councils!K98</f>
        <v>1</v>
      </c>
      <c r="L95" s="322">
        <f>Councils!L98</f>
        <v>0</v>
      </c>
      <c r="M95" s="323">
        <f>Councils!M98</f>
        <v>0</v>
      </c>
      <c r="N95" s="322">
        <f>Councils!O98</f>
        <v>0</v>
      </c>
      <c r="O95" s="322">
        <f>Councils!P98</f>
        <v>0</v>
      </c>
      <c r="P95" s="322">
        <f>Councils!Q98</f>
        <v>1</v>
      </c>
      <c r="Q95" s="322">
        <f>Councils!R98</f>
        <v>-1</v>
      </c>
      <c r="R95" s="322">
        <f>Councils!S98</f>
        <v>0</v>
      </c>
      <c r="S95" s="322">
        <f>Councils!T98</f>
        <v>2</v>
      </c>
      <c r="T95" s="322">
        <f>Councils!U98</f>
        <v>-2</v>
      </c>
      <c r="U95" s="323">
        <f>Councils!V98</f>
        <v>0</v>
      </c>
      <c r="V95" s="376">
        <v>146</v>
      </c>
      <c r="W95" s="377">
        <f t="shared" si="1"/>
        <v>1</v>
      </c>
      <c r="X95" s="378" t="str">
        <f>IF(ISNA(VLOOKUP($A95,GA!$A$1:$D$834,3,0))," ",VLOOKUP($A95,GA!$A$1:$D$834,3,0))</f>
        <v>Britten</v>
      </c>
      <c r="Y95" s="379" t="str">
        <f>IF(ISNA(VLOOKUP($A95,Dormant_Councils!$A$1:$E$811,5,0)),"No",VLOOKUP($A95,Dormant_Councils!$A$1:$E$811,5,0))</f>
        <v>No</v>
      </c>
      <c r="Z95" s="381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22" t="str">
        <f>Councils!C99</f>
        <v>068</v>
      </c>
      <c r="C96" s="322" t="str">
        <f>Councils!D99</f>
        <v>Dickinson</v>
      </c>
      <c r="D96" s="322" t="str">
        <f>IF(ISNA(VLOOKUP($V96,DD_Info!$A$1:$E$221,3,0)),0,VLOOKUP($V96,DD_Info!$A$1:$E$221,3,0))</f>
        <v>Galv/Hous</v>
      </c>
      <c r="E96" s="322">
        <f>Councils!E99</f>
        <v>257</v>
      </c>
      <c r="F96" s="322">
        <f>Councils!F99</f>
        <v>12</v>
      </c>
      <c r="G96" s="322">
        <f>Councils!G99</f>
        <v>2</v>
      </c>
      <c r="H96" s="322">
        <f>Councils!H99</f>
        <v>0</v>
      </c>
      <c r="I96" s="322">
        <f>Councils!I99</f>
        <v>2</v>
      </c>
      <c r="J96" s="322">
        <f>Councils!J99</f>
        <v>4</v>
      </c>
      <c r="K96" s="322">
        <f>Councils!K99</f>
        <v>0</v>
      </c>
      <c r="L96" s="322">
        <f>Councils!L99</f>
        <v>4</v>
      </c>
      <c r="M96" s="323">
        <f>Councils!M99</f>
        <v>33.33</v>
      </c>
      <c r="N96" s="322">
        <f>Councils!O99</f>
        <v>0</v>
      </c>
      <c r="O96" s="322">
        <f>Councils!P99</f>
        <v>1</v>
      </c>
      <c r="P96" s="322">
        <f>Councils!Q99</f>
        <v>0</v>
      </c>
      <c r="Q96" s="322">
        <f>Councils!R99</f>
        <v>1</v>
      </c>
      <c r="R96" s="322">
        <f>Councils!S99</f>
        <v>3</v>
      </c>
      <c r="S96" s="322">
        <f>Councils!T99</f>
        <v>1</v>
      </c>
      <c r="T96" s="322">
        <f>Councils!U99</f>
        <v>2</v>
      </c>
      <c r="U96" s="323">
        <f>Councils!V99</f>
        <v>0</v>
      </c>
      <c r="V96" s="376">
        <v>68</v>
      </c>
      <c r="W96" s="377">
        <f t="shared" si="1"/>
        <v>1</v>
      </c>
      <c r="X96" s="378" t="str">
        <f>IF(ISNA(VLOOKUP($A96,GA!$A$1:$D$834,3,0))," ",VLOOKUP($A96,GA!$A$1:$D$834,3,0))</f>
        <v>Rangel</v>
      </c>
      <c r="Y96" s="379" t="str">
        <f>IF(ISNA(VLOOKUP($A96,Dormant_Councils!$A$1:$E$811,5,0)),"No",VLOOKUP($A96,Dormant_Councils!$A$1:$E$811,5,0))</f>
        <v>No</v>
      </c>
      <c r="Z96" s="381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22" t="str">
        <f>Councils!C100</f>
        <v>073</v>
      </c>
      <c r="C97" s="322" t="str">
        <f>Councils!D100</f>
        <v>Crosby</v>
      </c>
      <c r="D97" s="322" t="str">
        <f>IF(ISNA(VLOOKUP($V97,DD_Info!$A$1:$E$221,3,0)),0,VLOOKUP($V97,DD_Info!$A$1:$E$221,3,0))</f>
        <v>Galv/Hous</v>
      </c>
      <c r="E97" s="322">
        <f>Councils!E100</f>
        <v>128</v>
      </c>
      <c r="F97" s="322">
        <f>Councils!F100</f>
        <v>6</v>
      </c>
      <c r="G97" s="322">
        <f>Councils!G100</f>
        <v>0</v>
      </c>
      <c r="H97" s="322">
        <f>Councils!H100</f>
        <v>0</v>
      </c>
      <c r="I97" s="322">
        <f>Councils!I100</f>
        <v>0</v>
      </c>
      <c r="J97" s="322">
        <f>Councils!J100</f>
        <v>1</v>
      </c>
      <c r="K97" s="322">
        <f>Councils!K100</f>
        <v>23</v>
      </c>
      <c r="L97" s="322">
        <f>Councils!L100</f>
        <v>-22</v>
      </c>
      <c r="M97" s="323">
        <f>Councils!M100</f>
        <v>0</v>
      </c>
      <c r="N97" s="322">
        <f>Councils!O100</f>
        <v>0</v>
      </c>
      <c r="O97" s="322">
        <f>Councils!P100</f>
        <v>0</v>
      </c>
      <c r="P97" s="322">
        <f>Councils!Q100</f>
        <v>1</v>
      </c>
      <c r="Q97" s="322">
        <f>Councils!R100</f>
        <v>-1</v>
      </c>
      <c r="R97" s="322">
        <f>Councils!S100</f>
        <v>0</v>
      </c>
      <c r="S97" s="322">
        <f>Councils!T100</f>
        <v>6</v>
      </c>
      <c r="T97" s="322">
        <f>Councils!U100</f>
        <v>-6</v>
      </c>
      <c r="U97" s="323">
        <f>Councils!V100</f>
        <v>0</v>
      </c>
      <c r="V97" s="376">
        <v>73</v>
      </c>
      <c r="W97" s="377">
        <f t="shared" si="1"/>
        <v>2</v>
      </c>
      <c r="X97" s="378" t="str">
        <f>IF(ISNA(VLOOKUP($A97,GA!$A$1:$D$834,3,0))," ",VLOOKUP($A97,GA!$A$1:$D$834,3,0))</f>
        <v>Rangel</v>
      </c>
      <c r="Y97" s="379" t="str">
        <f>IF(ISNA(VLOOKUP($A97,Dormant_Councils!$A$1:$E$811,5,0)),"No",VLOOKUP($A97,Dormant_Councils!$A$1:$E$811,5,0))</f>
        <v>No</v>
      </c>
      <c r="Z97" s="381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22" t="str">
        <f>Councils!C101</f>
        <v>191</v>
      </c>
      <c r="C98" s="322" t="str">
        <f>Councils!D101</f>
        <v>Moulton</v>
      </c>
      <c r="D98" s="322" t="str">
        <f>IF(ISNA(VLOOKUP($V98,DD_Info!$A$1:$E$221,3,0)),0,VLOOKUP($V98,DD_Info!$A$1:$E$221,3,0))</f>
        <v>Victoria</v>
      </c>
      <c r="E98" s="322">
        <f>Councils!E101</f>
        <v>167</v>
      </c>
      <c r="F98" s="322">
        <f>Councils!F101</f>
        <v>8</v>
      </c>
      <c r="G98" s="322">
        <f>Councils!G101</f>
        <v>0</v>
      </c>
      <c r="H98" s="322">
        <f>Councils!H101</f>
        <v>0</v>
      </c>
      <c r="I98" s="322">
        <f>Councils!I101</f>
        <v>0</v>
      </c>
      <c r="J98" s="322">
        <f>Councils!J101</f>
        <v>0</v>
      </c>
      <c r="K98" s="322">
        <f>Councils!K101</f>
        <v>0</v>
      </c>
      <c r="L98" s="322">
        <f>Councils!L101</f>
        <v>0</v>
      </c>
      <c r="M98" s="323">
        <f>Councils!M101</f>
        <v>0</v>
      </c>
      <c r="N98" s="322">
        <f>Councils!O101</f>
        <v>0</v>
      </c>
      <c r="O98" s="322">
        <f>Councils!P101</f>
        <v>0</v>
      </c>
      <c r="P98" s="322">
        <f>Councils!Q101</f>
        <v>0</v>
      </c>
      <c r="Q98" s="322">
        <f>Councils!R101</f>
        <v>0</v>
      </c>
      <c r="R98" s="322">
        <f>Councils!S101</f>
        <v>0</v>
      </c>
      <c r="S98" s="322">
        <f>Councils!T101</f>
        <v>0</v>
      </c>
      <c r="T98" s="322">
        <f>Councils!U101</f>
        <v>0</v>
      </c>
      <c r="U98" s="323">
        <f>Councils!V101</f>
        <v>0</v>
      </c>
      <c r="V98" s="376">
        <v>191</v>
      </c>
      <c r="W98" s="377">
        <f t="shared" si="1"/>
        <v>1</v>
      </c>
      <c r="X98" s="378" t="str">
        <f>IF(ISNA(VLOOKUP($A98,GA!$A$1:$D$834,3,0))," ",VLOOKUP($A98,GA!$A$1:$D$834,3,0))</f>
        <v>Supak</v>
      </c>
      <c r="Y98" s="379" t="str">
        <f>IF(ISNA(VLOOKUP($A98,Dormant_Councils!$A$1:$E$811,5,0)),"No",VLOOKUP($A98,Dormant_Councils!$A$1:$E$811,5,0))</f>
        <v>No</v>
      </c>
      <c r="Z98" s="381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22" t="str">
        <f>Councils!C102</f>
        <v>036</v>
      </c>
      <c r="C99" s="322" t="str">
        <f>Councils!D102</f>
        <v>Uvalde</v>
      </c>
      <c r="D99" s="322" t="str">
        <f>IF(ISNA(VLOOKUP($V99,DD_Info!$A$1:$E$221,3,0)),0,VLOOKUP($V99,DD_Info!$A$1:$E$221,3,0))</f>
        <v>San Antonio</v>
      </c>
      <c r="E99" s="322">
        <f>Councils!E102</f>
        <v>173</v>
      </c>
      <c r="F99" s="322">
        <f>Councils!F102</f>
        <v>9</v>
      </c>
      <c r="G99" s="322">
        <f>Councils!G102</f>
        <v>0</v>
      </c>
      <c r="H99" s="322">
        <f>Councils!H102</f>
        <v>0</v>
      </c>
      <c r="I99" s="322">
        <f>Councils!I102</f>
        <v>0</v>
      </c>
      <c r="J99" s="322">
        <f>Councils!J102</f>
        <v>0</v>
      </c>
      <c r="K99" s="322">
        <f>Councils!K102</f>
        <v>0</v>
      </c>
      <c r="L99" s="322">
        <f>Councils!L102</f>
        <v>0</v>
      </c>
      <c r="M99" s="323">
        <f>Councils!M102</f>
        <v>0</v>
      </c>
      <c r="N99" s="322">
        <f>Councils!O102</f>
        <v>0</v>
      </c>
      <c r="O99" s="322">
        <f>Councils!P102</f>
        <v>0</v>
      </c>
      <c r="P99" s="322">
        <f>Councils!Q102</f>
        <v>0</v>
      </c>
      <c r="Q99" s="322">
        <f>Councils!R102</f>
        <v>0</v>
      </c>
      <c r="R99" s="322">
        <f>Councils!S102</f>
        <v>0</v>
      </c>
      <c r="S99" s="322">
        <f>Councils!T102</f>
        <v>0</v>
      </c>
      <c r="T99" s="322">
        <f>Councils!U102</f>
        <v>0</v>
      </c>
      <c r="U99" s="323">
        <f>Councils!V102</f>
        <v>0</v>
      </c>
      <c r="V99" s="376">
        <v>36</v>
      </c>
      <c r="W99" s="377">
        <f t="shared" si="1"/>
        <v>1</v>
      </c>
      <c r="X99" s="378" t="str">
        <f>IF(ISNA(VLOOKUP($A99,GA!$A$1:$D$834,3,0))," ",VLOOKUP($A99,GA!$A$1:$D$834,3,0))</f>
        <v>Dougherty</v>
      </c>
      <c r="Y99" s="379" t="str">
        <f>IF(ISNA(VLOOKUP($A99,Dormant_Councils!$A$1:$E$811,5,0)),"No",VLOOKUP($A99,Dormant_Councils!$A$1:$E$811,5,0))</f>
        <v>No</v>
      </c>
      <c r="Z99" s="381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22" t="str">
        <f>Councils!C103</f>
        <v>186</v>
      </c>
      <c r="C100" s="322" t="str">
        <f>Councils!D103</f>
        <v>Port Lavaca</v>
      </c>
      <c r="D100" s="322" t="str">
        <f>IF(ISNA(VLOOKUP($V100,DD_Info!$A$1:$E$221,3,0)),0,VLOOKUP($V100,DD_Info!$A$1:$E$221,3,0))</f>
        <v>Victoria</v>
      </c>
      <c r="E100" s="322">
        <f>Councils!E103</f>
        <v>201</v>
      </c>
      <c r="F100" s="322">
        <f>Councils!F103</f>
        <v>10</v>
      </c>
      <c r="G100" s="322">
        <f>Councils!G103</f>
        <v>0</v>
      </c>
      <c r="H100" s="322">
        <f>Councils!H103</f>
        <v>0</v>
      </c>
      <c r="I100" s="322">
        <f>Councils!I103</f>
        <v>0</v>
      </c>
      <c r="J100" s="322">
        <f>Councils!J103</f>
        <v>5</v>
      </c>
      <c r="K100" s="322">
        <f>Councils!K103</f>
        <v>0</v>
      </c>
      <c r="L100" s="322">
        <f>Councils!L103</f>
        <v>5</v>
      </c>
      <c r="M100" s="323">
        <f>Councils!M103</f>
        <v>50</v>
      </c>
      <c r="N100" s="322">
        <f>Councils!O103</f>
        <v>0</v>
      </c>
      <c r="O100" s="322">
        <f>Councils!P103</f>
        <v>0</v>
      </c>
      <c r="P100" s="322">
        <f>Councils!Q103</f>
        <v>2</v>
      </c>
      <c r="Q100" s="322">
        <f>Councils!R103</f>
        <v>-2</v>
      </c>
      <c r="R100" s="322">
        <f>Councils!S103</f>
        <v>2</v>
      </c>
      <c r="S100" s="322">
        <f>Councils!T103</f>
        <v>2</v>
      </c>
      <c r="T100" s="322">
        <f>Councils!U103</f>
        <v>0</v>
      </c>
      <c r="U100" s="323">
        <f>Councils!V103</f>
        <v>0</v>
      </c>
      <c r="V100" s="376">
        <v>186</v>
      </c>
      <c r="W100" s="377">
        <f t="shared" si="1"/>
        <v>1</v>
      </c>
      <c r="X100" s="378" t="str">
        <f>IF(ISNA(VLOOKUP($A100,GA!$A$1:$D$834,3,0))," ",VLOOKUP($A100,GA!$A$1:$D$834,3,0))</f>
        <v>Supak</v>
      </c>
      <c r="Y100" s="379" t="str">
        <f>IF(ISNA(VLOOKUP($A100,Dormant_Councils!$A$1:$E$811,5,0)),"No",VLOOKUP($A100,Dormant_Councils!$A$1:$E$811,5,0))</f>
        <v>No</v>
      </c>
      <c r="Z100" s="381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22" t="str">
        <f>Councils!C104</f>
        <v>189</v>
      </c>
      <c r="C101" s="322" t="str">
        <f>Councils!D104</f>
        <v>Wharton</v>
      </c>
      <c r="D101" s="322" t="str">
        <f>IF(ISNA(VLOOKUP($V101,DD_Info!$A$1:$E$221,3,0)),0,VLOOKUP($V101,DD_Info!$A$1:$E$221,3,0))</f>
        <v>Victoria</v>
      </c>
      <c r="E101" s="322">
        <f>Councils!E104</f>
        <v>294</v>
      </c>
      <c r="F101" s="322">
        <f>Councils!F104</f>
        <v>14</v>
      </c>
      <c r="G101" s="322">
        <f>Councils!G104</f>
        <v>1</v>
      </c>
      <c r="H101" s="322">
        <f>Councils!H104</f>
        <v>0</v>
      </c>
      <c r="I101" s="322">
        <f>Councils!I104</f>
        <v>1</v>
      </c>
      <c r="J101" s="322">
        <f>Councils!J104</f>
        <v>1</v>
      </c>
      <c r="K101" s="322">
        <f>Councils!K104</f>
        <v>0</v>
      </c>
      <c r="L101" s="322">
        <f>Councils!L104</f>
        <v>1</v>
      </c>
      <c r="M101" s="323">
        <f>Councils!M104</f>
        <v>7.14</v>
      </c>
      <c r="N101" s="322">
        <f>Councils!O104</f>
        <v>0</v>
      </c>
      <c r="O101" s="322">
        <f>Councils!P104</f>
        <v>1</v>
      </c>
      <c r="P101" s="322">
        <f>Councils!Q104</f>
        <v>1</v>
      </c>
      <c r="Q101" s="322">
        <f>Councils!R104</f>
        <v>0</v>
      </c>
      <c r="R101" s="322">
        <f>Councils!S104</f>
        <v>1</v>
      </c>
      <c r="S101" s="322">
        <f>Councils!T104</f>
        <v>2</v>
      </c>
      <c r="T101" s="322">
        <f>Councils!U104</f>
        <v>-1</v>
      </c>
      <c r="U101" s="323">
        <f>Councils!V104</f>
        <v>0</v>
      </c>
      <c r="V101" s="376">
        <v>189</v>
      </c>
      <c r="W101" s="377">
        <f t="shared" si="1"/>
        <v>1</v>
      </c>
      <c r="X101" s="378" t="str">
        <f>IF(ISNA(VLOOKUP($A101,GA!$A$1:$D$834,3,0))," ",VLOOKUP($A101,GA!$A$1:$D$834,3,0))</f>
        <v>Supak</v>
      </c>
      <c r="Y101" s="379" t="str">
        <f>IF(ISNA(VLOOKUP($A101,Dormant_Councils!$A$1:$E$811,5,0)),"No",VLOOKUP($A101,Dormant_Councils!$A$1:$E$811,5,0))</f>
        <v>No</v>
      </c>
      <c r="Z101" s="381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22" t="str">
        <f>Councils!C105</f>
        <v>057</v>
      </c>
      <c r="C102" s="322" t="str">
        <f>Councils!D105</f>
        <v>Jourdanton</v>
      </c>
      <c r="D102" s="322" t="str">
        <f>IF(ISNA(VLOOKUP($V102,DD_Info!$A$1:$E$221,3,0)),0,VLOOKUP($V102,DD_Info!$A$1:$E$221,3,0))</f>
        <v>San Antonio</v>
      </c>
      <c r="E102" s="322">
        <f>Councils!E105</f>
        <v>80</v>
      </c>
      <c r="F102" s="322">
        <f>Councils!F105</f>
        <v>4</v>
      </c>
      <c r="G102" s="322">
        <f>Councils!G105</f>
        <v>0</v>
      </c>
      <c r="H102" s="322">
        <f>Councils!H105</f>
        <v>0</v>
      </c>
      <c r="I102" s="322">
        <f>Councils!I105</f>
        <v>0</v>
      </c>
      <c r="J102" s="322">
        <f>Councils!J105</f>
        <v>1</v>
      </c>
      <c r="K102" s="322">
        <f>Councils!K105</f>
        <v>0</v>
      </c>
      <c r="L102" s="322">
        <f>Councils!L105</f>
        <v>1</v>
      </c>
      <c r="M102" s="323">
        <f>Councils!M105</f>
        <v>25</v>
      </c>
      <c r="N102" s="322">
        <f>Councils!O105</f>
        <v>0</v>
      </c>
      <c r="O102" s="322">
        <f>Councils!P105</f>
        <v>0</v>
      </c>
      <c r="P102" s="322">
        <f>Councils!Q105</f>
        <v>1</v>
      </c>
      <c r="Q102" s="322">
        <f>Councils!R105</f>
        <v>-1</v>
      </c>
      <c r="R102" s="322">
        <f>Councils!S105</f>
        <v>1</v>
      </c>
      <c r="S102" s="322">
        <f>Councils!T105</f>
        <v>1</v>
      </c>
      <c r="T102" s="322">
        <f>Councils!U105</f>
        <v>0</v>
      </c>
      <c r="U102" s="323">
        <f>Councils!V105</f>
        <v>0</v>
      </c>
      <c r="V102" s="376">
        <v>57</v>
      </c>
      <c r="W102" s="377">
        <f t="shared" si="1"/>
        <v>2</v>
      </c>
      <c r="X102" s="378" t="str">
        <f>IF(ISNA(VLOOKUP($A102,GA!$A$1:$D$834,3,0))," ",VLOOKUP($A102,GA!$A$1:$D$834,3,0))</f>
        <v>Dougherty</v>
      </c>
      <c r="Y102" s="379" t="str">
        <f>IF(ISNA(VLOOKUP($A102,Dormant_Councils!$A$1:$E$811,5,0)),"No",VLOOKUP($A102,Dormant_Councils!$A$1:$E$811,5,0))</f>
        <v>No</v>
      </c>
      <c r="Z102" s="381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22" t="str">
        <f>Councils!C106</f>
        <v>148</v>
      </c>
      <c r="C103" s="322" t="str">
        <f>Councils!D106</f>
        <v>Brenham</v>
      </c>
      <c r="D103" s="322" t="str">
        <f>IF(ISNA(VLOOKUP($V103,DD_Info!$A$1:$E$221,3,0)),0,VLOOKUP($V103,DD_Info!$A$1:$E$221,3,0))</f>
        <v>Austin</v>
      </c>
      <c r="E103" s="322">
        <f>Councils!E106</f>
        <v>211</v>
      </c>
      <c r="F103" s="322">
        <f>Councils!F106</f>
        <v>10</v>
      </c>
      <c r="G103" s="322">
        <f>Councils!G106</f>
        <v>0</v>
      </c>
      <c r="H103" s="322">
        <f>Councils!H106</f>
        <v>0</v>
      </c>
      <c r="I103" s="322">
        <f>Councils!I106</f>
        <v>0</v>
      </c>
      <c r="J103" s="322">
        <f>Councils!J106</f>
        <v>0</v>
      </c>
      <c r="K103" s="322">
        <f>Councils!K106</f>
        <v>0</v>
      </c>
      <c r="L103" s="322">
        <f>Councils!L106</f>
        <v>0</v>
      </c>
      <c r="M103" s="323">
        <f>Councils!M106</f>
        <v>0</v>
      </c>
      <c r="N103" s="322">
        <f>Councils!O106</f>
        <v>0</v>
      </c>
      <c r="O103" s="322">
        <f>Councils!P106</f>
        <v>0</v>
      </c>
      <c r="P103" s="322">
        <f>Councils!Q106</f>
        <v>0</v>
      </c>
      <c r="Q103" s="322">
        <f>Councils!R106</f>
        <v>0</v>
      </c>
      <c r="R103" s="322">
        <f>Councils!S106</f>
        <v>0</v>
      </c>
      <c r="S103" s="322">
        <f>Councils!T106</f>
        <v>0</v>
      </c>
      <c r="T103" s="322">
        <f>Councils!U106</f>
        <v>0</v>
      </c>
      <c r="U103" s="323">
        <f>Councils!V106</f>
        <v>0</v>
      </c>
      <c r="V103" s="376">
        <v>148</v>
      </c>
      <c r="W103" s="377">
        <f t="shared" si="1"/>
        <v>1</v>
      </c>
      <c r="X103" s="378" t="str">
        <f>IF(ISNA(VLOOKUP($A103,GA!$A$1:$D$834,3,0))," ",VLOOKUP($A103,GA!$A$1:$D$834,3,0))</f>
        <v>Supak</v>
      </c>
      <c r="Y103" s="379" t="str">
        <f>IF(ISNA(VLOOKUP($A103,Dormant_Councils!$A$1:$E$811,5,0)),"No",VLOOKUP($A103,Dormant_Councils!$A$1:$E$811,5,0))</f>
        <v>No</v>
      </c>
      <c r="Z103" s="381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22" t="str">
        <f>Councils!C107</f>
        <v>191</v>
      </c>
      <c r="C104" s="322" t="str">
        <f>Councils!D107</f>
        <v>Flatonia</v>
      </c>
      <c r="D104" s="322" t="str">
        <f>IF(ISNA(VLOOKUP($V104,DD_Info!$A$1:$E$221,3,0)),0,VLOOKUP($V104,DD_Info!$A$1:$E$221,3,0))</f>
        <v>Victoria</v>
      </c>
      <c r="E104" s="322">
        <f>Councils!E107</f>
        <v>179</v>
      </c>
      <c r="F104" s="322">
        <f>Councils!F107</f>
        <v>9</v>
      </c>
      <c r="G104" s="322">
        <f>Councils!G107</f>
        <v>1</v>
      </c>
      <c r="H104" s="322">
        <f>Councils!H107</f>
        <v>0</v>
      </c>
      <c r="I104" s="322">
        <f>Councils!I107</f>
        <v>1</v>
      </c>
      <c r="J104" s="322">
        <f>Councils!J107</f>
        <v>1</v>
      </c>
      <c r="K104" s="322">
        <f>Councils!K107</f>
        <v>0</v>
      </c>
      <c r="L104" s="322">
        <f>Councils!L107</f>
        <v>1</v>
      </c>
      <c r="M104" s="323">
        <f>Councils!M107</f>
        <v>11.11</v>
      </c>
      <c r="N104" s="322">
        <f>Councils!O107</f>
        <v>0</v>
      </c>
      <c r="O104" s="322">
        <f>Councils!P107</f>
        <v>0</v>
      </c>
      <c r="P104" s="322">
        <f>Councils!Q107</f>
        <v>0</v>
      </c>
      <c r="Q104" s="322">
        <f>Councils!R107</f>
        <v>0</v>
      </c>
      <c r="R104" s="322">
        <f>Councils!S107</f>
        <v>0</v>
      </c>
      <c r="S104" s="322">
        <f>Councils!T107</f>
        <v>0</v>
      </c>
      <c r="T104" s="322">
        <f>Councils!U107</f>
        <v>0</v>
      </c>
      <c r="U104" s="323">
        <f>Councils!V107</f>
        <v>0</v>
      </c>
      <c r="V104" s="376">
        <v>191</v>
      </c>
      <c r="W104" s="377">
        <f t="shared" si="1"/>
        <v>1</v>
      </c>
      <c r="X104" s="378" t="str">
        <f>IF(ISNA(VLOOKUP($A104,GA!$A$1:$D$834,3,0))," ",VLOOKUP($A104,GA!$A$1:$D$834,3,0))</f>
        <v>Supak</v>
      </c>
      <c r="Y104" s="379" t="str">
        <f>IF(ISNA(VLOOKUP($A104,Dormant_Councils!$A$1:$E$811,5,0)),"No",VLOOKUP($A104,Dormant_Councils!$A$1:$E$811,5,0))</f>
        <v>No</v>
      </c>
      <c r="Z104" s="381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22" t="str">
        <f>Councils!C108</f>
        <v>086</v>
      </c>
      <c r="C105" s="322" t="str">
        <f>Councils!D108</f>
        <v>Sealy</v>
      </c>
      <c r="D105" s="322" t="str">
        <f>IF(ISNA(VLOOKUP($V105,DD_Info!$A$1:$E$221,3,0)),0,VLOOKUP($V105,DD_Info!$A$1:$E$221,3,0))</f>
        <v>Galv/Hous</v>
      </c>
      <c r="E105" s="322">
        <f>Councils!E108</f>
        <v>230</v>
      </c>
      <c r="F105" s="322">
        <f>Councils!F108</f>
        <v>11</v>
      </c>
      <c r="G105" s="322">
        <f>Councils!G108</f>
        <v>0</v>
      </c>
      <c r="H105" s="322">
        <f>Councils!H108</f>
        <v>0</v>
      </c>
      <c r="I105" s="322">
        <f>Councils!I108</f>
        <v>0</v>
      </c>
      <c r="J105" s="322">
        <f>Councils!J108</f>
        <v>0</v>
      </c>
      <c r="K105" s="322">
        <f>Councils!K108</f>
        <v>0</v>
      </c>
      <c r="L105" s="322">
        <f>Councils!L108</f>
        <v>0</v>
      </c>
      <c r="M105" s="323">
        <f>Councils!M108</f>
        <v>0</v>
      </c>
      <c r="N105" s="322">
        <f>Councils!O108</f>
        <v>0</v>
      </c>
      <c r="O105" s="322">
        <f>Councils!P108</f>
        <v>0</v>
      </c>
      <c r="P105" s="322">
        <f>Councils!Q108</f>
        <v>5</v>
      </c>
      <c r="Q105" s="322">
        <f>Councils!R108</f>
        <v>-5</v>
      </c>
      <c r="R105" s="322">
        <f>Councils!S108</f>
        <v>1</v>
      </c>
      <c r="S105" s="322">
        <f>Councils!T108</f>
        <v>5</v>
      </c>
      <c r="T105" s="322">
        <f>Councils!U108</f>
        <v>-4</v>
      </c>
      <c r="U105" s="323">
        <f>Councils!V108</f>
        <v>0</v>
      </c>
      <c r="V105" s="376">
        <v>86</v>
      </c>
      <c r="W105" s="377">
        <f t="shared" si="1"/>
        <v>1</v>
      </c>
      <c r="X105" s="378" t="str">
        <f>IF(ISNA(VLOOKUP($A105,GA!$A$1:$D$834,3,0))," ",VLOOKUP($A105,GA!$A$1:$D$834,3,0))</f>
        <v>Supak</v>
      </c>
      <c r="Y105" s="379" t="str">
        <f>IF(ISNA(VLOOKUP($A105,Dormant_Councils!$A$1:$E$811,5,0)),"No",VLOOKUP($A105,Dormant_Councils!$A$1:$E$811,5,0))</f>
        <v>No</v>
      </c>
      <c r="Z105" s="381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22" t="str">
        <f>Councils!C109</f>
        <v>048</v>
      </c>
      <c r="C106" s="322" t="str">
        <f>Councils!D109</f>
        <v>San Antonio</v>
      </c>
      <c r="D106" s="322" t="str">
        <f>IF(ISNA(VLOOKUP($V106,DD_Info!$A$1:$E$221,3,0)),0,VLOOKUP($V106,DD_Info!$A$1:$E$221,3,0))</f>
        <v>San Antonio</v>
      </c>
      <c r="E106" s="322">
        <f>Councils!E109</f>
        <v>89</v>
      </c>
      <c r="F106" s="322">
        <f>Councils!F109</f>
        <v>4</v>
      </c>
      <c r="G106" s="322">
        <f>Councils!G109</f>
        <v>0</v>
      </c>
      <c r="H106" s="322">
        <f>Councils!H109</f>
        <v>0</v>
      </c>
      <c r="I106" s="322">
        <f>Councils!I109</f>
        <v>0</v>
      </c>
      <c r="J106" s="322">
        <f>Councils!J109</f>
        <v>0</v>
      </c>
      <c r="K106" s="322">
        <f>Councils!K109</f>
        <v>0</v>
      </c>
      <c r="L106" s="322">
        <f>Councils!L109</f>
        <v>0</v>
      </c>
      <c r="M106" s="323">
        <f>Councils!M109</f>
        <v>0</v>
      </c>
      <c r="N106" s="322">
        <f>Councils!O109</f>
        <v>0</v>
      </c>
      <c r="O106" s="322">
        <f>Councils!P109</f>
        <v>0</v>
      </c>
      <c r="P106" s="322">
        <f>Councils!Q109</f>
        <v>0</v>
      </c>
      <c r="Q106" s="322">
        <f>Councils!R109</f>
        <v>0</v>
      </c>
      <c r="R106" s="322">
        <f>Councils!S109</f>
        <v>1</v>
      </c>
      <c r="S106" s="322">
        <f>Councils!T109</f>
        <v>0</v>
      </c>
      <c r="T106" s="322">
        <f>Councils!U109</f>
        <v>1</v>
      </c>
      <c r="U106" s="323">
        <f>Councils!V109</f>
        <v>0</v>
      </c>
      <c r="V106" s="376">
        <v>48</v>
      </c>
      <c r="W106" s="377">
        <f t="shared" si="1"/>
        <v>2</v>
      </c>
      <c r="X106" s="378" t="str">
        <f>IF(ISNA(VLOOKUP($A106,GA!$A$1:$D$834,3,0))," ",VLOOKUP($A106,GA!$A$1:$D$834,3,0))</f>
        <v>Dougherty</v>
      </c>
      <c r="Y106" s="379" t="str">
        <f>IF(ISNA(VLOOKUP($A106,Dormant_Councils!$A$1:$E$811,5,0)),"No",VLOOKUP($A106,Dormant_Councils!$A$1:$E$811,5,0))</f>
        <v>No</v>
      </c>
      <c r="Z106" s="381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22" t="str">
        <f>Councils!C110</f>
        <v>066</v>
      </c>
      <c r="C107" s="322" t="str">
        <f>Councils!D110</f>
        <v>Freeport</v>
      </c>
      <c r="D107" s="322" t="str">
        <f>IF(ISNA(VLOOKUP($V107,DD_Info!$A$1:$E$221,3,0)),0,VLOOKUP($V107,DD_Info!$A$1:$E$221,3,0))</f>
        <v>Galv/Hous</v>
      </c>
      <c r="E107" s="322">
        <f>Councils!E110</f>
        <v>111</v>
      </c>
      <c r="F107" s="322">
        <f>Councils!F110</f>
        <v>5</v>
      </c>
      <c r="G107" s="322">
        <f>Councils!G110</f>
        <v>0</v>
      </c>
      <c r="H107" s="322">
        <f>Councils!H110</f>
        <v>0</v>
      </c>
      <c r="I107" s="322">
        <f>Councils!I110</f>
        <v>0</v>
      </c>
      <c r="J107" s="322">
        <f>Councils!J110</f>
        <v>1</v>
      </c>
      <c r="K107" s="322">
        <f>Councils!K110</f>
        <v>0</v>
      </c>
      <c r="L107" s="322">
        <f>Councils!L110</f>
        <v>1</v>
      </c>
      <c r="M107" s="323">
        <f>Councils!M110</f>
        <v>20</v>
      </c>
      <c r="N107" s="322">
        <f>Councils!O110</f>
        <v>0</v>
      </c>
      <c r="O107" s="322">
        <f>Councils!P110</f>
        <v>0</v>
      </c>
      <c r="P107" s="322">
        <f>Councils!Q110</f>
        <v>0</v>
      </c>
      <c r="Q107" s="322">
        <f>Councils!R110</f>
        <v>0</v>
      </c>
      <c r="R107" s="322">
        <f>Councils!S110</f>
        <v>0</v>
      </c>
      <c r="S107" s="322">
        <f>Councils!T110</f>
        <v>0</v>
      </c>
      <c r="T107" s="322">
        <f>Councils!U110</f>
        <v>0</v>
      </c>
      <c r="U107" s="323">
        <f>Councils!V110</f>
        <v>0</v>
      </c>
      <c r="V107" s="376">
        <v>66</v>
      </c>
      <c r="W107" s="377">
        <f t="shared" si="1"/>
        <v>2</v>
      </c>
      <c r="X107" s="378" t="str">
        <f>IF(ISNA(VLOOKUP($A107,GA!$A$1:$D$834,3,0))," ",VLOOKUP($A107,GA!$A$1:$D$834,3,0))</f>
        <v>Supak</v>
      </c>
      <c r="Y107" s="379" t="str">
        <f>IF(ISNA(VLOOKUP($A107,Dormant_Councils!$A$1:$E$811,5,0)),"No",VLOOKUP($A107,Dormant_Councils!$A$1:$E$811,5,0))</f>
        <v>No</v>
      </c>
      <c r="Z107" s="381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22" t="str">
        <f>Councils!C111</f>
        <v>212</v>
      </c>
      <c r="C108" s="322" t="str">
        <f>Councils!D111</f>
        <v>Roma</v>
      </c>
      <c r="D108" s="322" t="str">
        <f>IF(ISNA(VLOOKUP($V108,DD_Info!$A$1:$E$221,3,0)),0,VLOOKUP($V108,DD_Info!$A$1:$E$221,3,0))</f>
        <v>Brownsville</v>
      </c>
      <c r="E108" s="322">
        <f>Councils!E111</f>
        <v>156</v>
      </c>
      <c r="F108" s="322">
        <f>Councils!F111</f>
        <v>7</v>
      </c>
      <c r="G108" s="322">
        <f>Councils!G111</f>
        <v>0</v>
      </c>
      <c r="H108" s="322">
        <f>Councils!H111</f>
        <v>0</v>
      </c>
      <c r="I108" s="322">
        <f>Councils!I111</f>
        <v>0</v>
      </c>
      <c r="J108" s="322">
        <f>Councils!J111</f>
        <v>0</v>
      </c>
      <c r="K108" s="322">
        <f>Councils!K111</f>
        <v>0</v>
      </c>
      <c r="L108" s="322">
        <f>Councils!L111</f>
        <v>0</v>
      </c>
      <c r="M108" s="323">
        <f>Councils!M111</f>
        <v>0</v>
      </c>
      <c r="N108" s="322">
        <f>Councils!O111</f>
        <v>0</v>
      </c>
      <c r="O108" s="322">
        <f>Councils!P111</f>
        <v>0</v>
      </c>
      <c r="P108" s="322">
        <f>Councils!Q111</f>
        <v>1</v>
      </c>
      <c r="Q108" s="322">
        <f>Councils!R111</f>
        <v>-1</v>
      </c>
      <c r="R108" s="322">
        <f>Councils!S111</f>
        <v>0</v>
      </c>
      <c r="S108" s="322">
        <f>Councils!T111</f>
        <v>2</v>
      </c>
      <c r="T108" s="322">
        <f>Councils!U111</f>
        <v>-2</v>
      </c>
      <c r="U108" s="323">
        <f>Councils!V111</f>
        <v>0</v>
      </c>
      <c r="V108" s="376">
        <v>212</v>
      </c>
      <c r="W108" s="377">
        <f t="shared" si="1"/>
        <v>1</v>
      </c>
      <c r="X108" s="378" t="str">
        <f>IF(ISNA(VLOOKUP($A108,GA!$A$1:$D$834,3,0))," ",VLOOKUP($A108,GA!$A$1:$D$834,3,0))</f>
        <v>Carlin</v>
      </c>
      <c r="Y108" s="379" t="str">
        <f>IF(ISNA(VLOOKUP($A108,Dormant_Councils!$A$1:$E$811,5,0)),"No",VLOOKUP($A108,Dormant_Councils!$A$1:$E$811,5,0))</f>
        <v>No</v>
      </c>
      <c r="Z108" s="381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22" t="str">
        <f>Councils!C112</f>
        <v>188</v>
      </c>
      <c r="C109" s="322" t="str">
        <f>Councils!D112</f>
        <v>Nada</v>
      </c>
      <c r="D109" s="322" t="str">
        <f>IF(ISNA(VLOOKUP($V109,DD_Info!$A$1:$E$221,3,0)),0,VLOOKUP($V109,DD_Info!$A$1:$E$221,3,0))</f>
        <v>Victoria</v>
      </c>
      <c r="E109" s="322">
        <f>Councils!E112</f>
        <v>323</v>
      </c>
      <c r="F109" s="322">
        <f>Councils!F112</f>
        <v>16</v>
      </c>
      <c r="G109" s="322">
        <f>Councils!G112</f>
        <v>0</v>
      </c>
      <c r="H109" s="322">
        <f>Councils!H112</f>
        <v>0</v>
      </c>
      <c r="I109" s="322">
        <f>Councils!I112</f>
        <v>0</v>
      </c>
      <c r="J109" s="322">
        <f>Councils!J112</f>
        <v>0</v>
      </c>
      <c r="K109" s="322">
        <f>Councils!K112</f>
        <v>0</v>
      </c>
      <c r="L109" s="322">
        <f>Councils!L112</f>
        <v>0</v>
      </c>
      <c r="M109" s="323">
        <f>Councils!M112</f>
        <v>0</v>
      </c>
      <c r="N109" s="322">
        <f>Councils!O112</f>
        <v>0</v>
      </c>
      <c r="O109" s="322">
        <f>Councils!P112</f>
        <v>0</v>
      </c>
      <c r="P109" s="322">
        <f>Councils!Q112</f>
        <v>1</v>
      </c>
      <c r="Q109" s="322">
        <f>Councils!R112</f>
        <v>-1</v>
      </c>
      <c r="R109" s="322">
        <f>Councils!S112</f>
        <v>1</v>
      </c>
      <c r="S109" s="322">
        <f>Councils!T112</f>
        <v>2</v>
      </c>
      <c r="T109" s="322">
        <f>Councils!U112</f>
        <v>-1</v>
      </c>
      <c r="U109" s="323">
        <f>Councils!V112</f>
        <v>0</v>
      </c>
      <c r="V109" s="376">
        <v>188</v>
      </c>
      <c r="W109" s="377">
        <f t="shared" si="1"/>
        <v>1</v>
      </c>
      <c r="X109" s="378" t="str">
        <f>IF(ISNA(VLOOKUP($A109,GA!$A$1:$D$834,3,0))," ",VLOOKUP($A109,GA!$A$1:$D$834,3,0))</f>
        <v>Supak</v>
      </c>
      <c r="Y109" s="379" t="str">
        <f>IF(ISNA(VLOOKUP($A109,Dormant_Councils!$A$1:$E$811,5,0)),"No",VLOOKUP($A109,Dormant_Councils!$A$1:$E$811,5,0))</f>
        <v>No</v>
      </c>
      <c r="Z109" s="381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22" t="str">
        <f>Councils!C113</f>
        <v>172</v>
      </c>
      <c r="C110" s="322" t="str">
        <f>Councils!D113</f>
        <v>Kingsville</v>
      </c>
      <c r="D110" s="322" t="str">
        <f>IF(ISNA(VLOOKUP($V110,DD_Info!$A$1:$E$221,3,0)),0,VLOOKUP($V110,DD_Info!$A$1:$E$221,3,0))</f>
        <v>Corpus Christi</v>
      </c>
      <c r="E110" s="322">
        <f>Councils!E113</f>
        <v>170</v>
      </c>
      <c r="F110" s="322">
        <f>Councils!F113</f>
        <v>8</v>
      </c>
      <c r="G110" s="322">
        <f>Councils!G113</f>
        <v>0</v>
      </c>
      <c r="H110" s="322">
        <f>Councils!H113</f>
        <v>0</v>
      </c>
      <c r="I110" s="322">
        <f>Councils!I113</f>
        <v>0</v>
      </c>
      <c r="J110" s="322">
        <f>Councils!J113</f>
        <v>0</v>
      </c>
      <c r="K110" s="322">
        <f>Councils!K113</f>
        <v>0</v>
      </c>
      <c r="L110" s="322">
        <f>Councils!L113</f>
        <v>0</v>
      </c>
      <c r="M110" s="323">
        <f>Councils!M113</f>
        <v>0</v>
      </c>
      <c r="N110" s="322">
        <f>Councils!O113</f>
        <v>0</v>
      </c>
      <c r="O110" s="322">
        <f>Councils!P113</f>
        <v>0</v>
      </c>
      <c r="P110" s="322">
        <f>Councils!Q113</f>
        <v>0</v>
      </c>
      <c r="Q110" s="322">
        <f>Councils!R113</f>
        <v>0</v>
      </c>
      <c r="R110" s="322">
        <f>Councils!S113</f>
        <v>0</v>
      </c>
      <c r="S110" s="322">
        <f>Councils!T113</f>
        <v>1</v>
      </c>
      <c r="T110" s="322">
        <f>Councils!U113</f>
        <v>-1</v>
      </c>
      <c r="U110" s="323">
        <f>Councils!V113</f>
        <v>0</v>
      </c>
      <c r="V110" s="376">
        <v>172</v>
      </c>
      <c r="W110" s="377">
        <f t="shared" si="1"/>
        <v>1</v>
      </c>
      <c r="X110" s="378" t="str">
        <f>IF(ISNA(VLOOKUP($A110,GA!$A$1:$D$834,3,0))," ",VLOOKUP($A110,GA!$A$1:$D$834,3,0))</f>
        <v>Carlin</v>
      </c>
      <c r="Y110" s="379" t="str">
        <f>IF(ISNA(VLOOKUP($A110,Dormant_Councils!$A$1:$E$811,5,0)),"No",VLOOKUP($A110,Dormant_Councils!$A$1:$E$811,5,0))</f>
        <v>No</v>
      </c>
      <c r="Z110" s="381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22" t="str">
        <f>Councils!C114</f>
        <v>134</v>
      </c>
      <c r="C111" s="322" t="str">
        <f>Councils!D114</f>
        <v>Lufkin</v>
      </c>
      <c r="D111" s="322" t="str">
        <f>IF(ISNA(VLOOKUP($V111,DD_Info!$A$1:$E$221,3,0)),0,VLOOKUP($V111,DD_Info!$A$1:$E$221,3,0))</f>
        <v>Tyler</v>
      </c>
      <c r="E111" s="322">
        <f>Councils!E114</f>
        <v>190</v>
      </c>
      <c r="F111" s="322">
        <f>Councils!F114</f>
        <v>9</v>
      </c>
      <c r="G111" s="322">
        <f>Councils!G114</f>
        <v>0</v>
      </c>
      <c r="H111" s="322">
        <f>Councils!H114</f>
        <v>0</v>
      </c>
      <c r="I111" s="322">
        <f>Councils!I114</f>
        <v>0</v>
      </c>
      <c r="J111" s="322">
        <f>Councils!J114</f>
        <v>0</v>
      </c>
      <c r="K111" s="322">
        <f>Councils!K114</f>
        <v>42</v>
      </c>
      <c r="L111" s="322">
        <f>Councils!L114</f>
        <v>-42</v>
      </c>
      <c r="M111" s="323">
        <f>Councils!M114</f>
        <v>0</v>
      </c>
      <c r="N111" s="322">
        <f>Councils!O114</f>
        <v>0</v>
      </c>
      <c r="O111" s="322">
        <f>Councils!P114</f>
        <v>0</v>
      </c>
      <c r="P111" s="322">
        <f>Councils!Q114</f>
        <v>1</v>
      </c>
      <c r="Q111" s="322">
        <f>Councils!R114</f>
        <v>-1</v>
      </c>
      <c r="R111" s="322">
        <f>Councils!S114</f>
        <v>0</v>
      </c>
      <c r="S111" s="322">
        <f>Councils!T114</f>
        <v>3</v>
      </c>
      <c r="T111" s="322">
        <f>Councils!U114</f>
        <v>-3</v>
      </c>
      <c r="U111" s="323">
        <f>Councils!V114</f>
        <v>0</v>
      </c>
      <c r="V111" s="376">
        <v>134</v>
      </c>
      <c r="W111" s="377">
        <f t="shared" si="1"/>
        <v>1</v>
      </c>
      <c r="X111" s="378" t="str">
        <f>IF(ISNA(VLOOKUP($A111,GA!$A$1:$D$834,3,0))," ",VLOOKUP($A111,GA!$A$1:$D$834,3,0))</f>
        <v>Regan</v>
      </c>
      <c r="Y111" s="379" t="str">
        <f>IF(ISNA(VLOOKUP($A111,Dormant_Councils!$A$1:$E$811,5,0)),"No",VLOOKUP($A111,Dormant_Councils!$A$1:$E$811,5,0))</f>
        <v>No</v>
      </c>
      <c r="Z111" s="381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22" t="str">
        <f>Councils!C115</f>
        <v>124</v>
      </c>
      <c r="C112" s="322" t="str">
        <f>Councils!D115</f>
        <v>Bridge City</v>
      </c>
      <c r="D112" s="322" t="str">
        <f>IF(ISNA(VLOOKUP($V112,DD_Info!$A$1:$E$221,3,0)),0,VLOOKUP($V112,DD_Info!$A$1:$E$221,3,0))</f>
        <v>Beaumont</v>
      </c>
      <c r="E112" s="322">
        <f>Councils!E115</f>
        <v>202</v>
      </c>
      <c r="F112" s="322">
        <f>Councils!F115</f>
        <v>10</v>
      </c>
      <c r="G112" s="322">
        <f>Councils!G115</f>
        <v>0</v>
      </c>
      <c r="H112" s="322">
        <f>Councils!H115</f>
        <v>0</v>
      </c>
      <c r="I112" s="322">
        <f>Councils!I115</f>
        <v>0</v>
      </c>
      <c r="J112" s="322">
        <f>Councils!J115</f>
        <v>0</v>
      </c>
      <c r="K112" s="322">
        <f>Councils!K115</f>
        <v>0</v>
      </c>
      <c r="L112" s="322">
        <f>Councils!L115</f>
        <v>0</v>
      </c>
      <c r="M112" s="323">
        <f>Councils!M115</f>
        <v>0</v>
      </c>
      <c r="N112" s="322">
        <f>Councils!O115</f>
        <v>0</v>
      </c>
      <c r="O112" s="322">
        <f>Councils!P115</f>
        <v>0</v>
      </c>
      <c r="P112" s="322">
        <f>Councils!Q115</f>
        <v>0</v>
      </c>
      <c r="Q112" s="322">
        <f>Councils!R115</f>
        <v>0</v>
      </c>
      <c r="R112" s="322">
        <f>Councils!S115</f>
        <v>0</v>
      </c>
      <c r="S112" s="322">
        <f>Councils!T115</f>
        <v>0</v>
      </c>
      <c r="T112" s="322">
        <f>Councils!U115</f>
        <v>0</v>
      </c>
      <c r="U112" s="323">
        <f>Councils!V115</f>
        <v>0</v>
      </c>
      <c r="V112" s="376">
        <v>124</v>
      </c>
      <c r="W112" s="377">
        <f t="shared" si="1"/>
        <v>1</v>
      </c>
      <c r="X112" s="378" t="str">
        <f>IF(ISNA(VLOOKUP($A112,GA!$A$1:$D$834,3,0))," ",VLOOKUP($A112,GA!$A$1:$D$834,3,0))</f>
        <v>Rangel</v>
      </c>
      <c r="Y112" s="379" t="str">
        <f>IF(ISNA(VLOOKUP($A112,Dormant_Councils!$A$1:$E$811,5,0)),"No",VLOOKUP($A112,Dormant_Councils!$A$1:$E$811,5,0))</f>
        <v>No</v>
      </c>
      <c r="Z112" s="381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22" t="str">
        <f>Councils!C116</f>
        <v>045</v>
      </c>
      <c r="C113" s="322" t="str">
        <f>Councils!D116</f>
        <v>Seguin</v>
      </c>
      <c r="D113" s="322" t="str">
        <f>IF(ISNA(VLOOKUP($V113,DD_Info!$A$1:$E$221,3,0)),0,VLOOKUP($V113,DD_Info!$A$1:$E$221,3,0))</f>
        <v>San Antonio</v>
      </c>
      <c r="E113" s="322">
        <f>Councils!E116</f>
        <v>220</v>
      </c>
      <c r="F113" s="322">
        <f>Councils!F116</f>
        <v>11</v>
      </c>
      <c r="G113" s="322">
        <f>Councils!G116</f>
        <v>0</v>
      </c>
      <c r="H113" s="322">
        <f>Councils!H116</f>
        <v>0</v>
      </c>
      <c r="I113" s="322">
        <f>Councils!I116</f>
        <v>0</v>
      </c>
      <c r="J113" s="322">
        <f>Councils!J116</f>
        <v>6</v>
      </c>
      <c r="K113" s="322">
        <f>Councils!K116</f>
        <v>0</v>
      </c>
      <c r="L113" s="322">
        <f>Councils!L116</f>
        <v>6</v>
      </c>
      <c r="M113" s="323">
        <f>Councils!M116</f>
        <v>54.55</v>
      </c>
      <c r="N113" s="322">
        <f>Councils!O116</f>
        <v>0</v>
      </c>
      <c r="O113" s="322">
        <f>Councils!P116</f>
        <v>0</v>
      </c>
      <c r="P113" s="322">
        <f>Councils!Q116</f>
        <v>0</v>
      </c>
      <c r="Q113" s="322">
        <f>Councils!R116</f>
        <v>0</v>
      </c>
      <c r="R113" s="322">
        <f>Councils!S116</f>
        <v>1</v>
      </c>
      <c r="S113" s="322">
        <f>Councils!T116</f>
        <v>1</v>
      </c>
      <c r="T113" s="322">
        <f>Councils!U116</f>
        <v>0</v>
      </c>
      <c r="U113" s="323">
        <f>Councils!V116</f>
        <v>0</v>
      </c>
      <c r="V113" s="376">
        <v>45</v>
      </c>
      <c r="W113" s="377">
        <f t="shared" si="1"/>
        <v>1</v>
      </c>
      <c r="X113" s="378" t="str">
        <f>IF(ISNA(VLOOKUP($A113,GA!$A$1:$D$834,3,0))," ",VLOOKUP($A113,GA!$A$1:$D$834,3,0))</f>
        <v>Dougherty</v>
      </c>
      <c r="Y113" s="379" t="str">
        <f>IF(ISNA(VLOOKUP($A113,Dormant_Councils!$A$1:$E$811,5,0)),"No",VLOOKUP($A113,Dormant_Councils!$A$1:$E$811,5,0))</f>
        <v>No</v>
      </c>
      <c r="Z113" s="381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22" t="str">
        <f>Councils!C117</f>
        <v>186</v>
      </c>
      <c r="C114" s="322" t="str">
        <f>Councils!D117</f>
        <v>Edna</v>
      </c>
      <c r="D114" s="322" t="str">
        <f>IF(ISNA(VLOOKUP($V114,DD_Info!$A$1:$E$221,3,0)),0,VLOOKUP($V114,DD_Info!$A$1:$E$221,3,0))</f>
        <v>Victoria</v>
      </c>
      <c r="E114" s="322">
        <f>Councils!E117</f>
        <v>97</v>
      </c>
      <c r="F114" s="322">
        <f>Councils!F117</f>
        <v>5</v>
      </c>
      <c r="G114" s="322">
        <f>Councils!G117</f>
        <v>0</v>
      </c>
      <c r="H114" s="322">
        <f>Councils!H117</f>
        <v>0</v>
      </c>
      <c r="I114" s="322">
        <f>Councils!I117</f>
        <v>0</v>
      </c>
      <c r="J114" s="322">
        <f>Councils!J117</f>
        <v>5</v>
      </c>
      <c r="K114" s="322">
        <f>Councils!K117</f>
        <v>0</v>
      </c>
      <c r="L114" s="322">
        <f>Councils!L117</f>
        <v>5</v>
      </c>
      <c r="M114" s="323">
        <f>Councils!M117</f>
        <v>100</v>
      </c>
      <c r="N114" s="322">
        <f>Councils!O117</f>
        <v>0</v>
      </c>
      <c r="O114" s="322">
        <f>Councils!P117</f>
        <v>0</v>
      </c>
      <c r="P114" s="322">
        <f>Councils!Q117</f>
        <v>0</v>
      </c>
      <c r="Q114" s="322">
        <f>Councils!R117</f>
        <v>0</v>
      </c>
      <c r="R114" s="322">
        <f>Councils!S117</f>
        <v>1</v>
      </c>
      <c r="S114" s="322">
        <f>Councils!T117</f>
        <v>0</v>
      </c>
      <c r="T114" s="322">
        <f>Councils!U117</f>
        <v>1</v>
      </c>
      <c r="U114" s="323">
        <f>Councils!V117</f>
        <v>0</v>
      </c>
      <c r="V114" s="376">
        <v>186</v>
      </c>
      <c r="W114" s="377">
        <f t="shared" si="1"/>
        <v>2</v>
      </c>
      <c r="X114" s="378" t="str">
        <f>IF(ISNA(VLOOKUP($A114,GA!$A$1:$D$834,3,0))," ",VLOOKUP($A114,GA!$A$1:$D$834,3,0))</f>
        <v>Supak</v>
      </c>
      <c r="Y114" s="379" t="str">
        <f>IF(ISNA(VLOOKUP($A114,Dormant_Councils!$A$1:$E$811,5,0)),"No",VLOOKUP($A114,Dormant_Councils!$A$1:$E$811,5,0))</f>
        <v>No</v>
      </c>
      <c r="Z114" s="381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22" t="str">
        <f>Councils!C118</f>
        <v>143</v>
      </c>
      <c r="C115" s="322" t="str">
        <f>Councils!D118</f>
        <v>Temple</v>
      </c>
      <c r="D115" s="322" t="str">
        <f>IF(ISNA(VLOOKUP($V115,DD_Info!$A$1:$E$221,3,0)),0,VLOOKUP($V115,DD_Info!$A$1:$E$221,3,0))</f>
        <v>Austin</v>
      </c>
      <c r="E115" s="322">
        <f>Councils!E118</f>
        <v>283</v>
      </c>
      <c r="F115" s="322">
        <f>Councils!F118</f>
        <v>13</v>
      </c>
      <c r="G115" s="322">
        <f>Councils!G118</f>
        <v>0</v>
      </c>
      <c r="H115" s="322">
        <f>Councils!H118</f>
        <v>0</v>
      </c>
      <c r="I115" s="322">
        <f>Councils!I118</f>
        <v>0</v>
      </c>
      <c r="J115" s="322">
        <f>Councils!J118</f>
        <v>3</v>
      </c>
      <c r="K115" s="322">
        <f>Councils!K118</f>
        <v>0</v>
      </c>
      <c r="L115" s="322">
        <f>Councils!L118</f>
        <v>3</v>
      </c>
      <c r="M115" s="323">
        <f>Councils!M118</f>
        <v>23.08</v>
      </c>
      <c r="N115" s="322">
        <f>Councils!O118</f>
        <v>0</v>
      </c>
      <c r="O115" s="322">
        <f>Councils!P118</f>
        <v>0</v>
      </c>
      <c r="P115" s="322">
        <f>Councils!Q118</f>
        <v>0</v>
      </c>
      <c r="Q115" s="322">
        <f>Councils!R118</f>
        <v>0</v>
      </c>
      <c r="R115" s="322">
        <f>Councils!S118</f>
        <v>0</v>
      </c>
      <c r="S115" s="322">
        <f>Councils!T118</f>
        <v>1</v>
      </c>
      <c r="T115" s="322">
        <f>Councils!U118</f>
        <v>-1</v>
      </c>
      <c r="U115" s="323">
        <f>Councils!V118</f>
        <v>0</v>
      </c>
      <c r="V115" s="376">
        <v>143</v>
      </c>
      <c r="W115" s="377">
        <f t="shared" si="1"/>
        <v>1</v>
      </c>
      <c r="X115" s="378" t="str">
        <f>IF(ISNA(VLOOKUP($A115,GA!$A$1:$D$834,3,0))," ",VLOOKUP($A115,GA!$A$1:$D$834,3,0))</f>
        <v>Britten</v>
      </c>
      <c r="Y115" s="379" t="str">
        <f>IF(ISNA(VLOOKUP($A115,Dormant_Councils!$A$1:$E$811,5,0)),"No",VLOOKUP($A115,Dormant_Councils!$A$1:$E$811,5,0))</f>
        <v>No</v>
      </c>
      <c r="Z115" s="381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22" t="str">
        <f>Councils!C119</f>
        <v>125</v>
      </c>
      <c r="C116" s="322" t="str">
        <f>Councils!D119</f>
        <v>Winnie</v>
      </c>
      <c r="D116" s="322" t="str">
        <f>IF(ISNA(VLOOKUP($V116,DD_Info!$A$1:$E$221,3,0)),0,VLOOKUP($V116,DD_Info!$A$1:$E$221,3,0))</f>
        <v>Beaumont</v>
      </c>
      <c r="E116" s="322">
        <f>Councils!E119</f>
        <v>115</v>
      </c>
      <c r="F116" s="322">
        <f>Councils!F119</f>
        <v>5</v>
      </c>
      <c r="G116" s="322">
        <f>Councils!G119</f>
        <v>0</v>
      </c>
      <c r="H116" s="322">
        <f>Councils!H119</f>
        <v>0</v>
      </c>
      <c r="I116" s="322">
        <f>Councils!I119</f>
        <v>0</v>
      </c>
      <c r="J116" s="322">
        <f>Councils!J119</f>
        <v>0</v>
      </c>
      <c r="K116" s="322">
        <f>Councils!K119</f>
        <v>0</v>
      </c>
      <c r="L116" s="322">
        <f>Councils!L119</f>
        <v>0</v>
      </c>
      <c r="M116" s="323">
        <f>Councils!M119</f>
        <v>0</v>
      </c>
      <c r="N116" s="322">
        <f>Councils!O119</f>
        <v>0</v>
      </c>
      <c r="O116" s="322">
        <f>Councils!P119</f>
        <v>0</v>
      </c>
      <c r="P116" s="322">
        <f>Councils!Q119</f>
        <v>0</v>
      </c>
      <c r="Q116" s="322">
        <f>Councils!R119</f>
        <v>0</v>
      </c>
      <c r="R116" s="322">
        <f>Councils!S119</f>
        <v>0</v>
      </c>
      <c r="S116" s="322">
        <f>Councils!T119</f>
        <v>0</v>
      </c>
      <c r="T116" s="322">
        <f>Councils!U119</f>
        <v>0</v>
      </c>
      <c r="U116" s="323">
        <f>Councils!V119</f>
        <v>0</v>
      </c>
      <c r="V116" s="376">
        <v>125</v>
      </c>
      <c r="W116" s="377">
        <f t="shared" si="1"/>
        <v>2</v>
      </c>
      <c r="X116" s="378" t="str">
        <f>IF(ISNA(VLOOKUP($A116,GA!$A$1:$D$834,3,0))," ",VLOOKUP($A116,GA!$A$1:$D$834,3,0))</f>
        <v>Rangel</v>
      </c>
      <c r="Y116" s="379" t="str">
        <f>IF(ISNA(VLOOKUP($A116,Dormant_Councils!$A$1:$E$811,5,0)),"No",VLOOKUP($A116,Dormant_Councils!$A$1:$E$811,5,0))</f>
        <v>No</v>
      </c>
      <c r="Z116" s="381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22" t="str">
        <f>Councils!C120</f>
        <v>159</v>
      </c>
      <c r="C117" s="322" t="str">
        <f>Councils!D120</f>
        <v>San Marcos</v>
      </c>
      <c r="D117" s="322" t="str">
        <f>IF(ISNA(VLOOKUP($V117,DD_Info!$A$1:$E$221,3,0)),0,VLOOKUP($V117,DD_Info!$A$1:$E$221,3,0))</f>
        <v>Austin</v>
      </c>
      <c r="E117" s="322">
        <f>Councils!E120</f>
        <v>134</v>
      </c>
      <c r="F117" s="322">
        <f>Councils!F120</f>
        <v>6</v>
      </c>
      <c r="G117" s="322">
        <f>Councils!G120</f>
        <v>0</v>
      </c>
      <c r="H117" s="322">
        <f>Councils!H120</f>
        <v>0</v>
      </c>
      <c r="I117" s="322">
        <f>Councils!I120</f>
        <v>0</v>
      </c>
      <c r="J117" s="322">
        <f>Councils!J120</f>
        <v>6</v>
      </c>
      <c r="K117" s="322">
        <f>Councils!K120</f>
        <v>0</v>
      </c>
      <c r="L117" s="322">
        <f>Councils!L120</f>
        <v>6</v>
      </c>
      <c r="M117" s="323">
        <f>Councils!M120</f>
        <v>100</v>
      </c>
      <c r="N117" s="322">
        <f>Councils!O120</f>
        <v>0</v>
      </c>
      <c r="O117" s="322">
        <f>Councils!P120</f>
        <v>0</v>
      </c>
      <c r="P117" s="322">
        <f>Councils!Q120</f>
        <v>1</v>
      </c>
      <c r="Q117" s="322">
        <f>Councils!R120</f>
        <v>-1</v>
      </c>
      <c r="R117" s="322">
        <f>Councils!S120</f>
        <v>0</v>
      </c>
      <c r="S117" s="322">
        <f>Councils!T120</f>
        <v>1</v>
      </c>
      <c r="T117" s="322">
        <f>Councils!U120</f>
        <v>-1</v>
      </c>
      <c r="U117" s="323">
        <f>Councils!V120</f>
        <v>0</v>
      </c>
      <c r="V117" s="376">
        <v>159</v>
      </c>
      <c r="W117" s="377">
        <f t="shared" si="1"/>
        <v>2</v>
      </c>
      <c r="X117" s="378" t="str">
        <f>IF(ISNA(VLOOKUP($A117,GA!$A$1:$D$834,3,0))," ",VLOOKUP($A117,GA!$A$1:$D$834,3,0))</f>
        <v>Britten</v>
      </c>
      <c r="Y117" s="379" t="str">
        <f>IF(ISNA(VLOOKUP($A117,Dormant_Councils!$A$1:$E$811,5,0)),"No",VLOOKUP($A117,Dormant_Councils!$A$1:$E$811,5,0))</f>
        <v>No</v>
      </c>
      <c r="Z117" s="381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22" t="str">
        <f>Councils!C121</f>
        <v>116</v>
      </c>
      <c r="C118" s="322" t="str">
        <f>Councils!D121</f>
        <v>Grand Prairie</v>
      </c>
      <c r="D118" s="322" t="str">
        <f>IF(ISNA(VLOOKUP($V118,DD_Info!$A$1:$E$221,3,0)),0,VLOOKUP($V118,DD_Info!$A$1:$E$221,3,0))</f>
        <v>Dallas</v>
      </c>
      <c r="E118" s="322">
        <f>Councils!E121</f>
        <v>78</v>
      </c>
      <c r="F118" s="322">
        <f>Councils!F121</f>
        <v>3</v>
      </c>
      <c r="G118" s="322">
        <f>Councils!G121</f>
        <v>0</v>
      </c>
      <c r="H118" s="322">
        <f>Councils!H121</f>
        <v>0</v>
      </c>
      <c r="I118" s="322">
        <f>Councils!I121</f>
        <v>0</v>
      </c>
      <c r="J118" s="322">
        <f>Councils!J121</f>
        <v>0</v>
      </c>
      <c r="K118" s="322">
        <f>Councils!K121</f>
        <v>0</v>
      </c>
      <c r="L118" s="322">
        <f>Councils!L121</f>
        <v>0</v>
      </c>
      <c r="M118" s="323">
        <f>Councils!M121</f>
        <v>0</v>
      </c>
      <c r="N118" s="322">
        <f>Councils!O121</f>
        <v>0</v>
      </c>
      <c r="O118" s="322">
        <f>Councils!P121</f>
        <v>0</v>
      </c>
      <c r="P118" s="322">
        <f>Councils!Q121</f>
        <v>0</v>
      </c>
      <c r="Q118" s="322">
        <f>Councils!R121</f>
        <v>0</v>
      </c>
      <c r="R118" s="322">
        <f>Councils!S121</f>
        <v>1</v>
      </c>
      <c r="S118" s="322">
        <f>Councils!T121</f>
        <v>0</v>
      </c>
      <c r="T118" s="322">
        <f>Councils!U121</f>
        <v>1</v>
      </c>
      <c r="U118" s="323">
        <f>Councils!V121</f>
        <v>0</v>
      </c>
      <c r="V118" s="376">
        <v>116</v>
      </c>
      <c r="W118" s="377">
        <f t="shared" si="1"/>
        <v>2</v>
      </c>
      <c r="X118" s="378" t="str">
        <f>IF(ISNA(VLOOKUP($A118,GA!$A$1:$D$834,3,0))," ",VLOOKUP($A118,GA!$A$1:$D$834,3,0))</f>
        <v>Stark</v>
      </c>
      <c r="Y118" s="379" t="str">
        <f>IF(ISNA(VLOOKUP($A118,Dormant_Councils!$A$1:$E$811,5,0)),"No",VLOOKUP($A118,Dormant_Councils!$A$1:$E$811,5,0))</f>
        <v>Dormant</v>
      </c>
      <c r="Z118" s="381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22" t="str">
        <f>Councils!C122</f>
        <v>122</v>
      </c>
      <c r="C119" s="322" t="str">
        <f>Councils!D122</f>
        <v>Groves</v>
      </c>
      <c r="D119" s="322" t="str">
        <f>IF(ISNA(VLOOKUP($V119,DD_Info!$A$1:$E$221,3,0)),0,VLOOKUP($V119,DD_Info!$A$1:$E$221,3,0))</f>
        <v>Beaumont</v>
      </c>
      <c r="E119" s="322">
        <f>Councils!E122</f>
        <v>383</v>
      </c>
      <c r="F119" s="322">
        <f>Councils!F122</f>
        <v>18</v>
      </c>
      <c r="G119" s="322">
        <f>Councils!G122</f>
        <v>0</v>
      </c>
      <c r="H119" s="322">
        <f>Councils!H122</f>
        <v>0</v>
      </c>
      <c r="I119" s="322">
        <f>Councils!I122</f>
        <v>0</v>
      </c>
      <c r="J119" s="322">
        <f>Councils!J122</f>
        <v>4</v>
      </c>
      <c r="K119" s="322">
        <f>Councils!K122</f>
        <v>0</v>
      </c>
      <c r="L119" s="322">
        <f>Councils!L122</f>
        <v>4</v>
      </c>
      <c r="M119" s="323">
        <f>Councils!M122</f>
        <v>22.22</v>
      </c>
      <c r="N119" s="322">
        <f>Councils!O122</f>
        <v>0</v>
      </c>
      <c r="O119" s="322">
        <f>Councils!P122</f>
        <v>0</v>
      </c>
      <c r="P119" s="322">
        <f>Councils!Q122</f>
        <v>2</v>
      </c>
      <c r="Q119" s="322">
        <f>Councils!R122</f>
        <v>-2</v>
      </c>
      <c r="R119" s="322">
        <f>Councils!S122</f>
        <v>0</v>
      </c>
      <c r="S119" s="322">
        <f>Councils!T122</f>
        <v>3</v>
      </c>
      <c r="T119" s="322">
        <f>Councils!U122</f>
        <v>-3</v>
      </c>
      <c r="U119" s="323">
        <f>Councils!V122</f>
        <v>0</v>
      </c>
      <c r="V119" s="376">
        <v>122</v>
      </c>
      <c r="W119" s="377">
        <f t="shared" si="1"/>
        <v>1</v>
      </c>
      <c r="X119" s="378" t="str">
        <f>IF(ISNA(VLOOKUP($A119,GA!$A$1:$D$834,3,0))," ",VLOOKUP($A119,GA!$A$1:$D$834,3,0))</f>
        <v>Rangel</v>
      </c>
      <c r="Y119" s="379" t="str">
        <f>IF(ISNA(VLOOKUP($A119,Dormant_Councils!$A$1:$E$811,5,0)),"No",VLOOKUP($A119,Dormant_Councils!$A$1:$E$811,5,0))</f>
        <v>No</v>
      </c>
      <c r="Z119" s="381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22" t="str">
        <f>Councils!C123</f>
        <v>208</v>
      </c>
      <c r="C120" s="322" t="str">
        <f>Councils!D123</f>
        <v>San Benito</v>
      </c>
      <c r="D120" s="322" t="str">
        <f>IF(ISNA(VLOOKUP($V120,DD_Info!$A$1:$E$221,3,0)),0,VLOOKUP($V120,DD_Info!$A$1:$E$221,3,0))</f>
        <v>Brownsville</v>
      </c>
      <c r="E120" s="322">
        <f>Councils!E123</f>
        <v>283</v>
      </c>
      <c r="F120" s="322">
        <f>Councils!F123</f>
        <v>14</v>
      </c>
      <c r="G120" s="322">
        <f>Councils!G123</f>
        <v>0</v>
      </c>
      <c r="H120" s="322">
        <f>Councils!H123</f>
        <v>0</v>
      </c>
      <c r="I120" s="322">
        <f>Councils!I123</f>
        <v>0</v>
      </c>
      <c r="J120" s="322">
        <f>Councils!J123</f>
        <v>0</v>
      </c>
      <c r="K120" s="322">
        <f>Councils!K123</f>
        <v>0</v>
      </c>
      <c r="L120" s="322">
        <f>Councils!L123</f>
        <v>0</v>
      </c>
      <c r="M120" s="323">
        <f>Councils!M123</f>
        <v>0</v>
      </c>
      <c r="N120" s="322">
        <f>Councils!O123</f>
        <v>0</v>
      </c>
      <c r="O120" s="322">
        <f>Councils!P123</f>
        <v>0</v>
      </c>
      <c r="P120" s="322">
        <f>Councils!Q123</f>
        <v>1</v>
      </c>
      <c r="Q120" s="322">
        <f>Councils!R123</f>
        <v>-1</v>
      </c>
      <c r="R120" s="322">
        <f>Councils!S123</f>
        <v>0</v>
      </c>
      <c r="S120" s="322">
        <f>Councils!T123</f>
        <v>1</v>
      </c>
      <c r="T120" s="322">
        <f>Councils!U123</f>
        <v>-1</v>
      </c>
      <c r="U120" s="323">
        <f>Councils!V123</f>
        <v>0</v>
      </c>
      <c r="V120" s="376">
        <v>208</v>
      </c>
      <c r="W120" s="377">
        <f t="shared" si="1"/>
        <v>1</v>
      </c>
      <c r="X120" s="378" t="str">
        <f>IF(ISNA(VLOOKUP($A120,GA!$A$1:$D$834,3,0))," ",VLOOKUP($A120,GA!$A$1:$D$834,3,0))</f>
        <v>Carlin</v>
      </c>
      <c r="Y120" s="379" t="str">
        <f>IF(ISNA(VLOOKUP($A120,Dormant_Councils!$A$1:$E$811,5,0)),"No",VLOOKUP($A120,Dormant_Councils!$A$1:$E$811,5,0))</f>
        <v>No</v>
      </c>
      <c r="Z120" s="381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22" t="str">
        <f>Councils!C124</f>
        <v>173</v>
      </c>
      <c r="C121" s="322" t="str">
        <f>Councils!D124</f>
        <v>Benavides</v>
      </c>
      <c r="D121" s="322" t="str">
        <f>IF(ISNA(VLOOKUP($V121,DD_Info!$A$1:$E$221,3,0)),0,VLOOKUP($V121,DD_Info!$A$1:$E$221,3,0))</f>
        <v>Corpus Christi</v>
      </c>
      <c r="E121" s="322">
        <f>Councils!E124</f>
        <v>28</v>
      </c>
      <c r="F121" s="322">
        <f>Councils!F124</f>
        <v>3</v>
      </c>
      <c r="G121" s="322">
        <f>Councils!G124</f>
        <v>0</v>
      </c>
      <c r="H121" s="322">
        <f>Councils!H124</f>
        <v>0</v>
      </c>
      <c r="I121" s="322">
        <f>Councils!I124</f>
        <v>0</v>
      </c>
      <c r="J121" s="322">
        <f>Councils!J124</f>
        <v>0</v>
      </c>
      <c r="K121" s="322">
        <f>Councils!K124</f>
        <v>0</v>
      </c>
      <c r="L121" s="322">
        <f>Councils!L124</f>
        <v>0</v>
      </c>
      <c r="M121" s="323">
        <f>Councils!M124</f>
        <v>0</v>
      </c>
      <c r="N121" s="322">
        <f>Councils!O124</f>
        <v>0</v>
      </c>
      <c r="O121" s="322">
        <f>Councils!P124</f>
        <v>0</v>
      </c>
      <c r="P121" s="322">
        <f>Councils!Q124</f>
        <v>0</v>
      </c>
      <c r="Q121" s="322">
        <f>Councils!R124</f>
        <v>0</v>
      </c>
      <c r="R121" s="322">
        <f>Councils!S124</f>
        <v>0</v>
      </c>
      <c r="S121" s="322">
        <f>Councils!T124</f>
        <v>0</v>
      </c>
      <c r="T121" s="322">
        <f>Councils!U124</f>
        <v>0</v>
      </c>
      <c r="U121" s="323">
        <f>Councils!V124</f>
        <v>0</v>
      </c>
      <c r="V121" s="376">
        <v>176</v>
      </c>
      <c r="W121" s="377">
        <f t="shared" si="1"/>
        <v>3</v>
      </c>
      <c r="X121" s="378" t="str">
        <f>IF(ISNA(VLOOKUP($A121,GA!$A$1:$D$834,3,0))," ",VLOOKUP($A121,GA!$A$1:$D$834,3,0))</f>
        <v>Carlin</v>
      </c>
      <c r="Y121" s="379" t="str">
        <f>IF(ISNA(VLOOKUP($A121,Dormant_Councils!$A$1:$E$811,5,0)),"No",VLOOKUP($A121,Dormant_Councils!$A$1:$E$811,5,0))</f>
        <v>No</v>
      </c>
      <c r="Z121" s="381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22" t="str">
        <f>Councils!C125</f>
        <v>179</v>
      </c>
      <c r="C122" s="322" t="str">
        <f>Councils!D125</f>
        <v>George West</v>
      </c>
      <c r="D122" s="322" t="str">
        <f>IF(ISNA(VLOOKUP($V122,DD_Info!$A$1:$E$221,3,0)),0,VLOOKUP($V122,DD_Info!$A$1:$E$221,3,0))</f>
        <v>Corpus Christi</v>
      </c>
      <c r="E122" s="322">
        <f>Councils!E125</f>
        <v>80</v>
      </c>
      <c r="F122" s="322">
        <f>Councils!F125</f>
        <v>4</v>
      </c>
      <c r="G122" s="322">
        <f>Councils!G125</f>
        <v>0</v>
      </c>
      <c r="H122" s="322">
        <f>Councils!H125</f>
        <v>0</v>
      </c>
      <c r="I122" s="322">
        <f>Councils!I125</f>
        <v>0</v>
      </c>
      <c r="J122" s="322">
        <f>Councils!J125</f>
        <v>1</v>
      </c>
      <c r="K122" s="322">
        <f>Councils!K125</f>
        <v>0</v>
      </c>
      <c r="L122" s="322">
        <f>Councils!L125</f>
        <v>1</v>
      </c>
      <c r="M122" s="323">
        <f>Councils!M125</f>
        <v>25</v>
      </c>
      <c r="N122" s="322">
        <f>Councils!O125</f>
        <v>0</v>
      </c>
      <c r="O122" s="322">
        <f>Councils!P125</f>
        <v>0</v>
      </c>
      <c r="P122" s="322">
        <f>Councils!Q125</f>
        <v>0</v>
      </c>
      <c r="Q122" s="322">
        <f>Councils!R125</f>
        <v>0</v>
      </c>
      <c r="R122" s="322">
        <f>Councils!S125</f>
        <v>0</v>
      </c>
      <c r="S122" s="322">
        <f>Councils!T125</f>
        <v>0</v>
      </c>
      <c r="T122" s="322">
        <f>Councils!U125</f>
        <v>0</v>
      </c>
      <c r="U122" s="323">
        <f>Councils!V125</f>
        <v>0</v>
      </c>
      <c r="V122" s="376">
        <v>179</v>
      </c>
      <c r="W122" s="377">
        <f t="shared" si="1"/>
        <v>2</v>
      </c>
      <c r="X122" s="378" t="str">
        <f>IF(ISNA(VLOOKUP($A122,GA!$A$1:$D$834,3,0))," ",VLOOKUP($A122,GA!$A$1:$D$834,3,0))</f>
        <v>Carlin</v>
      </c>
      <c r="Y122" s="379" t="str">
        <f>IF(ISNA(VLOOKUP($A122,Dormant_Councils!$A$1:$E$811,5,0)),"No",VLOOKUP($A122,Dormant_Councils!$A$1:$E$811,5,0))</f>
        <v>No</v>
      </c>
      <c r="Z122" s="381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22" t="str">
        <f>Councils!C126</f>
        <v>197</v>
      </c>
      <c r="C123" s="322" t="str">
        <f>Councils!D126</f>
        <v>Borger</v>
      </c>
      <c r="D123" s="322" t="str">
        <f>IF(ISNA(VLOOKUP($V123,DD_Info!$A$1:$E$221,3,0)),0,VLOOKUP($V123,DD_Info!$A$1:$E$221,3,0))</f>
        <v>Amarillo</v>
      </c>
      <c r="E123" s="322">
        <f>Councils!E126</f>
        <v>88</v>
      </c>
      <c r="F123" s="322">
        <f>Councils!F126</f>
        <v>4</v>
      </c>
      <c r="G123" s="322">
        <f>Councils!G126</f>
        <v>0</v>
      </c>
      <c r="H123" s="322">
        <f>Councils!H126</f>
        <v>0</v>
      </c>
      <c r="I123" s="322">
        <f>Councils!I126</f>
        <v>0</v>
      </c>
      <c r="J123" s="322">
        <f>Councils!J126</f>
        <v>0</v>
      </c>
      <c r="K123" s="322">
        <f>Councils!K126</f>
        <v>0</v>
      </c>
      <c r="L123" s="322">
        <f>Councils!L126</f>
        <v>0</v>
      </c>
      <c r="M123" s="323">
        <f>Councils!M126</f>
        <v>0</v>
      </c>
      <c r="N123" s="322">
        <f>Councils!O126</f>
        <v>0</v>
      </c>
      <c r="O123" s="322">
        <f>Councils!P126</f>
        <v>0</v>
      </c>
      <c r="P123" s="322">
        <f>Councils!Q126</f>
        <v>0</v>
      </c>
      <c r="Q123" s="322">
        <f>Councils!R126</f>
        <v>0</v>
      </c>
      <c r="R123" s="322">
        <f>Councils!S126</f>
        <v>0</v>
      </c>
      <c r="S123" s="322">
        <f>Councils!T126</f>
        <v>0</v>
      </c>
      <c r="T123" s="322">
        <f>Councils!U126</f>
        <v>0</v>
      </c>
      <c r="U123" s="323">
        <f>Councils!V126</f>
        <v>0</v>
      </c>
      <c r="V123" s="376">
        <v>197</v>
      </c>
      <c r="W123" s="377">
        <f t="shared" si="1"/>
        <v>2</v>
      </c>
      <c r="X123" s="378" t="str">
        <f>IF(ISNA(VLOOKUP($A123,GA!$A$1:$D$834,3,0))," ",VLOOKUP($A123,GA!$A$1:$D$834,3,0))</f>
        <v>Payne</v>
      </c>
      <c r="Y123" s="379" t="str">
        <f>IF(ISNA(VLOOKUP($A123,Dormant_Councils!$A$1:$E$811,5,0)),"No",VLOOKUP($A123,Dormant_Councils!$A$1:$E$811,5,0))</f>
        <v>No</v>
      </c>
      <c r="Z123" s="381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22" t="str">
        <f>Councils!C127</f>
        <v>105</v>
      </c>
      <c r="C124" s="322" t="str">
        <f>Councils!D127</f>
        <v>Dallas</v>
      </c>
      <c r="D124" s="322" t="str">
        <f>IF(ISNA(VLOOKUP($V124,DD_Info!$A$1:$E$221,3,0)),0,VLOOKUP($V124,DD_Info!$A$1:$E$221,3,0))</f>
        <v>Dallas</v>
      </c>
      <c r="E124" s="322">
        <f>Councils!E127</f>
        <v>253</v>
      </c>
      <c r="F124" s="322">
        <f>Councils!F127</f>
        <v>12</v>
      </c>
      <c r="G124" s="322">
        <f>Councils!G127</f>
        <v>0</v>
      </c>
      <c r="H124" s="322">
        <f>Councils!H127</f>
        <v>0</v>
      </c>
      <c r="I124" s="322">
        <f>Councils!I127</f>
        <v>0</v>
      </c>
      <c r="J124" s="322">
        <f>Councils!J127</f>
        <v>0</v>
      </c>
      <c r="K124" s="322">
        <f>Councils!K127</f>
        <v>0</v>
      </c>
      <c r="L124" s="322">
        <f>Councils!L127</f>
        <v>0</v>
      </c>
      <c r="M124" s="323">
        <f>Councils!M127</f>
        <v>0</v>
      </c>
      <c r="N124" s="322">
        <f>Councils!O127</f>
        <v>0</v>
      </c>
      <c r="O124" s="322">
        <f>Councils!P127</f>
        <v>0</v>
      </c>
      <c r="P124" s="322">
        <f>Councils!Q127</f>
        <v>0</v>
      </c>
      <c r="Q124" s="322">
        <f>Councils!R127</f>
        <v>0</v>
      </c>
      <c r="R124" s="322">
        <f>Councils!S127</f>
        <v>0</v>
      </c>
      <c r="S124" s="322">
        <f>Councils!T127</f>
        <v>0</v>
      </c>
      <c r="T124" s="322">
        <f>Councils!U127</f>
        <v>0</v>
      </c>
      <c r="U124" s="323">
        <f>Councils!V127</f>
        <v>0</v>
      </c>
      <c r="V124" s="376">
        <v>105</v>
      </c>
      <c r="W124" s="377">
        <f t="shared" si="1"/>
        <v>1</v>
      </c>
      <c r="X124" s="378" t="str">
        <f>IF(ISNA(VLOOKUP($A124,GA!$A$1:$D$834,3,0))," ",VLOOKUP($A124,GA!$A$1:$D$834,3,0))</f>
        <v>Regan</v>
      </c>
      <c r="Y124" s="379" t="str">
        <f>IF(ISNA(VLOOKUP($A124,Dormant_Councils!$A$1:$E$811,5,0)),"No",VLOOKUP($A124,Dormant_Councils!$A$1:$E$811,5,0))</f>
        <v>No</v>
      </c>
      <c r="Z124" s="381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22" t="str">
        <f>Councils!C128</f>
        <v>007</v>
      </c>
      <c r="C125" s="322" t="str">
        <f>Councils!D128</f>
        <v>Ysleta</v>
      </c>
      <c r="D125" s="322" t="str">
        <f>IF(ISNA(VLOOKUP($V125,DD_Info!$A$1:$E$221,3,0)),0,VLOOKUP($V125,DD_Info!$A$1:$E$221,3,0))</f>
        <v>El Paso</v>
      </c>
      <c r="E125" s="322">
        <f>Councils!E128</f>
        <v>85</v>
      </c>
      <c r="F125" s="322">
        <f>Councils!F128</f>
        <v>4</v>
      </c>
      <c r="G125" s="322">
        <f>Councils!G128</f>
        <v>0</v>
      </c>
      <c r="H125" s="322">
        <f>Councils!H128</f>
        <v>0</v>
      </c>
      <c r="I125" s="322">
        <f>Councils!I128</f>
        <v>0</v>
      </c>
      <c r="J125" s="322">
        <f>Councils!J128</f>
        <v>0</v>
      </c>
      <c r="K125" s="322">
        <f>Councils!K128</f>
        <v>0</v>
      </c>
      <c r="L125" s="322">
        <f>Councils!L128</f>
        <v>0</v>
      </c>
      <c r="M125" s="323">
        <f>Councils!M128</f>
        <v>0</v>
      </c>
      <c r="N125" s="322">
        <f>Councils!O128</f>
        <v>0</v>
      </c>
      <c r="O125" s="322">
        <f>Councils!P128</f>
        <v>0</v>
      </c>
      <c r="P125" s="322">
        <f>Councils!Q128</f>
        <v>0</v>
      </c>
      <c r="Q125" s="322">
        <f>Councils!R128</f>
        <v>0</v>
      </c>
      <c r="R125" s="322">
        <f>Councils!S128</f>
        <v>0</v>
      </c>
      <c r="S125" s="322">
        <f>Councils!T128</f>
        <v>0</v>
      </c>
      <c r="T125" s="322">
        <f>Councils!U128</f>
        <v>0</v>
      </c>
      <c r="U125" s="323">
        <f>Councils!V128</f>
        <v>0</v>
      </c>
      <c r="V125" s="376">
        <v>7</v>
      </c>
      <c r="W125" s="377">
        <f t="shared" si="1"/>
        <v>2</v>
      </c>
      <c r="X125" s="378" t="str">
        <f>IF(ISNA(VLOOKUP($A125,GA!$A$1:$D$834,3,0))," ",VLOOKUP($A125,GA!$A$1:$D$834,3,0))</f>
        <v>Payne</v>
      </c>
      <c r="Y125" s="379" t="str">
        <f>IF(ISNA(VLOOKUP($A125,Dormant_Councils!$A$1:$E$811,5,0)),"No",VLOOKUP($A125,Dormant_Councils!$A$1:$E$811,5,0))</f>
        <v>No</v>
      </c>
      <c r="Z125" s="381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22" t="str">
        <f>Councils!C129</f>
        <v>072</v>
      </c>
      <c r="C126" s="322" t="str">
        <f>Councils!D129</f>
        <v>Pasadena</v>
      </c>
      <c r="D126" s="322" t="str">
        <f>IF(ISNA(VLOOKUP($V126,DD_Info!$A$1:$E$221,3,0)),0,VLOOKUP($V126,DD_Info!$A$1:$E$221,3,0))</f>
        <v>Galv/Hous</v>
      </c>
      <c r="E126" s="322">
        <f>Councils!E129</f>
        <v>219</v>
      </c>
      <c r="F126" s="322">
        <f>Councils!F129</f>
        <v>9</v>
      </c>
      <c r="G126" s="322">
        <f>Councils!G129</f>
        <v>0</v>
      </c>
      <c r="H126" s="322">
        <f>Councils!H129</f>
        <v>0</v>
      </c>
      <c r="I126" s="322">
        <f>Councils!I129</f>
        <v>0</v>
      </c>
      <c r="J126" s="322">
        <f>Councils!J129</f>
        <v>0</v>
      </c>
      <c r="K126" s="322">
        <f>Councils!K129</f>
        <v>0</v>
      </c>
      <c r="L126" s="322">
        <f>Councils!L129</f>
        <v>0</v>
      </c>
      <c r="M126" s="323">
        <f>Councils!M129</f>
        <v>0</v>
      </c>
      <c r="N126" s="322">
        <f>Councils!O129</f>
        <v>0</v>
      </c>
      <c r="O126" s="322">
        <f>Councils!P129</f>
        <v>0</v>
      </c>
      <c r="P126" s="322">
        <f>Councils!Q129</f>
        <v>0</v>
      </c>
      <c r="Q126" s="322">
        <f>Councils!R129</f>
        <v>0</v>
      </c>
      <c r="R126" s="322">
        <f>Councils!S129</f>
        <v>1</v>
      </c>
      <c r="S126" s="322">
        <f>Councils!T129</f>
        <v>0</v>
      </c>
      <c r="T126" s="322">
        <f>Councils!U129</f>
        <v>1</v>
      </c>
      <c r="U126" s="323">
        <f>Councils!V129</f>
        <v>0</v>
      </c>
      <c r="V126" s="376">
        <v>72</v>
      </c>
      <c r="W126" s="377">
        <f t="shared" si="1"/>
        <v>1</v>
      </c>
      <c r="X126" s="378" t="str">
        <f>IF(ISNA(VLOOKUP($A126,GA!$A$1:$D$834,3,0))," ",VLOOKUP($A126,GA!$A$1:$D$834,3,0))</f>
        <v>Rangel</v>
      </c>
      <c r="Y126" s="379" t="str">
        <f>IF(ISNA(VLOOKUP($A126,Dormant_Councils!$A$1:$E$811,5,0)),"No",VLOOKUP($A126,Dormant_Councils!$A$1:$E$811,5,0))</f>
        <v>No</v>
      </c>
      <c r="Z126" s="381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22" t="str">
        <f>Councils!C130</f>
        <v>023</v>
      </c>
      <c r="C127" s="322" t="str">
        <f>Councils!D130</f>
        <v>Seymour</v>
      </c>
      <c r="D127" s="322" t="str">
        <f>IF(ISNA(VLOOKUP($V127,DD_Info!$A$1:$E$221,3,0)),0,VLOOKUP($V127,DD_Info!$A$1:$E$221,3,0))</f>
        <v>Fort Worth</v>
      </c>
      <c r="E127" s="322">
        <f>Councils!E130</f>
        <v>87</v>
      </c>
      <c r="F127" s="322">
        <f>Councils!F130</f>
        <v>4</v>
      </c>
      <c r="G127" s="322">
        <f>Councils!G130</f>
        <v>0</v>
      </c>
      <c r="H127" s="322">
        <f>Councils!H130</f>
        <v>0</v>
      </c>
      <c r="I127" s="322">
        <f>Councils!I130</f>
        <v>0</v>
      </c>
      <c r="J127" s="322">
        <f>Councils!J130</f>
        <v>1</v>
      </c>
      <c r="K127" s="322">
        <f>Councils!K130</f>
        <v>0</v>
      </c>
      <c r="L127" s="322">
        <f>Councils!L130</f>
        <v>1</v>
      </c>
      <c r="M127" s="323">
        <f>Councils!M130</f>
        <v>25</v>
      </c>
      <c r="N127" s="322">
        <f>Councils!O130</f>
        <v>0</v>
      </c>
      <c r="O127" s="322">
        <f>Councils!P130</f>
        <v>0</v>
      </c>
      <c r="P127" s="322">
        <f>Councils!Q130</f>
        <v>1</v>
      </c>
      <c r="Q127" s="322">
        <f>Councils!R130</f>
        <v>-1</v>
      </c>
      <c r="R127" s="322">
        <f>Councils!S130</f>
        <v>0</v>
      </c>
      <c r="S127" s="322">
        <f>Councils!T130</f>
        <v>2</v>
      </c>
      <c r="T127" s="322">
        <f>Councils!U130</f>
        <v>-2</v>
      </c>
      <c r="U127" s="323">
        <f>Councils!V130</f>
        <v>0</v>
      </c>
      <c r="V127" s="376">
        <v>23</v>
      </c>
      <c r="W127" s="377">
        <f t="shared" si="1"/>
        <v>2</v>
      </c>
      <c r="X127" s="378" t="str">
        <f>IF(ISNA(VLOOKUP($A127,GA!$A$1:$D$834,3,0))," ",VLOOKUP($A127,GA!$A$1:$D$834,3,0))</f>
        <v>Stark</v>
      </c>
      <c r="Y127" s="379" t="str">
        <f>IF(ISNA(VLOOKUP($A127,Dormant_Councils!$A$1:$E$811,5,0)),"No",VLOOKUP($A127,Dormant_Councils!$A$1:$E$811,5,0))</f>
        <v>No</v>
      </c>
      <c r="Z127" s="381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22" t="str">
        <f>Councils!C131</f>
        <v>086</v>
      </c>
      <c r="C128" s="322" t="str">
        <f>Councils!D131</f>
        <v>Wallis</v>
      </c>
      <c r="D128" s="322" t="str">
        <f>IF(ISNA(VLOOKUP($V128,DD_Info!$A$1:$E$221,3,0)),0,VLOOKUP($V128,DD_Info!$A$1:$E$221,3,0))</f>
        <v>Galv/Hous</v>
      </c>
      <c r="E128" s="322">
        <f>Councils!E131</f>
        <v>203</v>
      </c>
      <c r="F128" s="322">
        <f>Councils!F131</f>
        <v>10</v>
      </c>
      <c r="G128" s="322">
        <f>Councils!G131</f>
        <v>0</v>
      </c>
      <c r="H128" s="322">
        <f>Councils!H131</f>
        <v>0</v>
      </c>
      <c r="I128" s="322">
        <f>Councils!I131</f>
        <v>0</v>
      </c>
      <c r="J128" s="322">
        <f>Councils!J131</f>
        <v>0</v>
      </c>
      <c r="K128" s="322">
        <f>Councils!K131</f>
        <v>0</v>
      </c>
      <c r="L128" s="322">
        <f>Councils!L131</f>
        <v>0</v>
      </c>
      <c r="M128" s="323">
        <f>Councils!M131</f>
        <v>0</v>
      </c>
      <c r="N128" s="322">
        <f>Councils!O131</f>
        <v>0</v>
      </c>
      <c r="O128" s="322">
        <f>Councils!P131</f>
        <v>0</v>
      </c>
      <c r="P128" s="322">
        <f>Councils!Q131</f>
        <v>0</v>
      </c>
      <c r="Q128" s="322">
        <f>Councils!R131</f>
        <v>0</v>
      </c>
      <c r="R128" s="322">
        <f>Councils!S131</f>
        <v>1</v>
      </c>
      <c r="S128" s="322">
        <f>Councils!T131</f>
        <v>1</v>
      </c>
      <c r="T128" s="322">
        <f>Councils!U131</f>
        <v>0</v>
      </c>
      <c r="U128" s="323">
        <f>Councils!V131</f>
        <v>0</v>
      </c>
      <c r="V128" s="376">
        <v>86</v>
      </c>
      <c r="W128" s="377">
        <f t="shared" si="1"/>
        <v>1</v>
      </c>
      <c r="X128" s="378" t="str">
        <f>IF(ISNA(VLOOKUP($A128,GA!$A$1:$D$834,3,0))," ",VLOOKUP($A128,GA!$A$1:$D$834,3,0))</f>
        <v>Supak</v>
      </c>
      <c r="Y128" s="379" t="str">
        <f>IF(ISNA(VLOOKUP($A128,Dormant_Councils!$A$1:$E$811,5,0)),"No",VLOOKUP($A128,Dormant_Councils!$A$1:$E$811,5,0))</f>
        <v>No</v>
      </c>
      <c r="Z128" s="381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22" t="str">
        <f>Councils!C132</f>
        <v>227</v>
      </c>
      <c r="C129" s="322" t="str">
        <f>Councils!D132</f>
        <v>Brownwood</v>
      </c>
      <c r="D129" s="322" t="str">
        <f>IF(ISNA(VLOOKUP($V129,DD_Info!$A$1:$E$221,3,0)),0,VLOOKUP($V129,DD_Info!$A$1:$E$221,3,0))</f>
        <v>San Angelo</v>
      </c>
      <c r="E129" s="322">
        <f>Councils!E132</f>
        <v>92</v>
      </c>
      <c r="F129" s="322">
        <f>Councils!F132</f>
        <v>4</v>
      </c>
      <c r="G129" s="322">
        <f>Councils!G132</f>
        <v>0</v>
      </c>
      <c r="H129" s="322">
        <f>Councils!H132</f>
        <v>0</v>
      </c>
      <c r="I129" s="322">
        <f>Councils!I132</f>
        <v>0</v>
      </c>
      <c r="J129" s="322">
        <f>Councils!J132</f>
        <v>0</v>
      </c>
      <c r="K129" s="322">
        <f>Councils!K132</f>
        <v>0</v>
      </c>
      <c r="L129" s="322">
        <f>Councils!L132</f>
        <v>0</v>
      </c>
      <c r="M129" s="323">
        <f>Councils!M132</f>
        <v>0</v>
      </c>
      <c r="N129" s="322">
        <f>Councils!O132</f>
        <v>0</v>
      </c>
      <c r="O129" s="322">
        <f>Councils!P132</f>
        <v>0</v>
      </c>
      <c r="P129" s="322">
        <f>Councils!Q132</f>
        <v>0</v>
      </c>
      <c r="Q129" s="322">
        <f>Councils!R132</f>
        <v>0</v>
      </c>
      <c r="R129" s="322">
        <f>Councils!S132</f>
        <v>0</v>
      </c>
      <c r="S129" s="322">
        <f>Councils!T132</f>
        <v>0</v>
      </c>
      <c r="T129" s="322">
        <f>Councils!U132</f>
        <v>0</v>
      </c>
      <c r="U129" s="323">
        <f>Councils!V132</f>
        <v>0</v>
      </c>
      <c r="V129" s="376">
        <v>227</v>
      </c>
      <c r="W129" s="377">
        <f t="shared" si="1"/>
        <v>2</v>
      </c>
      <c r="X129" s="378" t="str">
        <f>IF(ISNA(VLOOKUP($A129,GA!$A$1:$D$834,3,0))," ",VLOOKUP($A129,GA!$A$1:$D$834,3,0))</f>
        <v>Payne</v>
      </c>
      <c r="Y129" s="379" t="str">
        <f>IF(ISNA(VLOOKUP($A129,Dormant_Councils!$A$1:$E$811,5,0)),"No",VLOOKUP($A129,Dormant_Councils!$A$1:$E$811,5,0))</f>
        <v>No</v>
      </c>
      <c r="Z129" s="381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22" t="str">
        <f>Councils!C133</f>
        <v>080</v>
      </c>
      <c r="C130" s="322" t="str">
        <f>Councils!D133</f>
        <v>Houston</v>
      </c>
      <c r="D130" s="322" t="str">
        <f>IF(ISNA(VLOOKUP($V130,DD_Info!$A$1:$E$221,3,0)),0,VLOOKUP($V130,DD_Info!$A$1:$E$221,3,0))</f>
        <v>Galv/Hous</v>
      </c>
      <c r="E130" s="322">
        <f>Councils!E133</f>
        <v>390</v>
      </c>
      <c r="F130" s="322">
        <f>Councils!F133</f>
        <v>19</v>
      </c>
      <c r="G130" s="322">
        <f>Councils!G133</f>
        <v>0</v>
      </c>
      <c r="H130" s="322">
        <f>Councils!H133</f>
        <v>1</v>
      </c>
      <c r="I130" s="322">
        <f>Councils!I133</f>
        <v>-1</v>
      </c>
      <c r="J130" s="322">
        <f>Councils!J133</f>
        <v>0</v>
      </c>
      <c r="K130" s="322">
        <f>Councils!K133</f>
        <v>3</v>
      </c>
      <c r="L130" s="322">
        <f>Councils!L133</f>
        <v>-3</v>
      </c>
      <c r="M130" s="323">
        <f>Councils!M133</f>
        <v>0</v>
      </c>
      <c r="N130" s="322">
        <f>Councils!O133</f>
        <v>0</v>
      </c>
      <c r="O130" s="322">
        <f>Councils!P133</f>
        <v>0</v>
      </c>
      <c r="P130" s="322">
        <f>Councils!Q133</f>
        <v>3</v>
      </c>
      <c r="Q130" s="322">
        <f>Councils!R133</f>
        <v>-3</v>
      </c>
      <c r="R130" s="322">
        <f>Councils!S133</f>
        <v>1</v>
      </c>
      <c r="S130" s="322">
        <f>Councils!T133</f>
        <v>6</v>
      </c>
      <c r="T130" s="322">
        <f>Councils!U133</f>
        <v>-5</v>
      </c>
      <c r="U130" s="323">
        <f>Councils!V133</f>
        <v>0</v>
      </c>
      <c r="V130" s="376">
        <v>80</v>
      </c>
      <c r="W130" s="377">
        <f t="shared" si="1"/>
        <v>1</v>
      </c>
      <c r="X130" s="378" t="str">
        <f>IF(ISNA(VLOOKUP($A130,GA!$A$1:$D$834,3,0))," ",VLOOKUP($A130,GA!$A$1:$D$834,3,0))</f>
        <v>Supak</v>
      </c>
      <c r="Y130" s="379" t="str">
        <f>IF(ISNA(VLOOKUP($A130,Dormant_Councils!$A$1:$E$811,5,0)),"No",VLOOKUP($A130,Dormant_Councils!$A$1:$E$811,5,0))</f>
        <v>No</v>
      </c>
      <c r="Z130" s="381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22" t="str">
        <f>Councils!C134</f>
        <v>212</v>
      </c>
      <c r="C131" s="322" t="str">
        <f>Councils!D134</f>
        <v>San Isidro</v>
      </c>
      <c r="D131" s="322" t="str">
        <f>IF(ISNA(VLOOKUP($V131,DD_Info!$A$1:$E$221,3,0)),0,VLOOKUP($V131,DD_Info!$A$1:$E$221,3,0))</f>
        <v>Brownsville</v>
      </c>
      <c r="E131" s="322">
        <f>Councils!E134</f>
        <v>40</v>
      </c>
      <c r="F131" s="322">
        <f>Councils!F134</f>
        <v>3</v>
      </c>
      <c r="G131" s="322">
        <f>Councils!G134</f>
        <v>0</v>
      </c>
      <c r="H131" s="322">
        <f>Councils!H134</f>
        <v>0</v>
      </c>
      <c r="I131" s="322">
        <f>Councils!I134</f>
        <v>0</v>
      </c>
      <c r="J131" s="322">
        <f>Councils!J134</f>
        <v>0</v>
      </c>
      <c r="K131" s="322">
        <f>Councils!K134</f>
        <v>0</v>
      </c>
      <c r="L131" s="322">
        <f>Councils!L134</f>
        <v>0</v>
      </c>
      <c r="M131" s="323">
        <f>Councils!M134</f>
        <v>0</v>
      </c>
      <c r="N131" s="322">
        <f>Councils!O134</f>
        <v>0</v>
      </c>
      <c r="O131" s="322">
        <f>Councils!P134</f>
        <v>0</v>
      </c>
      <c r="P131" s="322">
        <f>Councils!Q134</f>
        <v>0</v>
      </c>
      <c r="Q131" s="322">
        <f>Councils!R134</f>
        <v>0</v>
      </c>
      <c r="R131" s="322">
        <f>Councils!S134</f>
        <v>0</v>
      </c>
      <c r="S131" s="322">
        <f>Councils!T134</f>
        <v>0</v>
      </c>
      <c r="T131" s="322">
        <f>Councils!U134</f>
        <v>0</v>
      </c>
      <c r="U131" s="323">
        <f>Councils!V134</f>
        <v>0</v>
      </c>
      <c r="V131" s="376">
        <v>212</v>
      </c>
      <c r="W131" s="377">
        <f t="shared" ref="W131:W194" si="2">_xlfn.IFS($E131&gt;=140,1,$E131&gt;65,2,$E131&lt;=65,3)</f>
        <v>3</v>
      </c>
      <c r="X131" s="378" t="str">
        <f>IF(ISNA(VLOOKUP($A131,GA!$A$1:$D$834,3,0))," ",VLOOKUP($A131,GA!$A$1:$D$834,3,0))</f>
        <v>Carlin</v>
      </c>
      <c r="Y131" s="379" t="str">
        <f>IF(ISNA(VLOOKUP($A131,Dormant_Councils!$A$1:$E$811,5,0)),"No",VLOOKUP($A131,Dormant_Councils!$A$1:$E$811,5,0))</f>
        <v>No</v>
      </c>
      <c r="Z131" s="381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22" t="str">
        <f>Councils!C135</f>
        <v>133</v>
      </c>
      <c r="C132" s="322" t="str">
        <f>Councils!D135</f>
        <v>Kilgore</v>
      </c>
      <c r="D132" s="322" t="str">
        <f>IF(ISNA(VLOOKUP($V132,DD_Info!$A$1:$E$221,3,0)),0,VLOOKUP($V132,DD_Info!$A$1:$E$221,3,0))</f>
        <v>Tyler</v>
      </c>
      <c r="E132" s="322">
        <f>Councils!E135</f>
        <v>42</v>
      </c>
      <c r="F132" s="322">
        <f>Councils!F135</f>
        <v>3</v>
      </c>
      <c r="G132" s="322">
        <f>Councils!G135</f>
        <v>0</v>
      </c>
      <c r="H132" s="322">
        <f>Councils!H135</f>
        <v>0</v>
      </c>
      <c r="I132" s="322">
        <f>Councils!I135</f>
        <v>0</v>
      </c>
      <c r="J132" s="322">
        <f>Councils!J135</f>
        <v>0</v>
      </c>
      <c r="K132" s="322">
        <f>Councils!K135</f>
        <v>0</v>
      </c>
      <c r="L132" s="322">
        <f>Councils!L135</f>
        <v>0</v>
      </c>
      <c r="M132" s="323">
        <f>Councils!M135</f>
        <v>0</v>
      </c>
      <c r="N132" s="322">
        <f>Councils!O135</f>
        <v>0</v>
      </c>
      <c r="O132" s="322">
        <f>Councils!P135</f>
        <v>0</v>
      </c>
      <c r="P132" s="322">
        <f>Councils!Q135</f>
        <v>0</v>
      </c>
      <c r="Q132" s="322">
        <f>Councils!R135</f>
        <v>0</v>
      </c>
      <c r="R132" s="322">
        <f>Councils!S135</f>
        <v>0</v>
      </c>
      <c r="S132" s="322">
        <f>Councils!T135</f>
        <v>0</v>
      </c>
      <c r="T132" s="322">
        <f>Councils!U135</f>
        <v>0</v>
      </c>
      <c r="U132" s="323">
        <f>Councils!V135</f>
        <v>0</v>
      </c>
      <c r="V132" s="376">
        <v>133</v>
      </c>
      <c r="W132" s="377">
        <f t="shared" si="2"/>
        <v>3</v>
      </c>
      <c r="X132" s="378" t="str">
        <f>IF(ISNA(VLOOKUP($A132,GA!$A$1:$D$834,3,0))," ",VLOOKUP($A132,GA!$A$1:$D$834,3,0))</f>
        <v>Regan</v>
      </c>
      <c r="Y132" s="379" t="str">
        <f>IF(ISNA(VLOOKUP($A132,Dormant_Councils!$A$1:$E$811,5,0)),"No",VLOOKUP($A132,Dormant_Councils!$A$1:$E$811,5,0))</f>
        <v>No</v>
      </c>
      <c r="Z132" s="381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22" t="str">
        <f>Councils!C136</f>
        <v>095</v>
      </c>
      <c r="C133" s="322" t="str">
        <f>Councils!D136</f>
        <v>Anderson</v>
      </c>
      <c r="D133" s="322" t="str">
        <f>IF(ISNA(VLOOKUP($V133,DD_Info!$A$1:$E$221,3,0)),0,VLOOKUP($V133,DD_Info!$A$1:$E$221,3,0))</f>
        <v>Galv/Hous</v>
      </c>
      <c r="E133" s="322">
        <f>Councils!E136</f>
        <v>160</v>
      </c>
      <c r="F133" s="322">
        <f>Councils!F136</f>
        <v>8</v>
      </c>
      <c r="G133" s="322">
        <f>Councils!G136</f>
        <v>0</v>
      </c>
      <c r="H133" s="322">
        <f>Councils!H136</f>
        <v>0</v>
      </c>
      <c r="I133" s="322">
        <f>Councils!I136</f>
        <v>0</v>
      </c>
      <c r="J133" s="322">
        <f>Councils!J136</f>
        <v>0</v>
      </c>
      <c r="K133" s="322">
        <f>Councils!K136</f>
        <v>0</v>
      </c>
      <c r="L133" s="322">
        <f>Councils!L136</f>
        <v>0</v>
      </c>
      <c r="M133" s="323">
        <f>Councils!M136</f>
        <v>0</v>
      </c>
      <c r="N133" s="322">
        <f>Councils!O136</f>
        <v>0</v>
      </c>
      <c r="O133" s="322">
        <f>Councils!P136</f>
        <v>0</v>
      </c>
      <c r="P133" s="322">
        <f>Councils!Q136</f>
        <v>1</v>
      </c>
      <c r="Q133" s="322">
        <f>Councils!R136</f>
        <v>-1</v>
      </c>
      <c r="R133" s="322">
        <f>Councils!S136</f>
        <v>1</v>
      </c>
      <c r="S133" s="322">
        <f>Councils!T136</f>
        <v>1</v>
      </c>
      <c r="T133" s="322">
        <f>Councils!U136</f>
        <v>0</v>
      </c>
      <c r="U133" s="323">
        <f>Councils!V136</f>
        <v>0</v>
      </c>
      <c r="V133" s="376">
        <v>95</v>
      </c>
      <c r="W133" s="377">
        <f t="shared" si="2"/>
        <v>1</v>
      </c>
      <c r="X133" s="378" t="str">
        <f>IF(ISNA(VLOOKUP($A133,GA!$A$1:$D$834,3,0))," ",VLOOKUP($A133,GA!$A$1:$D$834,3,0))</f>
        <v>Rangel</v>
      </c>
      <c r="Y133" s="379" t="str">
        <f>IF(ISNA(VLOOKUP($A133,Dormant_Councils!$A$1:$E$811,5,0)),"No",VLOOKUP($A133,Dormant_Councils!$A$1:$E$811,5,0))</f>
        <v>No</v>
      </c>
      <c r="Z133" s="381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22" t="str">
        <f>Councils!C137</f>
        <v>029</v>
      </c>
      <c r="C134" s="322" t="str">
        <f>Councils!D137</f>
        <v>Fort Worth</v>
      </c>
      <c r="D134" s="322" t="str">
        <f>IF(ISNA(VLOOKUP($V134,DD_Info!$A$1:$E$221,3,0)),0,VLOOKUP($V134,DD_Info!$A$1:$E$221,3,0))</f>
        <v>Fort Worth</v>
      </c>
      <c r="E134" s="322">
        <f>Councils!E137</f>
        <v>156</v>
      </c>
      <c r="F134" s="322">
        <f>Councils!F137</f>
        <v>7</v>
      </c>
      <c r="G134" s="322">
        <f>Councils!G137</f>
        <v>0</v>
      </c>
      <c r="H134" s="322">
        <f>Councils!H137</f>
        <v>0</v>
      </c>
      <c r="I134" s="322">
        <f>Councils!I137</f>
        <v>0</v>
      </c>
      <c r="J134" s="322">
        <f>Councils!J137</f>
        <v>1</v>
      </c>
      <c r="K134" s="322">
        <f>Councils!K137</f>
        <v>0</v>
      </c>
      <c r="L134" s="322">
        <f>Councils!L137</f>
        <v>1</v>
      </c>
      <c r="M134" s="323">
        <f>Councils!M137</f>
        <v>14.29</v>
      </c>
      <c r="N134" s="322">
        <f>Councils!O137</f>
        <v>0</v>
      </c>
      <c r="O134" s="322">
        <f>Councils!P137</f>
        <v>1</v>
      </c>
      <c r="P134" s="322">
        <f>Councils!Q137</f>
        <v>1</v>
      </c>
      <c r="Q134" s="322">
        <f>Councils!R137</f>
        <v>0</v>
      </c>
      <c r="R134" s="322">
        <f>Councils!S137</f>
        <v>1</v>
      </c>
      <c r="S134" s="322">
        <f>Councils!T137</f>
        <v>1</v>
      </c>
      <c r="T134" s="322">
        <f>Councils!U137</f>
        <v>0</v>
      </c>
      <c r="U134" s="323">
        <f>Councils!V137</f>
        <v>0</v>
      </c>
      <c r="V134" s="376">
        <v>29</v>
      </c>
      <c r="W134" s="377">
        <f t="shared" si="2"/>
        <v>1</v>
      </c>
      <c r="X134" s="378" t="str">
        <f>IF(ISNA(VLOOKUP($A134,GA!$A$1:$D$834,3,0))," ",VLOOKUP($A134,GA!$A$1:$D$834,3,0))</f>
        <v>Stark</v>
      </c>
      <c r="Y134" s="379" t="str">
        <f>IF(ISNA(VLOOKUP($A134,Dormant_Councils!$A$1:$E$811,5,0)),"No",VLOOKUP($A134,Dormant_Councils!$A$1:$E$811,5,0))</f>
        <v>No</v>
      </c>
      <c r="Z134" s="381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22" t="str">
        <f>Councils!C138</f>
        <v>042</v>
      </c>
      <c r="C135" s="322" t="str">
        <f>Councils!D138</f>
        <v>San Antonio</v>
      </c>
      <c r="D135" s="322" t="str">
        <f>IF(ISNA(VLOOKUP($V135,DD_Info!$A$1:$E$221,3,0)),0,VLOOKUP($V135,DD_Info!$A$1:$E$221,3,0))</f>
        <v>San Antonio</v>
      </c>
      <c r="E135" s="322">
        <f>Councils!E138</f>
        <v>251</v>
      </c>
      <c r="F135" s="322">
        <f>Councils!F138</f>
        <v>11</v>
      </c>
      <c r="G135" s="322">
        <f>Councils!G138</f>
        <v>0</v>
      </c>
      <c r="H135" s="322">
        <f>Councils!H138</f>
        <v>0</v>
      </c>
      <c r="I135" s="322">
        <f>Councils!I138</f>
        <v>0</v>
      </c>
      <c r="J135" s="322">
        <f>Councils!J138</f>
        <v>0</v>
      </c>
      <c r="K135" s="322">
        <f>Councils!K138</f>
        <v>0</v>
      </c>
      <c r="L135" s="322">
        <f>Councils!L138</f>
        <v>0</v>
      </c>
      <c r="M135" s="323">
        <f>Councils!M138</f>
        <v>0</v>
      </c>
      <c r="N135" s="322">
        <f>Councils!O138</f>
        <v>0</v>
      </c>
      <c r="O135" s="322">
        <f>Councils!P138</f>
        <v>0</v>
      </c>
      <c r="P135" s="322">
        <f>Councils!Q138</f>
        <v>0</v>
      </c>
      <c r="Q135" s="322">
        <f>Councils!R138</f>
        <v>0</v>
      </c>
      <c r="R135" s="322">
        <f>Councils!S138</f>
        <v>1</v>
      </c>
      <c r="S135" s="322">
        <f>Councils!T138</f>
        <v>2</v>
      </c>
      <c r="T135" s="322">
        <f>Councils!U138</f>
        <v>-1</v>
      </c>
      <c r="U135" s="323">
        <f>Councils!V138</f>
        <v>0</v>
      </c>
      <c r="V135" s="376">
        <v>42</v>
      </c>
      <c r="W135" s="377">
        <f t="shared" si="2"/>
        <v>1</v>
      </c>
      <c r="X135" s="378" t="str">
        <f>IF(ISNA(VLOOKUP($A135,GA!$A$1:$D$834,3,0))," ",VLOOKUP($A135,GA!$A$1:$D$834,3,0))</f>
        <v>Dougherty</v>
      </c>
      <c r="Y135" s="379" t="str">
        <f>IF(ISNA(VLOOKUP($A135,Dormant_Councils!$A$1:$E$811,5,0)),"No",VLOOKUP($A135,Dormant_Councils!$A$1:$E$811,5,0))</f>
        <v>No</v>
      </c>
      <c r="Z135" s="381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22" t="str">
        <f>Councils!C139</f>
        <v>168</v>
      </c>
      <c r="C136" s="322" t="str">
        <f>Councils!D139</f>
        <v>Corpus Christi</v>
      </c>
      <c r="D136" s="322" t="str">
        <f>IF(ISNA(VLOOKUP($V136,DD_Info!$A$1:$E$221,3,0)),0,VLOOKUP($V136,DD_Info!$A$1:$E$221,3,0))</f>
        <v>Corpus Christi</v>
      </c>
      <c r="E136" s="322">
        <f>Councils!E139</f>
        <v>71</v>
      </c>
      <c r="F136" s="322">
        <f>Councils!F139</f>
        <v>4</v>
      </c>
      <c r="G136" s="322">
        <f>Councils!G139</f>
        <v>0</v>
      </c>
      <c r="H136" s="322">
        <f>Councils!H139</f>
        <v>0</v>
      </c>
      <c r="I136" s="322">
        <f>Councils!I139</f>
        <v>0</v>
      </c>
      <c r="J136" s="322">
        <f>Councils!J139</f>
        <v>0</v>
      </c>
      <c r="K136" s="322">
        <f>Councils!K139</f>
        <v>0</v>
      </c>
      <c r="L136" s="322">
        <f>Councils!L139</f>
        <v>0</v>
      </c>
      <c r="M136" s="323">
        <f>Councils!M139</f>
        <v>0</v>
      </c>
      <c r="N136" s="322">
        <f>Councils!O139</f>
        <v>0</v>
      </c>
      <c r="O136" s="322">
        <f>Councils!P139</f>
        <v>0</v>
      </c>
      <c r="P136" s="322">
        <f>Councils!Q139</f>
        <v>1</v>
      </c>
      <c r="Q136" s="322">
        <f>Councils!R139</f>
        <v>-1</v>
      </c>
      <c r="R136" s="322">
        <f>Councils!S139</f>
        <v>0</v>
      </c>
      <c r="S136" s="322">
        <f>Councils!T139</f>
        <v>1</v>
      </c>
      <c r="T136" s="322">
        <f>Councils!U139</f>
        <v>-1</v>
      </c>
      <c r="U136" s="323">
        <f>Councils!V139</f>
        <v>0</v>
      </c>
      <c r="V136" s="376">
        <v>168</v>
      </c>
      <c r="W136" s="377">
        <f t="shared" si="2"/>
        <v>2</v>
      </c>
      <c r="X136" s="378" t="str">
        <f>IF(ISNA(VLOOKUP($A136,GA!$A$1:$D$834,3,0))," ",VLOOKUP($A136,GA!$A$1:$D$834,3,0))</f>
        <v>Carlin</v>
      </c>
      <c r="Y136" s="379" t="str">
        <f>IF(ISNA(VLOOKUP($A136,Dormant_Councils!$A$1:$E$811,5,0)),"No",VLOOKUP($A136,Dormant_Councils!$A$1:$E$811,5,0))</f>
        <v>No</v>
      </c>
      <c r="Z136" s="381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22" t="str">
        <f>Councils!C140</f>
        <v>045</v>
      </c>
      <c r="C137" s="322" t="str">
        <f>Councils!D140</f>
        <v>New Braunfels</v>
      </c>
      <c r="D137" s="322" t="str">
        <f>IF(ISNA(VLOOKUP($V137,DD_Info!$A$1:$E$221,3,0)),0,VLOOKUP($V137,DD_Info!$A$1:$E$221,3,0))</f>
        <v>San Antonio</v>
      </c>
      <c r="E137" s="322">
        <f>Councils!E140</f>
        <v>489</v>
      </c>
      <c r="F137" s="322">
        <f>Councils!F140</f>
        <v>20</v>
      </c>
      <c r="G137" s="322">
        <f>Councils!G140</f>
        <v>0</v>
      </c>
      <c r="H137" s="322">
        <f>Councils!H140</f>
        <v>0</v>
      </c>
      <c r="I137" s="322">
        <f>Councils!I140</f>
        <v>0</v>
      </c>
      <c r="J137" s="322">
        <f>Councils!J140</f>
        <v>4</v>
      </c>
      <c r="K137" s="322">
        <f>Councils!K140</f>
        <v>7</v>
      </c>
      <c r="L137" s="322">
        <f>Councils!L140</f>
        <v>-3</v>
      </c>
      <c r="M137" s="323">
        <f>Councils!M140</f>
        <v>0</v>
      </c>
      <c r="N137" s="322">
        <f>Councils!O140</f>
        <v>0</v>
      </c>
      <c r="O137" s="322">
        <f>Councils!P140</f>
        <v>1</v>
      </c>
      <c r="P137" s="322">
        <f>Councils!Q140</f>
        <v>1</v>
      </c>
      <c r="Q137" s="322">
        <f>Councils!R140</f>
        <v>0</v>
      </c>
      <c r="R137" s="322">
        <f>Councils!S140</f>
        <v>3</v>
      </c>
      <c r="S137" s="322">
        <f>Councils!T140</f>
        <v>1</v>
      </c>
      <c r="T137" s="322">
        <f>Councils!U140</f>
        <v>2</v>
      </c>
      <c r="U137" s="323">
        <f>Councils!V140</f>
        <v>0</v>
      </c>
      <c r="V137" s="376">
        <v>45</v>
      </c>
      <c r="W137" s="377">
        <f t="shared" si="2"/>
        <v>1</v>
      </c>
      <c r="X137" s="378" t="str">
        <f>IF(ISNA(VLOOKUP($A137,GA!$A$1:$D$834,3,0))," ",VLOOKUP($A137,GA!$A$1:$D$834,3,0))</f>
        <v>Dougherty</v>
      </c>
      <c r="Y137" s="379" t="str">
        <f>IF(ISNA(VLOOKUP($A137,Dormant_Councils!$A$1:$E$811,5,0)),"No",VLOOKUP($A137,Dormant_Councils!$A$1:$E$811,5,0))</f>
        <v>No</v>
      </c>
      <c r="Z137" s="381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22" t="str">
        <f>Councils!C141</f>
        <v>079</v>
      </c>
      <c r="C138" s="322" t="str">
        <f>Councils!D141</f>
        <v>Sugar Land</v>
      </c>
      <c r="D138" s="322" t="str">
        <f>IF(ISNA(VLOOKUP($V138,DD_Info!$A$1:$E$221,3,0)),0,VLOOKUP($V138,DD_Info!$A$1:$E$221,3,0))</f>
        <v>Galv/Hous</v>
      </c>
      <c r="E138" s="322">
        <f>Councils!E141</f>
        <v>465</v>
      </c>
      <c r="F138" s="322">
        <f>Councils!F141</f>
        <v>20</v>
      </c>
      <c r="G138" s="322">
        <f>Councils!G141</f>
        <v>0</v>
      </c>
      <c r="H138" s="322">
        <f>Councils!H141</f>
        <v>1</v>
      </c>
      <c r="I138" s="322">
        <f>Councils!I141</f>
        <v>-1</v>
      </c>
      <c r="J138" s="322">
        <f>Councils!J141</f>
        <v>0</v>
      </c>
      <c r="K138" s="322">
        <f>Councils!K141</f>
        <v>2</v>
      </c>
      <c r="L138" s="322">
        <f>Councils!L141</f>
        <v>-2</v>
      </c>
      <c r="M138" s="323">
        <f>Councils!M141</f>
        <v>0</v>
      </c>
      <c r="N138" s="322">
        <f>Councils!O141</f>
        <v>0</v>
      </c>
      <c r="O138" s="322">
        <f>Councils!P141</f>
        <v>0</v>
      </c>
      <c r="P138" s="322">
        <f>Councils!Q141</f>
        <v>1</v>
      </c>
      <c r="Q138" s="322">
        <f>Councils!R141</f>
        <v>-1</v>
      </c>
      <c r="R138" s="322">
        <f>Councils!S141</f>
        <v>0</v>
      </c>
      <c r="S138" s="322">
        <f>Councils!T141</f>
        <v>3</v>
      </c>
      <c r="T138" s="322">
        <f>Councils!U141</f>
        <v>-3</v>
      </c>
      <c r="U138" s="323">
        <f>Councils!V141</f>
        <v>0</v>
      </c>
      <c r="V138" s="376">
        <v>79</v>
      </c>
      <c r="W138" s="377">
        <f t="shared" si="2"/>
        <v>1</v>
      </c>
      <c r="X138" s="378" t="str">
        <f>IF(ISNA(VLOOKUP($A138,GA!$A$1:$D$834,3,0))," ",VLOOKUP($A138,GA!$A$1:$D$834,3,0))</f>
        <v>Supak</v>
      </c>
      <c r="Y138" s="379" t="str">
        <f>IF(ISNA(VLOOKUP($A138,Dormant_Councils!$A$1:$E$811,5,0)),"No",VLOOKUP($A138,Dormant_Councils!$A$1:$E$811,5,0))</f>
        <v>No</v>
      </c>
      <c r="Z138" s="381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22" t="str">
        <f>Councils!C142</f>
        <v>049</v>
      </c>
      <c r="C139" s="322" t="str">
        <f>Councils!D142</f>
        <v>San Antonio</v>
      </c>
      <c r="D139" s="322" t="str">
        <f>IF(ISNA(VLOOKUP($V139,DD_Info!$A$1:$E$221,3,0)),0,VLOOKUP($V139,DD_Info!$A$1:$E$221,3,0))</f>
        <v>San Antonio</v>
      </c>
      <c r="E139" s="322">
        <f>Councils!E142</f>
        <v>190</v>
      </c>
      <c r="F139" s="322">
        <f>Councils!F142</f>
        <v>9</v>
      </c>
      <c r="G139" s="322">
        <f>Councils!G142</f>
        <v>0</v>
      </c>
      <c r="H139" s="322">
        <f>Councils!H142</f>
        <v>0</v>
      </c>
      <c r="I139" s="322">
        <f>Councils!I142</f>
        <v>0</v>
      </c>
      <c r="J139" s="322">
        <f>Councils!J142</f>
        <v>0</v>
      </c>
      <c r="K139" s="322">
        <f>Councils!K142</f>
        <v>0</v>
      </c>
      <c r="L139" s="322">
        <f>Councils!L142</f>
        <v>0</v>
      </c>
      <c r="M139" s="323">
        <f>Councils!M142</f>
        <v>0</v>
      </c>
      <c r="N139" s="322">
        <f>Councils!O142</f>
        <v>0</v>
      </c>
      <c r="O139" s="322">
        <f>Councils!P142</f>
        <v>0</v>
      </c>
      <c r="P139" s="322">
        <f>Councils!Q142</f>
        <v>0</v>
      </c>
      <c r="Q139" s="322">
        <f>Councils!R142</f>
        <v>0</v>
      </c>
      <c r="R139" s="322">
        <f>Councils!S142</f>
        <v>1</v>
      </c>
      <c r="S139" s="322">
        <f>Councils!T142</f>
        <v>1</v>
      </c>
      <c r="T139" s="322">
        <f>Councils!U142</f>
        <v>0</v>
      </c>
      <c r="U139" s="323">
        <f>Councils!V142</f>
        <v>0</v>
      </c>
      <c r="V139" s="376">
        <v>49</v>
      </c>
      <c r="W139" s="377">
        <f t="shared" si="2"/>
        <v>1</v>
      </c>
      <c r="X139" s="378" t="str">
        <f>IF(ISNA(VLOOKUP($A139,GA!$A$1:$D$834,3,0))," ",VLOOKUP($A139,GA!$A$1:$D$834,3,0))</f>
        <v>Dougherty</v>
      </c>
      <c r="Y139" s="379" t="str">
        <f>IF(ISNA(VLOOKUP($A139,Dormant_Councils!$A$1:$E$811,5,0)),"No",VLOOKUP($A139,Dormant_Councils!$A$1:$E$811,5,0))</f>
        <v>No</v>
      </c>
      <c r="Z139" s="381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22" t="str">
        <f>Councils!C143</f>
        <v>187</v>
      </c>
      <c r="C140" s="322" t="str">
        <f>Councils!D143</f>
        <v>Blessing</v>
      </c>
      <c r="D140" s="322" t="str">
        <f>IF(ISNA(VLOOKUP($V140,DD_Info!$A$1:$E$221,3,0)),0,VLOOKUP($V140,DD_Info!$A$1:$E$221,3,0))</f>
        <v>Victoria</v>
      </c>
      <c r="E140" s="322">
        <f>Councils!E143</f>
        <v>99</v>
      </c>
      <c r="F140" s="322">
        <f>Councils!F143</f>
        <v>5</v>
      </c>
      <c r="G140" s="322">
        <f>Councils!G143</f>
        <v>0</v>
      </c>
      <c r="H140" s="322">
        <f>Councils!H143</f>
        <v>0</v>
      </c>
      <c r="I140" s="322">
        <f>Councils!I143</f>
        <v>0</v>
      </c>
      <c r="J140" s="322">
        <f>Councils!J143</f>
        <v>1</v>
      </c>
      <c r="K140" s="322">
        <f>Councils!K143</f>
        <v>0</v>
      </c>
      <c r="L140" s="322">
        <f>Councils!L143</f>
        <v>1</v>
      </c>
      <c r="M140" s="323">
        <f>Councils!M143</f>
        <v>20</v>
      </c>
      <c r="N140" s="322">
        <f>Councils!O143</f>
        <v>0</v>
      </c>
      <c r="O140" s="322">
        <f>Councils!P143</f>
        <v>0</v>
      </c>
      <c r="P140" s="322">
        <f>Councils!Q143</f>
        <v>0</v>
      </c>
      <c r="Q140" s="322">
        <f>Councils!R143</f>
        <v>0</v>
      </c>
      <c r="R140" s="322">
        <f>Councils!S143</f>
        <v>1</v>
      </c>
      <c r="S140" s="322">
        <f>Councils!T143</f>
        <v>0</v>
      </c>
      <c r="T140" s="322">
        <f>Councils!U143</f>
        <v>1</v>
      </c>
      <c r="U140" s="323">
        <f>Councils!V143</f>
        <v>0</v>
      </c>
      <c r="V140" s="376">
        <v>187</v>
      </c>
      <c r="W140" s="377">
        <f t="shared" si="2"/>
        <v>2</v>
      </c>
      <c r="X140" s="378" t="str">
        <f>IF(ISNA(VLOOKUP($A140,GA!$A$1:$D$834,3,0))," ",VLOOKUP($A140,GA!$A$1:$D$834,3,0))</f>
        <v>Supak</v>
      </c>
      <c r="Y140" s="379" t="str">
        <f>IF(ISNA(VLOOKUP($A140,Dormant_Councils!$A$1:$E$811,5,0)),"No",VLOOKUP($A140,Dormant_Councils!$A$1:$E$811,5,0))</f>
        <v>No</v>
      </c>
      <c r="Z140" s="381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22" t="str">
        <f>Councils!C144</f>
        <v>054</v>
      </c>
      <c r="C141" s="322" t="str">
        <f>Councils!D144</f>
        <v>San Antonio</v>
      </c>
      <c r="D141" s="322" t="str">
        <f>IF(ISNA(VLOOKUP($V141,DD_Info!$A$1:$E$221,3,0)),0,VLOOKUP($V141,DD_Info!$A$1:$E$221,3,0))</f>
        <v>San Antonio</v>
      </c>
      <c r="E141" s="322">
        <f>Councils!E144</f>
        <v>170</v>
      </c>
      <c r="F141" s="322">
        <f>Councils!F144</f>
        <v>8</v>
      </c>
      <c r="G141" s="322">
        <f>Councils!G144</f>
        <v>0</v>
      </c>
      <c r="H141" s="322">
        <f>Councils!H144</f>
        <v>0</v>
      </c>
      <c r="I141" s="322">
        <f>Councils!I144</f>
        <v>0</v>
      </c>
      <c r="J141" s="322">
        <f>Councils!J144</f>
        <v>0</v>
      </c>
      <c r="K141" s="322">
        <f>Councils!K144</f>
        <v>0</v>
      </c>
      <c r="L141" s="322">
        <f>Councils!L144</f>
        <v>0</v>
      </c>
      <c r="M141" s="323">
        <f>Councils!M144</f>
        <v>0</v>
      </c>
      <c r="N141" s="322">
        <f>Councils!O144</f>
        <v>0</v>
      </c>
      <c r="O141" s="322">
        <f>Councils!P144</f>
        <v>0</v>
      </c>
      <c r="P141" s="322">
        <f>Councils!Q144</f>
        <v>1</v>
      </c>
      <c r="Q141" s="322">
        <f>Councils!R144</f>
        <v>-1</v>
      </c>
      <c r="R141" s="322">
        <f>Councils!S144</f>
        <v>1</v>
      </c>
      <c r="S141" s="322">
        <f>Councils!T144</f>
        <v>2</v>
      </c>
      <c r="T141" s="322">
        <f>Councils!U144</f>
        <v>-1</v>
      </c>
      <c r="U141" s="323">
        <f>Councils!V144</f>
        <v>0</v>
      </c>
      <c r="V141" s="376">
        <v>54</v>
      </c>
      <c r="W141" s="377">
        <f t="shared" si="2"/>
        <v>1</v>
      </c>
      <c r="X141" s="378" t="str">
        <f>IF(ISNA(VLOOKUP($A141,GA!$A$1:$D$834,3,0))," ",VLOOKUP($A141,GA!$A$1:$D$834,3,0))</f>
        <v>Dougherty</v>
      </c>
      <c r="Y141" s="379" t="str">
        <f>IF(ISNA(VLOOKUP($A141,Dormant_Councils!$A$1:$E$811,5,0)),"No",VLOOKUP($A141,Dormant_Councils!$A$1:$E$811,5,0))</f>
        <v>No</v>
      </c>
      <c r="Z141" s="381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22" t="str">
        <f>Councils!C145</f>
        <v>229</v>
      </c>
      <c r="C142" s="322" t="str">
        <f>Councils!D145</f>
        <v>Wall</v>
      </c>
      <c r="D142" s="322" t="str">
        <f>IF(ISNA(VLOOKUP($V142,DD_Info!$A$1:$E$221,3,0)),0,VLOOKUP($V142,DD_Info!$A$1:$E$221,3,0))</f>
        <v>San Angelo</v>
      </c>
      <c r="E142" s="322">
        <f>Councils!E145</f>
        <v>237</v>
      </c>
      <c r="F142" s="322">
        <f>Councils!F145</f>
        <v>11</v>
      </c>
      <c r="G142" s="322">
        <f>Councils!G145</f>
        <v>0</v>
      </c>
      <c r="H142" s="322">
        <f>Councils!H145</f>
        <v>0</v>
      </c>
      <c r="I142" s="322">
        <f>Councils!I145</f>
        <v>0</v>
      </c>
      <c r="J142" s="322">
        <f>Councils!J145</f>
        <v>0</v>
      </c>
      <c r="K142" s="322">
        <f>Councils!K145</f>
        <v>1</v>
      </c>
      <c r="L142" s="322">
        <f>Councils!L145</f>
        <v>-1</v>
      </c>
      <c r="M142" s="323">
        <f>Councils!M145</f>
        <v>0</v>
      </c>
      <c r="N142" s="322">
        <f>Councils!O145</f>
        <v>0</v>
      </c>
      <c r="O142" s="322">
        <f>Councils!P145</f>
        <v>0</v>
      </c>
      <c r="P142" s="322">
        <f>Councils!Q145</f>
        <v>0</v>
      </c>
      <c r="Q142" s="322">
        <f>Councils!R145</f>
        <v>0</v>
      </c>
      <c r="R142" s="322">
        <f>Councils!S145</f>
        <v>2</v>
      </c>
      <c r="S142" s="322">
        <f>Councils!T145</f>
        <v>1</v>
      </c>
      <c r="T142" s="322">
        <f>Councils!U145</f>
        <v>1</v>
      </c>
      <c r="U142" s="323">
        <f>Councils!V145</f>
        <v>0</v>
      </c>
      <c r="V142" s="376">
        <v>229</v>
      </c>
      <c r="W142" s="377">
        <f t="shared" si="2"/>
        <v>1</v>
      </c>
      <c r="X142" s="378" t="str">
        <f>IF(ISNA(VLOOKUP($A142,GA!$A$1:$D$834,3,0))," ",VLOOKUP($A142,GA!$A$1:$D$834,3,0))</f>
        <v>Payne</v>
      </c>
      <c r="Y142" s="379" t="str">
        <f>IF(ISNA(VLOOKUP($A142,Dormant_Councils!$A$1:$E$811,5,0)),"No",VLOOKUP($A142,Dormant_Councils!$A$1:$E$811,5,0))</f>
        <v>No</v>
      </c>
      <c r="Z142" s="381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22" t="str">
        <f>Councils!C146</f>
        <v>145</v>
      </c>
      <c r="C143" s="322" t="str">
        <f>Councils!D146</f>
        <v>Marlin</v>
      </c>
      <c r="D143" s="322" t="str">
        <f>IF(ISNA(VLOOKUP($V143,DD_Info!$A$1:$E$221,3,0)),0,VLOOKUP($V143,DD_Info!$A$1:$E$221,3,0))</f>
        <v>Austin</v>
      </c>
      <c r="E143" s="322">
        <f>Councils!E146</f>
        <v>45</v>
      </c>
      <c r="F143" s="322">
        <f>Councils!F146</f>
        <v>3</v>
      </c>
      <c r="G143" s="322">
        <f>Councils!G146</f>
        <v>0</v>
      </c>
      <c r="H143" s="322">
        <f>Councils!H146</f>
        <v>0</v>
      </c>
      <c r="I143" s="322">
        <f>Councils!I146</f>
        <v>0</v>
      </c>
      <c r="J143" s="322">
        <f>Councils!J146</f>
        <v>0</v>
      </c>
      <c r="K143" s="322">
        <f>Councils!K146</f>
        <v>0</v>
      </c>
      <c r="L143" s="322">
        <f>Councils!L146</f>
        <v>0</v>
      </c>
      <c r="M143" s="323">
        <f>Councils!M146</f>
        <v>0</v>
      </c>
      <c r="N143" s="322">
        <f>Councils!O146</f>
        <v>0</v>
      </c>
      <c r="O143" s="322">
        <f>Councils!P146</f>
        <v>0</v>
      </c>
      <c r="P143" s="322">
        <f>Councils!Q146</f>
        <v>0</v>
      </c>
      <c r="Q143" s="322">
        <f>Councils!R146</f>
        <v>0</v>
      </c>
      <c r="R143" s="322">
        <f>Councils!S146</f>
        <v>0</v>
      </c>
      <c r="S143" s="322">
        <f>Councils!T146</f>
        <v>1</v>
      </c>
      <c r="T143" s="322">
        <f>Councils!U146</f>
        <v>-1</v>
      </c>
      <c r="U143" s="323">
        <f>Councils!V146</f>
        <v>0</v>
      </c>
      <c r="V143" s="376">
        <v>145</v>
      </c>
      <c r="W143" s="377">
        <f t="shared" si="2"/>
        <v>3</v>
      </c>
      <c r="X143" s="378" t="str">
        <f>IF(ISNA(VLOOKUP($A143,GA!$A$1:$D$834,3,0))," ",VLOOKUP($A143,GA!$A$1:$D$834,3,0))</f>
        <v>Britten</v>
      </c>
      <c r="Y143" s="379" t="str">
        <f>IF(ISNA(VLOOKUP($A143,Dormant_Councils!$A$1:$E$811,5,0)),"No",VLOOKUP($A143,Dormant_Councils!$A$1:$E$811,5,0))</f>
        <v>Dormant</v>
      </c>
      <c r="Z143" s="381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22" t="str">
        <f>Councils!C147</f>
        <v>105</v>
      </c>
      <c r="C144" s="322" t="str">
        <f>Councils!D147</f>
        <v>Dallas</v>
      </c>
      <c r="D144" s="322" t="str">
        <f>IF(ISNA(VLOOKUP($V144,DD_Info!$A$1:$E$221,3,0)),0,VLOOKUP($V144,DD_Info!$A$1:$E$221,3,0))</f>
        <v>Dallas</v>
      </c>
      <c r="E144" s="322">
        <f>Councils!E147</f>
        <v>189</v>
      </c>
      <c r="F144" s="322">
        <f>Councils!F147</f>
        <v>9</v>
      </c>
      <c r="G144" s="322">
        <f>Councils!G147</f>
        <v>0</v>
      </c>
      <c r="H144" s="322">
        <f>Councils!H147</f>
        <v>0</v>
      </c>
      <c r="I144" s="322">
        <f>Councils!I147</f>
        <v>0</v>
      </c>
      <c r="J144" s="322">
        <f>Councils!J147</f>
        <v>0</v>
      </c>
      <c r="K144" s="322">
        <f>Councils!K147</f>
        <v>0</v>
      </c>
      <c r="L144" s="322">
        <f>Councils!L147</f>
        <v>0</v>
      </c>
      <c r="M144" s="323">
        <f>Councils!M147</f>
        <v>0</v>
      </c>
      <c r="N144" s="322">
        <f>Councils!O147</f>
        <v>0</v>
      </c>
      <c r="O144" s="322">
        <f>Councils!P147</f>
        <v>0</v>
      </c>
      <c r="P144" s="322">
        <f>Councils!Q147</f>
        <v>0</v>
      </c>
      <c r="Q144" s="322">
        <f>Councils!R147</f>
        <v>0</v>
      </c>
      <c r="R144" s="322">
        <f>Councils!S147</f>
        <v>0</v>
      </c>
      <c r="S144" s="322">
        <f>Councils!T147</f>
        <v>2</v>
      </c>
      <c r="T144" s="322">
        <f>Councils!U147</f>
        <v>-2</v>
      </c>
      <c r="U144" s="323">
        <f>Councils!V147</f>
        <v>0</v>
      </c>
      <c r="V144" s="376">
        <v>105</v>
      </c>
      <c r="W144" s="377">
        <f t="shared" si="2"/>
        <v>1</v>
      </c>
      <c r="X144" s="378" t="str">
        <f>IF(ISNA(VLOOKUP($A144,GA!$A$1:$D$834,3,0))," ",VLOOKUP($A144,GA!$A$1:$D$834,3,0))</f>
        <v>Regan</v>
      </c>
      <c r="Y144" s="379" t="str">
        <f>IF(ISNA(VLOOKUP($A144,Dormant_Councils!$A$1:$E$811,5,0)),"No",VLOOKUP($A144,Dormant_Councils!$A$1:$E$811,5,0))</f>
        <v>No</v>
      </c>
      <c r="Z144" s="381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22" t="str">
        <f>Councils!C148</f>
        <v>241</v>
      </c>
      <c r="C145" s="322" t="str">
        <f>Councils!D148</f>
        <v>Plainview</v>
      </c>
      <c r="D145" s="322" t="str">
        <f>IF(ISNA(VLOOKUP($V145,DD_Info!$A$1:$E$221,3,0)),0,VLOOKUP($V145,DD_Info!$A$1:$E$221,3,0))</f>
        <v>Lubbock</v>
      </c>
      <c r="E145" s="322">
        <f>Councils!E148</f>
        <v>31</v>
      </c>
      <c r="F145" s="322">
        <f>Councils!F148</f>
        <v>3</v>
      </c>
      <c r="G145" s="322">
        <f>Councils!G148</f>
        <v>0</v>
      </c>
      <c r="H145" s="322">
        <f>Councils!H148</f>
        <v>0</v>
      </c>
      <c r="I145" s="322">
        <f>Councils!I148</f>
        <v>0</v>
      </c>
      <c r="J145" s="322">
        <f>Councils!J148</f>
        <v>0</v>
      </c>
      <c r="K145" s="322">
        <f>Councils!K148</f>
        <v>0</v>
      </c>
      <c r="L145" s="322">
        <f>Councils!L148</f>
        <v>0</v>
      </c>
      <c r="M145" s="323">
        <f>Councils!M148</f>
        <v>0</v>
      </c>
      <c r="N145" s="322">
        <f>Councils!O148</f>
        <v>0</v>
      </c>
      <c r="O145" s="322">
        <f>Councils!P148</f>
        <v>0</v>
      </c>
      <c r="P145" s="322">
        <f>Councils!Q148</f>
        <v>0</v>
      </c>
      <c r="Q145" s="322">
        <f>Councils!R148</f>
        <v>0</v>
      </c>
      <c r="R145" s="322">
        <f>Councils!S148</f>
        <v>0</v>
      </c>
      <c r="S145" s="322">
        <f>Councils!T148</f>
        <v>0</v>
      </c>
      <c r="T145" s="322">
        <f>Councils!U148</f>
        <v>0</v>
      </c>
      <c r="U145" s="323">
        <f>Councils!V148</f>
        <v>0</v>
      </c>
      <c r="V145" s="376">
        <v>241</v>
      </c>
      <c r="W145" s="377">
        <f t="shared" si="2"/>
        <v>3</v>
      </c>
      <c r="X145" s="378" t="str">
        <f>IF(ISNA(VLOOKUP($A145,GA!$A$1:$D$834,3,0))," ",VLOOKUP($A145,GA!$A$1:$D$834,3,0))</f>
        <v>Payne</v>
      </c>
      <c r="Y145" s="379" t="str">
        <f>IF(ISNA(VLOOKUP($A145,Dormant_Councils!$A$1:$E$811,5,0)),"No",VLOOKUP($A145,Dormant_Councils!$A$1:$E$811,5,0))</f>
        <v>Dormant</v>
      </c>
      <c r="Z145" s="381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22" t="str">
        <f>Councils!C149</f>
        <v>149</v>
      </c>
      <c r="C146" s="322" t="str">
        <f>Councils!D149</f>
        <v>Granger</v>
      </c>
      <c r="D146" s="322" t="str">
        <f>IF(ISNA(VLOOKUP($V146,DD_Info!$A$1:$E$221,3,0)),0,VLOOKUP($V146,DD_Info!$A$1:$E$221,3,0))</f>
        <v>Austin</v>
      </c>
      <c r="E146" s="322">
        <f>Councils!E149</f>
        <v>164</v>
      </c>
      <c r="F146" s="322">
        <f>Councils!F149</f>
        <v>8</v>
      </c>
      <c r="G146" s="322">
        <f>Councils!G149</f>
        <v>0</v>
      </c>
      <c r="H146" s="322">
        <f>Councils!H149</f>
        <v>0</v>
      </c>
      <c r="I146" s="322">
        <f>Councils!I149</f>
        <v>0</v>
      </c>
      <c r="J146" s="322">
        <f>Councils!J149</f>
        <v>0</v>
      </c>
      <c r="K146" s="322">
        <f>Councils!K149</f>
        <v>0</v>
      </c>
      <c r="L146" s="322">
        <f>Councils!L149</f>
        <v>0</v>
      </c>
      <c r="M146" s="323">
        <f>Councils!M149</f>
        <v>0</v>
      </c>
      <c r="N146" s="322">
        <f>Councils!O149</f>
        <v>0</v>
      </c>
      <c r="O146" s="322">
        <f>Councils!P149</f>
        <v>0</v>
      </c>
      <c r="P146" s="322">
        <f>Councils!Q149</f>
        <v>0</v>
      </c>
      <c r="Q146" s="322">
        <f>Councils!R149</f>
        <v>0</v>
      </c>
      <c r="R146" s="322">
        <f>Councils!S149</f>
        <v>0</v>
      </c>
      <c r="S146" s="322">
        <f>Councils!T149</f>
        <v>0</v>
      </c>
      <c r="T146" s="322">
        <f>Councils!U149</f>
        <v>0</v>
      </c>
      <c r="U146" s="323">
        <f>Councils!V149</f>
        <v>0</v>
      </c>
      <c r="V146" s="376">
        <v>149</v>
      </c>
      <c r="W146" s="377">
        <f t="shared" si="2"/>
        <v>1</v>
      </c>
      <c r="X146" s="378" t="str">
        <f>IF(ISNA(VLOOKUP($A146,GA!$A$1:$D$834,3,0))," ",VLOOKUP($A146,GA!$A$1:$D$834,3,0))</f>
        <v>Britten</v>
      </c>
      <c r="Y146" s="379" t="str">
        <f>IF(ISNA(VLOOKUP($A146,Dormant_Councils!$A$1:$E$811,5,0)),"No",VLOOKUP($A146,Dormant_Councils!$A$1:$E$811,5,0))</f>
        <v>No</v>
      </c>
      <c r="Z146" s="381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22" t="str">
        <f>Councils!C150</f>
        <v>005</v>
      </c>
      <c r="C147" s="322" t="str">
        <f>Councils!D150</f>
        <v>El Paso</v>
      </c>
      <c r="D147" s="322" t="str">
        <f>IF(ISNA(VLOOKUP($V147,DD_Info!$A$1:$E$221,3,0)),0,VLOOKUP($V147,DD_Info!$A$1:$E$221,3,0))</f>
        <v>El Paso</v>
      </c>
      <c r="E147" s="322">
        <f>Councils!E150</f>
        <v>81</v>
      </c>
      <c r="F147" s="322">
        <f>Councils!F150</f>
        <v>4</v>
      </c>
      <c r="G147" s="322">
        <f>Councils!G150</f>
        <v>0</v>
      </c>
      <c r="H147" s="322">
        <f>Councils!H150</f>
        <v>0</v>
      </c>
      <c r="I147" s="322">
        <f>Councils!I150</f>
        <v>0</v>
      </c>
      <c r="J147" s="322">
        <f>Councils!J150</f>
        <v>0</v>
      </c>
      <c r="K147" s="322">
        <f>Councils!K150</f>
        <v>0</v>
      </c>
      <c r="L147" s="322">
        <f>Councils!L150</f>
        <v>0</v>
      </c>
      <c r="M147" s="323">
        <f>Councils!M150</f>
        <v>0</v>
      </c>
      <c r="N147" s="322">
        <f>Councils!O150</f>
        <v>0</v>
      </c>
      <c r="O147" s="322">
        <f>Councils!P150</f>
        <v>0</v>
      </c>
      <c r="P147" s="322">
        <f>Councils!Q150</f>
        <v>0</v>
      </c>
      <c r="Q147" s="322">
        <f>Councils!R150</f>
        <v>0</v>
      </c>
      <c r="R147" s="322">
        <f>Councils!S150</f>
        <v>0</v>
      </c>
      <c r="S147" s="322">
        <f>Councils!T150</f>
        <v>1</v>
      </c>
      <c r="T147" s="322">
        <f>Councils!U150</f>
        <v>-1</v>
      </c>
      <c r="U147" s="323">
        <f>Councils!V150</f>
        <v>0</v>
      </c>
      <c r="V147" s="376">
        <v>5</v>
      </c>
      <c r="W147" s="377">
        <f t="shared" si="2"/>
        <v>2</v>
      </c>
      <c r="X147" s="378" t="str">
        <f>IF(ISNA(VLOOKUP($A147,GA!$A$1:$D$834,3,0))," ",VLOOKUP($A147,GA!$A$1:$D$834,3,0))</f>
        <v>Payne</v>
      </c>
      <c r="Y147" s="379" t="str">
        <f>IF(ISNA(VLOOKUP($A147,Dormant_Councils!$A$1:$E$811,5,0)),"No",VLOOKUP($A147,Dormant_Councils!$A$1:$E$811,5,0))</f>
        <v>No</v>
      </c>
      <c r="Z147" s="381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22" t="str">
        <f>Councils!C151</f>
        <v>245</v>
      </c>
      <c r="C148" s="322" t="str">
        <f>Councils!D151</f>
        <v>Levelland</v>
      </c>
      <c r="D148" s="322" t="str">
        <f>IF(ISNA(VLOOKUP($V148,DD_Info!$A$1:$E$221,3,0)),0,VLOOKUP($V148,DD_Info!$A$1:$E$221,3,0))</f>
        <v>Lubbock</v>
      </c>
      <c r="E148" s="322">
        <f>Councils!E151</f>
        <v>117</v>
      </c>
      <c r="F148" s="322">
        <f>Councils!F151</f>
        <v>6</v>
      </c>
      <c r="G148" s="322">
        <f>Councils!G151</f>
        <v>0</v>
      </c>
      <c r="H148" s="322">
        <f>Councils!H151</f>
        <v>0</v>
      </c>
      <c r="I148" s="322">
        <f>Councils!I151</f>
        <v>0</v>
      </c>
      <c r="J148" s="322">
        <f>Councils!J151</f>
        <v>0</v>
      </c>
      <c r="K148" s="322">
        <f>Councils!K151</f>
        <v>0</v>
      </c>
      <c r="L148" s="322">
        <f>Councils!L151</f>
        <v>0</v>
      </c>
      <c r="M148" s="323">
        <f>Councils!M151</f>
        <v>0</v>
      </c>
      <c r="N148" s="322">
        <f>Councils!O151</f>
        <v>0</v>
      </c>
      <c r="O148" s="322">
        <f>Councils!P151</f>
        <v>0</v>
      </c>
      <c r="P148" s="322">
        <f>Councils!Q151</f>
        <v>0</v>
      </c>
      <c r="Q148" s="322">
        <f>Councils!R151</f>
        <v>0</v>
      </c>
      <c r="R148" s="322">
        <f>Councils!S151</f>
        <v>0</v>
      </c>
      <c r="S148" s="322">
        <f>Councils!T151</f>
        <v>0</v>
      </c>
      <c r="T148" s="322">
        <f>Councils!U151</f>
        <v>0</v>
      </c>
      <c r="U148" s="323">
        <f>Councils!V151</f>
        <v>0</v>
      </c>
      <c r="V148" s="376">
        <v>245</v>
      </c>
      <c r="W148" s="377">
        <f t="shared" si="2"/>
        <v>2</v>
      </c>
      <c r="X148" s="378" t="str">
        <f>IF(ISNA(VLOOKUP($A148,GA!$A$1:$D$834,3,0))," ",VLOOKUP($A148,GA!$A$1:$D$834,3,0))</f>
        <v>Payne</v>
      </c>
      <c r="Y148" s="379" t="str">
        <f>IF(ISNA(VLOOKUP($A148,Dormant_Councils!$A$1:$E$811,5,0)),"No",VLOOKUP($A148,Dormant_Councils!$A$1:$E$811,5,0))</f>
        <v>No</v>
      </c>
      <c r="Z148" s="381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22" t="str">
        <f>Councils!C152</f>
        <v>082</v>
      </c>
      <c r="C149" s="322" t="str">
        <f>Councils!D152</f>
        <v>Houston</v>
      </c>
      <c r="D149" s="322" t="str">
        <f>IF(ISNA(VLOOKUP($V149,DD_Info!$A$1:$E$221,3,0)),0,VLOOKUP($V149,DD_Info!$A$1:$E$221,3,0))</f>
        <v>Galv/Hous</v>
      </c>
      <c r="E149" s="322">
        <f>Councils!E152</f>
        <v>266</v>
      </c>
      <c r="F149" s="322">
        <f>Councils!F152</f>
        <v>12</v>
      </c>
      <c r="G149" s="322">
        <f>Councils!G152</f>
        <v>0</v>
      </c>
      <c r="H149" s="322">
        <f>Councils!H152</f>
        <v>0</v>
      </c>
      <c r="I149" s="322">
        <f>Councils!I152</f>
        <v>0</v>
      </c>
      <c r="J149" s="322">
        <f>Councils!J152</f>
        <v>0</v>
      </c>
      <c r="K149" s="322">
        <f>Councils!K152</f>
        <v>0</v>
      </c>
      <c r="L149" s="322">
        <f>Councils!L152</f>
        <v>0</v>
      </c>
      <c r="M149" s="323">
        <f>Councils!M152</f>
        <v>0</v>
      </c>
      <c r="N149" s="322">
        <f>Councils!O152</f>
        <v>0</v>
      </c>
      <c r="O149" s="322">
        <f>Councils!P152</f>
        <v>2</v>
      </c>
      <c r="P149" s="322">
        <f>Councils!Q152</f>
        <v>1</v>
      </c>
      <c r="Q149" s="322">
        <f>Councils!R152</f>
        <v>1</v>
      </c>
      <c r="R149" s="322">
        <f>Councils!S152</f>
        <v>4</v>
      </c>
      <c r="S149" s="322">
        <f>Councils!T152</f>
        <v>2</v>
      </c>
      <c r="T149" s="322">
        <f>Councils!U152</f>
        <v>2</v>
      </c>
      <c r="U149" s="323">
        <f>Councils!V152</f>
        <v>0</v>
      </c>
      <c r="V149" s="376">
        <v>82</v>
      </c>
      <c r="W149" s="377">
        <f t="shared" si="2"/>
        <v>1</v>
      </c>
      <c r="X149" s="378" t="str">
        <f>IF(ISNA(VLOOKUP($A149,GA!$A$1:$D$834,3,0))," ",VLOOKUP($A149,GA!$A$1:$D$834,3,0))</f>
        <v>Rangel</v>
      </c>
      <c r="Y149" s="379" t="str">
        <f>IF(ISNA(VLOOKUP($A149,Dormant_Councils!$A$1:$E$811,5,0)),"No",VLOOKUP($A149,Dormant_Councils!$A$1:$E$811,5,0))</f>
        <v>No</v>
      </c>
      <c r="Z149" s="381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22" t="str">
        <f>Councils!C153</f>
        <v>213</v>
      </c>
      <c r="C150" s="322" t="str">
        <f>Councils!D153</f>
        <v>Mercedes</v>
      </c>
      <c r="D150" s="322" t="str">
        <f>IF(ISNA(VLOOKUP($V150,DD_Info!$A$1:$E$221,3,0)),0,VLOOKUP($V150,DD_Info!$A$1:$E$221,3,0))</f>
        <v>Brownsville</v>
      </c>
      <c r="E150" s="322">
        <f>Councils!E153</f>
        <v>135</v>
      </c>
      <c r="F150" s="322">
        <f>Councils!F153</f>
        <v>7</v>
      </c>
      <c r="G150" s="322">
        <f>Councils!G153</f>
        <v>0</v>
      </c>
      <c r="H150" s="322">
        <f>Councils!H153</f>
        <v>0</v>
      </c>
      <c r="I150" s="322">
        <f>Councils!I153</f>
        <v>0</v>
      </c>
      <c r="J150" s="322">
        <f>Councils!J153</f>
        <v>0</v>
      </c>
      <c r="K150" s="322">
        <f>Councils!K153</f>
        <v>0</v>
      </c>
      <c r="L150" s="322">
        <f>Councils!L153</f>
        <v>0</v>
      </c>
      <c r="M150" s="323">
        <f>Councils!M153</f>
        <v>0</v>
      </c>
      <c r="N150" s="322">
        <f>Councils!O153</f>
        <v>0</v>
      </c>
      <c r="O150" s="322">
        <f>Councils!P153</f>
        <v>0</v>
      </c>
      <c r="P150" s="322">
        <f>Councils!Q153</f>
        <v>0</v>
      </c>
      <c r="Q150" s="322">
        <f>Councils!R153</f>
        <v>0</v>
      </c>
      <c r="R150" s="322">
        <f>Councils!S153</f>
        <v>0</v>
      </c>
      <c r="S150" s="322">
        <f>Councils!T153</f>
        <v>0</v>
      </c>
      <c r="T150" s="322">
        <f>Councils!U153</f>
        <v>0</v>
      </c>
      <c r="U150" s="323">
        <f>Councils!V153</f>
        <v>0</v>
      </c>
      <c r="V150" s="376">
        <v>213</v>
      </c>
      <c r="W150" s="377">
        <f t="shared" si="2"/>
        <v>2</v>
      </c>
      <c r="X150" s="378" t="str">
        <f>IF(ISNA(VLOOKUP($A150,GA!$A$1:$D$834,3,0))," ",VLOOKUP($A150,GA!$A$1:$D$834,3,0))</f>
        <v>Carlin</v>
      </c>
      <c r="Y150" s="379" t="str">
        <f>IF(ISNA(VLOOKUP($A150,Dormant_Councils!$A$1:$E$811,5,0)),"No",VLOOKUP($A150,Dormant_Councils!$A$1:$E$811,5,0))</f>
        <v>No</v>
      </c>
      <c r="Z150" s="381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22" t="str">
        <f>Councils!C154</f>
        <v>074</v>
      </c>
      <c r="C151" s="322" t="str">
        <f>Councils!D154</f>
        <v>Houston S</v>
      </c>
      <c r="D151" s="322" t="str">
        <f>IF(ISNA(VLOOKUP($V151,DD_Info!$A$1:$E$221,3,0)),0,VLOOKUP($V151,DD_Info!$A$1:$E$221,3,0))</f>
        <v>Galv/Hous</v>
      </c>
      <c r="E151" s="322">
        <f>Councils!E154</f>
        <v>288</v>
      </c>
      <c r="F151" s="322">
        <f>Councils!F154</f>
        <v>12</v>
      </c>
      <c r="G151" s="322">
        <f>Councils!G154</f>
        <v>0</v>
      </c>
      <c r="H151" s="322">
        <f>Councils!H154</f>
        <v>1</v>
      </c>
      <c r="I151" s="322">
        <f>Councils!I154</f>
        <v>-1</v>
      </c>
      <c r="J151" s="322">
        <f>Councils!J154</f>
        <v>0</v>
      </c>
      <c r="K151" s="322">
        <f>Councils!K154</f>
        <v>1</v>
      </c>
      <c r="L151" s="322">
        <f>Councils!L154</f>
        <v>-1</v>
      </c>
      <c r="M151" s="323">
        <f>Councils!M154</f>
        <v>0</v>
      </c>
      <c r="N151" s="322">
        <f>Councils!O154</f>
        <v>0</v>
      </c>
      <c r="O151" s="322">
        <f>Councils!P154</f>
        <v>0</v>
      </c>
      <c r="P151" s="322">
        <f>Councils!Q154</f>
        <v>1</v>
      </c>
      <c r="Q151" s="322">
        <f>Councils!R154</f>
        <v>-1</v>
      </c>
      <c r="R151" s="322">
        <f>Councils!S154</f>
        <v>0</v>
      </c>
      <c r="S151" s="322">
        <f>Councils!T154</f>
        <v>2</v>
      </c>
      <c r="T151" s="322">
        <f>Councils!U154</f>
        <v>-2</v>
      </c>
      <c r="U151" s="323">
        <f>Councils!V154</f>
        <v>0</v>
      </c>
      <c r="V151" s="376">
        <v>74</v>
      </c>
      <c r="W151" s="377">
        <f t="shared" si="2"/>
        <v>1</v>
      </c>
      <c r="X151" s="378" t="str">
        <f>IF(ISNA(VLOOKUP($A151,GA!$A$1:$D$834,3,0))," ",VLOOKUP($A151,GA!$A$1:$D$834,3,0))</f>
        <v>Rangel</v>
      </c>
      <c r="Y151" s="379" t="str">
        <f>IF(ISNA(VLOOKUP($A151,Dormant_Councils!$A$1:$E$811,5,0)),"No",VLOOKUP($A151,Dormant_Councils!$A$1:$E$811,5,0))</f>
        <v>No</v>
      </c>
      <c r="Z151" s="381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22" t="str">
        <f>Councils!C155</f>
        <v>196</v>
      </c>
      <c r="C152" s="322" t="str">
        <f>Councils!D155</f>
        <v>Amarillo</v>
      </c>
      <c r="D152" s="322" t="str">
        <f>IF(ISNA(VLOOKUP($V152,DD_Info!$A$1:$E$221,3,0)),0,VLOOKUP($V152,DD_Info!$A$1:$E$221,3,0))</f>
        <v>Amarillo</v>
      </c>
      <c r="E152" s="322">
        <f>Councils!E155</f>
        <v>218</v>
      </c>
      <c r="F152" s="322">
        <f>Councils!F155</f>
        <v>10</v>
      </c>
      <c r="G152" s="322">
        <f>Councils!G155</f>
        <v>1</v>
      </c>
      <c r="H152" s="322">
        <f>Councils!H155</f>
        <v>1</v>
      </c>
      <c r="I152" s="322">
        <f>Councils!I155</f>
        <v>0</v>
      </c>
      <c r="J152" s="322">
        <f>Councils!J155</f>
        <v>1</v>
      </c>
      <c r="K152" s="322">
        <f>Councils!K155</f>
        <v>1</v>
      </c>
      <c r="L152" s="322">
        <f>Councils!L155</f>
        <v>0</v>
      </c>
      <c r="M152" s="323">
        <f>Councils!M155</f>
        <v>0</v>
      </c>
      <c r="N152" s="322">
        <f>Councils!O155</f>
        <v>0</v>
      </c>
      <c r="O152" s="322">
        <f>Councils!P155</f>
        <v>0</v>
      </c>
      <c r="P152" s="322">
        <f>Councils!Q155</f>
        <v>1</v>
      </c>
      <c r="Q152" s="322">
        <f>Councils!R155</f>
        <v>-1</v>
      </c>
      <c r="R152" s="322">
        <f>Councils!S155</f>
        <v>1</v>
      </c>
      <c r="S152" s="322">
        <f>Councils!T155</f>
        <v>2</v>
      </c>
      <c r="T152" s="322">
        <f>Councils!U155</f>
        <v>-1</v>
      </c>
      <c r="U152" s="323">
        <f>Councils!V155</f>
        <v>0</v>
      </c>
      <c r="V152" s="376">
        <v>196</v>
      </c>
      <c r="W152" s="377">
        <f t="shared" si="2"/>
        <v>1</v>
      </c>
      <c r="X152" s="378" t="str">
        <f>IF(ISNA(VLOOKUP($A152,GA!$A$1:$D$834,3,0))," ",VLOOKUP($A152,GA!$A$1:$D$834,3,0))</f>
        <v>Payne</v>
      </c>
      <c r="Y152" s="379" t="str">
        <f>IF(ISNA(VLOOKUP($A152,Dormant_Councils!$A$1:$E$811,5,0)),"No",VLOOKUP($A152,Dormant_Councils!$A$1:$E$811,5,0))</f>
        <v>No</v>
      </c>
      <c r="Z152" s="381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22" t="str">
        <f>Councils!C156</f>
        <v>201</v>
      </c>
      <c r="C153" s="322" t="str">
        <f>Councils!D156</f>
        <v>Amarillo</v>
      </c>
      <c r="D153" s="322" t="str">
        <f>IF(ISNA(VLOOKUP($V153,DD_Info!$A$1:$E$221,3,0)),0,VLOOKUP($V153,DD_Info!$A$1:$E$221,3,0))</f>
        <v>Amarillo</v>
      </c>
      <c r="E153" s="322">
        <f>Councils!E156</f>
        <v>117</v>
      </c>
      <c r="F153" s="322">
        <f>Councils!F156</f>
        <v>6</v>
      </c>
      <c r="G153" s="322">
        <f>Councils!G156</f>
        <v>0</v>
      </c>
      <c r="H153" s="322">
        <f>Councils!H156</f>
        <v>0</v>
      </c>
      <c r="I153" s="322">
        <f>Councils!I156</f>
        <v>0</v>
      </c>
      <c r="J153" s="322">
        <f>Councils!J156</f>
        <v>0</v>
      </c>
      <c r="K153" s="322">
        <f>Councils!K156</f>
        <v>0</v>
      </c>
      <c r="L153" s="322">
        <f>Councils!L156</f>
        <v>0</v>
      </c>
      <c r="M153" s="323">
        <f>Councils!M156</f>
        <v>0</v>
      </c>
      <c r="N153" s="322">
        <f>Councils!O156</f>
        <v>0</v>
      </c>
      <c r="O153" s="322">
        <f>Councils!P156</f>
        <v>0</v>
      </c>
      <c r="P153" s="322">
        <f>Councils!Q156</f>
        <v>0</v>
      </c>
      <c r="Q153" s="322">
        <f>Councils!R156</f>
        <v>0</v>
      </c>
      <c r="R153" s="322">
        <f>Councils!S156</f>
        <v>0</v>
      </c>
      <c r="S153" s="322">
        <f>Councils!T156</f>
        <v>0</v>
      </c>
      <c r="T153" s="322">
        <f>Councils!U156</f>
        <v>0</v>
      </c>
      <c r="U153" s="323">
        <f>Councils!V156</f>
        <v>0</v>
      </c>
      <c r="V153" s="376">
        <v>201</v>
      </c>
      <c r="W153" s="377">
        <f t="shared" si="2"/>
        <v>2</v>
      </c>
      <c r="X153" s="378" t="str">
        <f>IF(ISNA(VLOOKUP($A153,GA!$A$1:$D$834,3,0))," ",VLOOKUP($A153,GA!$A$1:$D$834,3,0))</f>
        <v>Payne</v>
      </c>
      <c r="Y153" s="379" t="str">
        <f>IF(ISNA(VLOOKUP($A153,Dormant_Councils!$A$1:$E$811,5,0)),"No",VLOOKUP($A153,Dormant_Councils!$A$1:$E$811,5,0))</f>
        <v>No</v>
      </c>
      <c r="Z153" s="381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22" t="str">
        <f>Councils!C157</f>
        <v>025</v>
      </c>
      <c r="C154" s="322" t="str">
        <f>Councils!D157</f>
        <v>Fort Worth</v>
      </c>
      <c r="D154" s="322" t="str">
        <f>IF(ISNA(VLOOKUP($V154,DD_Info!$A$1:$E$221,3,0)),0,VLOOKUP($V154,DD_Info!$A$1:$E$221,3,0))</f>
        <v>Fort Worth</v>
      </c>
      <c r="E154" s="322">
        <f>Councils!E157</f>
        <v>272</v>
      </c>
      <c r="F154" s="322">
        <f>Councils!F157</f>
        <v>12</v>
      </c>
      <c r="G154" s="322">
        <f>Councils!G157</f>
        <v>0</v>
      </c>
      <c r="H154" s="322">
        <f>Councils!H157</f>
        <v>1</v>
      </c>
      <c r="I154" s="322">
        <f>Councils!I157</f>
        <v>-1</v>
      </c>
      <c r="J154" s="322">
        <f>Councils!J157</f>
        <v>0</v>
      </c>
      <c r="K154" s="322">
        <f>Councils!K157</f>
        <v>1</v>
      </c>
      <c r="L154" s="322">
        <f>Councils!L157</f>
        <v>-1</v>
      </c>
      <c r="M154" s="323">
        <f>Councils!M157</f>
        <v>0</v>
      </c>
      <c r="N154" s="322">
        <f>Councils!O157</f>
        <v>0</v>
      </c>
      <c r="O154" s="322">
        <f>Councils!P157</f>
        <v>0</v>
      </c>
      <c r="P154" s="322">
        <f>Councils!Q157</f>
        <v>0</v>
      </c>
      <c r="Q154" s="322">
        <f>Councils!R157</f>
        <v>0</v>
      </c>
      <c r="R154" s="322">
        <f>Councils!S157</f>
        <v>0</v>
      </c>
      <c r="S154" s="322">
        <f>Councils!T157</f>
        <v>1</v>
      </c>
      <c r="T154" s="322">
        <f>Councils!U157</f>
        <v>-1</v>
      </c>
      <c r="U154" s="323">
        <f>Councils!V157</f>
        <v>0</v>
      </c>
      <c r="V154" s="376">
        <v>25</v>
      </c>
      <c r="W154" s="377">
        <f t="shared" si="2"/>
        <v>1</v>
      </c>
      <c r="X154" s="378" t="str">
        <f>IF(ISNA(VLOOKUP($A154,GA!$A$1:$D$834,3,0))," ",VLOOKUP($A154,GA!$A$1:$D$834,3,0))</f>
        <v>Stark</v>
      </c>
      <c r="Y154" s="379" t="str">
        <f>IF(ISNA(VLOOKUP($A154,Dormant_Councils!$A$1:$E$811,5,0)),"No",VLOOKUP($A154,Dormant_Councils!$A$1:$E$811,5,0))</f>
        <v>No</v>
      </c>
      <c r="Z154" s="381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22" t="str">
        <f>Councils!C158</f>
        <v>147</v>
      </c>
      <c r="C155" s="322" t="str">
        <f>Councils!D158</f>
        <v>Killeen</v>
      </c>
      <c r="D155" s="322" t="str">
        <f>IF(ISNA(VLOOKUP($V155,DD_Info!$A$1:$E$221,3,0)),0,VLOOKUP($V155,DD_Info!$A$1:$E$221,3,0))</f>
        <v>Austin</v>
      </c>
      <c r="E155" s="322">
        <f>Councils!E158</f>
        <v>153</v>
      </c>
      <c r="F155" s="322">
        <f>Councils!F158</f>
        <v>7</v>
      </c>
      <c r="G155" s="322">
        <f>Councils!G158</f>
        <v>0</v>
      </c>
      <c r="H155" s="322">
        <f>Councils!H158</f>
        <v>0</v>
      </c>
      <c r="I155" s="322">
        <f>Councils!I158</f>
        <v>0</v>
      </c>
      <c r="J155" s="322">
        <f>Councils!J158</f>
        <v>0</v>
      </c>
      <c r="K155" s="322">
        <f>Councils!K158</f>
        <v>0</v>
      </c>
      <c r="L155" s="322">
        <f>Councils!L158</f>
        <v>0</v>
      </c>
      <c r="M155" s="323">
        <f>Councils!M158</f>
        <v>0</v>
      </c>
      <c r="N155" s="322">
        <f>Councils!O158</f>
        <v>0</v>
      </c>
      <c r="O155" s="322">
        <f>Councils!P158</f>
        <v>0</v>
      </c>
      <c r="P155" s="322">
        <f>Councils!Q158</f>
        <v>0</v>
      </c>
      <c r="Q155" s="322">
        <f>Councils!R158</f>
        <v>0</v>
      </c>
      <c r="R155" s="322">
        <f>Councils!S158</f>
        <v>1</v>
      </c>
      <c r="S155" s="322">
        <f>Councils!T158</f>
        <v>0</v>
      </c>
      <c r="T155" s="322">
        <f>Councils!U158</f>
        <v>1</v>
      </c>
      <c r="U155" s="323">
        <f>Councils!V158</f>
        <v>0</v>
      </c>
      <c r="V155" s="376">
        <v>147</v>
      </c>
      <c r="W155" s="377">
        <f t="shared" si="2"/>
        <v>1</v>
      </c>
      <c r="X155" s="378" t="str">
        <f>IF(ISNA(VLOOKUP($A155,GA!$A$1:$D$834,3,0))," ",VLOOKUP($A155,GA!$A$1:$D$834,3,0))</f>
        <v>Britten</v>
      </c>
      <c r="Y155" s="379" t="str">
        <f>IF(ISNA(VLOOKUP($A155,Dormant_Councils!$A$1:$E$811,5,0)),"No",VLOOKUP($A155,Dormant_Councils!$A$1:$E$811,5,0))</f>
        <v>No</v>
      </c>
      <c r="Z155" s="381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22" t="str">
        <f>Councils!C159</f>
        <v>027</v>
      </c>
      <c r="C156" s="322" t="str">
        <f>Councils!D159</f>
        <v>Denton</v>
      </c>
      <c r="D156" s="322" t="str">
        <f>IF(ISNA(VLOOKUP($V156,DD_Info!$A$1:$E$221,3,0)),0,VLOOKUP($V156,DD_Info!$A$1:$E$221,3,0))</f>
        <v>Fort Worth</v>
      </c>
      <c r="E156" s="322">
        <f>Councils!E159</f>
        <v>291</v>
      </c>
      <c r="F156" s="322">
        <f>Councils!F159</f>
        <v>14</v>
      </c>
      <c r="G156" s="322">
        <f>Councils!G159</f>
        <v>0</v>
      </c>
      <c r="H156" s="322">
        <f>Councils!H159</f>
        <v>1</v>
      </c>
      <c r="I156" s="322">
        <f>Councils!I159</f>
        <v>-1</v>
      </c>
      <c r="J156" s="322">
        <f>Councils!J159</f>
        <v>2</v>
      </c>
      <c r="K156" s="322">
        <f>Councils!K159</f>
        <v>1</v>
      </c>
      <c r="L156" s="322">
        <f>Councils!L159</f>
        <v>1</v>
      </c>
      <c r="M156" s="323">
        <f>Councils!M159</f>
        <v>7.14</v>
      </c>
      <c r="N156" s="322">
        <f>Councils!O159</f>
        <v>0</v>
      </c>
      <c r="O156" s="322">
        <f>Councils!P159</f>
        <v>0</v>
      </c>
      <c r="P156" s="322">
        <f>Councils!Q159</f>
        <v>0</v>
      </c>
      <c r="Q156" s="322">
        <f>Councils!R159</f>
        <v>0</v>
      </c>
      <c r="R156" s="322">
        <f>Councils!S159</f>
        <v>5</v>
      </c>
      <c r="S156" s="322">
        <f>Councils!T159</f>
        <v>0</v>
      </c>
      <c r="T156" s="322">
        <f>Councils!U159</f>
        <v>5</v>
      </c>
      <c r="U156" s="323">
        <f>Councils!V159</f>
        <v>0</v>
      </c>
      <c r="V156" s="376">
        <v>27</v>
      </c>
      <c r="W156" s="377">
        <f t="shared" si="2"/>
        <v>1</v>
      </c>
      <c r="X156" s="378" t="str">
        <f>IF(ISNA(VLOOKUP($A156,GA!$A$1:$D$834,3,0))," ",VLOOKUP($A156,GA!$A$1:$D$834,3,0))</f>
        <v>Stark</v>
      </c>
      <c r="Y156" s="379" t="str">
        <f>IF(ISNA(VLOOKUP($A156,Dormant_Councils!$A$1:$E$811,5,0)),"No",VLOOKUP($A156,Dormant_Councils!$A$1:$E$811,5,0))</f>
        <v>No</v>
      </c>
      <c r="Z156" s="381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22" t="str">
        <f>Councils!C160</f>
        <v>210</v>
      </c>
      <c r="C157" s="322" t="str">
        <f>Councils!D160</f>
        <v>Port Isabel</v>
      </c>
      <c r="D157" s="322" t="str">
        <f>IF(ISNA(VLOOKUP($V157,DD_Info!$A$1:$E$221,3,0)),0,VLOOKUP($V157,DD_Info!$A$1:$E$221,3,0))</f>
        <v>Brownsville</v>
      </c>
      <c r="E157" s="322">
        <f>Councils!E160</f>
        <v>68</v>
      </c>
      <c r="F157" s="322">
        <f>Councils!F160</f>
        <v>3</v>
      </c>
      <c r="G157" s="322">
        <f>Councils!G160</f>
        <v>0</v>
      </c>
      <c r="H157" s="322">
        <f>Councils!H160</f>
        <v>0</v>
      </c>
      <c r="I157" s="322">
        <f>Councils!I160</f>
        <v>0</v>
      </c>
      <c r="J157" s="322">
        <f>Councils!J160</f>
        <v>0</v>
      </c>
      <c r="K157" s="322">
        <f>Councils!K160</f>
        <v>0</v>
      </c>
      <c r="L157" s="322">
        <f>Councils!L160</f>
        <v>0</v>
      </c>
      <c r="M157" s="323">
        <f>Councils!M160</f>
        <v>0</v>
      </c>
      <c r="N157" s="322">
        <f>Councils!O160</f>
        <v>0</v>
      </c>
      <c r="O157" s="322">
        <f>Councils!P160</f>
        <v>0</v>
      </c>
      <c r="P157" s="322">
        <f>Councils!Q160</f>
        <v>0</v>
      </c>
      <c r="Q157" s="322">
        <f>Councils!R160</f>
        <v>0</v>
      </c>
      <c r="R157" s="322">
        <f>Councils!S160</f>
        <v>0</v>
      </c>
      <c r="S157" s="322">
        <f>Councils!T160</f>
        <v>1</v>
      </c>
      <c r="T157" s="322">
        <f>Councils!U160</f>
        <v>-1</v>
      </c>
      <c r="U157" s="323">
        <f>Councils!V160</f>
        <v>0</v>
      </c>
      <c r="V157" s="376">
        <v>210</v>
      </c>
      <c r="W157" s="377">
        <f t="shared" si="2"/>
        <v>2</v>
      </c>
      <c r="X157" s="378" t="str">
        <f>IF(ISNA(VLOOKUP($A157,GA!$A$1:$D$834,3,0))," ",VLOOKUP($A157,GA!$A$1:$D$834,3,0))</f>
        <v>Carlin</v>
      </c>
      <c r="Y157" s="379" t="str">
        <f>IF(ISNA(VLOOKUP($A157,Dormant_Councils!$A$1:$E$811,5,0)),"No",VLOOKUP($A157,Dormant_Councils!$A$1:$E$811,5,0))</f>
        <v>No</v>
      </c>
      <c r="Z157" s="381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22" t="str">
        <f>Councils!C161</f>
        <v>038</v>
      </c>
      <c r="C158" s="322" t="str">
        <f>Councils!D161</f>
        <v>San Antonio S W</v>
      </c>
      <c r="D158" s="322" t="str">
        <f>IF(ISNA(VLOOKUP($V158,DD_Info!$A$1:$E$221,3,0)),0,VLOOKUP($V158,DD_Info!$A$1:$E$221,3,0))</f>
        <v>San Antonio</v>
      </c>
      <c r="E158" s="322">
        <f>Councils!E161</f>
        <v>65</v>
      </c>
      <c r="F158" s="322">
        <f>Councils!F161</f>
        <v>3</v>
      </c>
      <c r="G158" s="322">
        <f>Councils!G161</f>
        <v>0</v>
      </c>
      <c r="H158" s="322">
        <f>Councils!H161</f>
        <v>0</v>
      </c>
      <c r="I158" s="322">
        <f>Councils!I161</f>
        <v>0</v>
      </c>
      <c r="J158" s="322">
        <f>Councils!J161</f>
        <v>1</v>
      </c>
      <c r="K158" s="322">
        <f>Councils!K161</f>
        <v>0</v>
      </c>
      <c r="L158" s="322">
        <f>Councils!L161</f>
        <v>1</v>
      </c>
      <c r="M158" s="323">
        <f>Councils!M161</f>
        <v>33.33</v>
      </c>
      <c r="N158" s="322">
        <f>Councils!O161</f>
        <v>0</v>
      </c>
      <c r="O158" s="322">
        <f>Councils!P161</f>
        <v>0</v>
      </c>
      <c r="P158" s="322">
        <f>Councils!Q161</f>
        <v>1</v>
      </c>
      <c r="Q158" s="322">
        <f>Councils!R161</f>
        <v>-1</v>
      </c>
      <c r="R158" s="322">
        <f>Councils!S161</f>
        <v>1</v>
      </c>
      <c r="S158" s="322">
        <f>Councils!T161</f>
        <v>1</v>
      </c>
      <c r="T158" s="322">
        <f>Councils!U161</f>
        <v>0</v>
      </c>
      <c r="U158" s="323">
        <f>Councils!V161</f>
        <v>0</v>
      </c>
      <c r="V158" s="376">
        <v>38</v>
      </c>
      <c r="W158" s="377">
        <f t="shared" si="2"/>
        <v>3</v>
      </c>
      <c r="X158" s="378" t="str">
        <f>IF(ISNA(VLOOKUP($A158,GA!$A$1:$D$834,3,0))," ",VLOOKUP($A158,GA!$A$1:$D$834,3,0))</f>
        <v>Dougherty</v>
      </c>
      <c r="Y158" s="379" t="str">
        <f>IF(ISNA(VLOOKUP($A158,Dormant_Councils!$A$1:$E$811,5,0)),"No",VLOOKUP($A158,Dormant_Councils!$A$1:$E$811,5,0))</f>
        <v>No</v>
      </c>
      <c r="Z158" s="381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22" t="str">
        <f>Councils!C162</f>
        <v>189</v>
      </c>
      <c r="C159" s="322" t="str">
        <f>Councils!D162</f>
        <v>Eagle Lake</v>
      </c>
      <c r="D159" s="322" t="str">
        <f>IF(ISNA(VLOOKUP($V159,DD_Info!$A$1:$E$221,3,0)),0,VLOOKUP($V159,DD_Info!$A$1:$E$221,3,0))</f>
        <v>Victoria</v>
      </c>
      <c r="E159" s="322">
        <f>Councils!E162</f>
        <v>140</v>
      </c>
      <c r="F159" s="322">
        <f>Councils!F162</f>
        <v>7</v>
      </c>
      <c r="G159" s="322">
        <f>Councils!G162</f>
        <v>0</v>
      </c>
      <c r="H159" s="322">
        <f>Councils!H162</f>
        <v>0</v>
      </c>
      <c r="I159" s="322">
        <f>Councils!I162</f>
        <v>0</v>
      </c>
      <c r="J159" s="322">
        <f>Councils!J162</f>
        <v>3</v>
      </c>
      <c r="K159" s="322">
        <f>Councils!K162</f>
        <v>1</v>
      </c>
      <c r="L159" s="322">
        <f>Councils!L162</f>
        <v>2</v>
      </c>
      <c r="M159" s="323">
        <f>Councils!M162</f>
        <v>28.57</v>
      </c>
      <c r="N159" s="322">
        <f>Councils!O162</f>
        <v>0</v>
      </c>
      <c r="O159" s="322">
        <f>Councils!P162</f>
        <v>0</v>
      </c>
      <c r="P159" s="322">
        <f>Councils!Q162</f>
        <v>1</v>
      </c>
      <c r="Q159" s="322">
        <f>Councils!R162</f>
        <v>-1</v>
      </c>
      <c r="R159" s="322">
        <f>Councils!S162</f>
        <v>2</v>
      </c>
      <c r="S159" s="322">
        <f>Councils!T162</f>
        <v>1</v>
      </c>
      <c r="T159" s="322">
        <f>Councils!U162</f>
        <v>1</v>
      </c>
      <c r="U159" s="323">
        <f>Councils!V162</f>
        <v>0</v>
      </c>
      <c r="V159" s="376">
        <v>189</v>
      </c>
      <c r="W159" s="377">
        <f t="shared" si="2"/>
        <v>1</v>
      </c>
      <c r="X159" s="378" t="str">
        <f>IF(ISNA(VLOOKUP($A159,GA!$A$1:$D$834,3,0))," ",VLOOKUP($A159,GA!$A$1:$D$834,3,0))</f>
        <v>Supak</v>
      </c>
      <c r="Y159" s="379" t="str">
        <f>IF(ISNA(VLOOKUP($A159,Dormant_Councils!$A$1:$E$811,5,0)),"No",VLOOKUP($A159,Dormant_Councils!$A$1:$E$811,5,0))</f>
        <v>No</v>
      </c>
      <c r="Z159" s="381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22" t="str">
        <f>Councils!C163</f>
        <v>152</v>
      </c>
      <c r="C160" s="322" t="str">
        <f>Councils!D163</f>
        <v>Smithville</v>
      </c>
      <c r="D160" s="322" t="str">
        <f>IF(ISNA(VLOOKUP($V160,DD_Info!$A$1:$E$221,3,0)),0,VLOOKUP($V160,DD_Info!$A$1:$E$221,3,0))</f>
        <v>Austin</v>
      </c>
      <c r="E160" s="322">
        <f>Councils!E163</f>
        <v>145</v>
      </c>
      <c r="F160" s="322">
        <f>Councils!F163</f>
        <v>7</v>
      </c>
      <c r="G160" s="322">
        <f>Councils!G163</f>
        <v>0</v>
      </c>
      <c r="H160" s="322">
        <f>Councils!H163</f>
        <v>0</v>
      </c>
      <c r="I160" s="322">
        <f>Councils!I163</f>
        <v>0</v>
      </c>
      <c r="J160" s="322">
        <f>Councils!J163</f>
        <v>3</v>
      </c>
      <c r="K160" s="322">
        <f>Councils!K163</f>
        <v>0</v>
      </c>
      <c r="L160" s="322">
        <f>Councils!L163</f>
        <v>3</v>
      </c>
      <c r="M160" s="323">
        <f>Councils!M163</f>
        <v>42.86</v>
      </c>
      <c r="N160" s="322">
        <f>Councils!O163</f>
        <v>0</v>
      </c>
      <c r="O160" s="322">
        <f>Councils!P163</f>
        <v>0</v>
      </c>
      <c r="P160" s="322">
        <f>Councils!Q163</f>
        <v>2</v>
      </c>
      <c r="Q160" s="322">
        <f>Councils!R163</f>
        <v>-2</v>
      </c>
      <c r="R160" s="322">
        <f>Councils!S163</f>
        <v>0</v>
      </c>
      <c r="S160" s="322">
        <f>Councils!T163</f>
        <v>3</v>
      </c>
      <c r="T160" s="322">
        <f>Councils!U163</f>
        <v>-3</v>
      </c>
      <c r="U160" s="323">
        <f>Councils!V163</f>
        <v>0</v>
      </c>
      <c r="V160" s="376">
        <v>152</v>
      </c>
      <c r="W160" s="377">
        <f t="shared" si="2"/>
        <v>1</v>
      </c>
      <c r="X160" s="378" t="str">
        <f>IF(ISNA(VLOOKUP($A160,GA!$A$1:$D$834,3,0))," ",VLOOKUP($A160,GA!$A$1:$D$834,3,0))</f>
        <v>Britten</v>
      </c>
      <c r="Y160" s="379" t="str">
        <f>IF(ISNA(VLOOKUP($A160,Dormant_Councils!$A$1:$E$811,5,0)),"No",VLOOKUP($A160,Dormant_Councils!$A$1:$E$811,5,0))</f>
        <v>No</v>
      </c>
      <c r="Z160" s="381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22" t="str">
        <f>Councils!C164</f>
        <v>125</v>
      </c>
      <c r="C161" s="322" t="str">
        <f>Councils!D164</f>
        <v>Beaumont S W</v>
      </c>
      <c r="D161" s="322" t="str">
        <f>IF(ISNA(VLOOKUP($V161,DD_Info!$A$1:$E$221,3,0)),0,VLOOKUP($V161,DD_Info!$A$1:$E$221,3,0))</f>
        <v>Beaumont</v>
      </c>
      <c r="E161" s="322">
        <f>Councils!E164</f>
        <v>69</v>
      </c>
      <c r="F161" s="322">
        <f>Councils!F164</f>
        <v>3</v>
      </c>
      <c r="G161" s="322">
        <f>Councils!G164</f>
        <v>0</v>
      </c>
      <c r="H161" s="322">
        <f>Councils!H164</f>
        <v>0</v>
      </c>
      <c r="I161" s="322">
        <f>Councils!I164</f>
        <v>0</v>
      </c>
      <c r="J161" s="322">
        <f>Councils!J164</f>
        <v>0</v>
      </c>
      <c r="K161" s="322">
        <f>Councils!K164</f>
        <v>0</v>
      </c>
      <c r="L161" s="322">
        <f>Councils!L164</f>
        <v>0</v>
      </c>
      <c r="M161" s="323">
        <f>Councils!M164</f>
        <v>0</v>
      </c>
      <c r="N161" s="322">
        <f>Councils!O164</f>
        <v>0</v>
      </c>
      <c r="O161" s="322">
        <f>Councils!P164</f>
        <v>0</v>
      </c>
      <c r="P161" s="322">
        <f>Councils!Q164</f>
        <v>0</v>
      </c>
      <c r="Q161" s="322">
        <f>Councils!R164</f>
        <v>0</v>
      </c>
      <c r="R161" s="322">
        <f>Councils!S164</f>
        <v>0</v>
      </c>
      <c r="S161" s="322">
        <f>Councils!T164</f>
        <v>0</v>
      </c>
      <c r="T161" s="322">
        <f>Councils!U164</f>
        <v>0</v>
      </c>
      <c r="U161" s="323">
        <f>Councils!V164</f>
        <v>0</v>
      </c>
      <c r="V161" s="376">
        <v>125</v>
      </c>
      <c r="W161" s="377">
        <f t="shared" si="2"/>
        <v>2</v>
      </c>
      <c r="X161" s="378" t="str">
        <f>IF(ISNA(VLOOKUP($A161,GA!$A$1:$D$834,3,0))," ",VLOOKUP($A161,GA!$A$1:$D$834,3,0))</f>
        <v>Rangel</v>
      </c>
      <c r="Y161" s="379" t="str">
        <f>IF(ISNA(VLOOKUP($A161,Dormant_Councils!$A$1:$E$811,5,0)),"No",VLOOKUP($A161,Dormant_Councils!$A$1:$E$811,5,0))</f>
        <v>No</v>
      </c>
      <c r="Z161" s="381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22" t="str">
        <f>Councils!C165</f>
        <v>106</v>
      </c>
      <c r="C162" s="322" t="str">
        <f>Councils!D165</f>
        <v>Dallas</v>
      </c>
      <c r="D162" s="322" t="str">
        <f>IF(ISNA(VLOOKUP($V162,DD_Info!$A$1:$E$221,3,0)),0,VLOOKUP($V162,DD_Info!$A$1:$E$221,3,0))</f>
        <v>Dallas</v>
      </c>
      <c r="E162" s="322">
        <f>Councils!E165</f>
        <v>302</v>
      </c>
      <c r="F162" s="322">
        <f>Councils!F165</f>
        <v>13</v>
      </c>
      <c r="G162" s="322">
        <f>Councils!G165</f>
        <v>0</v>
      </c>
      <c r="H162" s="322">
        <f>Councils!H165</f>
        <v>0</v>
      </c>
      <c r="I162" s="322">
        <f>Councils!I165</f>
        <v>0</v>
      </c>
      <c r="J162" s="322">
        <f>Councils!J165</f>
        <v>0</v>
      </c>
      <c r="K162" s="322">
        <f>Councils!K165</f>
        <v>13</v>
      </c>
      <c r="L162" s="322">
        <f>Councils!L165</f>
        <v>-13</v>
      </c>
      <c r="M162" s="323">
        <f>Councils!M165</f>
        <v>0</v>
      </c>
      <c r="N162" s="322">
        <f>Councils!O165</f>
        <v>0</v>
      </c>
      <c r="O162" s="322">
        <f>Councils!P165</f>
        <v>0</v>
      </c>
      <c r="P162" s="322">
        <f>Councils!Q165</f>
        <v>0</v>
      </c>
      <c r="Q162" s="322">
        <f>Councils!R165</f>
        <v>0</v>
      </c>
      <c r="R162" s="322">
        <f>Councils!S165</f>
        <v>1</v>
      </c>
      <c r="S162" s="322">
        <f>Councils!T165</f>
        <v>4</v>
      </c>
      <c r="T162" s="322">
        <f>Councils!U165</f>
        <v>-3</v>
      </c>
      <c r="U162" s="323">
        <f>Councils!V165</f>
        <v>0</v>
      </c>
      <c r="V162" s="376">
        <v>106</v>
      </c>
      <c r="W162" s="377">
        <f t="shared" si="2"/>
        <v>1</v>
      </c>
      <c r="X162" s="378" t="str">
        <f>IF(ISNA(VLOOKUP($A162,GA!$A$1:$D$834,3,0))," ",VLOOKUP($A162,GA!$A$1:$D$834,3,0))</f>
        <v>Regan</v>
      </c>
      <c r="Y162" s="379" t="str">
        <f>IF(ISNA(VLOOKUP($A162,Dormant_Councils!$A$1:$E$811,5,0)),"No",VLOOKUP($A162,Dormant_Councils!$A$1:$E$811,5,0))</f>
        <v>No</v>
      </c>
      <c r="Z162" s="381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22" t="str">
        <f>Councils!C166</f>
        <v>163</v>
      </c>
      <c r="C163" s="322" t="str">
        <f>Councils!D166</f>
        <v>Bremond</v>
      </c>
      <c r="D163" s="322" t="str">
        <f>IF(ISNA(VLOOKUP($V163,DD_Info!$A$1:$E$221,3,0)),0,VLOOKUP($V163,DD_Info!$A$1:$E$221,3,0))</f>
        <v>Austin</v>
      </c>
      <c r="E163" s="322">
        <f>Councils!E166</f>
        <v>101</v>
      </c>
      <c r="F163" s="322">
        <f>Councils!F166</f>
        <v>5</v>
      </c>
      <c r="G163" s="322">
        <f>Councils!G166</f>
        <v>0</v>
      </c>
      <c r="H163" s="322">
        <f>Councils!H166</f>
        <v>0</v>
      </c>
      <c r="I163" s="322">
        <f>Councils!I166</f>
        <v>0</v>
      </c>
      <c r="J163" s="322">
        <f>Councils!J166</f>
        <v>0</v>
      </c>
      <c r="K163" s="322">
        <f>Councils!K166</f>
        <v>0</v>
      </c>
      <c r="L163" s="322">
        <f>Councils!L166</f>
        <v>0</v>
      </c>
      <c r="M163" s="323">
        <f>Councils!M166</f>
        <v>0</v>
      </c>
      <c r="N163" s="322">
        <f>Councils!O166</f>
        <v>0</v>
      </c>
      <c r="O163" s="322">
        <f>Councils!P166</f>
        <v>0</v>
      </c>
      <c r="P163" s="322">
        <f>Councils!Q166</f>
        <v>1</v>
      </c>
      <c r="Q163" s="322">
        <f>Councils!R166</f>
        <v>-1</v>
      </c>
      <c r="R163" s="322">
        <f>Councils!S166</f>
        <v>0</v>
      </c>
      <c r="S163" s="322">
        <f>Councils!T166</f>
        <v>1</v>
      </c>
      <c r="T163" s="322">
        <f>Councils!U166</f>
        <v>-1</v>
      </c>
      <c r="U163" s="323">
        <f>Councils!V166</f>
        <v>0</v>
      </c>
      <c r="V163" s="376">
        <v>163</v>
      </c>
      <c r="W163" s="377">
        <f t="shared" si="2"/>
        <v>2</v>
      </c>
      <c r="X163" s="378" t="str">
        <f>IF(ISNA(VLOOKUP($A163,GA!$A$1:$D$834,3,0))," ",VLOOKUP($A163,GA!$A$1:$D$834,3,0))</f>
        <v>Britten</v>
      </c>
      <c r="Y163" s="379" t="str">
        <f>IF(ISNA(VLOOKUP($A163,Dormant_Councils!$A$1:$E$811,5,0)),"No",VLOOKUP($A163,Dormant_Councils!$A$1:$E$811,5,0))</f>
        <v>Dormant</v>
      </c>
      <c r="Z163" s="381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22" t="str">
        <f>Councils!C167</f>
        <v>198</v>
      </c>
      <c r="C164" s="322" t="str">
        <f>Councils!D167</f>
        <v>Dumas</v>
      </c>
      <c r="D164" s="322" t="str">
        <f>IF(ISNA(VLOOKUP($V164,DD_Info!$A$1:$E$221,3,0)),0,VLOOKUP($V164,DD_Info!$A$1:$E$221,3,0))</f>
        <v>Amarillo</v>
      </c>
      <c r="E164" s="322">
        <f>Councils!E167</f>
        <v>135</v>
      </c>
      <c r="F164" s="322">
        <f>Councils!F167</f>
        <v>7</v>
      </c>
      <c r="G164" s="322">
        <f>Councils!G167</f>
        <v>0</v>
      </c>
      <c r="H164" s="322">
        <f>Councils!H167</f>
        <v>0</v>
      </c>
      <c r="I164" s="322">
        <f>Councils!I167</f>
        <v>0</v>
      </c>
      <c r="J164" s="322">
        <f>Councils!J167</f>
        <v>0</v>
      </c>
      <c r="K164" s="322">
        <f>Councils!K167</f>
        <v>0</v>
      </c>
      <c r="L164" s="322">
        <f>Councils!L167</f>
        <v>0</v>
      </c>
      <c r="M164" s="323">
        <f>Councils!M167</f>
        <v>0</v>
      </c>
      <c r="N164" s="322">
        <f>Councils!O167</f>
        <v>0</v>
      </c>
      <c r="O164" s="322">
        <f>Councils!P167</f>
        <v>0</v>
      </c>
      <c r="P164" s="322">
        <f>Councils!Q167</f>
        <v>0</v>
      </c>
      <c r="Q164" s="322">
        <f>Councils!R167</f>
        <v>0</v>
      </c>
      <c r="R164" s="322">
        <f>Councils!S167</f>
        <v>1</v>
      </c>
      <c r="S164" s="322">
        <f>Councils!T167</f>
        <v>1</v>
      </c>
      <c r="T164" s="322">
        <f>Councils!U167</f>
        <v>0</v>
      </c>
      <c r="U164" s="323">
        <f>Councils!V167</f>
        <v>0</v>
      </c>
      <c r="V164" s="376">
        <v>198</v>
      </c>
      <c r="W164" s="377">
        <f t="shared" si="2"/>
        <v>2</v>
      </c>
      <c r="X164" s="378" t="str">
        <f>IF(ISNA(VLOOKUP($A164,GA!$A$1:$D$834,3,0))," ",VLOOKUP($A164,GA!$A$1:$D$834,3,0))</f>
        <v>Payne</v>
      </c>
      <c r="Y164" s="379" t="str">
        <f>IF(ISNA(VLOOKUP($A164,Dormant_Councils!$A$1:$E$811,5,0)),"No",VLOOKUP($A164,Dormant_Councils!$A$1:$E$811,5,0))</f>
        <v>No</v>
      </c>
      <c r="Z164" s="381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22" t="str">
        <f>Councils!C168</f>
        <v>073</v>
      </c>
      <c r="C165" s="322" t="str">
        <f>Councils!D168</f>
        <v>Houston</v>
      </c>
      <c r="D165" s="322" t="str">
        <f>IF(ISNA(VLOOKUP($V165,DD_Info!$A$1:$E$221,3,0)),0,VLOOKUP($V165,DD_Info!$A$1:$E$221,3,0))</f>
        <v>Galv/Hous</v>
      </c>
      <c r="E165" s="322">
        <f>Councils!E168</f>
        <v>100</v>
      </c>
      <c r="F165" s="322">
        <f>Councils!F168</f>
        <v>5</v>
      </c>
      <c r="G165" s="322">
        <f>Councils!G168</f>
        <v>0</v>
      </c>
      <c r="H165" s="322">
        <f>Councils!H168</f>
        <v>0</v>
      </c>
      <c r="I165" s="322">
        <f>Councils!I168</f>
        <v>0</v>
      </c>
      <c r="J165" s="322">
        <f>Councils!J168</f>
        <v>0</v>
      </c>
      <c r="K165" s="322">
        <f>Councils!K168</f>
        <v>0</v>
      </c>
      <c r="L165" s="322">
        <f>Councils!L168</f>
        <v>0</v>
      </c>
      <c r="M165" s="323">
        <f>Councils!M168</f>
        <v>0</v>
      </c>
      <c r="N165" s="322">
        <f>Councils!O168</f>
        <v>0</v>
      </c>
      <c r="O165" s="322">
        <f>Councils!P168</f>
        <v>0</v>
      </c>
      <c r="P165" s="322">
        <f>Councils!Q168</f>
        <v>0</v>
      </c>
      <c r="Q165" s="322">
        <f>Councils!R168</f>
        <v>0</v>
      </c>
      <c r="R165" s="322">
        <f>Councils!S168</f>
        <v>1</v>
      </c>
      <c r="S165" s="322">
        <f>Councils!T168</f>
        <v>1</v>
      </c>
      <c r="T165" s="322">
        <f>Councils!U168</f>
        <v>0</v>
      </c>
      <c r="U165" s="323">
        <f>Councils!V168</f>
        <v>0</v>
      </c>
      <c r="V165" s="376">
        <v>73</v>
      </c>
      <c r="W165" s="377">
        <f t="shared" si="2"/>
        <v>2</v>
      </c>
      <c r="X165" s="378" t="str">
        <f>IF(ISNA(VLOOKUP($A165,GA!$A$1:$D$834,3,0))," ",VLOOKUP($A165,GA!$A$1:$D$834,3,0))</f>
        <v>Rangel</v>
      </c>
      <c r="Y165" s="379" t="str">
        <f>IF(ISNA(VLOOKUP($A165,Dormant_Councils!$A$1:$E$811,5,0)),"No",VLOOKUP($A165,Dormant_Councils!$A$1:$E$811,5,0))</f>
        <v>No</v>
      </c>
      <c r="Z165" s="381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22" t="str">
        <f>Councils!C169</f>
        <v>046</v>
      </c>
      <c r="C166" s="322" t="str">
        <f>Councils!D169</f>
        <v>Gonzales</v>
      </c>
      <c r="D166" s="322" t="str">
        <f>IF(ISNA(VLOOKUP($V166,DD_Info!$A$1:$E$221,3,0)),0,VLOOKUP($V166,DD_Info!$A$1:$E$221,3,0))</f>
        <v>San Antonio</v>
      </c>
      <c r="E166" s="322">
        <f>Councils!E169</f>
        <v>129</v>
      </c>
      <c r="F166" s="322">
        <f>Councils!F169</f>
        <v>6</v>
      </c>
      <c r="G166" s="322">
        <f>Councils!G169</f>
        <v>0</v>
      </c>
      <c r="H166" s="322">
        <f>Councils!H169</f>
        <v>0</v>
      </c>
      <c r="I166" s="322">
        <f>Councils!I169</f>
        <v>0</v>
      </c>
      <c r="J166" s="322">
        <f>Councils!J169</f>
        <v>2</v>
      </c>
      <c r="K166" s="322">
        <f>Councils!K169</f>
        <v>0</v>
      </c>
      <c r="L166" s="322">
        <f>Councils!L169</f>
        <v>2</v>
      </c>
      <c r="M166" s="323">
        <f>Councils!M169</f>
        <v>33.33</v>
      </c>
      <c r="N166" s="322">
        <f>Councils!O169</f>
        <v>0</v>
      </c>
      <c r="O166" s="322">
        <f>Councils!P169</f>
        <v>0</v>
      </c>
      <c r="P166" s="322">
        <f>Councils!Q169</f>
        <v>0</v>
      </c>
      <c r="Q166" s="322">
        <f>Councils!R169</f>
        <v>0</v>
      </c>
      <c r="R166" s="322">
        <f>Councils!S169</f>
        <v>2</v>
      </c>
      <c r="S166" s="322">
        <f>Councils!T169</f>
        <v>0</v>
      </c>
      <c r="T166" s="322">
        <f>Councils!U169</f>
        <v>2</v>
      </c>
      <c r="U166" s="323">
        <f>Councils!V169</f>
        <v>0</v>
      </c>
      <c r="V166" s="376">
        <v>46</v>
      </c>
      <c r="W166" s="377">
        <f t="shared" si="2"/>
        <v>2</v>
      </c>
      <c r="X166" s="378" t="str">
        <f>IF(ISNA(VLOOKUP($A166,GA!$A$1:$D$834,3,0))," ",VLOOKUP($A166,GA!$A$1:$D$834,3,0))</f>
        <v>Dougherty</v>
      </c>
      <c r="Y166" s="379" t="str">
        <f>IF(ISNA(VLOOKUP($A166,Dormant_Councils!$A$1:$E$811,5,0)),"No",VLOOKUP($A166,Dormant_Councils!$A$1:$E$811,5,0))</f>
        <v>No</v>
      </c>
      <c r="Z166" s="381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22" t="str">
        <f>Councils!C170</f>
        <v>012</v>
      </c>
      <c r="C167" s="322" t="str">
        <f>Councils!D170</f>
        <v>Alpine</v>
      </c>
      <c r="D167" s="322" t="str">
        <f>IF(ISNA(VLOOKUP($V167,DD_Info!$A$1:$E$221,3,0)),0,VLOOKUP($V167,DD_Info!$A$1:$E$221,3,0))</f>
        <v>El Paso</v>
      </c>
      <c r="E167" s="322">
        <f>Councils!E170</f>
        <v>143</v>
      </c>
      <c r="F167" s="322">
        <f>Councils!F170</f>
        <v>7</v>
      </c>
      <c r="G167" s="322">
        <f>Councils!G170</f>
        <v>0</v>
      </c>
      <c r="H167" s="322">
        <f>Councils!H170</f>
        <v>0</v>
      </c>
      <c r="I167" s="322">
        <f>Councils!I170</f>
        <v>0</v>
      </c>
      <c r="J167" s="322">
        <f>Councils!J170</f>
        <v>0</v>
      </c>
      <c r="K167" s="322">
        <f>Councils!K170</f>
        <v>0</v>
      </c>
      <c r="L167" s="322">
        <f>Councils!L170</f>
        <v>0</v>
      </c>
      <c r="M167" s="323">
        <f>Councils!M170</f>
        <v>0</v>
      </c>
      <c r="N167" s="322">
        <f>Councils!O170</f>
        <v>0</v>
      </c>
      <c r="O167" s="322">
        <f>Councils!P170</f>
        <v>0</v>
      </c>
      <c r="P167" s="322">
        <f>Councils!Q170</f>
        <v>0</v>
      </c>
      <c r="Q167" s="322">
        <f>Councils!R170</f>
        <v>0</v>
      </c>
      <c r="R167" s="322">
        <f>Councils!S170</f>
        <v>0</v>
      </c>
      <c r="S167" s="322">
        <f>Councils!T170</f>
        <v>0</v>
      </c>
      <c r="T167" s="322">
        <f>Councils!U170</f>
        <v>0</v>
      </c>
      <c r="U167" s="323">
        <f>Councils!V170</f>
        <v>0</v>
      </c>
      <c r="V167" s="376">
        <v>12</v>
      </c>
      <c r="W167" s="377">
        <f t="shared" si="2"/>
        <v>1</v>
      </c>
      <c r="X167" s="378" t="str">
        <f>IF(ISNA(VLOOKUP($A167,GA!$A$1:$D$834,3,0))," ",VLOOKUP($A167,GA!$A$1:$D$834,3,0))</f>
        <v>Payne</v>
      </c>
      <c r="Y167" s="379" t="str">
        <f>IF(ISNA(VLOOKUP($A167,Dormant_Councils!$A$1:$E$811,5,0)),"No",VLOOKUP($A167,Dormant_Councils!$A$1:$E$811,5,0))</f>
        <v>No</v>
      </c>
      <c r="Z167" s="381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22" t="str">
        <f>Councils!C171</f>
        <v>122</v>
      </c>
      <c r="C168" s="322" t="str">
        <f>Councils!D171</f>
        <v>Nederland</v>
      </c>
      <c r="D168" s="322" t="str">
        <f>IF(ISNA(VLOOKUP($V168,DD_Info!$A$1:$E$221,3,0)),0,VLOOKUP($V168,DD_Info!$A$1:$E$221,3,0))</f>
        <v>Beaumont</v>
      </c>
      <c r="E168" s="322">
        <f>Councils!E171</f>
        <v>295</v>
      </c>
      <c r="F168" s="322">
        <f>Councils!F171</f>
        <v>14</v>
      </c>
      <c r="G168" s="322">
        <f>Councils!G171</f>
        <v>1</v>
      </c>
      <c r="H168" s="322">
        <f>Councils!H171</f>
        <v>0</v>
      </c>
      <c r="I168" s="322">
        <f>Councils!I171</f>
        <v>1</v>
      </c>
      <c r="J168" s="322">
        <f>Councils!J171</f>
        <v>5</v>
      </c>
      <c r="K168" s="322">
        <f>Councils!K171</f>
        <v>2</v>
      </c>
      <c r="L168" s="322">
        <f>Councils!L171</f>
        <v>3</v>
      </c>
      <c r="M168" s="323">
        <f>Councils!M171</f>
        <v>21.43</v>
      </c>
      <c r="N168" s="322">
        <f>Councils!O171</f>
        <v>0</v>
      </c>
      <c r="O168" s="322">
        <f>Councils!P171</f>
        <v>1</v>
      </c>
      <c r="P168" s="322">
        <f>Councils!Q171</f>
        <v>0</v>
      </c>
      <c r="Q168" s="322">
        <f>Councils!R171</f>
        <v>1</v>
      </c>
      <c r="R168" s="322">
        <f>Councils!S171</f>
        <v>1</v>
      </c>
      <c r="S168" s="322">
        <f>Councils!T171</f>
        <v>2</v>
      </c>
      <c r="T168" s="322">
        <f>Councils!U171</f>
        <v>-1</v>
      </c>
      <c r="U168" s="323">
        <f>Councils!V171</f>
        <v>0</v>
      </c>
      <c r="V168" s="376">
        <v>122</v>
      </c>
      <c r="W168" s="377">
        <f t="shared" si="2"/>
        <v>1</v>
      </c>
      <c r="X168" s="378" t="str">
        <f>IF(ISNA(VLOOKUP($A168,GA!$A$1:$D$834,3,0))," ",VLOOKUP($A168,GA!$A$1:$D$834,3,0))</f>
        <v>Rangel</v>
      </c>
      <c r="Y168" s="379" t="str">
        <f>IF(ISNA(VLOOKUP($A168,Dormant_Councils!$A$1:$E$811,5,0)),"No",VLOOKUP($A168,Dormant_Councils!$A$1:$E$811,5,0))</f>
        <v>No</v>
      </c>
      <c r="Z168" s="381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22" t="str">
        <f>Councils!C172</f>
        <v>069</v>
      </c>
      <c r="C169" s="322" t="str">
        <f>Councils!D172</f>
        <v>Angleton</v>
      </c>
      <c r="D169" s="322" t="str">
        <f>IF(ISNA(VLOOKUP($V169,DD_Info!$A$1:$E$221,3,0)),0,VLOOKUP($V169,DD_Info!$A$1:$E$221,3,0))</f>
        <v>Galv/Hous</v>
      </c>
      <c r="E169" s="322">
        <f>Councils!E172</f>
        <v>259</v>
      </c>
      <c r="F169" s="322">
        <f>Councils!F172</f>
        <v>12</v>
      </c>
      <c r="G169" s="322">
        <f>Councils!G172</f>
        <v>0</v>
      </c>
      <c r="H169" s="322">
        <f>Councils!H172</f>
        <v>0</v>
      </c>
      <c r="I169" s="322">
        <f>Councils!I172</f>
        <v>0</v>
      </c>
      <c r="J169" s="322">
        <f>Councils!J172</f>
        <v>1</v>
      </c>
      <c r="K169" s="322">
        <f>Councils!K172</f>
        <v>0</v>
      </c>
      <c r="L169" s="322">
        <f>Councils!L172</f>
        <v>1</v>
      </c>
      <c r="M169" s="323">
        <f>Councils!M172</f>
        <v>8.33</v>
      </c>
      <c r="N169" s="322">
        <f>Councils!O172</f>
        <v>0</v>
      </c>
      <c r="O169" s="322">
        <f>Councils!P172</f>
        <v>0</v>
      </c>
      <c r="P169" s="322">
        <f>Councils!Q172</f>
        <v>2</v>
      </c>
      <c r="Q169" s="322">
        <f>Councils!R172</f>
        <v>-2</v>
      </c>
      <c r="R169" s="322">
        <f>Councils!S172</f>
        <v>0</v>
      </c>
      <c r="S169" s="322">
        <f>Councils!T172</f>
        <v>2</v>
      </c>
      <c r="T169" s="322">
        <f>Councils!U172</f>
        <v>-2</v>
      </c>
      <c r="U169" s="323">
        <f>Councils!V172</f>
        <v>0</v>
      </c>
      <c r="V169" s="376">
        <v>69</v>
      </c>
      <c r="W169" s="377">
        <f t="shared" si="2"/>
        <v>1</v>
      </c>
      <c r="X169" s="378" t="str">
        <f>IF(ISNA(VLOOKUP($A169,GA!$A$1:$D$834,3,0))," ",VLOOKUP($A169,GA!$A$1:$D$834,3,0))</f>
        <v>Supak</v>
      </c>
      <c r="Y169" s="379" t="str">
        <f>IF(ISNA(VLOOKUP($A169,Dormant_Councils!$A$1:$E$811,5,0)),"No",VLOOKUP($A169,Dormant_Councils!$A$1:$E$811,5,0))</f>
        <v>No</v>
      </c>
      <c r="Z169" s="381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22" t="str">
        <f>Councils!C173</f>
        <v>190</v>
      </c>
      <c r="C170" s="322" t="str">
        <f>Councils!D173</f>
        <v>Frelsburg</v>
      </c>
      <c r="D170" s="322" t="str">
        <f>IF(ISNA(VLOOKUP($V170,DD_Info!$A$1:$E$221,3,0)),0,VLOOKUP($V170,DD_Info!$A$1:$E$221,3,0))</f>
        <v>Victoria</v>
      </c>
      <c r="E170" s="322">
        <f>Councils!E173</f>
        <v>86</v>
      </c>
      <c r="F170" s="322">
        <f>Councils!F173</f>
        <v>4</v>
      </c>
      <c r="G170" s="322">
        <f>Councils!G173</f>
        <v>0</v>
      </c>
      <c r="H170" s="322">
        <f>Councils!H173</f>
        <v>0</v>
      </c>
      <c r="I170" s="322">
        <f>Councils!I173</f>
        <v>0</v>
      </c>
      <c r="J170" s="322">
        <f>Councils!J173</f>
        <v>0</v>
      </c>
      <c r="K170" s="322">
        <f>Councils!K173</f>
        <v>0</v>
      </c>
      <c r="L170" s="322">
        <f>Councils!L173</f>
        <v>0</v>
      </c>
      <c r="M170" s="323">
        <f>Councils!M173</f>
        <v>0</v>
      </c>
      <c r="N170" s="322">
        <f>Councils!O173</f>
        <v>0</v>
      </c>
      <c r="O170" s="322">
        <f>Councils!P173</f>
        <v>0</v>
      </c>
      <c r="P170" s="322">
        <f>Councils!Q173</f>
        <v>1</v>
      </c>
      <c r="Q170" s="322">
        <f>Councils!R173</f>
        <v>-1</v>
      </c>
      <c r="R170" s="322">
        <f>Councils!S173</f>
        <v>0</v>
      </c>
      <c r="S170" s="322">
        <f>Councils!T173</f>
        <v>1</v>
      </c>
      <c r="T170" s="322">
        <f>Councils!U173</f>
        <v>-1</v>
      </c>
      <c r="U170" s="323">
        <f>Councils!V173</f>
        <v>0</v>
      </c>
      <c r="V170" s="376">
        <v>190</v>
      </c>
      <c r="W170" s="377">
        <f t="shared" si="2"/>
        <v>2</v>
      </c>
      <c r="X170" s="378" t="str">
        <f>IF(ISNA(VLOOKUP($A170,GA!$A$1:$D$834,3,0))," ",VLOOKUP($A170,GA!$A$1:$D$834,3,0))</f>
        <v>Supak</v>
      </c>
      <c r="Y170" s="379" t="str">
        <f>IF(ISNA(VLOOKUP($A170,Dormant_Councils!$A$1:$E$811,5,0)),"No",VLOOKUP($A170,Dormant_Councils!$A$1:$E$811,5,0))</f>
        <v>No</v>
      </c>
      <c r="Z170" s="381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22" t="str">
        <f>Councils!C174</f>
        <v>037</v>
      </c>
      <c r="C171" s="322" t="str">
        <f>Councils!D174</f>
        <v>Devine</v>
      </c>
      <c r="D171" s="322" t="str">
        <f>IF(ISNA(VLOOKUP($V171,DD_Info!$A$1:$E$221,3,0)),0,VLOOKUP($V171,DD_Info!$A$1:$E$221,3,0))</f>
        <v>San Antonio</v>
      </c>
      <c r="E171" s="322">
        <f>Councils!E174</f>
        <v>170</v>
      </c>
      <c r="F171" s="322">
        <f>Councils!F174</f>
        <v>9</v>
      </c>
      <c r="G171" s="322">
        <f>Councils!G174</f>
        <v>0</v>
      </c>
      <c r="H171" s="322">
        <f>Councils!H174</f>
        <v>0</v>
      </c>
      <c r="I171" s="322">
        <f>Councils!I174</f>
        <v>0</v>
      </c>
      <c r="J171" s="322">
        <f>Councils!J174</f>
        <v>1</v>
      </c>
      <c r="K171" s="322">
        <f>Councils!K174</f>
        <v>0</v>
      </c>
      <c r="L171" s="322">
        <f>Councils!L174</f>
        <v>1</v>
      </c>
      <c r="M171" s="323">
        <f>Councils!M174</f>
        <v>11.11</v>
      </c>
      <c r="N171" s="322">
        <f>Councils!O174</f>
        <v>0</v>
      </c>
      <c r="O171" s="322">
        <f>Councils!P174</f>
        <v>0</v>
      </c>
      <c r="P171" s="322">
        <f>Councils!Q174</f>
        <v>0</v>
      </c>
      <c r="Q171" s="322">
        <f>Councils!R174</f>
        <v>0</v>
      </c>
      <c r="R171" s="322">
        <f>Councils!S174</f>
        <v>1</v>
      </c>
      <c r="S171" s="322">
        <f>Councils!T174</f>
        <v>0</v>
      </c>
      <c r="T171" s="322">
        <f>Councils!U174</f>
        <v>1</v>
      </c>
      <c r="U171" s="323">
        <f>Councils!V174</f>
        <v>0</v>
      </c>
      <c r="V171" s="376">
        <v>37</v>
      </c>
      <c r="W171" s="377">
        <f t="shared" si="2"/>
        <v>1</v>
      </c>
      <c r="X171" s="378" t="str">
        <f>IF(ISNA(VLOOKUP($A171,GA!$A$1:$D$834,3,0))," ",VLOOKUP($A171,GA!$A$1:$D$834,3,0))</f>
        <v>Dougherty</v>
      </c>
      <c r="Y171" s="379" t="str">
        <f>IF(ISNA(VLOOKUP($A171,Dormant_Councils!$A$1:$E$811,5,0)),"No",VLOOKUP($A171,Dormant_Councils!$A$1:$E$811,5,0))</f>
        <v>No</v>
      </c>
      <c r="Z171" s="381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22" t="str">
        <f>Councils!C175</f>
        <v>102</v>
      </c>
      <c r="C172" s="322" t="str">
        <f>Councils!D175</f>
        <v>Corsicana</v>
      </c>
      <c r="D172" s="322" t="str">
        <f>IF(ISNA(VLOOKUP($V172,DD_Info!$A$1:$E$221,3,0)),0,VLOOKUP($V172,DD_Info!$A$1:$E$221,3,0))</f>
        <v>Dallas</v>
      </c>
      <c r="E172" s="322">
        <f>Councils!E175</f>
        <v>126</v>
      </c>
      <c r="F172" s="322">
        <f>Councils!F175</f>
        <v>6</v>
      </c>
      <c r="G172" s="322">
        <f>Councils!G175</f>
        <v>0</v>
      </c>
      <c r="H172" s="322">
        <f>Councils!H175</f>
        <v>0</v>
      </c>
      <c r="I172" s="322">
        <f>Councils!I175</f>
        <v>0</v>
      </c>
      <c r="J172" s="322">
        <f>Councils!J175</f>
        <v>0</v>
      </c>
      <c r="K172" s="322">
        <f>Councils!K175</f>
        <v>0</v>
      </c>
      <c r="L172" s="322">
        <f>Councils!L175</f>
        <v>0</v>
      </c>
      <c r="M172" s="323">
        <f>Councils!M175</f>
        <v>0</v>
      </c>
      <c r="N172" s="322">
        <f>Councils!O175</f>
        <v>0</v>
      </c>
      <c r="O172" s="322">
        <f>Councils!P175</f>
        <v>0</v>
      </c>
      <c r="P172" s="322">
        <f>Councils!Q175</f>
        <v>0</v>
      </c>
      <c r="Q172" s="322">
        <f>Councils!R175</f>
        <v>0</v>
      </c>
      <c r="R172" s="322">
        <f>Councils!S175</f>
        <v>1</v>
      </c>
      <c r="S172" s="322">
        <f>Councils!T175</f>
        <v>2</v>
      </c>
      <c r="T172" s="322">
        <f>Councils!U175</f>
        <v>-1</v>
      </c>
      <c r="U172" s="323">
        <f>Councils!V175</f>
        <v>0</v>
      </c>
      <c r="V172" s="376">
        <v>102</v>
      </c>
      <c r="W172" s="377">
        <f t="shared" si="2"/>
        <v>2</v>
      </c>
      <c r="X172" s="378" t="str">
        <f>IF(ISNA(VLOOKUP($A172,GA!$A$1:$D$834,3,0))," ",VLOOKUP($A172,GA!$A$1:$D$834,3,0))</f>
        <v>Regan</v>
      </c>
      <c r="Y172" s="379" t="str">
        <f>IF(ISNA(VLOOKUP($A172,Dormant_Councils!$A$1:$E$811,5,0)),"No",VLOOKUP($A172,Dormant_Councils!$A$1:$E$811,5,0))</f>
        <v>No</v>
      </c>
      <c r="Z172" s="381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22" t="str">
        <f>Councils!C176</f>
        <v>071</v>
      </c>
      <c r="C173" s="322" t="str">
        <f>Councils!D176</f>
        <v>La Porte</v>
      </c>
      <c r="D173" s="322" t="str">
        <f>IF(ISNA(VLOOKUP($V173,DD_Info!$A$1:$E$221,3,0)),0,VLOOKUP($V173,DD_Info!$A$1:$E$221,3,0))</f>
        <v>Galv/Hous</v>
      </c>
      <c r="E173" s="322">
        <f>Councils!E176</f>
        <v>182</v>
      </c>
      <c r="F173" s="322">
        <f>Councils!F176</f>
        <v>9</v>
      </c>
      <c r="G173" s="322">
        <f>Councils!G176</f>
        <v>0</v>
      </c>
      <c r="H173" s="322">
        <f>Councils!H176</f>
        <v>0</v>
      </c>
      <c r="I173" s="322">
        <f>Councils!I176</f>
        <v>0</v>
      </c>
      <c r="J173" s="322">
        <f>Councils!J176</f>
        <v>1</v>
      </c>
      <c r="K173" s="322">
        <f>Councils!K176</f>
        <v>0</v>
      </c>
      <c r="L173" s="322">
        <f>Councils!L176</f>
        <v>1</v>
      </c>
      <c r="M173" s="323">
        <f>Councils!M176</f>
        <v>11.11</v>
      </c>
      <c r="N173" s="322">
        <f>Councils!O176</f>
        <v>0</v>
      </c>
      <c r="O173" s="322">
        <f>Councils!P176</f>
        <v>0</v>
      </c>
      <c r="P173" s="322">
        <f>Councils!Q176</f>
        <v>0</v>
      </c>
      <c r="Q173" s="322">
        <f>Councils!R176</f>
        <v>0</v>
      </c>
      <c r="R173" s="322">
        <f>Councils!S176</f>
        <v>1</v>
      </c>
      <c r="S173" s="322">
        <f>Councils!T176</f>
        <v>0</v>
      </c>
      <c r="T173" s="322">
        <f>Councils!U176</f>
        <v>1</v>
      </c>
      <c r="U173" s="323">
        <f>Councils!V176</f>
        <v>0</v>
      </c>
      <c r="V173" s="376">
        <v>71</v>
      </c>
      <c r="W173" s="377">
        <f t="shared" si="2"/>
        <v>1</v>
      </c>
      <c r="X173" s="378" t="str">
        <f>IF(ISNA(VLOOKUP($A173,GA!$A$1:$D$834,3,0))," ",VLOOKUP($A173,GA!$A$1:$D$834,3,0))</f>
        <v>Rangel</v>
      </c>
      <c r="Y173" s="379" t="str">
        <f>IF(ISNA(VLOOKUP($A173,Dormant_Councils!$A$1:$E$811,5,0)),"No",VLOOKUP($A173,Dormant_Councils!$A$1:$E$811,5,0))</f>
        <v>No</v>
      </c>
      <c r="Z173" s="381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22" t="str">
        <f>Councils!C177</f>
        <v>068</v>
      </c>
      <c r="C174" s="322" t="str">
        <f>Councils!D177</f>
        <v>La Marque</v>
      </c>
      <c r="D174" s="322" t="str">
        <f>IF(ISNA(VLOOKUP($V174,DD_Info!$A$1:$E$221,3,0)),0,VLOOKUP($V174,DD_Info!$A$1:$E$221,3,0))</f>
        <v>Galv/Hous</v>
      </c>
      <c r="E174" s="322">
        <f>Councils!E177</f>
        <v>188</v>
      </c>
      <c r="F174" s="322">
        <f>Councils!F177</f>
        <v>9</v>
      </c>
      <c r="G174" s="322">
        <f>Councils!G177</f>
        <v>0</v>
      </c>
      <c r="H174" s="322">
        <f>Councils!H177</f>
        <v>0</v>
      </c>
      <c r="I174" s="322">
        <f>Councils!I177</f>
        <v>0</v>
      </c>
      <c r="J174" s="322">
        <f>Councils!J177</f>
        <v>1</v>
      </c>
      <c r="K174" s="322">
        <f>Councils!K177</f>
        <v>0</v>
      </c>
      <c r="L174" s="322">
        <f>Councils!L177</f>
        <v>1</v>
      </c>
      <c r="M174" s="323">
        <f>Councils!M177</f>
        <v>11.11</v>
      </c>
      <c r="N174" s="322">
        <f>Councils!O177</f>
        <v>0</v>
      </c>
      <c r="O174" s="322">
        <f>Councils!P177</f>
        <v>0</v>
      </c>
      <c r="P174" s="322">
        <f>Councils!Q177</f>
        <v>0</v>
      </c>
      <c r="Q174" s="322">
        <f>Councils!R177</f>
        <v>0</v>
      </c>
      <c r="R174" s="322">
        <f>Councils!S177</f>
        <v>0</v>
      </c>
      <c r="S174" s="322">
        <f>Councils!T177</f>
        <v>1</v>
      </c>
      <c r="T174" s="322">
        <f>Councils!U177</f>
        <v>-1</v>
      </c>
      <c r="U174" s="323">
        <f>Councils!V177</f>
        <v>0</v>
      </c>
      <c r="V174" s="376">
        <v>68</v>
      </c>
      <c r="W174" s="377">
        <f t="shared" si="2"/>
        <v>1</v>
      </c>
      <c r="X174" s="378" t="str">
        <f>IF(ISNA(VLOOKUP($A174,GA!$A$1:$D$834,3,0))," ",VLOOKUP($A174,GA!$A$1:$D$834,3,0))</f>
        <v>Rangel</v>
      </c>
      <c r="Y174" s="379" t="str">
        <f>IF(ISNA(VLOOKUP($A174,Dormant_Councils!$A$1:$E$811,5,0)),"No",VLOOKUP($A174,Dormant_Councils!$A$1:$E$811,5,0))</f>
        <v>No</v>
      </c>
      <c r="Z174" s="381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22" t="str">
        <f>Councils!C178</f>
        <v>115</v>
      </c>
      <c r="C175" s="322" t="str">
        <f>Councils!D178</f>
        <v>Irving</v>
      </c>
      <c r="D175" s="322" t="str">
        <f>IF(ISNA(VLOOKUP($V175,DD_Info!$A$1:$E$221,3,0)),0,VLOOKUP($V175,DD_Info!$A$1:$E$221,3,0))</f>
        <v>Dallas</v>
      </c>
      <c r="E175" s="322">
        <f>Councils!E178</f>
        <v>262</v>
      </c>
      <c r="F175" s="322">
        <f>Councils!F178</f>
        <v>11</v>
      </c>
      <c r="G175" s="322">
        <f>Councils!G178</f>
        <v>0</v>
      </c>
      <c r="H175" s="322">
        <f>Councils!H178</f>
        <v>0</v>
      </c>
      <c r="I175" s="322">
        <f>Councils!I178</f>
        <v>0</v>
      </c>
      <c r="J175" s="322">
        <f>Councils!J178</f>
        <v>0</v>
      </c>
      <c r="K175" s="322">
        <f>Councils!K178</f>
        <v>0</v>
      </c>
      <c r="L175" s="322">
        <f>Councils!L178</f>
        <v>0</v>
      </c>
      <c r="M175" s="323">
        <f>Councils!M178</f>
        <v>0</v>
      </c>
      <c r="N175" s="322">
        <f>Councils!O178</f>
        <v>0</v>
      </c>
      <c r="O175" s="322">
        <f>Councils!P178</f>
        <v>0</v>
      </c>
      <c r="P175" s="322">
        <f>Councils!Q178</f>
        <v>0</v>
      </c>
      <c r="Q175" s="322">
        <f>Councils!R178</f>
        <v>0</v>
      </c>
      <c r="R175" s="322">
        <f>Councils!S178</f>
        <v>0</v>
      </c>
      <c r="S175" s="322">
        <f>Councils!T178</f>
        <v>0</v>
      </c>
      <c r="T175" s="322">
        <f>Councils!U178</f>
        <v>0</v>
      </c>
      <c r="U175" s="323">
        <f>Councils!V178</f>
        <v>0</v>
      </c>
      <c r="V175" s="376">
        <v>115</v>
      </c>
      <c r="W175" s="377">
        <f t="shared" si="2"/>
        <v>1</v>
      </c>
      <c r="X175" s="378" t="str">
        <f>IF(ISNA(VLOOKUP($A175,GA!$A$1:$D$834,3,0))," ",VLOOKUP($A175,GA!$A$1:$D$834,3,0))</f>
        <v>Regan</v>
      </c>
      <c r="Y175" s="379" t="str">
        <f>IF(ISNA(VLOOKUP($A175,Dormant_Councils!$A$1:$E$811,5,0)),"No",VLOOKUP($A175,Dormant_Councils!$A$1:$E$811,5,0))</f>
        <v>No</v>
      </c>
      <c r="Z175" s="381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22" t="str">
        <f>Councils!C179</f>
        <v>038</v>
      </c>
      <c r="C176" s="322" t="str">
        <f>Councils!D179</f>
        <v>San Antonio</v>
      </c>
      <c r="D176" s="322" t="str">
        <f>IF(ISNA(VLOOKUP($V176,DD_Info!$A$1:$E$221,3,0)),0,VLOOKUP($V176,DD_Info!$A$1:$E$221,3,0))</f>
        <v>San Antonio</v>
      </c>
      <c r="E176" s="322">
        <f>Councils!E179</f>
        <v>193</v>
      </c>
      <c r="F176" s="322">
        <f>Councils!F179</f>
        <v>9</v>
      </c>
      <c r="G176" s="322">
        <f>Councils!G179</f>
        <v>0</v>
      </c>
      <c r="H176" s="322">
        <f>Councils!H179</f>
        <v>0</v>
      </c>
      <c r="I176" s="322">
        <f>Councils!I179</f>
        <v>0</v>
      </c>
      <c r="J176" s="322">
        <f>Councils!J179</f>
        <v>1</v>
      </c>
      <c r="K176" s="322">
        <f>Councils!K179</f>
        <v>0</v>
      </c>
      <c r="L176" s="322">
        <f>Councils!L179</f>
        <v>1</v>
      </c>
      <c r="M176" s="323">
        <f>Councils!M179</f>
        <v>11.11</v>
      </c>
      <c r="N176" s="322">
        <f>Councils!O179</f>
        <v>0</v>
      </c>
      <c r="O176" s="322">
        <f>Councils!P179</f>
        <v>0</v>
      </c>
      <c r="P176" s="322">
        <f>Councils!Q179</f>
        <v>0</v>
      </c>
      <c r="Q176" s="322">
        <f>Councils!R179</f>
        <v>0</v>
      </c>
      <c r="R176" s="322">
        <f>Councils!S179</f>
        <v>0</v>
      </c>
      <c r="S176" s="322">
        <f>Councils!T179</f>
        <v>0</v>
      </c>
      <c r="T176" s="322">
        <f>Councils!U179</f>
        <v>0</v>
      </c>
      <c r="U176" s="323">
        <f>Councils!V179</f>
        <v>0</v>
      </c>
      <c r="V176" s="376">
        <v>38</v>
      </c>
      <c r="W176" s="377">
        <f t="shared" si="2"/>
        <v>1</v>
      </c>
      <c r="X176" s="378" t="str">
        <f>IF(ISNA(VLOOKUP($A176,GA!$A$1:$D$834,3,0))," ",VLOOKUP($A176,GA!$A$1:$D$834,3,0))</f>
        <v>Dougherty</v>
      </c>
      <c r="Y176" s="379" t="str">
        <f>IF(ISNA(VLOOKUP($A176,Dormant_Councils!$A$1:$E$811,5,0)),"No",VLOOKUP($A176,Dormant_Councils!$A$1:$E$811,5,0))</f>
        <v>No</v>
      </c>
      <c r="Z176" s="381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22" t="str">
        <f>Councils!C180</f>
        <v>179</v>
      </c>
      <c r="C177" s="322" t="str">
        <f>Councils!D180</f>
        <v>Premont</v>
      </c>
      <c r="D177" s="322" t="str">
        <f>IF(ISNA(VLOOKUP($V177,DD_Info!$A$1:$E$221,3,0)),0,VLOOKUP($V177,DD_Info!$A$1:$E$221,3,0))</f>
        <v>Corpus Christi</v>
      </c>
      <c r="E177" s="322">
        <f>Councils!E180</f>
        <v>47</v>
      </c>
      <c r="F177" s="322">
        <f>Councils!F180</f>
        <v>3</v>
      </c>
      <c r="G177" s="322">
        <f>Councils!G180</f>
        <v>0</v>
      </c>
      <c r="H177" s="322">
        <f>Councils!H180</f>
        <v>0</v>
      </c>
      <c r="I177" s="322">
        <f>Councils!I180</f>
        <v>0</v>
      </c>
      <c r="J177" s="322">
        <f>Councils!J180</f>
        <v>15</v>
      </c>
      <c r="K177" s="322">
        <f>Councils!K180</f>
        <v>0</v>
      </c>
      <c r="L177" s="322">
        <f>Councils!L180</f>
        <v>15</v>
      </c>
      <c r="M177" s="323">
        <f>Councils!M180</f>
        <v>500</v>
      </c>
      <c r="N177" s="322">
        <f>Councils!O180</f>
        <v>0</v>
      </c>
      <c r="O177" s="322">
        <f>Councils!P180</f>
        <v>0</v>
      </c>
      <c r="P177" s="322">
        <f>Councils!Q180</f>
        <v>1</v>
      </c>
      <c r="Q177" s="322">
        <f>Councils!R180</f>
        <v>-1</v>
      </c>
      <c r="R177" s="322">
        <f>Councils!S180</f>
        <v>0</v>
      </c>
      <c r="S177" s="322">
        <f>Councils!T180</f>
        <v>1</v>
      </c>
      <c r="T177" s="322">
        <f>Councils!U180</f>
        <v>-1</v>
      </c>
      <c r="U177" s="323">
        <f>Councils!V180</f>
        <v>0</v>
      </c>
      <c r="V177" s="376">
        <v>179</v>
      </c>
      <c r="W177" s="377">
        <f t="shared" si="2"/>
        <v>3</v>
      </c>
      <c r="X177" s="378" t="str">
        <f>IF(ISNA(VLOOKUP($A177,GA!$A$1:$D$834,3,0))," ",VLOOKUP($A177,GA!$A$1:$D$834,3,0))</f>
        <v>Carlin</v>
      </c>
      <c r="Y177" s="379" t="str">
        <f>IF(ISNA(VLOOKUP($A177,Dormant_Councils!$A$1:$E$811,5,0)),"No",VLOOKUP($A177,Dormant_Councils!$A$1:$E$811,5,0))</f>
        <v>Dormant</v>
      </c>
      <c r="Z177" s="381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22" t="str">
        <f>Councils!C181</f>
        <v>200</v>
      </c>
      <c r="C178" s="322" t="str">
        <f>Councils!D181</f>
        <v>Bovina</v>
      </c>
      <c r="D178" s="322" t="str">
        <f>IF(ISNA(VLOOKUP($V178,DD_Info!$A$1:$E$221,3,0)),0,VLOOKUP($V178,DD_Info!$A$1:$E$221,3,0))</f>
        <v>Amarillo</v>
      </c>
      <c r="E178" s="322">
        <f>Councils!E181</f>
        <v>47</v>
      </c>
      <c r="F178" s="322">
        <f>Councils!F181</f>
        <v>3</v>
      </c>
      <c r="G178" s="322">
        <f>Councils!G181</f>
        <v>0</v>
      </c>
      <c r="H178" s="322">
        <f>Councils!H181</f>
        <v>0</v>
      </c>
      <c r="I178" s="322">
        <f>Councils!I181</f>
        <v>0</v>
      </c>
      <c r="J178" s="322">
        <f>Councils!J181</f>
        <v>0</v>
      </c>
      <c r="K178" s="322">
        <f>Councils!K181</f>
        <v>0</v>
      </c>
      <c r="L178" s="322">
        <f>Councils!L181</f>
        <v>0</v>
      </c>
      <c r="M178" s="323">
        <f>Councils!M181</f>
        <v>0</v>
      </c>
      <c r="N178" s="322">
        <f>Councils!O181</f>
        <v>0</v>
      </c>
      <c r="O178" s="322">
        <f>Councils!P181</f>
        <v>0</v>
      </c>
      <c r="P178" s="322">
        <f>Councils!Q181</f>
        <v>0</v>
      </c>
      <c r="Q178" s="322">
        <f>Councils!R181</f>
        <v>0</v>
      </c>
      <c r="R178" s="322">
        <f>Councils!S181</f>
        <v>1</v>
      </c>
      <c r="S178" s="322">
        <f>Councils!T181</f>
        <v>0</v>
      </c>
      <c r="T178" s="322">
        <f>Councils!U181</f>
        <v>1</v>
      </c>
      <c r="U178" s="323">
        <f>Councils!V181</f>
        <v>0</v>
      </c>
      <c r="V178" s="376">
        <v>200</v>
      </c>
      <c r="W178" s="377">
        <f t="shared" si="2"/>
        <v>3</v>
      </c>
      <c r="X178" s="378" t="str">
        <f>IF(ISNA(VLOOKUP($A178,GA!$A$1:$D$834,3,0))," ",VLOOKUP($A178,GA!$A$1:$D$834,3,0))</f>
        <v>Payne</v>
      </c>
      <c r="Y178" s="379" t="str">
        <f>IF(ISNA(VLOOKUP($A178,Dormant_Councils!$A$1:$E$811,5,0)),"No",VLOOKUP($A178,Dormant_Councils!$A$1:$E$811,5,0))</f>
        <v>No</v>
      </c>
      <c r="Z178" s="381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22" t="str">
        <f>Councils!C182</f>
        <v>247</v>
      </c>
      <c r="C179" s="322" t="str">
        <f>Councils!D182</f>
        <v>Pep</v>
      </c>
      <c r="D179" s="322" t="str">
        <f>IF(ISNA(VLOOKUP($V179,DD_Info!$A$1:$E$221,3,0)),0,VLOOKUP($V179,DD_Info!$A$1:$E$221,3,0))</f>
        <v>Lubbock</v>
      </c>
      <c r="E179" s="322">
        <f>Councils!E182</f>
        <v>45</v>
      </c>
      <c r="F179" s="322">
        <f>Councils!F182</f>
        <v>3</v>
      </c>
      <c r="G179" s="322">
        <f>Councils!G182</f>
        <v>0</v>
      </c>
      <c r="H179" s="322">
        <f>Councils!H182</f>
        <v>0</v>
      </c>
      <c r="I179" s="322">
        <f>Councils!I182</f>
        <v>0</v>
      </c>
      <c r="J179" s="322">
        <f>Councils!J182</f>
        <v>0</v>
      </c>
      <c r="K179" s="322">
        <f>Councils!K182</f>
        <v>0</v>
      </c>
      <c r="L179" s="322">
        <f>Councils!L182</f>
        <v>0</v>
      </c>
      <c r="M179" s="323">
        <f>Councils!M182</f>
        <v>0</v>
      </c>
      <c r="N179" s="322">
        <f>Councils!O182</f>
        <v>0</v>
      </c>
      <c r="O179" s="322">
        <f>Councils!P182</f>
        <v>0</v>
      </c>
      <c r="P179" s="322">
        <f>Councils!Q182</f>
        <v>0</v>
      </c>
      <c r="Q179" s="322">
        <f>Councils!R182</f>
        <v>0</v>
      </c>
      <c r="R179" s="322">
        <f>Councils!S182</f>
        <v>0</v>
      </c>
      <c r="S179" s="322">
        <f>Councils!T182</f>
        <v>0</v>
      </c>
      <c r="T179" s="322">
        <f>Councils!U182</f>
        <v>0</v>
      </c>
      <c r="U179" s="323">
        <f>Councils!V182</f>
        <v>0</v>
      </c>
      <c r="V179" s="376">
        <v>247</v>
      </c>
      <c r="W179" s="377">
        <f t="shared" si="2"/>
        <v>3</v>
      </c>
      <c r="X179" s="378" t="str">
        <f>IF(ISNA(VLOOKUP($A179,GA!$A$1:$D$834,3,0))," ",VLOOKUP($A179,GA!$A$1:$D$834,3,0))</f>
        <v>Payne</v>
      </c>
      <c r="Y179" s="379" t="str">
        <f>IF(ISNA(VLOOKUP($A179,Dormant_Councils!$A$1:$E$811,5,0)),"No",VLOOKUP($A179,Dormant_Councils!$A$1:$E$811,5,0))</f>
        <v>No</v>
      </c>
      <c r="Z179" s="381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22" t="str">
        <f>Councils!C183</f>
        <v>110</v>
      </c>
      <c r="C180" s="322" t="str">
        <f>Councils!D183</f>
        <v>Dallas</v>
      </c>
      <c r="D180" s="322" t="str">
        <f>IF(ISNA(VLOOKUP($V180,DD_Info!$A$1:$E$221,3,0)),0,VLOOKUP($V180,DD_Info!$A$1:$E$221,3,0))</f>
        <v>Dallas</v>
      </c>
      <c r="E180" s="322">
        <f>Councils!E183</f>
        <v>127</v>
      </c>
      <c r="F180" s="322">
        <f>Councils!F183</f>
        <v>6</v>
      </c>
      <c r="G180" s="322">
        <f>Councils!G183</f>
        <v>0</v>
      </c>
      <c r="H180" s="322">
        <f>Councils!H183</f>
        <v>0</v>
      </c>
      <c r="I180" s="322">
        <f>Councils!I183</f>
        <v>0</v>
      </c>
      <c r="J180" s="322">
        <f>Councils!J183</f>
        <v>0</v>
      </c>
      <c r="K180" s="322">
        <f>Councils!K183</f>
        <v>0</v>
      </c>
      <c r="L180" s="322">
        <f>Councils!L183</f>
        <v>0</v>
      </c>
      <c r="M180" s="323">
        <f>Councils!M183</f>
        <v>0</v>
      </c>
      <c r="N180" s="322">
        <f>Councils!O183</f>
        <v>0</v>
      </c>
      <c r="O180" s="322">
        <f>Councils!P183</f>
        <v>0</v>
      </c>
      <c r="P180" s="322">
        <f>Councils!Q183</f>
        <v>0</v>
      </c>
      <c r="Q180" s="322">
        <f>Councils!R183</f>
        <v>0</v>
      </c>
      <c r="R180" s="322">
        <f>Councils!S183</f>
        <v>0</v>
      </c>
      <c r="S180" s="322">
        <f>Councils!T183</f>
        <v>0</v>
      </c>
      <c r="T180" s="322">
        <f>Councils!U183</f>
        <v>0</v>
      </c>
      <c r="U180" s="323">
        <f>Councils!V183</f>
        <v>0</v>
      </c>
      <c r="V180" s="376">
        <v>110</v>
      </c>
      <c r="W180" s="377">
        <f t="shared" si="2"/>
        <v>2</v>
      </c>
      <c r="X180" s="378" t="str">
        <f>IF(ISNA(VLOOKUP($A180,GA!$A$1:$D$834,3,0))," ",VLOOKUP($A180,GA!$A$1:$D$834,3,0))</f>
        <v>Regan</v>
      </c>
      <c r="Y180" s="379" t="str">
        <f>IF(ISNA(VLOOKUP($A180,Dormant_Councils!$A$1:$E$811,5,0)),"No",VLOOKUP($A180,Dormant_Councils!$A$1:$E$811,5,0))</f>
        <v>No</v>
      </c>
      <c r="Z180" s="381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22" t="str">
        <f>Councils!C184</f>
        <v>198</v>
      </c>
      <c r="C181" s="322" t="str">
        <f>Councils!D184</f>
        <v>Spearman</v>
      </c>
      <c r="D181" s="322" t="str">
        <f>IF(ISNA(VLOOKUP($V181,DD_Info!$A$1:$E$221,3,0)),0,VLOOKUP($V181,DD_Info!$A$1:$E$221,3,0))</f>
        <v>Amarillo</v>
      </c>
      <c r="E181" s="322">
        <f>Councils!E184</f>
        <v>59</v>
      </c>
      <c r="F181" s="322">
        <f>Councils!F184</f>
        <v>3</v>
      </c>
      <c r="G181" s="322">
        <f>Councils!G184</f>
        <v>0</v>
      </c>
      <c r="H181" s="322">
        <f>Councils!H184</f>
        <v>0</v>
      </c>
      <c r="I181" s="322">
        <f>Councils!I184</f>
        <v>0</v>
      </c>
      <c r="J181" s="322">
        <f>Councils!J184</f>
        <v>0</v>
      </c>
      <c r="K181" s="322">
        <f>Councils!K184</f>
        <v>0</v>
      </c>
      <c r="L181" s="322">
        <f>Councils!L184</f>
        <v>0</v>
      </c>
      <c r="M181" s="323">
        <f>Councils!M184</f>
        <v>0</v>
      </c>
      <c r="N181" s="322">
        <f>Councils!O184</f>
        <v>0</v>
      </c>
      <c r="O181" s="322">
        <f>Councils!P184</f>
        <v>0</v>
      </c>
      <c r="P181" s="322">
        <f>Councils!Q184</f>
        <v>0</v>
      </c>
      <c r="Q181" s="322">
        <f>Councils!R184</f>
        <v>0</v>
      </c>
      <c r="R181" s="322">
        <f>Councils!S184</f>
        <v>0</v>
      </c>
      <c r="S181" s="322">
        <f>Councils!T184</f>
        <v>1</v>
      </c>
      <c r="T181" s="322">
        <f>Councils!U184</f>
        <v>-1</v>
      </c>
      <c r="U181" s="323">
        <f>Councils!V184</f>
        <v>0</v>
      </c>
      <c r="V181" s="376">
        <v>198</v>
      </c>
      <c r="W181" s="377">
        <f t="shared" si="2"/>
        <v>3</v>
      </c>
      <c r="X181" s="378" t="str">
        <f>IF(ISNA(VLOOKUP($A181,GA!$A$1:$D$834,3,0))," ",VLOOKUP($A181,GA!$A$1:$D$834,3,0))</f>
        <v>Payne</v>
      </c>
      <c r="Y181" s="379" t="str">
        <f>IF(ISNA(VLOOKUP($A181,Dormant_Councils!$A$1:$E$811,5,0)),"No",VLOOKUP($A181,Dormant_Councils!$A$1:$E$811,5,0))</f>
        <v>No</v>
      </c>
      <c r="Z181" s="381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22" t="str">
        <f>Councils!C185</f>
        <v>209</v>
      </c>
      <c r="C182" s="322" t="str">
        <f>Councils!D185</f>
        <v>Edinburg</v>
      </c>
      <c r="D182" s="322" t="str">
        <f>IF(ISNA(VLOOKUP($V182,DD_Info!$A$1:$E$221,3,0)),0,VLOOKUP($V182,DD_Info!$A$1:$E$221,3,0))</f>
        <v>Brownsville</v>
      </c>
      <c r="E182" s="322">
        <f>Councils!E185</f>
        <v>118</v>
      </c>
      <c r="F182" s="322">
        <f>Councils!F185</f>
        <v>5</v>
      </c>
      <c r="G182" s="322">
        <f>Councils!G185</f>
        <v>1</v>
      </c>
      <c r="H182" s="322">
        <f>Councils!H185</f>
        <v>0</v>
      </c>
      <c r="I182" s="322">
        <f>Councils!I185</f>
        <v>1</v>
      </c>
      <c r="J182" s="322">
        <f>Councils!J185</f>
        <v>2</v>
      </c>
      <c r="K182" s="322">
        <f>Councils!K185</f>
        <v>1</v>
      </c>
      <c r="L182" s="322">
        <f>Councils!L185</f>
        <v>1</v>
      </c>
      <c r="M182" s="323">
        <f>Councils!M185</f>
        <v>20</v>
      </c>
      <c r="N182" s="322">
        <f>Councils!O185</f>
        <v>0</v>
      </c>
      <c r="O182" s="322">
        <f>Councils!P185</f>
        <v>0</v>
      </c>
      <c r="P182" s="322">
        <f>Councils!Q185</f>
        <v>0</v>
      </c>
      <c r="Q182" s="322">
        <f>Councils!R185</f>
        <v>0</v>
      </c>
      <c r="R182" s="322">
        <f>Councils!S185</f>
        <v>0</v>
      </c>
      <c r="S182" s="322">
        <f>Councils!T185</f>
        <v>0</v>
      </c>
      <c r="T182" s="322">
        <f>Councils!U185</f>
        <v>0</v>
      </c>
      <c r="U182" s="323">
        <f>Councils!V185</f>
        <v>0</v>
      </c>
      <c r="V182" s="376">
        <v>209</v>
      </c>
      <c r="W182" s="377">
        <f t="shared" si="2"/>
        <v>2</v>
      </c>
      <c r="X182" s="378" t="str">
        <f>IF(ISNA(VLOOKUP($A182,GA!$A$1:$D$834,3,0))," ",VLOOKUP($A182,GA!$A$1:$D$834,3,0))</f>
        <v>Carlin</v>
      </c>
      <c r="Y182" s="379" t="str">
        <f>IF(ISNA(VLOOKUP($A182,Dormant_Councils!$A$1:$E$811,5,0)),"No",VLOOKUP($A182,Dormant_Councils!$A$1:$E$811,5,0))</f>
        <v>No</v>
      </c>
      <c r="Z182" s="381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22" t="str">
        <f>Councils!C186</f>
        <v>106</v>
      </c>
      <c r="C183" s="322" t="str">
        <f>Councils!D186</f>
        <v>Dallas</v>
      </c>
      <c r="D183" s="322" t="str">
        <f>IF(ISNA(VLOOKUP($V183,DD_Info!$A$1:$E$221,3,0)),0,VLOOKUP($V183,DD_Info!$A$1:$E$221,3,0))</f>
        <v>Dallas</v>
      </c>
      <c r="E183" s="322">
        <f>Councils!E186</f>
        <v>249</v>
      </c>
      <c r="F183" s="322">
        <f>Councils!F186</f>
        <v>12</v>
      </c>
      <c r="G183" s="322">
        <f>Councils!G186</f>
        <v>0</v>
      </c>
      <c r="H183" s="322">
        <f>Councils!H186</f>
        <v>0</v>
      </c>
      <c r="I183" s="322">
        <f>Councils!I186</f>
        <v>0</v>
      </c>
      <c r="J183" s="322">
        <f>Councils!J186</f>
        <v>8</v>
      </c>
      <c r="K183" s="322">
        <f>Councils!K186</f>
        <v>0</v>
      </c>
      <c r="L183" s="322">
        <f>Councils!L186</f>
        <v>8</v>
      </c>
      <c r="M183" s="323">
        <f>Councils!M186</f>
        <v>66.67</v>
      </c>
      <c r="N183" s="322">
        <f>Councils!O186</f>
        <v>0</v>
      </c>
      <c r="O183" s="322">
        <f>Councils!P186</f>
        <v>1</v>
      </c>
      <c r="P183" s="322">
        <f>Councils!Q186</f>
        <v>1</v>
      </c>
      <c r="Q183" s="322">
        <f>Councils!R186</f>
        <v>0</v>
      </c>
      <c r="R183" s="322">
        <f>Councils!S186</f>
        <v>1</v>
      </c>
      <c r="S183" s="322">
        <f>Councils!T186</f>
        <v>2</v>
      </c>
      <c r="T183" s="322">
        <f>Councils!U186</f>
        <v>-1</v>
      </c>
      <c r="U183" s="323">
        <f>Councils!V186</f>
        <v>0</v>
      </c>
      <c r="V183" s="376">
        <v>106</v>
      </c>
      <c r="W183" s="377">
        <f t="shared" si="2"/>
        <v>1</v>
      </c>
      <c r="X183" s="378" t="str">
        <f>IF(ISNA(VLOOKUP($A183,GA!$A$1:$D$834,3,0))," ",VLOOKUP($A183,GA!$A$1:$D$834,3,0))</f>
        <v>Regan</v>
      </c>
      <c r="Y183" s="379" t="str">
        <f>IF(ISNA(VLOOKUP($A183,Dormant_Councils!$A$1:$E$811,5,0)),"No",VLOOKUP($A183,Dormant_Councils!$A$1:$E$811,5,0))</f>
        <v>No</v>
      </c>
      <c r="Z183" s="381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22" t="str">
        <f>Councils!C187</f>
        <v>080</v>
      </c>
      <c r="C184" s="322" t="str">
        <f>Councils!D187</f>
        <v>Houston</v>
      </c>
      <c r="D184" s="322" t="str">
        <f>IF(ISNA(VLOOKUP($V184,DD_Info!$A$1:$E$221,3,0)),0,VLOOKUP($V184,DD_Info!$A$1:$E$221,3,0))</f>
        <v>Galv/Hous</v>
      </c>
      <c r="E184" s="322">
        <f>Councils!E187</f>
        <v>168</v>
      </c>
      <c r="F184" s="322">
        <f>Councils!F187</f>
        <v>8</v>
      </c>
      <c r="G184" s="322">
        <f>Councils!G187</f>
        <v>1</v>
      </c>
      <c r="H184" s="322">
        <f>Councils!H187</f>
        <v>0</v>
      </c>
      <c r="I184" s="322">
        <f>Councils!I187</f>
        <v>1</v>
      </c>
      <c r="J184" s="322">
        <f>Councils!J187</f>
        <v>5</v>
      </c>
      <c r="K184" s="322">
        <f>Councils!K187</f>
        <v>0</v>
      </c>
      <c r="L184" s="322">
        <f>Councils!L187</f>
        <v>5</v>
      </c>
      <c r="M184" s="323">
        <f>Councils!M187</f>
        <v>62.5</v>
      </c>
      <c r="N184" s="322">
        <f>Councils!O187</f>
        <v>0</v>
      </c>
      <c r="O184" s="322">
        <f>Councils!P187</f>
        <v>1</v>
      </c>
      <c r="P184" s="322">
        <f>Councils!Q187</f>
        <v>0</v>
      </c>
      <c r="Q184" s="322">
        <f>Councils!R187</f>
        <v>1</v>
      </c>
      <c r="R184" s="322">
        <f>Councils!S187</f>
        <v>2</v>
      </c>
      <c r="S184" s="322">
        <f>Councils!T187</f>
        <v>1</v>
      </c>
      <c r="T184" s="322">
        <f>Councils!U187</f>
        <v>1</v>
      </c>
      <c r="U184" s="323">
        <f>Councils!V187</f>
        <v>0</v>
      </c>
      <c r="V184" s="376">
        <v>80</v>
      </c>
      <c r="W184" s="377">
        <f t="shared" si="2"/>
        <v>1</v>
      </c>
      <c r="X184" s="378" t="str">
        <f>IF(ISNA(VLOOKUP($A184,GA!$A$1:$D$834,3,0))," ",VLOOKUP($A184,GA!$A$1:$D$834,3,0))</f>
        <v>Supak</v>
      </c>
      <c r="Y184" s="379" t="str">
        <f>IF(ISNA(VLOOKUP($A184,Dormant_Councils!$A$1:$E$811,5,0)),"No",VLOOKUP($A184,Dormant_Councils!$A$1:$E$811,5,0))</f>
        <v>No</v>
      </c>
      <c r="Z184" s="381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22" t="str">
        <f>Councils!C188</f>
        <v>121</v>
      </c>
      <c r="C185" s="322" t="str">
        <f>Councils!D188</f>
        <v>Vidor</v>
      </c>
      <c r="D185" s="322" t="str">
        <f>IF(ISNA(VLOOKUP($V185,DD_Info!$A$1:$E$221,3,0)),0,VLOOKUP($V185,DD_Info!$A$1:$E$221,3,0))</f>
        <v>Beaumont</v>
      </c>
      <c r="E185" s="322">
        <f>Councils!E188</f>
        <v>109</v>
      </c>
      <c r="F185" s="322">
        <f>Councils!F188</f>
        <v>5</v>
      </c>
      <c r="G185" s="322">
        <f>Councils!G188</f>
        <v>0</v>
      </c>
      <c r="H185" s="322">
        <f>Councils!H188</f>
        <v>1</v>
      </c>
      <c r="I185" s="322">
        <f>Councils!I188</f>
        <v>-1</v>
      </c>
      <c r="J185" s="322">
        <f>Councils!J188</f>
        <v>0</v>
      </c>
      <c r="K185" s="322">
        <f>Councils!K188</f>
        <v>1</v>
      </c>
      <c r="L185" s="322">
        <f>Councils!L188</f>
        <v>-1</v>
      </c>
      <c r="M185" s="323">
        <f>Councils!M188</f>
        <v>0</v>
      </c>
      <c r="N185" s="322">
        <f>Councils!O188</f>
        <v>0</v>
      </c>
      <c r="O185" s="322">
        <f>Councils!P188</f>
        <v>0</v>
      </c>
      <c r="P185" s="322">
        <f>Councils!Q188</f>
        <v>2</v>
      </c>
      <c r="Q185" s="322">
        <f>Councils!R188</f>
        <v>-2</v>
      </c>
      <c r="R185" s="322">
        <f>Councils!S188</f>
        <v>0</v>
      </c>
      <c r="S185" s="322">
        <f>Councils!T188</f>
        <v>3</v>
      </c>
      <c r="T185" s="322">
        <f>Councils!U188</f>
        <v>-3</v>
      </c>
      <c r="U185" s="323">
        <f>Councils!V188</f>
        <v>0</v>
      </c>
      <c r="V185" s="376">
        <v>121</v>
      </c>
      <c r="W185" s="377">
        <f t="shared" si="2"/>
        <v>2</v>
      </c>
      <c r="X185" s="378" t="str">
        <f>IF(ISNA(VLOOKUP($A185,GA!$A$1:$D$834,3,0))," ",VLOOKUP($A185,GA!$A$1:$D$834,3,0))</f>
        <v>Rangel</v>
      </c>
      <c r="Y185" s="379" t="str">
        <f>IF(ISNA(VLOOKUP($A185,Dormant_Councils!$A$1:$E$811,5,0)),"No",VLOOKUP($A185,Dormant_Councils!$A$1:$E$811,5,0))</f>
        <v>No</v>
      </c>
      <c r="Z185" s="381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22" t="str">
        <f>Councils!C189</f>
        <v>170</v>
      </c>
      <c r="C186" s="322" t="str">
        <f>Councils!D189</f>
        <v>Corpus Christi</v>
      </c>
      <c r="D186" s="322" t="str">
        <f>IF(ISNA(VLOOKUP($V186,DD_Info!$A$1:$E$221,3,0)),0,VLOOKUP($V186,DD_Info!$A$1:$E$221,3,0))</f>
        <v>Corpus Christi</v>
      </c>
      <c r="E186" s="322">
        <f>Councils!E189</f>
        <v>107</v>
      </c>
      <c r="F186" s="322">
        <f>Councils!F189</f>
        <v>5</v>
      </c>
      <c r="G186" s="322">
        <f>Councils!G189</f>
        <v>0</v>
      </c>
      <c r="H186" s="322">
        <f>Councils!H189</f>
        <v>0</v>
      </c>
      <c r="I186" s="322">
        <f>Councils!I189</f>
        <v>0</v>
      </c>
      <c r="J186" s="322">
        <f>Councils!J189</f>
        <v>4</v>
      </c>
      <c r="K186" s="322">
        <f>Councils!K189</f>
        <v>0</v>
      </c>
      <c r="L186" s="322">
        <f>Councils!L189</f>
        <v>4</v>
      </c>
      <c r="M186" s="323">
        <f>Councils!M189</f>
        <v>80</v>
      </c>
      <c r="N186" s="322">
        <f>Councils!O189</f>
        <v>0</v>
      </c>
      <c r="O186" s="322">
        <f>Councils!P189</f>
        <v>0</v>
      </c>
      <c r="P186" s="322">
        <f>Councils!Q189</f>
        <v>0</v>
      </c>
      <c r="Q186" s="322">
        <f>Councils!R189</f>
        <v>0</v>
      </c>
      <c r="R186" s="322">
        <f>Councils!S189</f>
        <v>0</v>
      </c>
      <c r="S186" s="322">
        <f>Councils!T189</f>
        <v>0</v>
      </c>
      <c r="T186" s="322">
        <f>Councils!U189</f>
        <v>0</v>
      </c>
      <c r="U186" s="323">
        <f>Councils!V189</f>
        <v>0</v>
      </c>
      <c r="V186" s="376">
        <v>170</v>
      </c>
      <c r="W186" s="377">
        <f t="shared" si="2"/>
        <v>2</v>
      </c>
      <c r="X186" s="378" t="str">
        <f>IF(ISNA(VLOOKUP($A186,GA!$A$1:$D$834,3,0))," ",VLOOKUP($A186,GA!$A$1:$D$834,3,0))</f>
        <v>Carlin</v>
      </c>
      <c r="Y186" s="379" t="str">
        <f>IF(ISNA(VLOOKUP($A186,Dormant_Councils!$A$1:$E$811,5,0)),"No",VLOOKUP($A186,Dormant_Councils!$A$1:$E$811,5,0))</f>
        <v>No</v>
      </c>
      <c r="Z186" s="381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22" t="str">
        <f>Councils!C190</f>
        <v>094</v>
      </c>
      <c r="C187" s="322" t="str">
        <f>Councils!D190</f>
        <v>New Waverly</v>
      </c>
      <c r="D187" s="322" t="str">
        <f>IF(ISNA(VLOOKUP($V187,DD_Info!$A$1:$E$221,3,0)),0,VLOOKUP($V187,DD_Info!$A$1:$E$221,3,0))</f>
        <v>Galv/Hous</v>
      </c>
      <c r="E187" s="322">
        <f>Councils!E190</f>
        <v>106</v>
      </c>
      <c r="F187" s="322">
        <f>Councils!F190</f>
        <v>5</v>
      </c>
      <c r="G187" s="322">
        <f>Councils!G190</f>
        <v>0</v>
      </c>
      <c r="H187" s="322">
        <f>Councils!H190</f>
        <v>0</v>
      </c>
      <c r="I187" s="322">
        <f>Councils!I190</f>
        <v>0</v>
      </c>
      <c r="J187" s="322">
        <f>Councils!J190</f>
        <v>0</v>
      </c>
      <c r="K187" s="322">
        <f>Councils!K190</f>
        <v>1</v>
      </c>
      <c r="L187" s="322">
        <f>Councils!L190</f>
        <v>-1</v>
      </c>
      <c r="M187" s="323">
        <f>Councils!M190</f>
        <v>0</v>
      </c>
      <c r="N187" s="322">
        <f>Councils!O190</f>
        <v>0</v>
      </c>
      <c r="O187" s="322">
        <f>Councils!P190</f>
        <v>0</v>
      </c>
      <c r="P187" s="322">
        <f>Councils!Q190</f>
        <v>0</v>
      </c>
      <c r="Q187" s="322">
        <f>Councils!R190</f>
        <v>0</v>
      </c>
      <c r="R187" s="322">
        <f>Councils!S190</f>
        <v>0</v>
      </c>
      <c r="S187" s="322">
        <f>Councils!T190</f>
        <v>1</v>
      </c>
      <c r="T187" s="322">
        <f>Councils!U190</f>
        <v>-1</v>
      </c>
      <c r="U187" s="323">
        <f>Councils!V190</f>
        <v>0</v>
      </c>
      <c r="V187" s="376">
        <v>94</v>
      </c>
      <c r="W187" s="377">
        <f t="shared" si="2"/>
        <v>2</v>
      </c>
      <c r="X187" s="378" t="str">
        <f>IF(ISNA(VLOOKUP($A187,GA!$A$1:$D$834,3,0))," ",VLOOKUP($A187,GA!$A$1:$D$834,3,0))</f>
        <v>Rangel</v>
      </c>
      <c r="Y187" s="379" t="str">
        <f>IF(ISNA(VLOOKUP($A187,Dormant_Councils!$A$1:$E$811,5,0)),"No",VLOOKUP($A187,Dormant_Councils!$A$1:$E$811,5,0))</f>
        <v>No</v>
      </c>
      <c r="Z187" s="381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22" t="str">
        <f>Councils!C191</f>
        <v>156</v>
      </c>
      <c r="C188" s="322" t="str">
        <f>Councils!D191</f>
        <v>Austin</v>
      </c>
      <c r="D188" s="322" t="str">
        <f>IF(ISNA(VLOOKUP($V188,DD_Info!$A$1:$E$221,3,0)),0,VLOOKUP($V188,DD_Info!$A$1:$E$221,3,0))</f>
        <v>Austin</v>
      </c>
      <c r="E188" s="322">
        <f>Councils!E191</f>
        <v>248</v>
      </c>
      <c r="F188" s="322">
        <f>Councils!F191</f>
        <v>12</v>
      </c>
      <c r="G188" s="322">
        <f>Councils!G191</f>
        <v>0</v>
      </c>
      <c r="H188" s="322">
        <f>Councils!H191</f>
        <v>1</v>
      </c>
      <c r="I188" s="322">
        <f>Councils!I191</f>
        <v>-1</v>
      </c>
      <c r="J188" s="322">
        <f>Councils!J191</f>
        <v>3</v>
      </c>
      <c r="K188" s="322">
        <f>Councils!K191</f>
        <v>1</v>
      </c>
      <c r="L188" s="322">
        <f>Councils!L191</f>
        <v>2</v>
      </c>
      <c r="M188" s="323">
        <f>Councils!M191</f>
        <v>16.670000000000002</v>
      </c>
      <c r="N188" s="322">
        <f>Councils!O191</f>
        <v>0</v>
      </c>
      <c r="O188" s="322">
        <f>Councils!P191</f>
        <v>0</v>
      </c>
      <c r="P188" s="322">
        <f>Councils!Q191</f>
        <v>0</v>
      </c>
      <c r="Q188" s="322">
        <f>Councils!R191</f>
        <v>0</v>
      </c>
      <c r="R188" s="322">
        <f>Councils!S191</f>
        <v>1</v>
      </c>
      <c r="S188" s="322">
        <f>Councils!T191</f>
        <v>1</v>
      </c>
      <c r="T188" s="322">
        <f>Councils!U191</f>
        <v>0</v>
      </c>
      <c r="U188" s="323">
        <f>Councils!V191</f>
        <v>0</v>
      </c>
      <c r="V188" s="376">
        <v>156</v>
      </c>
      <c r="W188" s="377">
        <f t="shared" si="2"/>
        <v>1</v>
      </c>
      <c r="X188" s="378" t="str">
        <f>IF(ISNA(VLOOKUP($A188,GA!$A$1:$D$834,3,0))," ",VLOOKUP($A188,GA!$A$1:$D$834,3,0))</f>
        <v>Britten</v>
      </c>
      <c r="Y188" s="379" t="str">
        <f>IF(ISNA(VLOOKUP($A188,Dormant_Councils!$A$1:$E$811,5,0)),"No",VLOOKUP($A188,Dormant_Councils!$A$1:$E$811,5,0))</f>
        <v>No</v>
      </c>
      <c r="Z188" s="381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22" t="str">
        <f>Councils!C192</f>
        <v>Unassigned</v>
      </c>
      <c r="C189" s="322" t="str">
        <f>Councils!D192</f>
        <v>San Antonio</v>
      </c>
      <c r="D189" s="322">
        <f>IF(ISNA(VLOOKUP($V189,DD_Info!$A$1:$E$221,3,0)),0,VLOOKUP($V189,DD_Info!$A$1:$E$221,3,0))</f>
        <v>0</v>
      </c>
      <c r="E189" s="322">
        <f>Councils!E192</f>
        <v>0</v>
      </c>
      <c r="F189" s="322">
        <f>Councils!F192</f>
        <v>0</v>
      </c>
      <c r="G189" s="322">
        <f>Councils!G192</f>
        <v>0</v>
      </c>
      <c r="H189" s="322">
        <f>Councils!H192</f>
        <v>0</v>
      </c>
      <c r="I189" s="322">
        <f>Councils!I192</f>
        <v>0</v>
      </c>
      <c r="J189" s="322">
        <f>Councils!J192</f>
        <v>0</v>
      </c>
      <c r="K189" s="322">
        <f>Councils!K192</f>
        <v>0</v>
      </c>
      <c r="L189" s="322">
        <f>Councils!L192</f>
        <v>0</v>
      </c>
      <c r="M189" s="323">
        <f>Councils!M192</f>
        <v>0</v>
      </c>
      <c r="N189" s="322">
        <f>Councils!O192</f>
        <v>0</v>
      </c>
      <c r="O189" s="322">
        <f>Councils!P192</f>
        <v>0</v>
      </c>
      <c r="P189" s="322">
        <f>Councils!Q192</f>
        <v>0</v>
      </c>
      <c r="Q189" s="322">
        <f>Councils!R192</f>
        <v>0</v>
      </c>
      <c r="R189" s="322">
        <f>Councils!S192</f>
        <v>0</v>
      </c>
      <c r="S189" s="322">
        <f>Councils!T192</f>
        <v>0</v>
      </c>
      <c r="T189" s="322">
        <f>Councils!U192</f>
        <v>0</v>
      </c>
      <c r="U189" s="323">
        <f>Councils!V192</f>
        <v>0</v>
      </c>
      <c r="V189" s="45" t="s">
        <v>93</v>
      </c>
      <c r="W189" s="377">
        <f t="shared" si="2"/>
        <v>3</v>
      </c>
      <c r="X189" s="378" t="str">
        <f>IF(ISNA(VLOOKUP($A189,GA!$A$1:$D$834,3,0))," ",VLOOKUP($A189,GA!$A$1:$D$834,3,0))</f>
        <v>Dougherty</v>
      </c>
      <c r="Y189" s="379" t="str">
        <f>IF(ISNA(VLOOKUP($A189,Dormant_Councils!$A$1:$E$811,5,0)),"No",VLOOKUP($A189,Dormant_Councils!$A$1:$E$811,5,0))</f>
        <v>No</v>
      </c>
      <c r="Z189" s="381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22" t="str">
        <f>Councils!C193</f>
        <v>111</v>
      </c>
      <c r="C190" s="322" t="str">
        <f>Councils!D193</f>
        <v>Plano</v>
      </c>
      <c r="D190" s="322" t="str">
        <f>IF(ISNA(VLOOKUP($V190,DD_Info!$A$1:$E$221,3,0)),0,VLOOKUP($V190,DD_Info!$A$1:$E$221,3,0))</f>
        <v>Dallas</v>
      </c>
      <c r="E190" s="322">
        <f>Councils!E193</f>
        <v>394</v>
      </c>
      <c r="F190" s="322">
        <f>Councils!F193</f>
        <v>19</v>
      </c>
      <c r="G190" s="322">
        <f>Councils!G193</f>
        <v>0</v>
      </c>
      <c r="H190" s="322">
        <f>Councils!H193</f>
        <v>0</v>
      </c>
      <c r="I190" s="322">
        <f>Councils!I193</f>
        <v>0</v>
      </c>
      <c r="J190" s="322">
        <f>Councils!J193</f>
        <v>12</v>
      </c>
      <c r="K190" s="322">
        <f>Councils!K193</f>
        <v>0</v>
      </c>
      <c r="L190" s="322">
        <f>Councils!L193</f>
        <v>12</v>
      </c>
      <c r="M190" s="323">
        <f>Councils!M193</f>
        <v>63.16</v>
      </c>
      <c r="N190" s="322">
        <f>Councils!O193</f>
        <v>0</v>
      </c>
      <c r="O190" s="322">
        <f>Councils!P193</f>
        <v>0</v>
      </c>
      <c r="P190" s="322">
        <f>Councils!Q193</f>
        <v>1</v>
      </c>
      <c r="Q190" s="322">
        <f>Councils!R193</f>
        <v>-1</v>
      </c>
      <c r="R190" s="322">
        <f>Councils!S193</f>
        <v>3</v>
      </c>
      <c r="S190" s="322">
        <f>Councils!T193</f>
        <v>4</v>
      </c>
      <c r="T190" s="322">
        <f>Councils!U193</f>
        <v>-1</v>
      </c>
      <c r="U190" s="323">
        <f>Councils!V193</f>
        <v>0</v>
      </c>
      <c r="V190" s="376">
        <v>111</v>
      </c>
      <c r="W190" s="377">
        <f t="shared" si="2"/>
        <v>1</v>
      </c>
      <c r="X190" s="378" t="str">
        <f>IF(ISNA(VLOOKUP($A190,GA!$A$1:$D$834,3,0))," ",VLOOKUP($A190,GA!$A$1:$D$834,3,0))</f>
        <v>Regan</v>
      </c>
      <c r="Y190" s="379" t="str">
        <f>IF(ISNA(VLOOKUP($A190,Dormant_Councils!$A$1:$E$811,5,0)),"No",VLOOKUP($A190,Dormant_Councils!$A$1:$E$811,5,0))</f>
        <v>No</v>
      </c>
      <c r="Z190" s="381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22" t="str">
        <f>Councils!C194</f>
        <v>Unassigned</v>
      </c>
      <c r="C191" s="322" t="str">
        <f>Councils!D194</f>
        <v>Corpus Christi</v>
      </c>
      <c r="D191" s="322">
        <f>IF(ISNA(VLOOKUP($V191,DD_Info!$A$1:$E$221,3,0)),0,VLOOKUP($V191,DD_Info!$A$1:$E$221,3,0))</f>
        <v>0</v>
      </c>
      <c r="E191" s="322">
        <f>Councils!E194</f>
        <v>68</v>
      </c>
      <c r="F191" s="322">
        <f>Councils!F194</f>
        <v>3</v>
      </c>
      <c r="G191" s="322">
        <f>Councils!G194</f>
        <v>0</v>
      </c>
      <c r="H191" s="322">
        <f>Councils!H194</f>
        <v>0</v>
      </c>
      <c r="I191" s="322">
        <f>Councils!I194</f>
        <v>0</v>
      </c>
      <c r="J191" s="322">
        <f>Councils!J194</f>
        <v>0</v>
      </c>
      <c r="K191" s="322">
        <f>Councils!K194</f>
        <v>0</v>
      </c>
      <c r="L191" s="322">
        <f>Councils!L194</f>
        <v>0</v>
      </c>
      <c r="M191" s="323">
        <f>Councils!M194</f>
        <v>0</v>
      </c>
      <c r="N191" s="322">
        <f>Councils!O194</f>
        <v>0</v>
      </c>
      <c r="O191" s="322">
        <f>Councils!P194</f>
        <v>0</v>
      </c>
      <c r="P191" s="322">
        <f>Councils!Q194</f>
        <v>0</v>
      </c>
      <c r="Q191" s="322">
        <f>Councils!R194</f>
        <v>0</v>
      </c>
      <c r="R191" s="322">
        <f>Councils!S194</f>
        <v>0</v>
      </c>
      <c r="S191" s="322">
        <f>Councils!T194</f>
        <v>2</v>
      </c>
      <c r="T191" s="322">
        <f>Councils!U194</f>
        <v>-2</v>
      </c>
      <c r="U191" s="323">
        <f>Councils!V194</f>
        <v>0</v>
      </c>
      <c r="V191" s="45" t="s">
        <v>93</v>
      </c>
      <c r="W191" s="377">
        <f t="shared" si="2"/>
        <v>2</v>
      </c>
      <c r="X191" s="378" t="str">
        <f>IF(ISNA(VLOOKUP($A191,GA!$A$1:$D$834,3,0))," ",VLOOKUP($A191,GA!$A$1:$D$834,3,0))</f>
        <v>Carlin</v>
      </c>
      <c r="Y191" s="379" t="str">
        <f>IF(ISNA(VLOOKUP($A191,Dormant_Councils!$A$1:$E$811,5,0)),"No",VLOOKUP($A191,Dormant_Councils!$A$1:$E$811,5,0))</f>
        <v>No</v>
      </c>
      <c r="Z191" s="381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22" t="str">
        <f>Councils!C195</f>
        <v>Unassigned</v>
      </c>
      <c r="C192" s="322" t="str">
        <f>Councils!D195</f>
        <v>Marfa</v>
      </c>
      <c r="D192" s="322">
        <f>IF(ISNA(VLOOKUP($V192,DD_Info!$A$1:$E$221,3,0)),0,VLOOKUP($V192,DD_Info!$A$1:$E$221,3,0))</f>
        <v>0</v>
      </c>
      <c r="E192" s="322">
        <f>Councils!E195</f>
        <v>0</v>
      </c>
      <c r="F192" s="322">
        <f>Councils!F195</f>
        <v>0</v>
      </c>
      <c r="G192" s="322">
        <f>Councils!G195</f>
        <v>0</v>
      </c>
      <c r="H192" s="322">
        <f>Councils!H195</f>
        <v>0</v>
      </c>
      <c r="I192" s="322">
        <f>Councils!I195</f>
        <v>0</v>
      </c>
      <c r="J192" s="322">
        <f>Councils!J195</f>
        <v>0</v>
      </c>
      <c r="K192" s="322">
        <f>Councils!K195</f>
        <v>0</v>
      </c>
      <c r="L192" s="322">
        <f>Councils!L195</f>
        <v>0</v>
      </c>
      <c r="M192" s="323">
        <f>Councils!M195</f>
        <v>0</v>
      </c>
      <c r="N192" s="322">
        <f>Councils!O195</f>
        <v>0</v>
      </c>
      <c r="O192" s="322">
        <f>Councils!P195</f>
        <v>0</v>
      </c>
      <c r="P192" s="322">
        <f>Councils!Q195</f>
        <v>0</v>
      </c>
      <c r="Q192" s="322">
        <f>Councils!R195</f>
        <v>0</v>
      </c>
      <c r="R192" s="322">
        <f>Councils!S195</f>
        <v>0</v>
      </c>
      <c r="S192" s="322">
        <f>Councils!T195</f>
        <v>0</v>
      </c>
      <c r="T192" s="322">
        <f>Councils!U195</f>
        <v>0</v>
      </c>
      <c r="U192" s="323">
        <f>Councils!V195</f>
        <v>0</v>
      </c>
      <c r="V192" s="45" t="s">
        <v>93</v>
      </c>
      <c r="W192" s="377">
        <f t="shared" si="2"/>
        <v>3</v>
      </c>
      <c r="X192" s="378" t="str">
        <f>IF(ISNA(VLOOKUP($A192,GA!$A$1:$D$834,3,0))," ",VLOOKUP($A192,GA!$A$1:$D$834,3,0))</f>
        <v>Payne</v>
      </c>
      <c r="Y192" s="379" t="str">
        <f>IF(ISNA(VLOOKUP($A192,Dormant_Councils!$A$1:$E$811,5,0)),"No",VLOOKUP($A192,Dormant_Councils!$A$1:$E$811,5,0))</f>
        <v>No</v>
      </c>
      <c r="Z192" s="381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22" t="str">
        <f>Councils!C196</f>
        <v>071</v>
      </c>
      <c r="C193" s="322" t="str">
        <f>Councils!D196</f>
        <v>Nassau Bay</v>
      </c>
      <c r="D193" s="322" t="str">
        <f>IF(ISNA(VLOOKUP($V193,DD_Info!$A$1:$E$221,3,0)),0,VLOOKUP($V193,DD_Info!$A$1:$E$221,3,0))</f>
        <v>Galv/Hous</v>
      </c>
      <c r="E193" s="322">
        <f>Councils!E196</f>
        <v>160</v>
      </c>
      <c r="F193" s="322">
        <f>Councils!F196</f>
        <v>8</v>
      </c>
      <c r="G193" s="322">
        <f>Councils!G196</f>
        <v>0</v>
      </c>
      <c r="H193" s="322">
        <f>Councils!H196</f>
        <v>0</v>
      </c>
      <c r="I193" s="322">
        <f>Councils!I196</f>
        <v>0</v>
      </c>
      <c r="J193" s="322">
        <f>Councils!J196</f>
        <v>6</v>
      </c>
      <c r="K193" s="322">
        <f>Councils!K196</f>
        <v>1</v>
      </c>
      <c r="L193" s="322">
        <f>Councils!L196</f>
        <v>5</v>
      </c>
      <c r="M193" s="323">
        <f>Councils!M196</f>
        <v>62.5</v>
      </c>
      <c r="N193" s="322">
        <f>Councils!O196</f>
        <v>0</v>
      </c>
      <c r="O193" s="322">
        <f>Councils!P196</f>
        <v>0</v>
      </c>
      <c r="P193" s="322">
        <f>Councils!Q196</f>
        <v>0</v>
      </c>
      <c r="Q193" s="322">
        <f>Councils!R196</f>
        <v>0</v>
      </c>
      <c r="R193" s="322">
        <f>Councils!S196</f>
        <v>2</v>
      </c>
      <c r="S193" s="322">
        <f>Councils!T196</f>
        <v>2</v>
      </c>
      <c r="T193" s="322">
        <f>Councils!U196</f>
        <v>0</v>
      </c>
      <c r="U193" s="323">
        <f>Councils!V196</f>
        <v>0</v>
      </c>
      <c r="V193" s="376">
        <v>71</v>
      </c>
      <c r="W193" s="377">
        <f t="shared" si="2"/>
        <v>1</v>
      </c>
      <c r="X193" s="378" t="str">
        <f>IF(ISNA(VLOOKUP($A193,GA!$A$1:$D$834,3,0))," ",VLOOKUP($A193,GA!$A$1:$D$834,3,0))</f>
        <v>Rangel</v>
      </c>
      <c r="Y193" s="379" t="str">
        <f>IF(ISNA(VLOOKUP($A193,Dormant_Councils!$A$1:$E$811,5,0)),"No",VLOOKUP($A193,Dormant_Councils!$A$1:$E$811,5,0))</f>
        <v>No</v>
      </c>
      <c r="Z193" s="381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22" t="str">
        <f>Councils!C197</f>
        <v>028</v>
      </c>
      <c r="C194" s="322" t="str">
        <f>Councils!D197</f>
        <v>Arlington</v>
      </c>
      <c r="D194" s="322" t="str">
        <f>IF(ISNA(VLOOKUP($V194,DD_Info!$A$1:$E$221,3,0)),0,VLOOKUP($V194,DD_Info!$A$1:$E$221,3,0))</f>
        <v>Fort Worth</v>
      </c>
      <c r="E194" s="322">
        <f>Councils!E197</f>
        <v>396</v>
      </c>
      <c r="F194" s="322">
        <f>Councils!F197</f>
        <v>17</v>
      </c>
      <c r="G194" s="322">
        <f>Councils!G197</f>
        <v>3</v>
      </c>
      <c r="H194" s="322">
        <f>Councils!H197</f>
        <v>1</v>
      </c>
      <c r="I194" s="322">
        <f>Councils!I197</f>
        <v>2</v>
      </c>
      <c r="J194" s="322">
        <f>Councils!J197</f>
        <v>13</v>
      </c>
      <c r="K194" s="322">
        <f>Councils!K197</f>
        <v>2</v>
      </c>
      <c r="L194" s="322">
        <f>Councils!L197</f>
        <v>11</v>
      </c>
      <c r="M194" s="323">
        <f>Councils!M197</f>
        <v>64.709999999999994</v>
      </c>
      <c r="N194" s="322">
        <f>Councils!O197</f>
        <v>0</v>
      </c>
      <c r="O194" s="322">
        <f>Councils!P197</f>
        <v>0</v>
      </c>
      <c r="P194" s="322">
        <f>Councils!Q197</f>
        <v>1</v>
      </c>
      <c r="Q194" s="322">
        <f>Councils!R197</f>
        <v>-1</v>
      </c>
      <c r="R194" s="322">
        <f>Councils!S197</f>
        <v>2</v>
      </c>
      <c r="S194" s="322">
        <f>Councils!T197</f>
        <v>2</v>
      </c>
      <c r="T194" s="322">
        <f>Councils!U197</f>
        <v>0</v>
      </c>
      <c r="U194" s="323">
        <f>Councils!V197</f>
        <v>0</v>
      </c>
      <c r="V194" s="376">
        <v>28</v>
      </c>
      <c r="W194" s="377">
        <f t="shared" si="2"/>
        <v>1</v>
      </c>
      <c r="X194" s="378" t="str">
        <f>IF(ISNA(VLOOKUP($A194,GA!$A$1:$D$834,3,0))," ",VLOOKUP($A194,GA!$A$1:$D$834,3,0))</f>
        <v>Stark</v>
      </c>
      <c r="Y194" s="379" t="str">
        <f>IF(ISNA(VLOOKUP($A194,Dormant_Councils!$A$1:$E$811,5,0)),"No",VLOOKUP($A194,Dormant_Councils!$A$1:$E$811,5,0))</f>
        <v>No</v>
      </c>
      <c r="Z194" s="381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22" t="str">
        <f>Councils!C198</f>
        <v>167</v>
      </c>
      <c r="C195" s="322" t="str">
        <f>Councils!D198</f>
        <v>Corpus Christi</v>
      </c>
      <c r="D195" s="322" t="str">
        <f>IF(ISNA(VLOOKUP($V195,DD_Info!$A$1:$E$221,3,0)),0,VLOOKUP($V195,DD_Info!$A$1:$E$221,3,0))</f>
        <v>Corpus Christi</v>
      </c>
      <c r="E195" s="322">
        <f>Councils!E198</f>
        <v>68</v>
      </c>
      <c r="F195" s="322">
        <f>Councils!F198</f>
        <v>3</v>
      </c>
      <c r="G195" s="322">
        <f>Councils!G198</f>
        <v>0</v>
      </c>
      <c r="H195" s="322">
        <f>Councils!H198</f>
        <v>0</v>
      </c>
      <c r="I195" s="322">
        <f>Councils!I198</f>
        <v>0</v>
      </c>
      <c r="J195" s="322">
        <f>Councils!J198</f>
        <v>4</v>
      </c>
      <c r="K195" s="322">
        <f>Councils!K198</f>
        <v>0</v>
      </c>
      <c r="L195" s="322">
        <f>Councils!L198</f>
        <v>4</v>
      </c>
      <c r="M195" s="323">
        <f>Councils!M198</f>
        <v>133.33000000000001</v>
      </c>
      <c r="N195" s="322">
        <f>Councils!O198</f>
        <v>0</v>
      </c>
      <c r="O195" s="322">
        <f>Councils!P198</f>
        <v>0</v>
      </c>
      <c r="P195" s="322">
        <f>Councils!Q198</f>
        <v>2</v>
      </c>
      <c r="Q195" s="322">
        <f>Councils!R198</f>
        <v>-2</v>
      </c>
      <c r="R195" s="322">
        <f>Councils!S198</f>
        <v>0</v>
      </c>
      <c r="S195" s="322">
        <f>Councils!T198</f>
        <v>2</v>
      </c>
      <c r="T195" s="322">
        <f>Councils!U198</f>
        <v>-2</v>
      </c>
      <c r="U195" s="323">
        <f>Councils!V198</f>
        <v>0</v>
      </c>
      <c r="V195" s="376">
        <v>167</v>
      </c>
      <c r="W195" s="377">
        <f t="shared" ref="W195:W258" si="3">_xlfn.IFS($E195&gt;=140,1,$E195&gt;65,2,$E195&lt;=65,3)</f>
        <v>2</v>
      </c>
      <c r="X195" s="378" t="str">
        <f>IF(ISNA(VLOOKUP($A195,GA!$A$1:$D$834,3,0))," ",VLOOKUP($A195,GA!$A$1:$D$834,3,0))</f>
        <v>Carlin</v>
      </c>
      <c r="Y195" s="379" t="str">
        <f>IF(ISNA(VLOOKUP($A195,Dormant_Councils!$A$1:$E$811,5,0)),"No",VLOOKUP($A195,Dormant_Councils!$A$1:$E$811,5,0))</f>
        <v>No</v>
      </c>
      <c r="Z195" s="381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22" t="str">
        <f>Councils!C199</f>
        <v>048</v>
      </c>
      <c r="C196" s="322" t="str">
        <f>Councils!D199</f>
        <v>Schertz</v>
      </c>
      <c r="D196" s="322" t="str">
        <f>IF(ISNA(VLOOKUP($V196,DD_Info!$A$1:$E$221,3,0)),0,VLOOKUP($V196,DD_Info!$A$1:$E$221,3,0))</f>
        <v>San Antonio</v>
      </c>
      <c r="E196" s="322">
        <f>Councils!E199</f>
        <v>342</v>
      </c>
      <c r="F196" s="322">
        <f>Councils!F199</f>
        <v>16</v>
      </c>
      <c r="G196" s="322">
        <f>Councils!G199</f>
        <v>0</v>
      </c>
      <c r="H196" s="322">
        <f>Councils!H199</f>
        <v>0</v>
      </c>
      <c r="I196" s="322">
        <f>Councils!I199</f>
        <v>0</v>
      </c>
      <c r="J196" s="322">
        <f>Councils!J199</f>
        <v>6</v>
      </c>
      <c r="K196" s="322">
        <f>Councils!K199</f>
        <v>2</v>
      </c>
      <c r="L196" s="322">
        <f>Councils!L199</f>
        <v>4</v>
      </c>
      <c r="M196" s="323">
        <f>Councils!M199</f>
        <v>25</v>
      </c>
      <c r="N196" s="322">
        <f>Councils!O199</f>
        <v>0</v>
      </c>
      <c r="O196" s="322">
        <f>Councils!P199</f>
        <v>2</v>
      </c>
      <c r="P196" s="322">
        <f>Councils!Q199</f>
        <v>0</v>
      </c>
      <c r="Q196" s="322">
        <f>Councils!R199</f>
        <v>2</v>
      </c>
      <c r="R196" s="322">
        <f>Councils!S199</f>
        <v>3</v>
      </c>
      <c r="S196" s="322">
        <f>Councils!T199</f>
        <v>2</v>
      </c>
      <c r="T196" s="322">
        <f>Councils!U199</f>
        <v>1</v>
      </c>
      <c r="U196" s="323">
        <f>Councils!V199</f>
        <v>0</v>
      </c>
      <c r="V196" s="376">
        <v>48</v>
      </c>
      <c r="W196" s="377">
        <f t="shared" si="3"/>
        <v>1</v>
      </c>
      <c r="X196" s="378" t="str">
        <f>IF(ISNA(VLOOKUP($A196,GA!$A$1:$D$834,3,0))," ",VLOOKUP($A196,GA!$A$1:$D$834,3,0))</f>
        <v>Dougherty</v>
      </c>
      <c r="Y196" s="379" t="str">
        <f>IF(ISNA(VLOOKUP($A196,Dormant_Councils!$A$1:$E$811,5,0)),"No",VLOOKUP($A196,Dormant_Councils!$A$1:$E$811,5,0))</f>
        <v>No</v>
      </c>
      <c r="Z196" s="381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22" t="str">
        <f>Councils!C200</f>
        <v>148</v>
      </c>
      <c r="C197" s="322" t="str">
        <f>Councils!D200</f>
        <v>Caldwell</v>
      </c>
      <c r="D197" s="322" t="str">
        <f>IF(ISNA(VLOOKUP($V197,DD_Info!$A$1:$E$221,3,0)),0,VLOOKUP($V197,DD_Info!$A$1:$E$221,3,0))</f>
        <v>Austin</v>
      </c>
      <c r="E197" s="322">
        <f>Councils!E200</f>
        <v>240</v>
      </c>
      <c r="F197" s="322">
        <f>Councils!F200</f>
        <v>11</v>
      </c>
      <c r="G197" s="322">
        <f>Councils!G200</f>
        <v>0</v>
      </c>
      <c r="H197" s="322">
        <f>Councils!H200</f>
        <v>0</v>
      </c>
      <c r="I197" s="322">
        <f>Councils!I200</f>
        <v>0</v>
      </c>
      <c r="J197" s="322">
        <f>Councils!J200</f>
        <v>0</v>
      </c>
      <c r="K197" s="322">
        <f>Councils!K200</f>
        <v>0</v>
      </c>
      <c r="L197" s="322">
        <f>Councils!L200</f>
        <v>0</v>
      </c>
      <c r="M197" s="323">
        <f>Councils!M200</f>
        <v>0</v>
      </c>
      <c r="N197" s="322">
        <f>Councils!O200</f>
        <v>0</v>
      </c>
      <c r="O197" s="322">
        <f>Councils!P200</f>
        <v>0</v>
      </c>
      <c r="P197" s="322">
        <f>Councils!Q200</f>
        <v>0</v>
      </c>
      <c r="Q197" s="322">
        <f>Councils!R200</f>
        <v>0</v>
      </c>
      <c r="R197" s="322">
        <f>Councils!S200</f>
        <v>0</v>
      </c>
      <c r="S197" s="322">
        <f>Councils!T200</f>
        <v>1</v>
      </c>
      <c r="T197" s="322">
        <f>Councils!U200</f>
        <v>-1</v>
      </c>
      <c r="U197" s="323">
        <f>Councils!V200</f>
        <v>0</v>
      </c>
      <c r="V197" s="376">
        <v>148</v>
      </c>
      <c r="W197" s="377">
        <f t="shared" si="3"/>
        <v>1</v>
      </c>
      <c r="X197" s="378" t="str">
        <f>IF(ISNA(VLOOKUP($A197,GA!$A$1:$D$834,3,0))," ",VLOOKUP($A197,GA!$A$1:$D$834,3,0))</f>
        <v>Britten</v>
      </c>
      <c r="Y197" s="379" t="str">
        <f>IF(ISNA(VLOOKUP($A197,Dormant_Councils!$A$1:$E$811,5,0)),"No",VLOOKUP($A197,Dormant_Councils!$A$1:$E$811,5,0))</f>
        <v>No</v>
      </c>
      <c r="Z197" s="381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22" t="str">
        <f>Councils!C201</f>
        <v>113</v>
      </c>
      <c r="C198" s="322" t="str">
        <f>Councils!D201</f>
        <v>Garland</v>
      </c>
      <c r="D198" s="322" t="str">
        <f>IF(ISNA(VLOOKUP($V198,DD_Info!$A$1:$E$221,3,0)),0,VLOOKUP($V198,DD_Info!$A$1:$E$221,3,0))</f>
        <v>Dallas</v>
      </c>
      <c r="E198" s="322">
        <f>Councils!E201</f>
        <v>153</v>
      </c>
      <c r="F198" s="322">
        <f>Councils!F201</f>
        <v>7</v>
      </c>
      <c r="G198" s="322">
        <f>Councils!G201</f>
        <v>0</v>
      </c>
      <c r="H198" s="322">
        <f>Councils!H201</f>
        <v>0</v>
      </c>
      <c r="I198" s="322">
        <f>Councils!I201</f>
        <v>0</v>
      </c>
      <c r="J198" s="322">
        <f>Councils!J201</f>
        <v>0</v>
      </c>
      <c r="K198" s="322">
        <f>Councils!K201</f>
        <v>0</v>
      </c>
      <c r="L198" s="322">
        <f>Councils!L201</f>
        <v>0</v>
      </c>
      <c r="M198" s="323">
        <f>Councils!M201</f>
        <v>0</v>
      </c>
      <c r="N198" s="322">
        <f>Councils!O201</f>
        <v>0</v>
      </c>
      <c r="O198" s="322">
        <f>Councils!P201</f>
        <v>0</v>
      </c>
      <c r="P198" s="322">
        <f>Councils!Q201</f>
        <v>0</v>
      </c>
      <c r="Q198" s="322">
        <f>Councils!R201</f>
        <v>0</v>
      </c>
      <c r="R198" s="322">
        <f>Councils!S201</f>
        <v>0</v>
      </c>
      <c r="S198" s="322">
        <f>Councils!T201</f>
        <v>0</v>
      </c>
      <c r="T198" s="322">
        <f>Councils!U201</f>
        <v>0</v>
      </c>
      <c r="U198" s="323">
        <f>Councils!V201</f>
        <v>0</v>
      </c>
      <c r="V198" s="376">
        <v>113</v>
      </c>
      <c r="W198" s="377">
        <f t="shared" si="3"/>
        <v>1</v>
      </c>
      <c r="X198" s="378" t="str">
        <f>IF(ISNA(VLOOKUP($A198,GA!$A$1:$D$834,3,0))," ",VLOOKUP($A198,GA!$A$1:$D$834,3,0))</f>
        <v>Regan</v>
      </c>
      <c r="Y198" s="379" t="str">
        <f>IF(ISNA(VLOOKUP($A198,Dormant_Councils!$A$1:$E$811,5,0)),"No",VLOOKUP($A198,Dormant_Councils!$A$1:$E$811,5,0))</f>
        <v>No</v>
      </c>
      <c r="Z198" s="381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22" t="str">
        <f>Councils!C202</f>
        <v>069</v>
      </c>
      <c r="C199" s="322" t="str">
        <f>Councils!D202</f>
        <v>Alvin Manvel</v>
      </c>
      <c r="D199" s="322" t="str">
        <f>IF(ISNA(VLOOKUP($V199,DD_Info!$A$1:$E$221,3,0)),0,VLOOKUP($V199,DD_Info!$A$1:$E$221,3,0))</f>
        <v>Galv/Hous</v>
      </c>
      <c r="E199" s="322">
        <f>Councils!E202</f>
        <v>298</v>
      </c>
      <c r="F199" s="322">
        <f>Councils!F202</f>
        <v>14</v>
      </c>
      <c r="G199" s="322">
        <f>Councils!G202</f>
        <v>0</v>
      </c>
      <c r="H199" s="322">
        <f>Councils!H202</f>
        <v>0</v>
      </c>
      <c r="I199" s="322">
        <f>Councils!I202</f>
        <v>0</v>
      </c>
      <c r="J199" s="322">
        <f>Councils!J202</f>
        <v>2</v>
      </c>
      <c r="K199" s="322">
        <f>Councils!K202</f>
        <v>23</v>
      </c>
      <c r="L199" s="322">
        <f>Councils!L202</f>
        <v>-21</v>
      </c>
      <c r="M199" s="323">
        <f>Councils!M202</f>
        <v>0</v>
      </c>
      <c r="N199" s="322">
        <f>Councils!O202</f>
        <v>0</v>
      </c>
      <c r="O199" s="322">
        <f>Councils!P202</f>
        <v>0</v>
      </c>
      <c r="P199" s="322">
        <f>Councils!Q202</f>
        <v>0</v>
      </c>
      <c r="Q199" s="322">
        <f>Councils!R202</f>
        <v>0</v>
      </c>
      <c r="R199" s="322">
        <f>Councils!S202</f>
        <v>2</v>
      </c>
      <c r="S199" s="322">
        <f>Councils!T202</f>
        <v>5</v>
      </c>
      <c r="T199" s="322">
        <f>Councils!U202</f>
        <v>-3</v>
      </c>
      <c r="U199" s="323">
        <f>Councils!V202</f>
        <v>0</v>
      </c>
      <c r="V199" s="376">
        <v>69</v>
      </c>
      <c r="W199" s="377">
        <f t="shared" si="3"/>
        <v>1</v>
      </c>
      <c r="X199" s="378" t="str">
        <f>IF(ISNA(VLOOKUP($A199,GA!$A$1:$D$834,3,0))," ",VLOOKUP($A199,GA!$A$1:$D$834,3,0))</f>
        <v>Rangel</v>
      </c>
      <c r="Y199" s="379" t="str">
        <f>IF(ISNA(VLOOKUP($A199,Dormant_Councils!$A$1:$E$811,5,0)),"No",VLOOKUP($A199,Dormant_Councils!$A$1:$E$811,5,0))</f>
        <v>No</v>
      </c>
      <c r="Z199" s="381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22" t="str">
        <f>Councils!C203</f>
        <v>041</v>
      </c>
      <c r="C200" s="322" t="str">
        <f>Councils!D203</f>
        <v>Kerrville</v>
      </c>
      <c r="D200" s="322" t="str">
        <f>IF(ISNA(VLOOKUP($V200,DD_Info!$A$1:$E$221,3,0)),0,VLOOKUP($V200,DD_Info!$A$1:$E$221,3,0))</f>
        <v>San Antonio</v>
      </c>
      <c r="E200" s="322">
        <f>Councils!E203</f>
        <v>215</v>
      </c>
      <c r="F200" s="322">
        <f>Councils!F203</f>
        <v>10</v>
      </c>
      <c r="G200" s="322">
        <f>Councils!G203</f>
        <v>0</v>
      </c>
      <c r="H200" s="322">
        <f>Councils!H203</f>
        <v>0</v>
      </c>
      <c r="I200" s="322">
        <f>Councils!I203</f>
        <v>0</v>
      </c>
      <c r="J200" s="322">
        <f>Councils!J203</f>
        <v>0</v>
      </c>
      <c r="K200" s="322">
        <f>Councils!K203</f>
        <v>0</v>
      </c>
      <c r="L200" s="322">
        <f>Councils!L203</f>
        <v>0</v>
      </c>
      <c r="M200" s="323">
        <f>Councils!M203</f>
        <v>0</v>
      </c>
      <c r="N200" s="322">
        <f>Councils!O203</f>
        <v>0</v>
      </c>
      <c r="O200" s="322">
        <f>Councils!P203</f>
        <v>0</v>
      </c>
      <c r="P200" s="322">
        <f>Councils!Q203</f>
        <v>0</v>
      </c>
      <c r="Q200" s="322">
        <f>Councils!R203</f>
        <v>0</v>
      </c>
      <c r="R200" s="322">
        <f>Councils!S203</f>
        <v>1</v>
      </c>
      <c r="S200" s="322">
        <f>Councils!T203</f>
        <v>1</v>
      </c>
      <c r="T200" s="322">
        <f>Councils!U203</f>
        <v>0</v>
      </c>
      <c r="U200" s="323">
        <f>Councils!V203</f>
        <v>0</v>
      </c>
      <c r="V200" s="376">
        <v>41</v>
      </c>
      <c r="W200" s="377">
        <f t="shared" si="3"/>
        <v>1</v>
      </c>
      <c r="X200" s="378" t="str">
        <f>IF(ISNA(VLOOKUP($A200,GA!$A$1:$D$834,3,0))," ",VLOOKUP($A200,GA!$A$1:$D$834,3,0))</f>
        <v>Dougherty</v>
      </c>
      <c r="Y200" s="379" t="str">
        <f>IF(ISNA(VLOOKUP($A200,Dormant_Councils!$A$1:$E$811,5,0)),"No",VLOOKUP($A200,Dormant_Councils!$A$1:$E$811,5,0))</f>
        <v>No</v>
      </c>
      <c r="Z200" s="381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22" t="str">
        <f>Councils!C204</f>
        <v>171</v>
      </c>
      <c r="C201" s="322" t="str">
        <f>Councils!D204</f>
        <v>Portland</v>
      </c>
      <c r="D201" s="322" t="str">
        <f>IF(ISNA(VLOOKUP($V201,DD_Info!$A$1:$E$221,3,0)),0,VLOOKUP($V201,DD_Info!$A$1:$E$221,3,0))</f>
        <v>Corpus Christi</v>
      </c>
      <c r="E201" s="322">
        <f>Councils!E204</f>
        <v>224</v>
      </c>
      <c r="F201" s="322">
        <f>Councils!F204</f>
        <v>11</v>
      </c>
      <c r="G201" s="322">
        <f>Councils!G204</f>
        <v>0</v>
      </c>
      <c r="H201" s="322">
        <f>Councils!H204</f>
        <v>0</v>
      </c>
      <c r="I201" s="322">
        <f>Councils!I204</f>
        <v>0</v>
      </c>
      <c r="J201" s="322">
        <f>Councils!J204</f>
        <v>5</v>
      </c>
      <c r="K201" s="322">
        <f>Councils!K204</f>
        <v>0</v>
      </c>
      <c r="L201" s="322">
        <f>Councils!L204</f>
        <v>5</v>
      </c>
      <c r="M201" s="323">
        <f>Councils!M204</f>
        <v>45.45</v>
      </c>
      <c r="N201" s="322">
        <f>Councils!O204</f>
        <v>0</v>
      </c>
      <c r="O201" s="322">
        <f>Councils!P204</f>
        <v>0</v>
      </c>
      <c r="P201" s="322">
        <f>Councils!Q204</f>
        <v>1</v>
      </c>
      <c r="Q201" s="322">
        <f>Councils!R204</f>
        <v>-1</v>
      </c>
      <c r="R201" s="322">
        <f>Councils!S204</f>
        <v>2</v>
      </c>
      <c r="S201" s="322">
        <f>Councils!T204</f>
        <v>2</v>
      </c>
      <c r="T201" s="322">
        <f>Councils!U204</f>
        <v>0</v>
      </c>
      <c r="U201" s="323">
        <f>Councils!V204</f>
        <v>0</v>
      </c>
      <c r="V201" s="376">
        <v>171</v>
      </c>
      <c r="W201" s="377">
        <f t="shared" si="3"/>
        <v>1</v>
      </c>
      <c r="X201" s="378" t="str">
        <f>IF(ISNA(VLOOKUP($A201,GA!$A$1:$D$834,3,0))," ",VLOOKUP($A201,GA!$A$1:$D$834,3,0))</f>
        <v>Carlin</v>
      </c>
      <c r="Y201" s="379" t="str">
        <f>IF(ISNA(VLOOKUP($A201,Dormant_Councils!$A$1:$E$811,5,0)),"No",VLOOKUP($A201,Dormant_Councils!$A$1:$E$811,5,0))</f>
        <v>No</v>
      </c>
      <c r="Z201" s="381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22" t="str">
        <f>Councils!C205</f>
        <v>149</v>
      </c>
      <c r="C202" s="322" t="str">
        <f>Councils!D205</f>
        <v>Georgetown</v>
      </c>
      <c r="D202" s="322" t="str">
        <f>IF(ISNA(VLOOKUP($V202,DD_Info!$A$1:$E$221,3,0)),0,VLOOKUP($V202,DD_Info!$A$1:$E$221,3,0))</f>
        <v>Austin</v>
      </c>
      <c r="E202" s="322">
        <f>Councils!E205</f>
        <v>206</v>
      </c>
      <c r="F202" s="322">
        <f>Councils!F205</f>
        <v>10</v>
      </c>
      <c r="G202" s="322">
        <f>Councils!G205</f>
        <v>0</v>
      </c>
      <c r="H202" s="322">
        <f>Councils!H205</f>
        <v>0</v>
      </c>
      <c r="I202" s="322">
        <f>Councils!I205</f>
        <v>0</v>
      </c>
      <c r="J202" s="322">
        <f>Councils!J205</f>
        <v>2</v>
      </c>
      <c r="K202" s="322">
        <f>Councils!K205</f>
        <v>0</v>
      </c>
      <c r="L202" s="322">
        <f>Councils!L205</f>
        <v>2</v>
      </c>
      <c r="M202" s="323">
        <f>Councils!M205</f>
        <v>20</v>
      </c>
      <c r="N202" s="322">
        <f>Councils!O205</f>
        <v>0</v>
      </c>
      <c r="O202" s="322">
        <f>Councils!P205</f>
        <v>0</v>
      </c>
      <c r="P202" s="322">
        <f>Councils!Q205</f>
        <v>0</v>
      </c>
      <c r="Q202" s="322">
        <f>Councils!R205</f>
        <v>0</v>
      </c>
      <c r="R202" s="322">
        <f>Councils!S205</f>
        <v>1</v>
      </c>
      <c r="S202" s="322">
        <f>Councils!T205</f>
        <v>0</v>
      </c>
      <c r="T202" s="322">
        <f>Councils!U205</f>
        <v>1</v>
      </c>
      <c r="U202" s="323">
        <f>Councils!V205</f>
        <v>0</v>
      </c>
      <c r="V202" s="376">
        <v>149</v>
      </c>
      <c r="W202" s="377">
        <f t="shared" si="3"/>
        <v>1</v>
      </c>
      <c r="X202" s="378" t="str">
        <f>IF(ISNA(VLOOKUP($A202,GA!$A$1:$D$834,3,0))," ",VLOOKUP($A202,GA!$A$1:$D$834,3,0))</f>
        <v>Britten</v>
      </c>
      <c r="Y202" s="379" t="str">
        <f>IF(ISNA(VLOOKUP($A202,Dormant_Councils!$A$1:$E$811,5,0)),"No",VLOOKUP($A202,Dormant_Councils!$A$1:$E$811,5,0))</f>
        <v>No</v>
      </c>
      <c r="Z202" s="381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22" t="str">
        <f>Councils!C206</f>
        <v>094</v>
      </c>
      <c r="C203" s="322" t="str">
        <f>Councils!D206</f>
        <v>Conroe</v>
      </c>
      <c r="D203" s="322" t="str">
        <f>IF(ISNA(VLOOKUP($V203,DD_Info!$A$1:$E$221,3,0)),0,VLOOKUP($V203,DD_Info!$A$1:$E$221,3,0))</f>
        <v>Galv/Hous</v>
      </c>
      <c r="E203" s="322">
        <f>Councils!E206</f>
        <v>324</v>
      </c>
      <c r="F203" s="322">
        <f>Councils!F206</f>
        <v>15</v>
      </c>
      <c r="G203" s="322">
        <f>Councils!G206</f>
        <v>1</v>
      </c>
      <c r="H203" s="322">
        <f>Councils!H206</f>
        <v>0</v>
      </c>
      <c r="I203" s="322">
        <f>Councils!I206</f>
        <v>1</v>
      </c>
      <c r="J203" s="322">
        <f>Councils!J206</f>
        <v>1</v>
      </c>
      <c r="K203" s="322">
        <f>Councils!K206</f>
        <v>0</v>
      </c>
      <c r="L203" s="322">
        <f>Councils!L206</f>
        <v>1</v>
      </c>
      <c r="M203" s="323">
        <f>Councils!M206</f>
        <v>6.67</v>
      </c>
      <c r="N203" s="322">
        <f>Councils!O206</f>
        <v>0</v>
      </c>
      <c r="O203" s="322">
        <f>Councils!P206</f>
        <v>0</v>
      </c>
      <c r="P203" s="322">
        <f>Councils!Q206</f>
        <v>1</v>
      </c>
      <c r="Q203" s="322">
        <f>Councils!R206</f>
        <v>-1</v>
      </c>
      <c r="R203" s="322">
        <f>Councils!S206</f>
        <v>0</v>
      </c>
      <c r="S203" s="322">
        <f>Councils!T206</f>
        <v>2</v>
      </c>
      <c r="T203" s="322">
        <f>Councils!U206</f>
        <v>-2</v>
      </c>
      <c r="U203" s="323">
        <f>Councils!V206</f>
        <v>0</v>
      </c>
      <c r="V203" s="376">
        <v>94</v>
      </c>
      <c r="W203" s="377">
        <f t="shared" si="3"/>
        <v>1</v>
      </c>
      <c r="X203" s="378" t="str">
        <f>IF(ISNA(VLOOKUP($A203,GA!$A$1:$D$834,3,0))," ",VLOOKUP($A203,GA!$A$1:$D$834,3,0))</f>
        <v>Rangel</v>
      </c>
      <c r="Y203" s="379" t="str">
        <f>IF(ISNA(VLOOKUP($A203,Dormant_Councils!$A$1:$E$811,5,0)),"No",VLOOKUP($A203,Dormant_Councils!$A$1:$E$811,5,0))</f>
        <v>No</v>
      </c>
      <c r="Z203" s="381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22" t="str">
        <f>Councils!C207</f>
        <v>082</v>
      </c>
      <c r="C204" s="322" t="str">
        <f>Councils!D207</f>
        <v>Houston</v>
      </c>
      <c r="D204" s="322" t="str">
        <f>IF(ISNA(VLOOKUP($V204,DD_Info!$A$1:$E$221,3,0)),0,VLOOKUP($V204,DD_Info!$A$1:$E$221,3,0))</f>
        <v>Galv/Hous</v>
      </c>
      <c r="E204" s="322">
        <f>Councils!E207</f>
        <v>312</v>
      </c>
      <c r="F204" s="322">
        <f>Councils!F207</f>
        <v>15</v>
      </c>
      <c r="G204" s="322">
        <f>Councils!G207</f>
        <v>0</v>
      </c>
      <c r="H204" s="322">
        <f>Councils!H207</f>
        <v>6</v>
      </c>
      <c r="I204" s="322">
        <f>Councils!I207</f>
        <v>-6</v>
      </c>
      <c r="J204" s="322">
        <f>Councils!J207</f>
        <v>5</v>
      </c>
      <c r="K204" s="322">
        <f>Councils!K207</f>
        <v>21</v>
      </c>
      <c r="L204" s="322">
        <f>Councils!L207</f>
        <v>-16</v>
      </c>
      <c r="M204" s="323">
        <f>Councils!M207</f>
        <v>0</v>
      </c>
      <c r="N204" s="322">
        <f>Councils!O207</f>
        <v>0</v>
      </c>
      <c r="O204" s="322">
        <f>Councils!P207</f>
        <v>0</v>
      </c>
      <c r="P204" s="322">
        <f>Councils!Q207</f>
        <v>2</v>
      </c>
      <c r="Q204" s="322">
        <f>Councils!R207</f>
        <v>-2</v>
      </c>
      <c r="R204" s="322">
        <f>Councils!S207</f>
        <v>5</v>
      </c>
      <c r="S204" s="322">
        <f>Councils!T207</f>
        <v>11</v>
      </c>
      <c r="T204" s="322">
        <f>Councils!U207</f>
        <v>-6</v>
      </c>
      <c r="U204" s="323">
        <f>Councils!V207</f>
        <v>0</v>
      </c>
      <c r="V204" s="376">
        <v>82</v>
      </c>
      <c r="W204" s="377">
        <f t="shared" si="3"/>
        <v>1</v>
      </c>
      <c r="X204" s="378" t="str">
        <f>IF(ISNA(VLOOKUP($A204,GA!$A$1:$D$834,3,0))," ",VLOOKUP($A204,GA!$A$1:$D$834,3,0))</f>
        <v>Supak</v>
      </c>
      <c r="Y204" s="379" t="str">
        <f>IF(ISNA(VLOOKUP($A204,Dormant_Councils!$A$1:$E$811,5,0)),"No",VLOOKUP($A204,Dormant_Councils!$A$1:$E$811,5,0))</f>
        <v>No</v>
      </c>
      <c r="Z204" s="381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22" t="str">
        <f>Councils!C208</f>
        <v>093</v>
      </c>
      <c r="C205" s="322" t="str">
        <f>Councils!D208</f>
        <v>Spring</v>
      </c>
      <c r="D205" s="322" t="str">
        <f>IF(ISNA(VLOOKUP($V205,DD_Info!$A$1:$E$221,3,0)),0,VLOOKUP($V205,DD_Info!$A$1:$E$221,3,0))</f>
        <v>Galv/Hous</v>
      </c>
      <c r="E205" s="322">
        <f>Councils!E208</f>
        <v>368</v>
      </c>
      <c r="F205" s="322">
        <f>Councils!F208</f>
        <v>17</v>
      </c>
      <c r="G205" s="322">
        <f>Councils!G208</f>
        <v>0</v>
      </c>
      <c r="H205" s="322">
        <f>Councils!H208</f>
        <v>0</v>
      </c>
      <c r="I205" s="322">
        <f>Councils!I208</f>
        <v>0</v>
      </c>
      <c r="J205" s="322">
        <f>Councils!J208</f>
        <v>3</v>
      </c>
      <c r="K205" s="322">
        <f>Councils!K208</f>
        <v>0</v>
      </c>
      <c r="L205" s="322">
        <f>Councils!L208</f>
        <v>3</v>
      </c>
      <c r="M205" s="323">
        <f>Councils!M208</f>
        <v>17.649999999999999</v>
      </c>
      <c r="N205" s="322">
        <f>Councils!O208</f>
        <v>0</v>
      </c>
      <c r="O205" s="322">
        <f>Councils!P208</f>
        <v>0</v>
      </c>
      <c r="P205" s="322">
        <f>Councils!Q208</f>
        <v>1</v>
      </c>
      <c r="Q205" s="322">
        <f>Councils!R208</f>
        <v>-1</v>
      </c>
      <c r="R205" s="322">
        <f>Councils!S208</f>
        <v>2</v>
      </c>
      <c r="S205" s="322">
        <f>Councils!T208</f>
        <v>2</v>
      </c>
      <c r="T205" s="322">
        <f>Councils!U208</f>
        <v>0</v>
      </c>
      <c r="U205" s="323">
        <f>Councils!V208</f>
        <v>0</v>
      </c>
      <c r="V205" s="376">
        <v>93</v>
      </c>
      <c r="W205" s="377">
        <f t="shared" si="3"/>
        <v>1</v>
      </c>
      <c r="X205" s="378" t="str">
        <f>IF(ISNA(VLOOKUP($A205,GA!$A$1:$D$834,3,0))," ",VLOOKUP($A205,GA!$A$1:$D$834,3,0))</f>
        <v>Rangel</v>
      </c>
      <c r="Y205" s="379" t="str">
        <f>IF(ISNA(VLOOKUP($A205,Dormant_Councils!$A$1:$E$811,5,0)),"No",VLOOKUP($A205,Dormant_Councils!$A$1:$E$811,5,0))</f>
        <v>No</v>
      </c>
      <c r="Z205" s="381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22" t="str">
        <f>Councils!C209</f>
        <v>228</v>
      </c>
      <c r="C206" s="322" t="str">
        <f>Councils!D209</f>
        <v>Sweetwater</v>
      </c>
      <c r="D206" s="322" t="str">
        <f>IF(ISNA(VLOOKUP($V206,DD_Info!$A$1:$E$221,3,0)),0,VLOOKUP($V206,DD_Info!$A$1:$E$221,3,0))</f>
        <v>San Angelo</v>
      </c>
      <c r="E206" s="322">
        <f>Councils!E209</f>
        <v>72</v>
      </c>
      <c r="F206" s="322">
        <f>Councils!F209</f>
        <v>3</v>
      </c>
      <c r="G206" s="322">
        <f>Councils!G209</f>
        <v>0</v>
      </c>
      <c r="H206" s="322">
        <f>Councils!H209</f>
        <v>0</v>
      </c>
      <c r="I206" s="322">
        <f>Councils!I209</f>
        <v>0</v>
      </c>
      <c r="J206" s="322">
        <f>Councils!J209</f>
        <v>0</v>
      </c>
      <c r="K206" s="322">
        <f>Councils!K209</f>
        <v>0</v>
      </c>
      <c r="L206" s="322">
        <f>Councils!L209</f>
        <v>0</v>
      </c>
      <c r="M206" s="323">
        <f>Councils!M209</f>
        <v>0</v>
      </c>
      <c r="N206" s="322">
        <f>Councils!O209</f>
        <v>0</v>
      </c>
      <c r="O206" s="322">
        <f>Councils!P209</f>
        <v>0</v>
      </c>
      <c r="P206" s="322">
        <f>Councils!Q209</f>
        <v>0</v>
      </c>
      <c r="Q206" s="322">
        <f>Councils!R209</f>
        <v>0</v>
      </c>
      <c r="R206" s="322">
        <f>Councils!S209</f>
        <v>0</v>
      </c>
      <c r="S206" s="322">
        <f>Councils!T209</f>
        <v>0</v>
      </c>
      <c r="T206" s="322">
        <f>Councils!U209</f>
        <v>0</v>
      </c>
      <c r="U206" s="323">
        <f>Councils!V209</f>
        <v>0</v>
      </c>
      <c r="V206" s="376">
        <v>228</v>
      </c>
      <c r="W206" s="377">
        <f t="shared" si="3"/>
        <v>2</v>
      </c>
      <c r="X206" s="378" t="str">
        <f>IF(ISNA(VLOOKUP($A206,GA!$A$1:$D$834,3,0))," ",VLOOKUP($A206,GA!$A$1:$D$834,3,0))</f>
        <v>Payne</v>
      </c>
      <c r="Y206" s="379" t="str">
        <f>IF(ISNA(VLOOKUP($A206,Dormant_Councils!$A$1:$E$811,5,0)),"No",VLOOKUP($A206,Dormant_Councils!$A$1:$E$811,5,0))</f>
        <v>Dormant</v>
      </c>
      <c r="Z206" s="381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22" t="str">
        <f>Councils!C210</f>
        <v>055</v>
      </c>
      <c r="C207" s="322" t="str">
        <f>Councils!D210</f>
        <v>Floresville</v>
      </c>
      <c r="D207" s="322" t="str">
        <f>IF(ISNA(VLOOKUP($V207,DD_Info!$A$1:$E$221,3,0)),0,VLOOKUP($V207,DD_Info!$A$1:$E$221,3,0))</f>
        <v>San Antonio</v>
      </c>
      <c r="E207" s="322">
        <f>Councils!E210</f>
        <v>197</v>
      </c>
      <c r="F207" s="322">
        <f>Councils!F210</f>
        <v>10</v>
      </c>
      <c r="G207" s="322">
        <f>Councils!G210</f>
        <v>0</v>
      </c>
      <c r="H207" s="322">
        <f>Councils!H210</f>
        <v>0</v>
      </c>
      <c r="I207" s="322">
        <f>Councils!I210</f>
        <v>0</v>
      </c>
      <c r="J207" s="322">
        <f>Councils!J210</f>
        <v>3</v>
      </c>
      <c r="K207" s="322">
        <f>Councils!K210</f>
        <v>0</v>
      </c>
      <c r="L207" s="322">
        <f>Councils!L210</f>
        <v>3</v>
      </c>
      <c r="M207" s="323">
        <f>Councils!M210</f>
        <v>30</v>
      </c>
      <c r="N207" s="322">
        <f>Councils!O210</f>
        <v>0</v>
      </c>
      <c r="O207" s="322">
        <f>Councils!P210</f>
        <v>0</v>
      </c>
      <c r="P207" s="322">
        <f>Councils!Q210</f>
        <v>0</v>
      </c>
      <c r="Q207" s="322">
        <f>Councils!R210</f>
        <v>0</v>
      </c>
      <c r="R207" s="322">
        <f>Councils!S210</f>
        <v>0</v>
      </c>
      <c r="S207" s="322">
        <f>Councils!T210</f>
        <v>0</v>
      </c>
      <c r="T207" s="322">
        <f>Councils!U210</f>
        <v>0</v>
      </c>
      <c r="U207" s="323">
        <f>Councils!V210</f>
        <v>0</v>
      </c>
      <c r="V207" s="376">
        <v>55</v>
      </c>
      <c r="W207" s="377">
        <f t="shared" si="3"/>
        <v>1</v>
      </c>
      <c r="X207" s="378" t="str">
        <f>IF(ISNA(VLOOKUP($A207,GA!$A$1:$D$834,3,0))," ",VLOOKUP($A207,GA!$A$1:$D$834,3,0))</f>
        <v>Dougherty</v>
      </c>
      <c r="Y207" s="379" t="str">
        <f>IF(ISNA(VLOOKUP($A207,Dormant_Councils!$A$1:$E$811,5,0)),"No",VLOOKUP($A207,Dormant_Councils!$A$1:$E$811,5,0))</f>
        <v>No</v>
      </c>
      <c r="Z207" s="381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22" t="str">
        <f>Councils!C211</f>
        <v>147</v>
      </c>
      <c r="C208" s="322" t="str">
        <f>Councils!D211</f>
        <v>Copperas Cove</v>
      </c>
      <c r="D208" s="322" t="str">
        <f>IF(ISNA(VLOOKUP($V208,DD_Info!$A$1:$E$221,3,0)),0,VLOOKUP($V208,DD_Info!$A$1:$E$221,3,0))</f>
        <v>Austin</v>
      </c>
      <c r="E208" s="322">
        <f>Councils!E211</f>
        <v>154</v>
      </c>
      <c r="F208" s="322">
        <f>Councils!F211</f>
        <v>7</v>
      </c>
      <c r="G208" s="322">
        <f>Councils!G211</f>
        <v>0</v>
      </c>
      <c r="H208" s="322">
        <f>Councils!H211</f>
        <v>0</v>
      </c>
      <c r="I208" s="322">
        <f>Councils!I211</f>
        <v>0</v>
      </c>
      <c r="J208" s="322">
        <f>Councils!J211</f>
        <v>1</v>
      </c>
      <c r="K208" s="322">
        <f>Councils!K211</f>
        <v>0</v>
      </c>
      <c r="L208" s="322">
        <f>Councils!L211</f>
        <v>1</v>
      </c>
      <c r="M208" s="323">
        <f>Councils!M211</f>
        <v>14.29</v>
      </c>
      <c r="N208" s="322">
        <f>Councils!O211</f>
        <v>0</v>
      </c>
      <c r="O208" s="322">
        <f>Councils!P211</f>
        <v>0</v>
      </c>
      <c r="P208" s="322">
        <f>Councils!Q211</f>
        <v>0</v>
      </c>
      <c r="Q208" s="322">
        <f>Councils!R211</f>
        <v>0</v>
      </c>
      <c r="R208" s="322">
        <f>Councils!S211</f>
        <v>0</v>
      </c>
      <c r="S208" s="322">
        <f>Councils!T211</f>
        <v>1</v>
      </c>
      <c r="T208" s="322">
        <f>Councils!U211</f>
        <v>-1</v>
      </c>
      <c r="U208" s="323">
        <f>Councils!V211</f>
        <v>0</v>
      </c>
      <c r="V208" s="376">
        <v>147</v>
      </c>
      <c r="W208" s="377">
        <f t="shared" si="3"/>
        <v>1</v>
      </c>
      <c r="X208" s="378" t="str">
        <f>IF(ISNA(VLOOKUP($A208,GA!$A$1:$D$834,3,0))," ",VLOOKUP($A208,GA!$A$1:$D$834,3,0))</f>
        <v>Britten</v>
      </c>
      <c r="Y208" s="379" t="str">
        <f>IF(ISNA(VLOOKUP($A208,Dormant_Councils!$A$1:$E$811,5,0)),"No",VLOOKUP($A208,Dormant_Councils!$A$1:$E$811,5,0))</f>
        <v>No</v>
      </c>
      <c r="Z208" s="381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22" t="str">
        <f>Councils!C212</f>
        <v>136</v>
      </c>
      <c r="C209" s="322" t="str">
        <f>Councils!D212</f>
        <v>Dangfld-Mtplesnt-Pitsbg-Mtvern</v>
      </c>
      <c r="D209" s="322" t="str">
        <f>IF(ISNA(VLOOKUP($V209,DD_Info!$A$1:$E$221,3,0)),0,VLOOKUP($V209,DD_Info!$A$1:$E$221,3,0))</f>
        <v>Tyler</v>
      </c>
      <c r="E209" s="322">
        <f>Councils!E212</f>
        <v>57</v>
      </c>
      <c r="F209" s="322">
        <f>Councils!F212</f>
        <v>3</v>
      </c>
      <c r="G209" s="322">
        <f>Councils!G212</f>
        <v>0</v>
      </c>
      <c r="H209" s="322">
        <f>Councils!H212</f>
        <v>1</v>
      </c>
      <c r="I209" s="322">
        <f>Councils!I212</f>
        <v>-1</v>
      </c>
      <c r="J209" s="322">
        <f>Councils!J212</f>
        <v>1</v>
      </c>
      <c r="K209" s="322">
        <f>Councils!K212</f>
        <v>1</v>
      </c>
      <c r="L209" s="322">
        <f>Councils!L212</f>
        <v>0</v>
      </c>
      <c r="M209" s="323">
        <f>Councils!M212</f>
        <v>0</v>
      </c>
      <c r="N209" s="322">
        <f>Councils!O212</f>
        <v>0</v>
      </c>
      <c r="O209" s="322">
        <f>Councils!P212</f>
        <v>0</v>
      </c>
      <c r="P209" s="322">
        <f>Councils!Q212</f>
        <v>1</v>
      </c>
      <c r="Q209" s="322">
        <f>Councils!R212</f>
        <v>-1</v>
      </c>
      <c r="R209" s="322">
        <f>Councils!S212</f>
        <v>0</v>
      </c>
      <c r="S209" s="322">
        <f>Councils!T212</f>
        <v>1</v>
      </c>
      <c r="T209" s="322">
        <f>Councils!U212</f>
        <v>-1</v>
      </c>
      <c r="U209" s="323">
        <f>Councils!V212</f>
        <v>0</v>
      </c>
      <c r="V209" s="376">
        <v>136</v>
      </c>
      <c r="W209" s="377">
        <f t="shared" si="3"/>
        <v>3</v>
      </c>
      <c r="X209" s="378" t="str">
        <f>IF(ISNA(VLOOKUP($A209,GA!$A$1:$D$834,3,0))," ",VLOOKUP($A209,GA!$A$1:$D$834,3,0))</f>
        <v>Regan</v>
      </c>
      <c r="Y209" s="379" t="str">
        <f>IF(ISNA(VLOOKUP($A209,Dormant_Councils!$A$1:$E$811,5,0)),"No",VLOOKUP($A209,Dormant_Councils!$A$1:$E$811,5,0))</f>
        <v>No</v>
      </c>
      <c r="Z209" s="381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22" t="str">
        <f>Councils!C213</f>
        <v>001</v>
      </c>
      <c r="C210" s="322" t="str">
        <f>Councils!D213</f>
        <v>El Paso</v>
      </c>
      <c r="D210" s="322" t="str">
        <f>IF(ISNA(VLOOKUP($V210,DD_Info!$A$1:$E$221,3,0)),0,VLOOKUP($V210,DD_Info!$A$1:$E$221,3,0))</f>
        <v>El Paso</v>
      </c>
      <c r="E210" s="322">
        <f>Councils!E213</f>
        <v>118</v>
      </c>
      <c r="F210" s="322">
        <f>Councils!F213</f>
        <v>6</v>
      </c>
      <c r="G210" s="322">
        <f>Councils!G213</f>
        <v>0</v>
      </c>
      <c r="H210" s="322">
        <f>Councils!H213</f>
        <v>0</v>
      </c>
      <c r="I210" s="322">
        <f>Councils!I213</f>
        <v>0</v>
      </c>
      <c r="J210" s="322">
        <f>Councils!J213</f>
        <v>1</v>
      </c>
      <c r="K210" s="322">
        <f>Councils!K213</f>
        <v>0</v>
      </c>
      <c r="L210" s="322">
        <f>Councils!L213</f>
        <v>1</v>
      </c>
      <c r="M210" s="323">
        <f>Councils!M213</f>
        <v>16.670000000000002</v>
      </c>
      <c r="N210" s="322">
        <f>Councils!O213</f>
        <v>0</v>
      </c>
      <c r="O210" s="322">
        <f>Councils!P213</f>
        <v>0</v>
      </c>
      <c r="P210" s="322">
        <f>Councils!Q213</f>
        <v>1</v>
      </c>
      <c r="Q210" s="322">
        <f>Councils!R213</f>
        <v>-1</v>
      </c>
      <c r="R210" s="322">
        <f>Councils!S213</f>
        <v>0</v>
      </c>
      <c r="S210" s="322">
        <f>Councils!T213</f>
        <v>1</v>
      </c>
      <c r="T210" s="322">
        <f>Councils!U213</f>
        <v>-1</v>
      </c>
      <c r="U210" s="323">
        <f>Councils!V213</f>
        <v>0</v>
      </c>
      <c r="V210" s="376">
        <v>1</v>
      </c>
      <c r="W210" s="377">
        <f t="shared" si="3"/>
        <v>2</v>
      </c>
      <c r="X210" s="378" t="str">
        <f>IF(ISNA(VLOOKUP($A210,GA!$A$1:$D$834,3,0))," ",VLOOKUP($A210,GA!$A$1:$D$834,3,0))</f>
        <v>Payne</v>
      </c>
      <c r="Y210" s="379" t="str">
        <f>IF(ISNA(VLOOKUP($A210,Dormant_Councils!$A$1:$E$811,5,0)),"No",VLOOKUP($A210,Dormant_Councils!$A$1:$E$811,5,0))</f>
        <v>No</v>
      </c>
      <c r="Z210" s="381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22" t="str">
        <f>Councils!C214</f>
        <v>058</v>
      </c>
      <c r="C211" s="322" t="str">
        <f>Councils!D214</f>
        <v>San Antonio</v>
      </c>
      <c r="D211" s="322" t="str">
        <f>IF(ISNA(VLOOKUP($V211,DD_Info!$A$1:$E$221,3,0)),0,VLOOKUP($V211,DD_Info!$A$1:$E$221,3,0))</f>
        <v>San Antonio</v>
      </c>
      <c r="E211" s="322">
        <f>Councils!E214</f>
        <v>67</v>
      </c>
      <c r="F211" s="322">
        <f>Councils!F214</f>
        <v>3</v>
      </c>
      <c r="G211" s="322">
        <f>Councils!G214</f>
        <v>0</v>
      </c>
      <c r="H211" s="322">
        <f>Councils!H214</f>
        <v>0</v>
      </c>
      <c r="I211" s="322">
        <f>Councils!I214</f>
        <v>0</v>
      </c>
      <c r="J211" s="322">
        <f>Councils!J214</f>
        <v>0</v>
      </c>
      <c r="K211" s="322">
        <f>Councils!K214</f>
        <v>0</v>
      </c>
      <c r="L211" s="322">
        <f>Councils!L214</f>
        <v>0</v>
      </c>
      <c r="M211" s="323">
        <f>Councils!M214</f>
        <v>0</v>
      </c>
      <c r="N211" s="322">
        <f>Councils!O214</f>
        <v>0</v>
      </c>
      <c r="O211" s="322">
        <f>Councils!P214</f>
        <v>0</v>
      </c>
      <c r="P211" s="322">
        <f>Councils!Q214</f>
        <v>0</v>
      </c>
      <c r="Q211" s="322">
        <f>Councils!R214</f>
        <v>0</v>
      </c>
      <c r="R211" s="322">
        <f>Councils!S214</f>
        <v>0</v>
      </c>
      <c r="S211" s="322">
        <f>Councils!T214</f>
        <v>0</v>
      </c>
      <c r="T211" s="322">
        <f>Councils!U214</f>
        <v>0</v>
      </c>
      <c r="U211" s="323">
        <f>Councils!V214</f>
        <v>0</v>
      </c>
      <c r="V211" s="376">
        <v>58</v>
      </c>
      <c r="W211" s="377">
        <f t="shared" si="3"/>
        <v>2</v>
      </c>
      <c r="X211" s="378" t="str">
        <f>IF(ISNA(VLOOKUP($A211,GA!$A$1:$D$834,3,0))," ",VLOOKUP($A211,GA!$A$1:$D$834,3,0))</f>
        <v>Dougherty</v>
      </c>
      <c r="Y211" s="379" t="str">
        <f>IF(ISNA(VLOOKUP($A211,Dormant_Councils!$A$1:$E$811,5,0)),"No",VLOOKUP($A211,Dormant_Councils!$A$1:$E$811,5,0))</f>
        <v>No</v>
      </c>
      <c r="Z211" s="381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22" t="str">
        <f>Councils!C215</f>
        <v>125</v>
      </c>
      <c r="C212" s="322" t="str">
        <f>Councils!D215</f>
        <v>Fannett</v>
      </c>
      <c r="D212" s="322" t="str">
        <f>IF(ISNA(VLOOKUP($V212,DD_Info!$A$1:$E$221,3,0)),0,VLOOKUP($V212,DD_Info!$A$1:$E$221,3,0))</f>
        <v>Beaumont</v>
      </c>
      <c r="E212" s="322">
        <f>Councils!E215</f>
        <v>171</v>
      </c>
      <c r="F212" s="322">
        <f>Councils!F215</f>
        <v>8</v>
      </c>
      <c r="G212" s="322">
        <f>Councils!G215</f>
        <v>0</v>
      </c>
      <c r="H212" s="322">
        <f>Councils!H215</f>
        <v>0</v>
      </c>
      <c r="I212" s="322">
        <f>Councils!I215</f>
        <v>0</v>
      </c>
      <c r="J212" s="322">
        <f>Councils!J215</f>
        <v>0</v>
      </c>
      <c r="K212" s="322">
        <f>Councils!K215</f>
        <v>0</v>
      </c>
      <c r="L212" s="322">
        <f>Councils!L215</f>
        <v>0</v>
      </c>
      <c r="M212" s="323">
        <f>Councils!M215</f>
        <v>0</v>
      </c>
      <c r="N212" s="322">
        <f>Councils!O215</f>
        <v>0</v>
      </c>
      <c r="O212" s="322">
        <f>Councils!P215</f>
        <v>0</v>
      </c>
      <c r="P212" s="322">
        <f>Councils!Q215</f>
        <v>1</v>
      </c>
      <c r="Q212" s="322">
        <f>Councils!R215</f>
        <v>-1</v>
      </c>
      <c r="R212" s="322">
        <f>Councils!S215</f>
        <v>0</v>
      </c>
      <c r="S212" s="322">
        <f>Councils!T215</f>
        <v>2</v>
      </c>
      <c r="T212" s="322">
        <f>Councils!U215</f>
        <v>-2</v>
      </c>
      <c r="U212" s="323">
        <f>Councils!V215</f>
        <v>0</v>
      </c>
      <c r="V212" s="376">
        <v>125</v>
      </c>
      <c r="W212" s="377">
        <f t="shared" si="3"/>
        <v>1</v>
      </c>
      <c r="X212" s="378" t="str">
        <f>IF(ISNA(VLOOKUP($A212,GA!$A$1:$D$834,3,0))," ",VLOOKUP($A212,GA!$A$1:$D$834,3,0))</f>
        <v>Rangel</v>
      </c>
      <c r="Y212" s="379" t="str">
        <f>IF(ISNA(VLOOKUP($A212,Dormant_Councils!$A$1:$E$811,5,0)),"No",VLOOKUP($A212,Dormant_Councils!$A$1:$E$811,5,0))</f>
        <v>No</v>
      </c>
      <c r="Z212" s="381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22" t="str">
        <f>Councils!C216</f>
        <v>056</v>
      </c>
      <c r="C213" s="322" t="str">
        <f>Councils!D216</f>
        <v>Karnes City</v>
      </c>
      <c r="D213" s="322" t="str">
        <f>IF(ISNA(VLOOKUP($V213,DD_Info!$A$1:$E$221,3,0)),0,VLOOKUP($V213,DD_Info!$A$1:$E$221,3,0))</f>
        <v>San Antonio</v>
      </c>
      <c r="E213" s="322">
        <f>Councils!E216</f>
        <v>82</v>
      </c>
      <c r="F213" s="322">
        <f>Councils!F216</f>
        <v>4</v>
      </c>
      <c r="G213" s="322">
        <f>Councils!G216</f>
        <v>0</v>
      </c>
      <c r="H213" s="322">
        <f>Councils!H216</f>
        <v>0</v>
      </c>
      <c r="I213" s="322">
        <f>Councils!I216</f>
        <v>0</v>
      </c>
      <c r="J213" s="322">
        <f>Councils!J216</f>
        <v>0</v>
      </c>
      <c r="K213" s="322">
        <f>Councils!K216</f>
        <v>4</v>
      </c>
      <c r="L213" s="322">
        <f>Councils!L216</f>
        <v>-4</v>
      </c>
      <c r="M213" s="323">
        <f>Councils!M216</f>
        <v>0</v>
      </c>
      <c r="N213" s="322">
        <f>Councils!O216</f>
        <v>0</v>
      </c>
      <c r="O213" s="322">
        <f>Councils!P216</f>
        <v>0</v>
      </c>
      <c r="P213" s="322">
        <f>Councils!Q216</f>
        <v>0</v>
      </c>
      <c r="Q213" s="322">
        <f>Councils!R216</f>
        <v>0</v>
      </c>
      <c r="R213" s="322">
        <f>Councils!S216</f>
        <v>0</v>
      </c>
      <c r="S213" s="322">
        <f>Councils!T216</f>
        <v>0</v>
      </c>
      <c r="T213" s="322">
        <f>Councils!U216</f>
        <v>0</v>
      </c>
      <c r="U213" s="323">
        <f>Councils!V216</f>
        <v>0</v>
      </c>
      <c r="V213" s="376">
        <v>56</v>
      </c>
      <c r="W213" s="377">
        <f t="shared" si="3"/>
        <v>2</v>
      </c>
      <c r="X213" s="378" t="str">
        <f>IF(ISNA(VLOOKUP($A213,GA!$A$1:$D$834,3,0))," ",VLOOKUP($A213,GA!$A$1:$D$834,3,0))</f>
        <v>Dougherty</v>
      </c>
      <c r="Y213" s="379" t="str">
        <f>IF(ISNA(VLOOKUP($A213,Dormant_Councils!$A$1:$E$811,5,0)),"No",VLOOKUP($A213,Dormant_Councils!$A$1:$E$811,5,0))</f>
        <v>No</v>
      </c>
      <c r="Z213" s="381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22" t="str">
        <f>Councils!C217</f>
        <v>226</v>
      </c>
      <c r="C214" s="322" t="str">
        <f>Councils!D217</f>
        <v>Miles</v>
      </c>
      <c r="D214" s="322" t="str">
        <f>IF(ISNA(VLOOKUP($V214,DD_Info!$A$1:$E$221,3,0)),0,VLOOKUP($V214,DD_Info!$A$1:$E$221,3,0))</f>
        <v>San Angelo</v>
      </c>
      <c r="E214" s="322">
        <f>Councils!E217</f>
        <v>73</v>
      </c>
      <c r="F214" s="322">
        <f>Councils!F217</f>
        <v>4</v>
      </c>
      <c r="G214" s="322">
        <f>Councils!G217</f>
        <v>0</v>
      </c>
      <c r="H214" s="322">
        <f>Councils!H217</f>
        <v>0</v>
      </c>
      <c r="I214" s="322">
        <f>Councils!I217</f>
        <v>0</v>
      </c>
      <c r="J214" s="322">
        <f>Councils!J217</f>
        <v>0</v>
      </c>
      <c r="K214" s="322">
        <f>Councils!K217</f>
        <v>0</v>
      </c>
      <c r="L214" s="322">
        <f>Councils!L217</f>
        <v>0</v>
      </c>
      <c r="M214" s="323">
        <f>Councils!M217</f>
        <v>0</v>
      </c>
      <c r="N214" s="322">
        <f>Councils!O217</f>
        <v>0</v>
      </c>
      <c r="O214" s="322">
        <f>Councils!P217</f>
        <v>0</v>
      </c>
      <c r="P214" s="322">
        <f>Councils!Q217</f>
        <v>0</v>
      </c>
      <c r="Q214" s="322">
        <f>Councils!R217</f>
        <v>0</v>
      </c>
      <c r="R214" s="322">
        <f>Councils!S217</f>
        <v>0</v>
      </c>
      <c r="S214" s="322">
        <f>Councils!T217</f>
        <v>0</v>
      </c>
      <c r="T214" s="322">
        <f>Councils!U217</f>
        <v>0</v>
      </c>
      <c r="U214" s="323">
        <f>Councils!V217</f>
        <v>0</v>
      </c>
      <c r="V214" s="376">
        <v>226</v>
      </c>
      <c r="W214" s="377">
        <f t="shared" si="3"/>
        <v>2</v>
      </c>
      <c r="X214" s="378" t="str">
        <f>IF(ISNA(VLOOKUP($A214,GA!$A$1:$D$834,3,0))," ",VLOOKUP($A214,GA!$A$1:$D$834,3,0))</f>
        <v>Payne</v>
      </c>
      <c r="Y214" s="379" t="str">
        <f>IF(ISNA(VLOOKUP($A214,Dormant_Councils!$A$1:$E$811,5,0)),"No",VLOOKUP($A214,Dormant_Councils!$A$1:$E$811,5,0))</f>
        <v>No</v>
      </c>
      <c r="Z214" s="381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22" t="str">
        <f>Councils!C218</f>
        <v>066</v>
      </c>
      <c r="C215" s="322" t="str">
        <f>Councils!D218</f>
        <v>Lake Jackson</v>
      </c>
      <c r="D215" s="322" t="str">
        <f>IF(ISNA(VLOOKUP($V215,DD_Info!$A$1:$E$221,3,0)),0,VLOOKUP($V215,DD_Info!$A$1:$E$221,3,0))</f>
        <v>Galv/Hous</v>
      </c>
      <c r="E215" s="322">
        <f>Councils!E218</f>
        <v>351</v>
      </c>
      <c r="F215" s="322">
        <f>Councils!F218</f>
        <v>17</v>
      </c>
      <c r="G215" s="322">
        <f>Councils!G218</f>
        <v>0</v>
      </c>
      <c r="H215" s="322">
        <f>Councils!H218</f>
        <v>0</v>
      </c>
      <c r="I215" s="322">
        <f>Councils!I218</f>
        <v>0</v>
      </c>
      <c r="J215" s="322">
        <f>Councils!J218</f>
        <v>0</v>
      </c>
      <c r="K215" s="322">
        <f>Councils!K218</f>
        <v>0</v>
      </c>
      <c r="L215" s="322">
        <f>Councils!L218</f>
        <v>0</v>
      </c>
      <c r="M215" s="323">
        <f>Councils!M218</f>
        <v>0</v>
      </c>
      <c r="N215" s="322">
        <f>Councils!O218</f>
        <v>0</v>
      </c>
      <c r="O215" s="322">
        <f>Councils!P218</f>
        <v>0</v>
      </c>
      <c r="P215" s="322">
        <f>Councils!Q218</f>
        <v>0</v>
      </c>
      <c r="Q215" s="322">
        <f>Councils!R218</f>
        <v>0</v>
      </c>
      <c r="R215" s="322">
        <f>Councils!S218</f>
        <v>1</v>
      </c>
      <c r="S215" s="322">
        <f>Councils!T218</f>
        <v>1</v>
      </c>
      <c r="T215" s="322">
        <f>Councils!U218</f>
        <v>0</v>
      </c>
      <c r="U215" s="323">
        <f>Councils!V218</f>
        <v>0</v>
      </c>
      <c r="V215" s="376">
        <v>66</v>
      </c>
      <c r="W215" s="377">
        <f t="shared" si="3"/>
        <v>1</v>
      </c>
      <c r="X215" s="378" t="str">
        <f>IF(ISNA(VLOOKUP($A215,GA!$A$1:$D$834,3,0))," ",VLOOKUP($A215,GA!$A$1:$D$834,3,0))</f>
        <v>Supak</v>
      </c>
      <c r="Y215" s="379" t="str">
        <f>IF(ISNA(VLOOKUP($A215,Dormant_Councils!$A$1:$E$811,5,0)),"No",VLOOKUP($A215,Dormant_Councils!$A$1:$E$811,5,0))</f>
        <v>No</v>
      </c>
      <c r="Z215" s="381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22" t="str">
        <f>Councils!C219</f>
        <v>089</v>
      </c>
      <c r="C216" s="322" t="str">
        <f>Councils!D219</f>
        <v>Houston</v>
      </c>
      <c r="D216" s="322" t="str">
        <f>IF(ISNA(VLOOKUP($V216,DD_Info!$A$1:$E$221,3,0)),0,VLOOKUP($V216,DD_Info!$A$1:$E$221,3,0))</f>
        <v>Galv/Hous</v>
      </c>
      <c r="E216" s="322">
        <f>Councils!E219</f>
        <v>47</v>
      </c>
      <c r="F216" s="322">
        <f>Councils!F219</f>
        <v>3</v>
      </c>
      <c r="G216" s="322">
        <f>Councils!G219</f>
        <v>0</v>
      </c>
      <c r="H216" s="322">
        <f>Councils!H219</f>
        <v>0</v>
      </c>
      <c r="I216" s="322">
        <f>Councils!I219</f>
        <v>0</v>
      </c>
      <c r="J216" s="322">
        <f>Councils!J219</f>
        <v>1</v>
      </c>
      <c r="K216" s="322">
        <f>Councils!K219</f>
        <v>0</v>
      </c>
      <c r="L216" s="322">
        <f>Councils!L219</f>
        <v>1</v>
      </c>
      <c r="M216" s="323">
        <f>Councils!M219</f>
        <v>33.33</v>
      </c>
      <c r="N216" s="322">
        <f>Councils!O219</f>
        <v>0</v>
      </c>
      <c r="O216" s="322">
        <f>Councils!P219</f>
        <v>0</v>
      </c>
      <c r="P216" s="322">
        <f>Councils!Q219</f>
        <v>0</v>
      </c>
      <c r="Q216" s="322">
        <f>Councils!R219</f>
        <v>0</v>
      </c>
      <c r="R216" s="322">
        <f>Councils!S219</f>
        <v>0</v>
      </c>
      <c r="S216" s="322">
        <f>Councils!T219</f>
        <v>0</v>
      </c>
      <c r="T216" s="322">
        <f>Councils!U219</f>
        <v>0</v>
      </c>
      <c r="U216" s="323">
        <f>Councils!V219</f>
        <v>0</v>
      </c>
      <c r="V216" s="376">
        <v>89</v>
      </c>
      <c r="W216" s="377">
        <f t="shared" si="3"/>
        <v>3</v>
      </c>
      <c r="X216" s="378" t="str">
        <f>IF(ISNA(VLOOKUP($A216,GA!$A$1:$D$834,3,0))," ",VLOOKUP($A216,GA!$A$1:$D$834,3,0))</f>
        <v>Rangel</v>
      </c>
      <c r="Y216" s="379" t="str">
        <f>IF(ISNA(VLOOKUP($A216,Dormant_Councils!$A$1:$E$811,5,0)),"No",VLOOKUP($A216,Dormant_Councils!$A$1:$E$811,5,0))</f>
        <v>No</v>
      </c>
      <c r="Z216" s="381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22" t="str">
        <f>Councils!C220</f>
        <v>177</v>
      </c>
      <c r="C217" s="322" t="str">
        <f>Councils!D220</f>
        <v>Odem</v>
      </c>
      <c r="D217" s="322" t="str">
        <f>IF(ISNA(VLOOKUP($V217,DD_Info!$A$1:$E$221,3,0)),0,VLOOKUP($V217,DD_Info!$A$1:$E$221,3,0))</f>
        <v>Corpus Christi</v>
      </c>
      <c r="E217" s="322">
        <f>Councils!E220</f>
        <v>42</v>
      </c>
      <c r="F217" s="322">
        <f>Councils!F220</f>
        <v>3</v>
      </c>
      <c r="G217" s="322">
        <f>Councils!G220</f>
        <v>0</v>
      </c>
      <c r="H217" s="322">
        <f>Councils!H220</f>
        <v>0</v>
      </c>
      <c r="I217" s="322">
        <f>Councils!I220</f>
        <v>0</v>
      </c>
      <c r="J217" s="322">
        <f>Councils!J220</f>
        <v>0</v>
      </c>
      <c r="K217" s="322">
        <f>Councils!K220</f>
        <v>0</v>
      </c>
      <c r="L217" s="322">
        <f>Councils!L220</f>
        <v>0</v>
      </c>
      <c r="M217" s="323">
        <f>Councils!M220</f>
        <v>0</v>
      </c>
      <c r="N217" s="322">
        <f>Councils!O220</f>
        <v>0</v>
      </c>
      <c r="O217" s="322">
        <f>Councils!P220</f>
        <v>0</v>
      </c>
      <c r="P217" s="322">
        <f>Councils!Q220</f>
        <v>0</v>
      </c>
      <c r="Q217" s="322">
        <f>Councils!R220</f>
        <v>0</v>
      </c>
      <c r="R217" s="322">
        <f>Councils!S220</f>
        <v>0</v>
      </c>
      <c r="S217" s="322">
        <f>Councils!T220</f>
        <v>0</v>
      </c>
      <c r="T217" s="322">
        <f>Councils!U220</f>
        <v>0</v>
      </c>
      <c r="U217" s="323">
        <f>Councils!V220</f>
        <v>0</v>
      </c>
      <c r="V217" s="376">
        <v>177</v>
      </c>
      <c r="W217" s="377">
        <f t="shared" si="3"/>
        <v>3</v>
      </c>
      <c r="X217" s="378" t="str">
        <f>IF(ISNA(VLOOKUP($A217,GA!$A$1:$D$834,3,0))," ",VLOOKUP($A217,GA!$A$1:$D$834,3,0))</f>
        <v>Carlin</v>
      </c>
      <c r="Y217" s="379" t="str">
        <f>IF(ISNA(VLOOKUP($A217,Dormant_Councils!$A$1:$E$811,5,0)),"No",VLOOKUP($A217,Dormant_Councils!$A$1:$E$811,5,0))</f>
        <v>No</v>
      </c>
      <c r="Z217" s="381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22" t="str">
        <f>Councils!C221</f>
        <v>050</v>
      </c>
      <c r="C218" s="322" t="str">
        <f>Councils!D221</f>
        <v>San Antonio</v>
      </c>
      <c r="D218" s="322" t="str">
        <f>IF(ISNA(VLOOKUP($V218,DD_Info!$A$1:$E$221,3,0)),0,VLOOKUP($V218,DD_Info!$A$1:$E$221,3,0))</f>
        <v>San Antonio</v>
      </c>
      <c r="E218" s="322">
        <f>Councils!E221</f>
        <v>99</v>
      </c>
      <c r="F218" s="322">
        <f>Councils!F221</f>
        <v>5</v>
      </c>
      <c r="G218" s="322">
        <f>Councils!G221</f>
        <v>0</v>
      </c>
      <c r="H218" s="322">
        <f>Councils!H221</f>
        <v>0</v>
      </c>
      <c r="I218" s="322">
        <f>Councils!I221</f>
        <v>0</v>
      </c>
      <c r="J218" s="322">
        <f>Councils!J221</f>
        <v>0</v>
      </c>
      <c r="K218" s="322">
        <f>Councils!K221</f>
        <v>0</v>
      </c>
      <c r="L218" s="322">
        <f>Councils!L221</f>
        <v>0</v>
      </c>
      <c r="M218" s="323">
        <f>Councils!M221</f>
        <v>0</v>
      </c>
      <c r="N218" s="322">
        <f>Councils!O221</f>
        <v>0</v>
      </c>
      <c r="O218" s="322">
        <f>Councils!P221</f>
        <v>0</v>
      </c>
      <c r="P218" s="322">
        <f>Councils!Q221</f>
        <v>1</v>
      </c>
      <c r="Q218" s="322">
        <f>Councils!R221</f>
        <v>-1</v>
      </c>
      <c r="R218" s="322">
        <f>Councils!S221</f>
        <v>1</v>
      </c>
      <c r="S218" s="322">
        <f>Councils!T221</f>
        <v>1</v>
      </c>
      <c r="T218" s="322">
        <f>Councils!U221</f>
        <v>0</v>
      </c>
      <c r="U218" s="323">
        <f>Councils!V221</f>
        <v>0</v>
      </c>
      <c r="V218" s="376">
        <v>50</v>
      </c>
      <c r="W218" s="377">
        <f t="shared" si="3"/>
        <v>2</v>
      </c>
      <c r="X218" s="378" t="str">
        <f>IF(ISNA(VLOOKUP($A218,GA!$A$1:$D$834,3,0))," ",VLOOKUP($A218,GA!$A$1:$D$834,3,0))</f>
        <v>Dougherty</v>
      </c>
      <c r="Y218" s="379" t="str">
        <f>IF(ISNA(VLOOKUP($A218,Dormant_Councils!$A$1:$E$811,5,0)),"No",VLOOKUP($A218,Dormant_Councils!$A$1:$E$811,5,0))</f>
        <v>No</v>
      </c>
      <c r="Z218" s="381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22" t="str">
        <f>Councils!C222</f>
        <v>046</v>
      </c>
      <c r="C219" s="322" t="str">
        <f>Councils!D222</f>
        <v>Selma</v>
      </c>
      <c r="D219" s="322" t="str">
        <f>IF(ISNA(VLOOKUP($V219,DD_Info!$A$1:$E$221,3,0)),0,VLOOKUP($V219,DD_Info!$A$1:$E$221,3,0))</f>
        <v>San Antonio</v>
      </c>
      <c r="E219" s="322">
        <f>Councils!E222</f>
        <v>228</v>
      </c>
      <c r="F219" s="322">
        <f>Councils!F222</f>
        <v>11</v>
      </c>
      <c r="G219" s="322">
        <f>Councils!G222</f>
        <v>0</v>
      </c>
      <c r="H219" s="322">
        <f>Councils!H222</f>
        <v>0</v>
      </c>
      <c r="I219" s="322">
        <f>Councils!I222</f>
        <v>0</v>
      </c>
      <c r="J219" s="322">
        <f>Councils!J222</f>
        <v>2</v>
      </c>
      <c r="K219" s="322">
        <f>Councils!K222</f>
        <v>0</v>
      </c>
      <c r="L219" s="322">
        <f>Councils!L222</f>
        <v>2</v>
      </c>
      <c r="M219" s="323">
        <f>Councils!M222</f>
        <v>18.18</v>
      </c>
      <c r="N219" s="322">
        <f>Councils!O222</f>
        <v>0</v>
      </c>
      <c r="O219" s="322">
        <f>Councils!P222</f>
        <v>0</v>
      </c>
      <c r="P219" s="322">
        <f>Councils!Q222</f>
        <v>0</v>
      </c>
      <c r="Q219" s="322">
        <f>Councils!R222</f>
        <v>0</v>
      </c>
      <c r="R219" s="322">
        <f>Councils!S222</f>
        <v>1</v>
      </c>
      <c r="S219" s="322">
        <f>Councils!T222</f>
        <v>0</v>
      </c>
      <c r="T219" s="322">
        <f>Councils!U222</f>
        <v>1</v>
      </c>
      <c r="U219" s="323">
        <f>Councils!V222</f>
        <v>0</v>
      </c>
      <c r="V219" s="376">
        <v>46</v>
      </c>
      <c r="W219" s="377">
        <f t="shared" si="3"/>
        <v>1</v>
      </c>
      <c r="X219" s="378" t="str">
        <f>IF(ISNA(VLOOKUP($A219,GA!$A$1:$D$834,3,0))," ",VLOOKUP($A219,GA!$A$1:$D$834,3,0))</f>
        <v>Dougherty</v>
      </c>
      <c r="Y219" s="379" t="str">
        <f>IF(ISNA(VLOOKUP($A219,Dormant_Councils!$A$1:$E$811,5,0)),"No",VLOOKUP($A219,Dormant_Councils!$A$1:$E$811,5,0))</f>
        <v>No</v>
      </c>
      <c r="Z219" s="381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22" t="str">
        <f>Councils!C223</f>
        <v>098</v>
      </c>
      <c r="C220" s="322" t="str">
        <f>Councils!D223</f>
        <v>Houston</v>
      </c>
      <c r="D220" s="322" t="str">
        <f>IF(ISNA(VLOOKUP($V220,DD_Info!$A$1:$E$221,3,0)),0,VLOOKUP($V220,DD_Info!$A$1:$E$221,3,0))</f>
        <v>Galv/Hous</v>
      </c>
      <c r="E220" s="322">
        <f>Councils!E223</f>
        <v>93</v>
      </c>
      <c r="F220" s="322">
        <f>Councils!F223</f>
        <v>4</v>
      </c>
      <c r="G220" s="322">
        <f>Councils!G223</f>
        <v>0</v>
      </c>
      <c r="H220" s="322">
        <f>Councils!H223</f>
        <v>0</v>
      </c>
      <c r="I220" s="322">
        <f>Councils!I223</f>
        <v>0</v>
      </c>
      <c r="J220" s="322">
        <f>Councils!J223</f>
        <v>0</v>
      </c>
      <c r="K220" s="322">
        <f>Councils!K223</f>
        <v>0</v>
      </c>
      <c r="L220" s="322">
        <f>Councils!L223</f>
        <v>0</v>
      </c>
      <c r="M220" s="323">
        <f>Councils!M223</f>
        <v>0</v>
      </c>
      <c r="N220" s="322">
        <f>Councils!O223</f>
        <v>0</v>
      </c>
      <c r="O220" s="322">
        <f>Councils!P223</f>
        <v>0</v>
      </c>
      <c r="P220" s="322">
        <f>Councils!Q223</f>
        <v>0</v>
      </c>
      <c r="Q220" s="322">
        <f>Councils!R223</f>
        <v>0</v>
      </c>
      <c r="R220" s="322">
        <f>Councils!S223</f>
        <v>0</v>
      </c>
      <c r="S220" s="322">
        <f>Councils!T223</f>
        <v>0</v>
      </c>
      <c r="T220" s="322">
        <f>Councils!U223</f>
        <v>0</v>
      </c>
      <c r="U220" s="323">
        <f>Councils!V223</f>
        <v>0</v>
      </c>
      <c r="V220" s="376">
        <v>98</v>
      </c>
      <c r="W220" s="377">
        <f t="shared" si="3"/>
        <v>2</v>
      </c>
      <c r="X220" s="378" t="str">
        <f>IF(ISNA(VLOOKUP($A220,GA!$A$1:$D$834,3,0))," ",VLOOKUP($A220,GA!$A$1:$D$834,3,0))</f>
        <v>Supak</v>
      </c>
      <c r="Y220" s="379" t="str">
        <f>IF(ISNA(VLOOKUP($A220,Dormant_Councils!$A$1:$E$811,5,0)),"No",VLOOKUP($A220,Dormant_Councils!$A$1:$E$811,5,0))</f>
        <v>No</v>
      </c>
      <c r="Z220" s="381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22" t="str">
        <f>Councils!C224</f>
        <v>092</v>
      </c>
      <c r="C221" s="322" t="str">
        <f>Councils!D224</f>
        <v>Humble</v>
      </c>
      <c r="D221" s="322" t="str">
        <f>IF(ISNA(VLOOKUP($V221,DD_Info!$A$1:$E$221,3,0)),0,VLOOKUP($V221,DD_Info!$A$1:$E$221,3,0))</f>
        <v>Galv/Hous</v>
      </c>
      <c r="E221" s="322">
        <f>Councils!E224</f>
        <v>680</v>
      </c>
      <c r="F221" s="322">
        <f>Councils!F224</f>
        <v>20</v>
      </c>
      <c r="G221" s="322">
        <f>Councils!G224</f>
        <v>1</v>
      </c>
      <c r="H221" s="322">
        <f>Councils!H224</f>
        <v>0</v>
      </c>
      <c r="I221" s="322">
        <f>Councils!I224</f>
        <v>1</v>
      </c>
      <c r="J221" s="322">
        <f>Councils!J224</f>
        <v>5</v>
      </c>
      <c r="K221" s="322">
        <f>Councils!K224</f>
        <v>0</v>
      </c>
      <c r="L221" s="322">
        <f>Councils!L224</f>
        <v>5</v>
      </c>
      <c r="M221" s="323">
        <f>Councils!M224</f>
        <v>25</v>
      </c>
      <c r="N221" s="322">
        <f>Councils!O224</f>
        <v>0</v>
      </c>
      <c r="O221" s="322">
        <f>Councils!P224</f>
        <v>1</v>
      </c>
      <c r="P221" s="322">
        <f>Councils!Q224</f>
        <v>3</v>
      </c>
      <c r="Q221" s="322">
        <f>Councils!R224</f>
        <v>-2</v>
      </c>
      <c r="R221" s="322">
        <f>Councils!S224</f>
        <v>4</v>
      </c>
      <c r="S221" s="322">
        <f>Councils!T224</f>
        <v>4</v>
      </c>
      <c r="T221" s="322">
        <f>Councils!U224</f>
        <v>0</v>
      </c>
      <c r="U221" s="323">
        <f>Councils!V224</f>
        <v>0</v>
      </c>
      <c r="V221" s="376">
        <v>92</v>
      </c>
      <c r="W221" s="377">
        <f t="shared" si="3"/>
        <v>1</v>
      </c>
      <c r="X221" s="378" t="str">
        <f>IF(ISNA(VLOOKUP($A221,GA!$A$1:$D$834,3,0))," ",VLOOKUP($A221,GA!$A$1:$D$834,3,0))</f>
        <v>Rangel</v>
      </c>
      <c r="Y221" s="379" t="str">
        <f>IF(ISNA(VLOOKUP($A221,Dormant_Councils!$A$1:$E$811,5,0)),"No",VLOOKUP($A221,Dormant_Councils!$A$1:$E$811,5,0))</f>
        <v>No</v>
      </c>
      <c r="Z221" s="381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22" t="str">
        <f>Councils!C225</f>
        <v>107</v>
      </c>
      <c r="C222" s="322" t="str">
        <f>Councils!D225</f>
        <v>Terrell</v>
      </c>
      <c r="D222" s="322" t="str">
        <f>IF(ISNA(VLOOKUP($V222,DD_Info!$A$1:$E$221,3,0)),0,VLOOKUP($V222,DD_Info!$A$1:$E$221,3,0))</f>
        <v>Dallas</v>
      </c>
      <c r="E222" s="322">
        <f>Councils!E225</f>
        <v>84</v>
      </c>
      <c r="F222" s="322">
        <f>Councils!F225</f>
        <v>4</v>
      </c>
      <c r="G222" s="322">
        <f>Councils!G225</f>
        <v>0</v>
      </c>
      <c r="H222" s="322">
        <f>Councils!H225</f>
        <v>0</v>
      </c>
      <c r="I222" s="322">
        <f>Councils!I225</f>
        <v>0</v>
      </c>
      <c r="J222" s="322">
        <f>Councils!J225</f>
        <v>0</v>
      </c>
      <c r="K222" s="322">
        <f>Councils!K225</f>
        <v>0</v>
      </c>
      <c r="L222" s="322">
        <f>Councils!L225</f>
        <v>0</v>
      </c>
      <c r="M222" s="323">
        <f>Councils!M225</f>
        <v>0</v>
      </c>
      <c r="N222" s="322">
        <f>Councils!O225</f>
        <v>0</v>
      </c>
      <c r="O222" s="322">
        <f>Councils!P225</f>
        <v>0</v>
      </c>
      <c r="P222" s="322">
        <f>Councils!Q225</f>
        <v>0</v>
      </c>
      <c r="Q222" s="322">
        <f>Councils!R225</f>
        <v>0</v>
      </c>
      <c r="R222" s="322">
        <f>Councils!S225</f>
        <v>0</v>
      </c>
      <c r="S222" s="322">
        <f>Councils!T225</f>
        <v>0</v>
      </c>
      <c r="T222" s="322">
        <f>Councils!U225</f>
        <v>0</v>
      </c>
      <c r="U222" s="323">
        <f>Councils!V225</f>
        <v>0</v>
      </c>
      <c r="V222" s="376">
        <v>107</v>
      </c>
      <c r="W222" s="377">
        <f t="shared" si="3"/>
        <v>2</v>
      </c>
      <c r="X222" s="378" t="str">
        <f>IF(ISNA(VLOOKUP($A222,GA!$A$1:$D$834,3,0))," ",VLOOKUP($A222,GA!$A$1:$D$834,3,0))</f>
        <v>Regan</v>
      </c>
      <c r="Y222" s="379" t="str">
        <f>IF(ISNA(VLOOKUP($A222,Dormant_Councils!$A$1:$E$811,5,0)),"No",VLOOKUP($A222,Dormant_Councils!$A$1:$E$811,5,0))</f>
        <v>No</v>
      </c>
      <c r="Z222" s="381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22" t="str">
        <f>Councils!C226</f>
        <v>187</v>
      </c>
      <c r="C223" s="322" t="str">
        <f>Councils!D226</f>
        <v>Palacios</v>
      </c>
      <c r="D223" s="322" t="str">
        <f>IF(ISNA(VLOOKUP($V223,DD_Info!$A$1:$E$221,3,0)),0,VLOOKUP($V223,DD_Info!$A$1:$E$221,3,0))</f>
        <v>Victoria</v>
      </c>
      <c r="E223" s="322">
        <f>Councils!E226</f>
        <v>101</v>
      </c>
      <c r="F223" s="322">
        <f>Councils!F226</f>
        <v>5</v>
      </c>
      <c r="G223" s="322">
        <f>Councils!G226</f>
        <v>0</v>
      </c>
      <c r="H223" s="322">
        <f>Councils!H226</f>
        <v>0</v>
      </c>
      <c r="I223" s="322">
        <f>Councils!I226</f>
        <v>0</v>
      </c>
      <c r="J223" s="322">
        <f>Councils!J226</f>
        <v>0</v>
      </c>
      <c r="K223" s="322">
        <f>Councils!K226</f>
        <v>0</v>
      </c>
      <c r="L223" s="322">
        <f>Councils!L226</f>
        <v>0</v>
      </c>
      <c r="M223" s="323">
        <f>Councils!M226</f>
        <v>0</v>
      </c>
      <c r="N223" s="322">
        <f>Councils!O226</f>
        <v>0</v>
      </c>
      <c r="O223" s="322">
        <f>Councils!P226</f>
        <v>0</v>
      </c>
      <c r="P223" s="322">
        <f>Councils!Q226</f>
        <v>0</v>
      </c>
      <c r="Q223" s="322">
        <f>Councils!R226</f>
        <v>0</v>
      </c>
      <c r="R223" s="322">
        <f>Councils!S226</f>
        <v>0</v>
      </c>
      <c r="S223" s="322">
        <f>Councils!T226</f>
        <v>0</v>
      </c>
      <c r="T223" s="322">
        <f>Councils!U226</f>
        <v>0</v>
      </c>
      <c r="U223" s="323">
        <f>Councils!V226</f>
        <v>0</v>
      </c>
      <c r="V223" s="376">
        <v>187</v>
      </c>
      <c r="W223" s="377">
        <f t="shared" si="3"/>
        <v>2</v>
      </c>
      <c r="X223" s="378" t="str">
        <f>IF(ISNA(VLOOKUP($A223,GA!$A$1:$D$834,3,0))," ",VLOOKUP($A223,GA!$A$1:$D$834,3,0))</f>
        <v>Supak</v>
      </c>
      <c r="Y223" s="379" t="str">
        <f>IF(ISNA(VLOOKUP($A223,Dormant_Councils!$A$1:$E$811,5,0)),"No",VLOOKUP($A223,Dormant_Councils!$A$1:$E$811,5,0))</f>
        <v>No</v>
      </c>
      <c r="Z223" s="381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22" t="str">
        <f>Councils!C227</f>
        <v>010</v>
      </c>
      <c r="C224" s="322" t="str">
        <f>Councils!D227</f>
        <v>El Paso</v>
      </c>
      <c r="D224" s="322" t="str">
        <f>IF(ISNA(VLOOKUP($V224,DD_Info!$A$1:$E$221,3,0)),0,VLOOKUP($V224,DD_Info!$A$1:$E$221,3,0))</f>
        <v>El Paso</v>
      </c>
      <c r="E224" s="322">
        <f>Councils!E227</f>
        <v>53</v>
      </c>
      <c r="F224" s="322">
        <f>Councils!F227</f>
        <v>3</v>
      </c>
      <c r="G224" s="322">
        <f>Councils!G227</f>
        <v>0</v>
      </c>
      <c r="H224" s="322">
        <f>Councils!H227</f>
        <v>0</v>
      </c>
      <c r="I224" s="322">
        <f>Councils!I227</f>
        <v>0</v>
      </c>
      <c r="J224" s="322">
        <f>Councils!J227</f>
        <v>1</v>
      </c>
      <c r="K224" s="322">
        <f>Councils!K227</f>
        <v>0</v>
      </c>
      <c r="L224" s="322">
        <f>Councils!L227</f>
        <v>1</v>
      </c>
      <c r="M224" s="323">
        <f>Councils!M227</f>
        <v>33.33</v>
      </c>
      <c r="N224" s="322">
        <f>Councils!O227</f>
        <v>0</v>
      </c>
      <c r="O224" s="322">
        <f>Councils!P227</f>
        <v>0</v>
      </c>
      <c r="P224" s="322">
        <f>Councils!Q227</f>
        <v>0</v>
      </c>
      <c r="Q224" s="322">
        <f>Councils!R227</f>
        <v>0</v>
      </c>
      <c r="R224" s="322">
        <f>Councils!S227</f>
        <v>0</v>
      </c>
      <c r="S224" s="322">
        <f>Councils!T227</f>
        <v>0</v>
      </c>
      <c r="T224" s="322">
        <f>Councils!U227</f>
        <v>0</v>
      </c>
      <c r="U224" s="323">
        <f>Councils!V227</f>
        <v>0</v>
      </c>
      <c r="V224" s="376">
        <v>10</v>
      </c>
      <c r="W224" s="377">
        <f t="shared" si="3"/>
        <v>3</v>
      </c>
      <c r="X224" s="378" t="str">
        <f>IF(ISNA(VLOOKUP($A224,GA!$A$1:$D$834,3,0))," ",VLOOKUP($A224,GA!$A$1:$D$834,3,0))</f>
        <v>Payne</v>
      </c>
      <c r="Y224" s="379" t="str">
        <f>IF(ISNA(VLOOKUP($A224,Dormant_Councils!$A$1:$E$811,5,0)),"No",VLOOKUP($A224,Dormant_Councils!$A$1:$E$811,5,0))</f>
        <v>No</v>
      </c>
      <c r="Z224" s="381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22" t="str">
        <f>Councils!C228</f>
        <v>085</v>
      </c>
      <c r="C225" s="322" t="str">
        <f>Councils!D228</f>
        <v>Katy</v>
      </c>
      <c r="D225" s="322" t="str">
        <f>IF(ISNA(VLOOKUP($V225,DD_Info!$A$1:$E$221,3,0)),0,VLOOKUP($V225,DD_Info!$A$1:$E$221,3,0))</f>
        <v>Galv/Hous</v>
      </c>
      <c r="E225" s="322">
        <f>Councils!E228</f>
        <v>431</v>
      </c>
      <c r="F225" s="322">
        <f>Councils!F228</f>
        <v>20</v>
      </c>
      <c r="G225" s="322">
        <f>Councils!G228</f>
        <v>0</v>
      </c>
      <c r="H225" s="322">
        <f>Councils!H228</f>
        <v>4</v>
      </c>
      <c r="I225" s="322">
        <f>Councils!I228</f>
        <v>-4</v>
      </c>
      <c r="J225" s="322">
        <f>Councils!J228</f>
        <v>1</v>
      </c>
      <c r="K225" s="322">
        <f>Councils!K228</f>
        <v>5</v>
      </c>
      <c r="L225" s="322">
        <f>Councils!L228</f>
        <v>-4</v>
      </c>
      <c r="M225" s="323">
        <f>Councils!M228</f>
        <v>0</v>
      </c>
      <c r="N225" s="322">
        <f>Councils!O228</f>
        <v>0</v>
      </c>
      <c r="O225" s="322">
        <f>Councils!P228</f>
        <v>1</v>
      </c>
      <c r="P225" s="322">
        <f>Councils!Q228</f>
        <v>1</v>
      </c>
      <c r="Q225" s="322">
        <f>Councils!R228</f>
        <v>0</v>
      </c>
      <c r="R225" s="322">
        <f>Councils!S228</f>
        <v>2</v>
      </c>
      <c r="S225" s="322">
        <f>Councils!T228</f>
        <v>1</v>
      </c>
      <c r="T225" s="322">
        <f>Councils!U228</f>
        <v>1</v>
      </c>
      <c r="U225" s="323">
        <f>Councils!V228</f>
        <v>0</v>
      </c>
      <c r="V225" s="376">
        <v>85</v>
      </c>
      <c r="W225" s="377">
        <f t="shared" si="3"/>
        <v>1</v>
      </c>
      <c r="X225" s="378" t="str">
        <f>IF(ISNA(VLOOKUP($A225,GA!$A$1:$D$834,3,0))," ",VLOOKUP($A225,GA!$A$1:$D$834,3,0))</f>
        <v>Supak</v>
      </c>
      <c r="Y225" s="379" t="str">
        <f>IF(ISNA(VLOOKUP($A225,Dormant_Councils!$A$1:$E$811,5,0)),"No",VLOOKUP($A225,Dormant_Councils!$A$1:$E$811,5,0))</f>
        <v>No</v>
      </c>
      <c r="Z225" s="381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22" t="str">
        <f>Councils!C229</f>
        <v>161</v>
      </c>
      <c r="C226" s="322" t="str">
        <f>Councils!D229</f>
        <v>Lampasas</v>
      </c>
      <c r="D226" s="322" t="str">
        <f>IF(ISNA(VLOOKUP($V226,DD_Info!$A$1:$E$221,3,0)),0,VLOOKUP($V226,DD_Info!$A$1:$E$221,3,0))</f>
        <v>Austin</v>
      </c>
      <c r="E226" s="322">
        <f>Councils!E229</f>
        <v>45</v>
      </c>
      <c r="F226" s="322">
        <f>Councils!F229</f>
        <v>3</v>
      </c>
      <c r="G226" s="322">
        <f>Councils!G229</f>
        <v>0</v>
      </c>
      <c r="H226" s="322">
        <f>Councils!H229</f>
        <v>0</v>
      </c>
      <c r="I226" s="322">
        <f>Councils!I229</f>
        <v>0</v>
      </c>
      <c r="J226" s="322">
        <f>Councils!J229</f>
        <v>0</v>
      </c>
      <c r="K226" s="322">
        <f>Councils!K229</f>
        <v>0</v>
      </c>
      <c r="L226" s="322">
        <f>Councils!L229</f>
        <v>0</v>
      </c>
      <c r="M226" s="323">
        <f>Councils!M229</f>
        <v>0</v>
      </c>
      <c r="N226" s="322">
        <f>Councils!O229</f>
        <v>0</v>
      </c>
      <c r="O226" s="322">
        <f>Councils!P229</f>
        <v>0</v>
      </c>
      <c r="P226" s="322">
        <f>Councils!Q229</f>
        <v>0</v>
      </c>
      <c r="Q226" s="322">
        <f>Councils!R229</f>
        <v>0</v>
      </c>
      <c r="R226" s="322">
        <f>Councils!S229</f>
        <v>0</v>
      </c>
      <c r="S226" s="322">
        <f>Councils!T229</f>
        <v>0</v>
      </c>
      <c r="T226" s="322">
        <f>Councils!U229</f>
        <v>0</v>
      </c>
      <c r="U226" s="323">
        <f>Councils!V229</f>
        <v>0</v>
      </c>
      <c r="V226" s="376">
        <v>161</v>
      </c>
      <c r="W226" s="377">
        <f t="shared" si="3"/>
        <v>3</v>
      </c>
      <c r="X226" s="378" t="str">
        <f>IF(ISNA(VLOOKUP($A226,GA!$A$1:$D$834,3,0))," ",VLOOKUP($A226,GA!$A$1:$D$834,3,0))</f>
        <v>Britten</v>
      </c>
      <c r="Y226" s="379" t="str">
        <f>IF(ISNA(VLOOKUP($A226,Dormant_Councils!$A$1:$E$811,5,0)),"No",VLOOKUP($A226,Dormant_Councils!$A$1:$E$811,5,0))</f>
        <v>No</v>
      </c>
      <c r="Z226" s="381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22" t="str">
        <f>Councils!C230</f>
        <v>144</v>
      </c>
      <c r="C227" s="322" t="str">
        <f>Councils!D230</f>
        <v>Rockdale</v>
      </c>
      <c r="D227" s="322" t="str">
        <f>IF(ISNA(VLOOKUP($V227,DD_Info!$A$1:$E$221,3,0)),0,VLOOKUP($V227,DD_Info!$A$1:$E$221,3,0))</f>
        <v>Austin</v>
      </c>
      <c r="E227" s="322">
        <f>Councils!E230</f>
        <v>133</v>
      </c>
      <c r="F227" s="322">
        <f>Councils!F230</f>
        <v>6</v>
      </c>
      <c r="G227" s="322">
        <f>Councils!G230</f>
        <v>0</v>
      </c>
      <c r="H227" s="322">
        <f>Councils!H230</f>
        <v>0</v>
      </c>
      <c r="I227" s="322">
        <f>Councils!I230</f>
        <v>0</v>
      </c>
      <c r="J227" s="322">
        <f>Councils!J230</f>
        <v>0</v>
      </c>
      <c r="K227" s="322">
        <f>Councils!K230</f>
        <v>0</v>
      </c>
      <c r="L227" s="322">
        <f>Councils!L230</f>
        <v>0</v>
      </c>
      <c r="M227" s="323">
        <f>Councils!M230</f>
        <v>0</v>
      </c>
      <c r="N227" s="322">
        <f>Councils!O230</f>
        <v>0</v>
      </c>
      <c r="O227" s="322">
        <f>Councils!P230</f>
        <v>0</v>
      </c>
      <c r="P227" s="322">
        <f>Councils!Q230</f>
        <v>0</v>
      </c>
      <c r="Q227" s="322">
        <f>Councils!R230</f>
        <v>0</v>
      </c>
      <c r="R227" s="322">
        <f>Councils!S230</f>
        <v>0</v>
      </c>
      <c r="S227" s="322">
        <f>Councils!T230</f>
        <v>0</v>
      </c>
      <c r="T227" s="322">
        <f>Councils!U230</f>
        <v>0</v>
      </c>
      <c r="U227" s="323">
        <f>Councils!V230</f>
        <v>0</v>
      </c>
      <c r="V227" s="376">
        <v>144</v>
      </c>
      <c r="W227" s="377">
        <f t="shared" si="3"/>
        <v>2</v>
      </c>
      <c r="X227" s="378" t="str">
        <f>IF(ISNA(VLOOKUP($A227,GA!$A$1:$D$834,3,0))," ",VLOOKUP($A227,GA!$A$1:$D$834,3,0))</f>
        <v>Britten</v>
      </c>
      <c r="Y227" s="379" t="str">
        <f>IF(ISNA(VLOOKUP($A227,Dormant_Councils!$A$1:$E$811,5,0)),"No",VLOOKUP($A227,Dormant_Councils!$A$1:$E$811,5,0))</f>
        <v>No</v>
      </c>
      <c r="Z227" s="381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22" t="str">
        <f>Councils!C231</f>
        <v>050</v>
      </c>
      <c r="C228" s="322" t="str">
        <f>Councils!D231</f>
        <v>San Antonio</v>
      </c>
      <c r="D228" s="322" t="str">
        <f>IF(ISNA(VLOOKUP($V228,DD_Info!$A$1:$E$221,3,0)),0,VLOOKUP($V228,DD_Info!$A$1:$E$221,3,0))</f>
        <v>San Antonio</v>
      </c>
      <c r="E228" s="322">
        <f>Councils!E231</f>
        <v>211</v>
      </c>
      <c r="F228" s="322">
        <f>Councils!F231</f>
        <v>10</v>
      </c>
      <c r="G228" s="322">
        <f>Councils!G231</f>
        <v>0</v>
      </c>
      <c r="H228" s="322">
        <f>Councils!H231</f>
        <v>0</v>
      </c>
      <c r="I228" s="322">
        <f>Councils!I231</f>
        <v>0</v>
      </c>
      <c r="J228" s="322">
        <f>Councils!J231</f>
        <v>0</v>
      </c>
      <c r="K228" s="322">
        <f>Councils!K231</f>
        <v>0</v>
      </c>
      <c r="L228" s="322">
        <f>Councils!L231</f>
        <v>0</v>
      </c>
      <c r="M228" s="323">
        <f>Councils!M231</f>
        <v>0</v>
      </c>
      <c r="N228" s="322">
        <f>Councils!O231</f>
        <v>0</v>
      </c>
      <c r="O228" s="322">
        <f>Councils!P231</f>
        <v>0</v>
      </c>
      <c r="P228" s="322">
        <f>Councils!Q231</f>
        <v>0</v>
      </c>
      <c r="Q228" s="322">
        <f>Councils!R231</f>
        <v>0</v>
      </c>
      <c r="R228" s="322">
        <f>Councils!S231</f>
        <v>2</v>
      </c>
      <c r="S228" s="322">
        <f>Councils!T231</f>
        <v>0</v>
      </c>
      <c r="T228" s="322">
        <f>Councils!U231</f>
        <v>2</v>
      </c>
      <c r="U228" s="323">
        <f>Councils!V231</f>
        <v>0</v>
      </c>
      <c r="V228" s="376">
        <v>50</v>
      </c>
      <c r="W228" s="377">
        <f t="shared" si="3"/>
        <v>1</v>
      </c>
      <c r="X228" s="378" t="str">
        <f>IF(ISNA(VLOOKUP($A228,GA!$A$1:$D$834,3,0))," ",VLOOKUP($A228,GA!$A$1:$D$834,3,0))</f>
        <v>Dougherty</v>
      </c>
      <c r="Y228" s="379" t="str">
        <f>IF(ISNA(VLOOKUP($A228,Dormant_Councils!$A$1:$E$811,5,0)),"No",VLOOKUP($A228,Dormant_Councils!$A$1:$E$811,5,0))</f>
        <v>No</v>
      </c>
      <c r="Z228" s="381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22" t="str">
        <f>Councils!C232</f>
        <v>109</v>
      </c>
      <c r="C229" s="322" t="str">
        <f>Councils!D232</f>
        <v>Dallas</v>
      </c>
      <c r="D229" s="322" t="str">
        <f>IF(ISNA(VLOOKUP($V229,DD_Info!$A$1:$E$221,3,0)),0,VLOOKUP($V229,DD_Info!$A$1:$E$221,3,0))</f>
        <v>Dallas</v>
      </c>
      <c r="E229" s="322">
        <f>Councils!E232</f>
        <v>105</v>
      </c>
      <c r="F229" s="322">
        <f>Councils!F232</f>
        <v>5</v>
      </c>
      <c r="G229" s="322">
        <f>Councils!G232</f>
        <v>0</v>
      </c>
      <c r="H229" s="322">
        <f>Councils!H232</f>
        <v>0</v>
      </c>
      <c r="I229" s="322">
        <f>Councils!I232</f>
        <v>0</v>
      </c>
      <c r="J229" s="322">
        <f>Councils!J232</f>
        <v>0</v>
      </c>
      <c r="K229" s="322">
        <f>Councils!K232</f>
        <v>0</v>
      </c>
      <c r="L229" s="322">
        <f>Councils!L232</f>
        <v>0</v>
      </c>
      <c r="M229" s="323">
        <f>Councils!M232</f>
        <v>0</v>
      </c>
      <c r="N229" s="322">
        <f>Councils!O232</f>
        <v>0</v>
      </c>
      <c r="O229" s="322">
        <f>Councils!P232</f>
        <v>0</v>
      </c>
      <c r="P229" s="322">
        <f>Councils!Q232</f>
        <v>1</v>
      </c>
      <c r="Q229" s="322">
        <f>Councils!R232</f>
        <v>-1</v>
      </c>
      <c r="R229" s="322">
        <f>Councils!S232</f>
        <v>0</v>
      </c>
      <c r="S229" s="322">
        <f>Councils!T232</f>
        <v>2</v>
      </c>
      <c r="T229" s="322">
        <f>Councils!U232</f>
        <v>-2</v>
      </c>
      <c r="U229" s="323">
        <f>Councils!V232</f>
        <v>0</v>
      </c>
      <c r="V229" s="376">
        <v>109</v>
      </c>
      <c r="W229" s="377">
        <f t="shared" si="3"/>
        <v>2</v>
      </c>
      <c r="X229" s="378" t="str">
        <f>IF(ISNA(VLOOKUP($A229,GA!$A$1:$D$834,3,0))," ",VLOOKUP($A229,GA!$A$1:$D$834,3,0))</f>
        <v>Regan</v>
      </c>
      <c r="Y229" s="379" t="str">
        <f>IF(ISNA(VLOOKUP($A229,Dormant_Councils!$A$1:$E$811,5,0)),"No",VLOOKUP($A229,Dormant_Councils!$A$1:$E$811,5,0))</f>
        <v>No</v>
      </c>
      <c r="Z229" s="381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22" t="str">
        <f>Councils!C233</f>
        <v>080</v>
      </c>
      <c r="C230" s="322" t="str">
        <f>Councils!D233</f>
        <v>Houston</v>
      </c>
      <c r="D230" s="322" t="str">
        <f>IF(ISNA(VLOOKUP($V230,DD_Info!$A$1:$E$221,3,0)),0,VLOOKUP($V230,DD_Info!$A$1:$E$221,3,0))</f>
        <v>Galv/Hous</v>
      </c>
      <c r="E230" s="322">
        <f>Councils!E233</f>
        <v>208</v>
      </c>
      <c r="F230" s="322">
        <f>Councils!F233</f>
        <v>10</v>
      </c>
      <c r="G230" s="322">
        <f>Councils!G233</f>
        <v>0</v>
      </c>
      <c r="H230" s="322">
        <f>Councils!H233</f>
        <v>0</v>
      </c>
      <c r="I230" s="322">
        <f>Councils!I233</f>
        <v>0</v>
      </c>
      <c r="J230" s="322">
        <f>Councils!J233</f>
        <v>0</v>
      </c>
      <c r="K230" s="322">
        <f>Councils!K233</f>
        <v>0</v>
      </c>
      <c r="L230" s="322">
        <f>Councils!L233</f>
        <v>0</v>
      </c>
      <c r="M230" s="323">
        <f>Councils!M233</f>
        <v>0</v>
      </c>
      <c r="N230" s="322">
        <f>Councils!O233</f>
        <v>0</v>
      </c>
      <c r="O230" s="322">
        <f>Councils!P233</f>
        <v>0</v>
      </c>
      <c r="P230" s="322">
        <f>Councils!Q233</f>
        <v>3</v>
      </c>
      <c r="Q230" s="322">
        <f>Councils!R233</f>
        <v>-3</v>
      </c>
      <c r="R230" s="322">
        <f>Councils!S233</f>
        <v>1</v>
      </c>
      <c r="S230" s="322">
        <f>Councils!T233</f>
        <v>5</v>
      </c>
      <c r="T230" s="322">
        <f>Councils!U233</f>
        <v>-4</v>
      </c>
      <c r="U230" s="323">
        <f>Councils!V233</f>
        <v>0</v>
      </c>
      <c r="V230" s="376">
        <v>80</v>
      </c>
      <c r="W230" s="377">
        <f t="shared" si="3"/>
        <v>1</v>
      </c>
      <c r="X230" s="378" t="str">
        <f>IF(ISNA(VLOOKUP($A230,GA!$A$1:$D$834,3,0))," ",VLOOKUP($A230,GA!$A$1:$D$834,3,0))</f>
        <v>Supak</v>
      </c>
      <c r="Y230" s="379" t="str">
        <f>IF(ISNA(VLOOKUP($A230,Dormant_Councils!$A$1:$E$811,5,0)),"No",VLOOKUP($A230,Dormant_Councils!$A$1:$E$811,5,0))</f>
        <v>No</v>
      </c>
      <c r="Z230" s="381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22" t="str">
        <f>Councils!C234</f>
        <v>170</v>
      </c>
      <c r="C231" s="322" t="str">
        <f>Councils!D234</f>
        <v>Corpus Christi</v>
      </c>
      <c r="D231" s="322" t="str">
        <f>IF(ISNA(VLOOKUP($V231,DD_Info!$A$1:$E$221,3,0)),0,VLOOKUP($V231,DD_Info!$A$1:$E$221,3,0))</f>
        <v>Corpus Christi</v>
      </c>
      <c r="E231" s="322">
        <f>Councils!E234</f>
        <v>55</v>
      </c>
      <c r="F231" s="322">
        <f>Councils!F234</f>
        <v>3</v>
      </c>
      <c r="G231" s="322">
        <f>Councils!G234</f>
        <v>0</v>
      </c>
      <c r="H231" s="322">
        <f>Councils!H234</f>
        <v>0</v>
      </c>
      <c r="I231" s="322">
        <f>Councils!I234</f>
        <v>0</v>
      </c>
      <c r="J231" s="322">
        <f>Councils!J234</f>
        <v>0</v>
      </c>
      <c r="K231" s="322">
        <f>Councils!K234</f>
        <v>0</v>
      </c>
      <c r="L231" s="322">
        <f>Councils!L234</f>
        <v>0</v>
      </c>
      <c r="M231" s="323">
        <f>Councils!M234</f>
        <v>0</v>
      </c>
      <c r="N231" s="322">
        <f>Councils!O234</f>
        <v>0</v>
      </c>
      <c r="O231" s="322">
        <f>Councils!P234</f>
        <v>0</v>
      </c>
      <c r="P231" s="322">
        <f>Councils!Q234</f>
        <v>0</v>
      </c>
      <c r="Q231" s="322">
        <f>Councils!R234</f>
        <v>0</v>
      </c>
      <c r="R231" s="322">
        <f>Councils!S234</f>
        <v>0</v>
      </c>
      <c r="S231" s="322">
        <f>Councils!T234</f>
        <v>0</v>
      </c>
      <c r="T231" s="322">
        <f>Councils!U234</f>
        <v>0</v>
      </c>
      <c r="U231" s="323">
        <f>Councils!V234</f>
        <v>0</v>
      </c>
      <c r="V231" s="376">
        <v>170</v>
      </c>
      <c r="W231" s="377">
        <f t="shared" si="3"/>
        <v>3</v>
      </c>
      <c r="X231" s="378" t="str">
        <f>IF(ISNA(VLOOKUP($A231,GA!$A$1:$D$834,3,0))," ",VLOOKUP($A231,GA!$A$1:$D$834,3,0))</f>
        <v>Carlin</v>
      </c>
      <c r="Y231" s="379" t="str">
        <f>IF(ISNA(VLOOKUP($A231,Dormant_Councils!$A$1:$E$811,5,0)),"No",VLOOKUP($A231,Dormant_Councils!$A$1:$E$811,5,0))</f>
        <v>No</v>
      </c>
      <c r="Z231" s="381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22" t="str">
        <f>Councils!C235</f>
        <v>121</v>
      </c>
      <c r="C232" s="322" t="str">
        <f>Councils!D235</f>
        <v>Lumberton</v>
      </c>
      <c r="D232" s="322" t="str">
        <f>IF(ISNA(VLOOKUP($V232,DD_Info!$A$1:$E$221,3,0)),0,VLOOKUP($V232,DD_Info!$A$1:$E$221,3,0))</f>
        <v>Beaumont</v>
      </c>
      <c r="E232" s="322">
        <f>Councils!E235</f>
        <v>138</v>
      </c>
      <c r="F232" s="322">
        <f>Councils!F235</f>
        <v>7</v>
      </c>
      <c r="G232" s="322">
        <f>Councils!G235</f>
        <v>0</v>
      </c>
      <c r="H232" s="322">
        <f>Councils!H235</f>
        <v>0</v>
      </c>
      <c r="I232" s="322">
        <f>Councils!I235</f>
        <v>0</v>
      </c>
      <c r="J232" s="322">
        <f>Councils!J235</f>
        <v>3</v>
      </c>
      <c r="K232" s="322">
        <f>Councils!K235</f>
        <v>4</v>
      </c>
      <c r="L232" s="322">
        <f>Councils!L235</f>
        <v>-1</v>
      </c>
      <c r="M232" s="323">
        <f>Councils!M235</f>
        <v>0</v>
      </c>
      <c r="N232" s="322">
        <f>Councils!O235</f>
        <v>0</v>
      </c>
      <c r="O232" s="322">
        <f>Councils!P235</f>
        <v>0</v>
      </c>
      <c r="P232" s="322">
        <f>Councils!Q235</f>
        <v>0</v>
      </c>
      <c r="Q232" s="322">
        <f>Councils!R235</f>
        <v>0</v>
      </c>
      <c r="R232" s="322">
        <f>Councils!S235</f>
        <v>0</v>
      </c>
      <c r="S232" s="322">
        <f>Councils!T235</f>
        <v>1</v>
      </c>
      <c r="T232" s="322">
        <f>Councils!U235</f>
        <v>-1</v>
      </c>
      <c r="U232" s="323">
        <f>Councils!V235</f>
        <v>0</v>
      </c>
      <c r="V232" s="376">
        <v>121</v>
      </c>
      <c r="W232" s="377">
        <f t="shared" si="3"/>
        <v>2</v>
      </c>
      <c r="X232" s="378" t="str">
        <f>IF(ISNA(VLOOKUP($A232,GA!$A$1:$D$834,3,0))," ",VLOOKUP($A232,GA!$A$1:$D$834,3,0))</f>
        <v>Rangel</v>
      </c>
      <c r="Y232" s="379" t="str">
        <f>IF(ISNA(VLOOKUP($A232,Dormant_Councils!$A$1:$E$811,5,0)),"No",VLOOKUP($A232,Dormant_Councils!$A$1:$E$811,5,0))</f>
        <v>No</v>
      </c>
      <c r="Z232" s="381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22" t="str">
        <f>Councils!C236</f>
        <v>075</v>
      </c>
      <c r="C233" s="322" t="str">
        <f>Councils!D236</f>
        <v>Needville</v>
      </c>
      <c r="D233" s="322" t="str">
        <f>IF(ISNA(VLOOKUP($V233,DD_Info!$A$1:$E$221,3,0)),0,VLOOKUP($V233,DD_Info!$A$1:$E$221,3,0))</f>
        <v>Galv/Hous</v>
      </c>
      <c r="E233" s="322">
        <f>Councils!E236</f>
        <v>307</v>
      </c>
      <c r="F233" s="322">
        <f>Councils!F236</f>
        <v>15</v>
      </c>
      <c r="G233" s="322">
        <f>Councils!G236</f>
        <v>0</v>
      </c>
      <c r="H233" s="322">
        <f>Councils!H236</f>
        <v>0</v>
      </c>
      <c r="I233" s="322">
        <f>Councils!I236</f>
        <v>0</v>
      </c>
      <c r="J233" s="322">
        <f>Councils!J236</f>
        <v>4</v>
      </c>
      <c r="K233" s="322">
        <f>Councils!K236</f>
        <v>1</v>
      </c>
      <c r="L233" s="322">
        <f>Councils!L236</f>
        <v>3</v>
      </c>
      <c r="M233" s="323">
        <f>Councils!M236</f>
        <v>20</v>
      </c>
      <c r="N233" s="322">
        <f>Councils!O236</f>
        <v>0</v>
      </c>
      <c r="O233" s="322">
        <f>Councils!P236</f>
        <v>0</v>
      </c>
      <c r="P233" s="322">
        <f>Councils!Q236</f>
        <v>3</v>
      </c>
      <c r="Q233" s="322">
        <f>Councils!R236</f>
        <v>-3</v>
      </c>
      <c r="R233" s="322">
        <f>Councils!S236</f>
        <v>0</v>
      </c>
      <c r="S233" s="322">
        <f>Councils!T236</f>
        <v>4</v>
      </c>
      <c r="T233" s="322">
        <f>Councils!U236</f>
        <v>-4</v>
      </c>
      <c r="U233" s="323">
        <f>Councils!V236</f>
        <v>0</v>
      </c>
      <c r="V233" s="376">
        <v>75</v>
      </c>
      <c r="W233" s="377">
        <f t="shared" si="3"/>
        <v>1</v>
      </c>
      <c r="X233" s="378" t="str">
        <f>IF(ISNA(VLOOKUP($A233,GA!$A$1:$D$834,3,0))," ",VLOOKUP($A233,GA!$A$1:$D$834,3,0))</f>
        <v>Supak</v>
      </c>
      <c r="Y233" s="379" t="str">
        <f>IF(ISNA(VLOOKUP($A233,Dormant_Councils!$A$1:$E$811,5,0)),"No",VLOOKUP($A233,Dormant_Councils!$A$1:$E$811,5,0))</f>
        <v>No</v>
      </c>
      <c r="Z233" s="381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22" t="str">
        <f>Councils!C237</f>
        <v>241</v>
      </c>
      <c r="C234" s="322" t="str">
        <f>Councils!D237</f>
        <v>New Deal</v>
      </c>
      <c r="D234" s="322" t="str">
        <f>IF(ISNA(VLOOKUP($V234,DD_Info!$A$1:$E$221,3,0)),0,VLOOKUP($V234,DD_Info!$A$1:$E$221,3,0))</f>
        <v>Lubbock</v>
      </c>
      <c r="E234" s="322">
        <f>Councils!E237</f>
        <v>42</v>
      </c>
      <c r="F234" s="322">
        <f>Councils!F237</f>
        <v>3</v>
      </c>
      <c r="G234" s="322">
        <f>Councils!G237</f>
        <v>0</v>
      </c>
      <c r="H234" s="322">
        <f>Councils!H237</f>
        <v>0</v>
      </c>
      <c r="I234" s="322">
        <f>Councils!I237</f>
        <v>0</v>
      </c>
      <c r="J234" s="322">
        <f>Councils!J237</f>
        <v>0</v>
      </c>
      <c r="K234" s="322">
        <f>Councils!K237</f>
        <v>0</v>
      </c>
      <c r="L234" s="322">
        <f>Councils!L237</f>
        <v>0</v>
      </c>
      <c r="M234" s="323">
        <f>Councils!M237</f>
        <v>0</v>
      </c>
      <c r="N234" s="322">
        <f>Councils!O237</f>
        <v>0</v>
      </c>
      <c r="O234" s="322">
        <f>Councils!P237</f>
        <v>0</v>
      </c>
      <c r="P234" s="322">
        <f>Councils!Q237</f>
        <v>0</v>
      </c>
      <c r="Q234" s="322">
        <f>Councils!R237</f>
        <v>0</v>
      </c>
      <c r="R234" s="322">
        <f>Councils!S237</f>
        <v>0</v>
      </c>
      <c r="S234" s="322">
        <f>Councils!T237</f>
        <v>0</v>
      </c>
      <c r="T234" s="322">
        <f>Councils!U237</f>
        <v>0</v>
      </c>
      <c r="U234" s="323">
        <f>Councils!V237</f>
        <v>0</v>
      </c>
      <c r="V234" s="376">
        <v>241</v>
      </c>
      <c r="W234" s="377">
        <f t="shared" si="3"/>
        <v>3</v>
      </c>
      <c r="X234" s="378" t="str">
        <f>IF(ISNA(VLOOKUP($A234,GA!$A$1:$D$834,3,0))," ",VLOOKUP($A234,GA!$A$1:$D$834,3,0))</f>
        <v>Payne</v>
      </c>
      <c r="Y234" s="379" t="str">
        <f>IF(ISNA(VLOOKUP($A234,Dormant_Councils!$A$1:$E$811,5,0)),"No",VLOOKUP($A234,Dormant_Councils!$A$1:$E$811,5,0))</f>
        <v>Dormant</v>
      </c>
      <c r="Z234" s="381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22" t="str">
        <f>Councils!C238</f>
        <v>024</v>
      </c>
      <c r="C235" s="322" t="str">
        <f>Councils!D238</f>
        <v>Grapevine</v>
      </c>
      <c r="D235" s="322" t="str">
        <f>IF(ISNA(VLOOKUP($V235,DD_Info!$A$1:$E$221,3,0)),0,VLOOKUP($V235,DD_Info!$A$1:$E$221,3,0))</f>
        <v>Fort Worth</v>
      </c>
      <c r="E235" s="322">
        <f>Councils!E238</f>
        <v>288</v>
      </c>
      <c r="F235" s="322">
        <f>Councils!F238</f>
        <v>13</v>
      </c>
      <c r="G235" s="322">
        <f>Councils!G238</f>
        <v>4</v>
      </c>
      <c r="H235" s="322">
        <f>Councils!H238</f>
        <v>0</v>
      </c>
      <c r="I235" s="322">
        <f>Councils!I238</f>
        <v>4</v>
      </c>
      <c r="J235" s="322">
        <f>Councils!J238</f>
        <v>6</v>
      </c>
      <c r="K235" s="322">
        <f>Councils!K238</f>
        <v>0</v>
      </c>
      <c r="L235" s="322">
        <f>Councils!L238</f>
        <v>6</v>
      </c>
      <c r="M235" s="323">
        <f>Councils!M238</f>
        <v>46.15</v>
      </c>
      <c r="N235" s="322">
        <f>Councils!O238</f>
        <v>0</v>
      </c>
      <c r="O235" s="322">
        <f>Councils!P238</f>
        <v>0</v>
      </c>
      <c r="P235" s="322">
        <f>Councils!Q238</f>
        <v>2</v>
      </c>
      <c r="Q235" s="322">
        <f>Councils!R238</f>
        <v>-2</v>
      </c>
      <c r="R235" s="322">
        <f>Councils!S238</f>
        <v>0</v>
      </c>
      <c r="S235" s="322">
        <f>Councils!T238</f>
        <v>3</v>
      </c>
      <c r="T235" s="322">
        <f>Councils!U238</f>
        <v>-3</v>
      </c>
      <c r="U235" s="323">
        <f>Councils!V238</f>
        <v>0</v>
      </c>
      <c r="V235" s="376">
        <v>24</v>
      </c>
      <c r="W235" s="377">
        <f t="shared" si="3"/>
        <v>1</v>
      </c>
      <c r="X235" s="378" t="str">
        <f>IF(ISNA(VLOOKUP($A235,GA!$A$1:$D$834,3,0))," ",VLOOKUP($A235,GA!$A$1:$D$834,3,0))</f>
        <v>Stark</v>
      </c>
      <c r="Y235" s="379" t="str">
        <f>IF(ISNA(VLOOKUP($A235,Dormant_Councils!$A$1:$E$811,5,0)),"No",VLOOKUP($A235,Dormant_Councils!$A$1:$E$811,5,0))</f>
        <v>No</v>
      </c>
      <c r="Z235" s="381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22" t="str">
        <f>Councils!C239</f>
        <v>091</v>
      </c>
      <c r="C236" s="322" t="str">
        <f>Councils!D239</f>
        <v>Houston</v>
      </c>
      <c r="D236" s="322" t="str">
        <f>IF(ISNA(VLOOKUP($V236,DD_Info!$A$1:$E$221,3,0)),0,VLOOKUP($V236,DD_Info!$A$1:$E$221,3,0))</f>
        <v>Galv/Hous</v>
      </c>
      <c r="E236" s="322">
        <f>Councils!E239</f>
        <v>120</v>
      </c>
      <c r="F236" s="322">
        <f>Councils!F239</f>
        <v>6</v>
      </c>
      <c r="G236" s="322">
        <f>Councils!G239</f>
        <v>0</v>
      </c>
      <c r="H236" s="322">
        <f>Councils!H239</f>
        <v>0</v>
      </c>
      <c r="I236" s="322">
        <f>Councils!I239</f>
        <v>0</v>
      </c>
      <c r="J236" s="322">
        <f>Councils!J239</f>
        <v>2</v>
      </c>
      <c r="K236" s="322">
        <f>Councils!K239</f>
        <v>5</v>
      </c>
      <c r="L236" s="322">
        <f>Councils!L239</f>
        <v>-3</v>
      </c>
      <c r="M236" s="323">
        <f>Councils!M239</f>
        <v>0</v>
      </c>
      <c r="N236" s="322">
        <f>Councils!O239</f>
        <v>0</v>
      </c>
      <c r="O236" s="322">
        <f>Councils!P239</f>
        <v>0</v>
      </c>
      <c r="P236" s="322">
        <f>Councils!Q239</f>
        <v>1</v>
      </c>
      <c r="Q236" s="322">
        <f>Councils!R239</f>
        <v>-1</v>
      </c>
      <c r="R236" s="322">
        <f>Councils!S239</f>
        <v>3</v>
      </c>
      <c r="S236" s="322">
        <f>Councils!T239</f>
        <v>4</v>
      </c>
      <c r="T236" s="322">
        <f>Councils!U239</f>
        <v>-1</v>
      </c>
      <c r="U236" s="323">
        <f>Councils!V239</f>
        <v>0</v>
      </c>
      <c r="V236" s="376">
        <v>91</v>
      </c>
      <c r="W236" s="377">
        <f t="shared" si="3"/>
        <v>2</v>
      </c>
      <c r="X236" s="378" t="str">
        <f>IF(ISNA(VLOOKUP($A236,GA!$A$1:$D$834,3,0))," ",VLOOKUP($A236,GA!$A$1:$D$834,3,0))</f>
        <v>Rangel</v>
      </c>
      <c r="Y236" s="379" t="str">
        <f>IF(ISNA(VLOOKUP($A236,Dormant_Councils!$A$1:$E$811,5,0)),"No",VLOOKUP($A236,Dormant_Councils!$A$1:$E$811,5,0))</f>
        <v>No</v>
      </c>
      <c r="Z236" s="381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22" t="str">
        <f>Councils!C240</f>
        <v>094</v>
      </c>
      <c r="C237" s="322" t="str">
        <f>Councils!D240</f>
        <v>Huntsville</v>
      </c>
      <c r="D237" s="322" t="str">
        <f>IF(ISNA(VLOOKUP($V237,DD_Info!$A$1:$E$221,3,0)),0,VLOOKUP($V237,DD_Info!$A$1:$E$221,3,0))</f>
        <v>Galv/Hous</v>
      </c>
      <c r="E237" s="322">
        <f>Councils!E240</f>
        <v>87</v>
      </c>
      <c r="F237" s="322">
        <f>Councils!F240</f>
        <v>4</v>
      </c>
      <c r="G237" s="322">
        <f>Councils!G240</f>
        <v>0</v>
      </c>
      <c r="H237" s="322">
        <f>Councils!H240</f>
        <v>0</v>
      </c>
      <c r="I237" s="322">
        <f>Councils!I240</f>
        <v>0</v>
      </c>
      <c r="J237" s="322">
        <f>Councils!J240</f>
        <v>1</v>
      </c>
      <c r="K237" s="322">
        <f>Councils!K240</f>
        <v>0</v>
      </c>
      <c r="L237" s="322">
        <f>Councils!L240</f>
        <v>1</v>
      </c>
      <c r="M237" s="323">
        <f>Councils!M240</f>
        <v>25</v>
      </c>
      <c r="N237" s="322">
        <f>Councils!O240</f>
        <v>0</v>
      </c>
      <c r="O237" s="322">
        <f>Councils!P240</f>
        <v>0</v>
      </c>
      <c r="P237" s="322">
        <f>Councils!Q240</f>
        <v>0</v>
      </c>
      <c r="Q237" s="322">
        <f>Councils!R240</f>
        <v>0</v>
      </c>
      <c r="R237" s="322">
        <f>Councils!S240</f>
        <v>0</v>
      </c>
      <c r="S237" s="322">
        <f>Councils!T240</f>
        <v>0</v>
      </c>
      <c r="T237" s="322">
        <f>Councils!U240</f>
        <v>0</v>
      </c>
      <c r="U237" s="323">
        <f>Councils!V240</f>
        <v>0</v>
      </c>
      <c r="V237" s="376">
        <v>94</v>
      </c>
      <c r="W237" s="377">
        <f t="shared" si="3"/>
        <v>2</v>
      </c>
      <c r="X237" s="378" t="str">
        <f>IF(ISNA(VLOOKUP($A237,GA!$A$1:$D$834,3,0))," ",VLOOKUP($A237,GA!$A$1:$D$834,3,0))</f>
        <v>Rangel</v>
      </c>
      <c r="Y237" s="379" t="str">
        <f>IF(ISNA(VLOOKUP($A237,Dormant_Councils!$A$1:$E$811,5,0)),"No",VLOOKUP($A237,Dormant_Councils!$A$1:$E$811,5,0))</f>
        <v>No</v>
      </c>
      <c r="Z237" s="381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22" t="str">
        <f>Councils!C241</f>
        <v>036</v>
      </c>
      <c r="C238" s="322" t="str">
        <f>Councils!D241</f>
        <v>Hondo</v>
      </c>
      <c r="D238" s="322" t="str">
        <f>IF(ISNA(VLOOKUP($V238,DD_Info!$A$1:$E$221,3,0)),0,VLOOKUP($V238,DD_Info!$A$1:$E$221,3,0))</f>
        <v>San Antonio</v>
      </c>
      <c r="E238" s="322">
        <f>Councils!E241</f>
        <v>76</v>
      </c>
      <c r="F238" s="322">
        <f>Councils!F241</f>
        <v>4</v>
      </c>
      <c r="G238" s="322">
        <f>Councils!G241</f>
        <v>0</v>
      </c>
      <c r="H238" s="322">
        <f>Councils!H241</f>
        <v>0</v>
      </c>
      <c r="I238" s="322">
        <f>Councils!I241</f>
        <v>0</v>
      </c>
      <c r="J238" s="322">
        <f>Councils!J241</f>
        <v>0</v>
      </c>
      <c r="K238" s="322">
        <f>Councils!K241</f>
        <v>0</v>
      </c>
      <c r="L238" s="322">
        <f>Councils!L241</f>
        <v>0</v>
      </c>
      <c r="M238" s="323">
        <f>Councils!M241</f>
        <v>0</v>
      </c>
      <c r="N238" s="322">
        <f>Councils!O241</f>
        <v>0</v>
      </c>
      <c r="O238" s="322">
        <f>Councils!P241</f>
        <v>0</v>
      </c>
      <c r="P238" s="322">
        <f>Councils!Q241</f>
        <v>0</v>
      </c>
      <c r="Q238" s="322">
        <f>Councils!R241</f>
        <v>0</v>
      </c>
      <c r="R238" s="322">
        <f>Councils!S241</f>
        <v>1</v>
      </c>
      <c r="S238" s="322">
        <f>Councils!T241</f>
        <v>0</v>
      </c>
      <c r="T238" s="322">
        <f>Councils!U241</f>
        <v>1</v>
      </c>
      <c r="U238" s="323">
        <f>Councils!V241</f>
        <v>0</v>
      </c>
      <c r="V238" s="376">
        <v>36</v>
      </c>
      <c r="W238" s="377">
        <f t="shared" si="3"/>
        <v>2</v>
      </c>
      <c r="X238" s="378" t="str">
        <f>IF(ISNA(VLOOKUP($A238,GA!$A$1:$D$834,3,0))," ",VLOOKUP($A238,GA!$A$1:$D$834,3,0))</f>
        <v>Dougherty</v>
      </c>
      <c r="Y238" s="379" t="str">
        <f>IF(ISNA(VLOOKUP($A238,Dormant_Councils!$A$1:$E$811,5,0)),"No",VLOOKUP($A238,Dormant_Councils!$A$1:$E$811,5,0))</f>
        <v>No</v>
      </c>
      <c r="Z238" s="381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22" t="str">
        <f>Councils!C242</f>
        <v>176</v>
      </c>
      <c r="C239" s="322" t="str">
        <f>Councils!D242</f>
        <v>Freer</v>
      </c>
      <c r="D239" s="322" t="str">
        <f>IF(ISNA(VLOOKUP($V239,DD_Info!$A$1:$E$221,3,0)),0,VLOOKUP($V239,DD_Info!$A$1:$E$221,3,0))</f>
        <v>Corpus Christi</v>
      </c>
      <c r="E239" s="322">
        <f>Councils!E242</f>
        <v>77</v>
      </c>
      <c r="F239" s="322">
        <f>Councils!F242</f>
        <v>4</v>
      </c>
      <c r="G239" s="322">
        <f>Councils!G242</f>
        <v>0</v>
      </c>
      <c r="H239" s="322">
        <f>Councils!H242</f>
        <v>0</v>
      </c>
      <c r="I239" s="322">
        <f>Councils!I242</f>
        <v>0</v>
      </c>
      <c r="J239" s="322">
        <f>Councils!J242</f>
        <v>2</v>
      </c>
      <c r="K239" s="322">
        <f>Councils!K242</f>
        <v>0</v>
      </c>
      <c r="L239" s="322">
        <f>Councils!L242</f>
        <v>2</v>
      </c>
      <c r="M239" s="323">
        <f>Councils!M242</f>
        <v>50</v>
      </c>
      <c r="N239" s="322">
        <f>Councils!O242</f>
        <v>0</v>
      </c>
      <c r="O239" s="322">
        <f>Councils!P242</f>
        <v>0</v>
      </c>
      <c r="P239" s="322">
        <f>Councils!Q242</f>
        <v>0</v>
      </c>
      <c r="Q239" s="322">
        <f>Councils!R242</f>
        <v>0</v>
      </c>
      <c r="R239" s="322">
        <f>Councils!S242</f>
        <v>0</v>
      </c>
      <c r="S239" s="322">
        <f>Councils!T242</f>
        <v>0</v>
      </c>
      <c r="T239" s="322">
        <f>Councils!U242</f>
        <v>0</v>
      </c>
      <c r="U239" s="323">
        <f>Councils!V242</f>
        <v>0</v>
      </c>
      <c r="V239" s="376">
        <v>176</v>
      </c>
      <c r="W239" s="377">
        <f t="shared" si="3"/>
        <v>2</v>
      </c>
      <c r="X239" s="378" t="str">
        <f>IF(ISNA(VLOOKUP($A239,GA!$A$1:$D$834,3,0))," ",VLOOKUP($A239,GA!$A$1:$D$834,3,0))</f>
        <v>Carlin</v>
      </c>
      <c r="Y239" s="379" t="str">
        <f>IF(ISNA(VLOOKUP($A239,Dormant_Councils!$A$1:$E$811,5,0)),"No",VLOOKUP($A239,Dormant_Councils!$A$1:$E$811,5,0))</f>
        <v>No</v>
      </c>
      <c r="Z239" s="381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22" t="str">
        <f>Councils!C243</f>
        <v>020</v>
      </c>
      <c r="C240" s="322" t="str">
        <f>Councils!D243</f>
        <v>Burleson</v>
      </c>
      <c r="D240" s="322" t="str">
        <f>IF(ISNA(VLOOKUP($V240,DD_Info!$A$1:$E$221,3,0)),0,VLOOKUP($V240,DD_Info!$A$1:$E$221,3,0))</f>
        <v>Fort Worth</v>
      </c>
      <c r="E240" s="322">
        <f>Councils!E243</f>
        <v>150</v>
      </c>
      <c r="F240" s="322">
        <f>Councils!F243</f>
        <v>7</v>
      </c>
      <c r="G240" s="322">
        <f>Councils!G243</f>
        <v>0</v>
      </c>
      <c r="H240" s="322">
        <f>Councils!H243</f>
        <v>0</v>
      </c>
      <c r="I240" s="322">
        <f>Councils!I243</f>
        <v>0</v>
      </c>
      <c r="J240" s="322">
        <f>Councils!J243</f>
        <v>6</v>
      </c>
      <c r="K240" s="322">
        <f>Councils!K243</f>
        <v>0</v>
      </c>
      <c r="L240" s="322">
        <f>Councils!L243</f>
        <v>6</v>
      </c>
      <c r="M240" s="323">
        <f>Councils!M243</f>
        <v>85.71</v>
      </c>
      <c r="N240" s="322">
        <f>Councils!O243</f>
        <v>0</v>
      </c>
      <c r="O240" s="322">
        <f>Councils!P243</f>
        <v>0</v>
      </c>
      <c r="P240" s="322">
        <f>Councils!Q243</f>
        <v>0</v>
      </c>
      <c r="Q240" s="322">
        <f>Councils!R243</f>
        <v>0</v>
      </c>
      <c r="R240" s="322">
        <f>Councils!S243</f>
        <v>1</v>
      </c>
      <c r="S240" s="322">
        <f>Councils!T243</f>
        <v>0</v>
      </c>
      <c r="T240" s="322">
        <f>Councils!U243</f>
        <v>1</v>
      </c>
      <c r="U240" s="323">
        <f>Councils!V243</f>
        <v>0</v>
      </c>
      <c r="V240" s="376">
        <v>20</v>
      </c>
      <c r="W240" s="377">
        <f t="shared" si="3"/>
        <v>1</v>
      </c>
      <c r="X240" s="378" t="str">
        <f>IF(ISNA(VLOOKUP($A240,GA!$A$1:$D$834,3,0))," ",VLOOKUP($A240,GA!$A$1:$D$834,3,0))</f>
        <v>Stark</v>
      </c>
      <c r="Y240" s="379" t="str">
        <f>IF(ISNA(VLOOKUP($A240,Dormant_Councils!$A$1:$E$811,5,0)),"No",VLOOKUP($A240,Dormant_Councils!$A$1:$E$811,5,0))</f>
        <v>No</v>
      </c>
      <c r="Z240" s="381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22" t="str">
        <f>Councils!C244</f>
        <v>168</v>
      </c>
      <c r="C241" s="322" t="str">
        <f>Councils!D244</f>
        <v>Corpus Christi</v>
      </c>
      <c r="D241" s="322" t="str">
        <f>IF(ISNA(VLOOKUP($V241,DD_Info!$A$1:$E$221,3,0)),0,VLOOKUP($V241,DD_Info!$A$1:$E$221,3,0))</f>
        <v>Corpus Christi</v>
      </c>
      <c r="E241" s="322">
        <f>Councils!E244</f>
        <v>60</v>
      </c>
      <c r="F241" s="322">
        <f>Councils!F244</f>
        <v>3</v>
      </c>
      <c r="G241" s="322">
        <f>Councils!G244</f>
        <v>0</v>
      </c>
      <c r="H241" s="322">
        <f>Councils!H244</f>
        <v>0</v>
      </c>
      <c r="I241" s="322">
        <f>Councils!I244</f>
        <v>0</v>
      </c>
      <c r="J241" s="322">
        <f>Councils!J244</f>
        <v>0</v>
      </c>
      <c r="K241" s="322">
        <f>Councils!K244</f>
        <v>0</v>
      </c>
      <c r="L241" s="322">
        <f>Councils!L244</f>
        <v>0</v>
      </c>
      <c r="M241" s="323">
        <f>Councils!M244</f>
        <v>0</v>
      </c>
      <c r="N241" s="322">
        <f>Councils!O244</f>
        <v>0</v>
      </c>
      <c r="O241" s="322">
        <f>Councils!P244</f>
        <v>0</v>
      </c>
      <c r="P241" s="322">
        <f>Councils!Q244</f>
        <v>0</v>
      </c>
      <c r="Q241" s="322">
        <f>Councils!R244</f>
        <v>0</v>
      </c>
      <c r="R241" s="322">
        <f>Councils!S244</f>
        <v>0</v>
      </c>
      <c r="S241" s="322">
        <f>Councils!T244</f>
        <v>0</v>
      </c>
      <c r="T241" s="322">
        <f>Councils!U244</f>
        <v>0</v>
      </c>
      <c r="U241" s="323">
        <f>Councils!V244</f>
        <v>0</v>
      </c>
      <c r="V241" s="376">
        <v>168</v>
      </c>
      <c r="W241" s="377">
        <f t="shared" si="3"/>
        <v>3</v>
      </c>
      <c r="X241" s="378" t="str">
        <f>IF(ISNA(VLOOKUP($A241,GA!$A$1:$D$834,3,0))," ",VLOOKUP($A241,GA!$A$1:$D$834,3,0))</f>
        <v>Carlin</v>
      </c>
      <c r="Y241" s="379" t="str">
        <f>IF(ISNA(VLOOKUP($A241,Dormant_Councils!$A$1:$E$811,5,0)),"No",VLOOKUP($A241,Dormant_Councils!$A$1:$E$811,5,0))</f>
        <v>Dormant</v>
      </c>
      <c r="Z241" s="381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22" t="str">
        <f>Councils!C245</f>
        <v>143</v>
      </c>
      <c r="C242" s="322" t="str">
        <f>Councils!D245</f>
        <v>Belton</v>
      </c>
      <c r="D242" s="322" t="str">
        <f>IF(ISNA(VLOOKUP($V242,DD_Info!$A$1:$E$221,3,0)),0,VLOOKUP($V242,DD_Info!$A$1:$E$221,3,0))</f>
        <v>Austin</v>
      </c>
      <c r="E242" s="322">
        <f>Councils!E245</f>
        <v>208</v>
      </c>
      <c r="F242" s="322">
        <f>Councils!F245</f>
        <v>10</v>
      </c>
      <c r="G242" s="322">
        <f>Councils!G245</f>
        <v>1</v>
      </c>
      <c r="H242" s="322">
        <f>Councils!H245</f>
        <v>0</v>
      </c>
      <c r="I242" s="322">
        <f>Councils!I245</f>
        <v>1</v>
      </c>
      <c r="J242" s="322">
        <f>Councils!J245</f>
        <v>2</v>
      </c>
      <c r="K242" s="322">
        <f>Councils!K245</f>
        <v>0</v>
      </c>
      <c r="L242" s="322">
        <f>Councils!L245</f>
        <v>2</v>
      </c>
      <c r="M242" s="323">
        <f>Councils!M245</f>
        <v>20</v>
      </c>
      <c r="N242" s="322">
        <f>Councils!O245</f>
        <v>0</v>
      </c>
      <c r="O242" s="322">
        <f>Councils!P245</f>
        <v>0</v>
      </c>
      <c r="P242" s="322">
        <f>Councils!Q245</f>
        <v>0</v>
      </c>
      <c r="Q242" s="322">
        <f>Councils!R245</f>
        <v>0</v>
      </c>
      <c r="R242" s="322">
        <f>Councils!S245</f>
        <v>1</v>
      </c>
      <c r="S242" s="322">
        <f>Councils!T245</f>
        <v>1</v>
      </c>
      <c r="T242" s="322">
        <f>Councils!U245</f>
        <v>0</v>
      </c>
      <c r="U242" s="323">
        <f>Councils!V245</f>
        <v>0</v>
      </c>
      <c r="V242" s="376">
        <v>143</v>
      </c>
      <c r="W242" s="377">
        <f t="shared" si="3"/>
        <v>1</v>
      </c>
      <c r="X242" s="378" t="str">
        <f>IF(ISNA(VLOOKUP($A242,GA!$A$1:$D$834,3,0))," ",VLOOKUP($A242,GA!$A$1:$D$834,3,0))</f>
        <v>Britten</v>
      </c>
      <c r="Y242" s="379" t="str">
        <f>IF(ISNA(VLOOKUP($A242,Dormant_Councils!$A$1:$E$811,5,0)),"No",VLOOKUP($A242,Dormant_Councils!$A$1:$E$811,5,0))</f>
        <v>No</v>
      </c>
      <c r="Z242" s="381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22" t="str">
        <f>Councils!C246</f>
        <v>143</v>
      </c>
      <c r="C243" s="322" t="str">
        <f>Councils!D246</f>
        <v>Temple</v>
      </c>
      <c r="D243" s="322" t="str">
        <f>IF(ISNA(VLOOKUP($V243,DD_Info!$A$1:$E$221,3,0)),0,VLOOKUP($V243,DD_Info!$A$1:$E$221,3,0))</f>
        <v>Austin</v>
      </c>
      <c r="E243" s="322">
        <f>Councils!E246</f>
        <v>214</v>
      </c>
      <c r="F243" s="322">
        <f>Councils!F246</f>
        <v>10</v>
      </c>
      <c r="G243" s="322">
        <f>Councils!G246</f>
        <v>0</v>
      </c>
      <c r="H243" s="322">
        <f>Councils!H246</f>
        <v>0</v>
      </c>
      <c r="I243" s="322">
        <f>Councils!I246</f>
        <v>0</v>
      </c>
      <c r="J243" s="322">
        <f>Councils!J246</f>
        <v>4</v>
      </c>
      <c r="K243" s="322">
        <f>Councils!K246</f>
        <v>0</v>
      </c>
      <c r="L243" s="322">
        <f>Councils!L246</f>
        <v>4</v>
      </c>
      <c r="M243" s="323">
        <f>Councils!M246</f>
        <v>40</v>
      </c>
      <c r="N243" s="322">
        <f>Councils!O246</f>
        <v>0</v>
      </c>
      <c r="O243" s="322">
        <f>Councils!P246</f>
        <v>0</v>
      </c>
      <c r="P243" s="322">
        <f>Councils!Q246</f>
        <v>0</v>
      </c>
      <c r="Q243" s="322">
        <f>Councils!R246</f>
        <v>0</v>
      </c>
      <c r="R243" s="322">
        <f>Councils!S246</f>
        <v>1</v>
      </c>
      <c r="S243" s="322">
        <f>Councils!T246</f>
        <v>1</v>
      </c>
      <c r="T243" s="322">
        <f>Councils!U246</f>
        <v>0</v>
      </c>
      <c r="U243" s="323">
        <f>Councils!V246</f>
        <v>0</v>
      </c>
      <c r="V243" s="376">
        <v>143</v>
      </c>
      <c r="W243" s="377">
        <f t="shared" si="3"/>
        <v>1</v>
      </c>
      <c r="X243" s="378" t="str">
        <f>IF(ISNA(VLOOKUP($A243,GA!$A$1:$D$834,3,0))," ",VLOOKUP($A243,GA!$A$1:$D$834,3,0))</f>
        <v>Britten</v>
      </c>
      <c r="Y243" s="379" t="str">
        <f>IF(ISNA(VLOOKUP($A243,Dormant_Councils!$A$1:$E$811,5,0)),"No",VLOOKUP($A243,Dormant_Councils!$A$1:$E$811,5,0))</f>
        <v>No</v>
      </c>
      <c r="Z243" s="381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22" t="str">
        <f>Councils!C247</f>
        <v>141</v>
      </c>
      <c r="C244" s="322" t="str">
        <f>Councils!D247</f>
        <v>Bellmead</v>
      </c>
      <c r="D244" s="322" t="str">
        <f>IF(ISNA(VLOOKUP($V244,DD_Info!$A$1:$E$221,3,0)),0,VLOOKUP($V244,DD_Info!$A$1:$E$221,3,0))</f>
        <v>Austin</v>
      </c>
      <c r="E244" s="322">
        <f>Councils!E247</f>
        <v>67</v>
      </c>
      <c r="F244" s="322">
        <f>Councils!F247</f>
        <v>3</v>
      </c>
      <c r="G244" s="322">
        <f>Councils!G247</f>
        <v>0</v>
      </c>
      <c r="H244" s="322">
        <f>Councils!H247</f>
        <v>0</v>
      </c>
      <c r="I244" s="322">
        <f>Councils!I247</f>
        <v>0</v>
      </c>
      <c r="J244" s="322">
        <f>Councils!J247</f>
        <v>1</v>
      </c>
      <c r="K244" s="322">
        <f>Councils!K247</f>
        <v>0</v>
      </c>
      <c r="L244" s="322">
        <f>Councils!L247</f>
        <v>1</v>
      </c>
      <c r="M244" s="323">
        <f>Councils!M247</f>
        <v>33.33</v>
      </c>
      <c r="N244" s="322">
        <f>Councils!O247</f>
        <v>0</v>
      </c>
      <c r="O244" s="322">
        <f>Councils!P247</f>
        <v>0</v>
      </c>
      <c r="P244" s="322">
        <f>Councils!Q247</f>
        <v>0</v>
      </c>
      <c r="Q244" s="322">
        <f>Councils!R247</f>
        <v>0</v>
      </c>
      <c r="R244" s="322">
        <f>Councils!S247</f>
        <v>1</v>
      </c>
      <c r="S244" s="322">
        <f>Councils!T247</f>
        <v>0</v>
      </c>
      <c r="T244" s="322">
        <f>Councils!U247</f>
        <v>1</v>
      </c>
      <c r="U244" s="323">
        <f>Councils!V247</f>
        <v>0</v>
      </c>
      <c r="V244" s="376">
        <v>141</v>
      </c>
      <c r="W244" s="377">
        <f t="shared" si="3"/>
        <v>2</v>
      </c>
      <c r="X244" s="378" t="str">
        <f>IF(ISNA(VLOOKUP($A244,GA!$A$1:$D$834,3,0))," ",VLOOKUP($A244,GA!$A$1:$D$834,3,0))</f>
        <v>Rangel</v>
      </c>
      <c r="Y244" s="379" t="str">
        <f>IF(ISNA(VLOOKUP($A244,Dormant_Councils!$A$1:$E$811,5,0)),"No",VLOOKUP($A244,Dormant_Councils!$A$1:$E$811,5,0))</f>
        <v>No</v>
      </c>
      <c r="Z244" s="381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22" t="str">
        <f>Councils!C248</f>
        <v>071</v>
      </c>
      <c r="C245" s="322" t="str">
        <f>Councils!D248</f>
        <v>Baytown</v>
      </c>
      <c r="D245" s="322" t="str">
        <f>IF(ISNA(VLOOKUP($V245,DD_Info!$A$1:$E$221,3,0)),0,VLOOKUP($V245,DD_Info!$A$1:$E$221,3,0))</f>
        <v>Galv/Hous</v>
      </c>
      <c r="E245" s="322">
        <f>Councils!E248</f>
        <v>115</v>
      </c>
      <c r="F245" s="322">
        <f>Councils!F248</f>
        <v>6</v>
      </c>
      <c r="G245" s="322">
        <f>Councils!G248</f>
        <v>0</v>
      </c>
      <c r="H245" s="322">
        <f>Councils!H248</f>
        <v>0</v>
      </c>
      <c r="I245" s="322">
        <f>Councils!I248</f>
        <v>0</v>
      </c>
      <c r="J245" s="322">
        <f>Councils!J248</f>
        <v>1</v>
      </c>
      <c r="K245" s="322">
        <f>Councils!K248</f>
        <v>0</v>
      </c>
      <c r="L245" s="322">
        <f>Councils!L248</f>
        <v>1</v>
      </c>
      <c r="M245" s="323">
        <f>Councils!M248</f>
        <v>16.670000000000002</v>
      </c>
      <c r="N245" s="322">
        <f>Councils!O248</f>
        <v>0</v>
      </c>
      <c r="O245" s="322">
        <f>Councils!P248</f>
        <v>0</v>
      </c>
      <c r="P245" s="322">
        <f>Councils!Q248</f>
        <v>0</v>
      </c>
      <c r="Q245" s="322">
        <f>Councils!R248</f>
        <v>0</v>
      </c>
      <c r="R245" s="322">
        <f>Councils!S248</f>
        <v>1</v>
      </c>
      <c r="S245" s="322">
        <f>Councils!T248</f>
        <v>1</v>
      </c>
      <c r="T245" s="322">
        <f>Councils!U248</f>
        <v>0</v>
      </c>
      <c r="U245" s="323">
        <f>Councils!V248</f>
        <v>0</v>
      </c>
      <c r="V245" s="376">
        <v>71</v>
      </c>
      <c r="W245" s="377">
        <f t="shared" si="3"/>
        <v>2</v>
      </c>
      <c r="X245" s="378" t="str">
        <f>IF(ISNA(VLOOKUP($A245,GA!$A$1:$D$834,3,0))," ",VLOOKUP($A245,GA!$A$1:$D$834,3,0))</f>
        <v>Rangel</v>
      </c>
      <c r="Y245" s="379" t="str">
        <f>IF(ISNA(VLOOKUP($A245,Dormant_Councils!$A$1:$E$811,5,0)),"No",VLOOKUP($A245,Dormant_Councils!$A$1:$E$811,5,0))</f>
        <v>No</v>
      </c>
      <c r="Z245" s="381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22" t="str">
        <f>Councils!C249</f>
        <v>081</v>
      </c>
      <c r="C246" s="322" t="str">
        <f>Councils!D249</f>
        <v>Houston</v>
      </c>
      <c r="D246" s="322" t="str">
        <f>IF(ISNA(VLOOKUP($V246,DD_Info!$A$1:$E$221,3,0)),0,VLOOKUP($V246,DD_Info!$A$1:$E$221,3,0))</f>
        <v>Galv/Hous</v>
      </c>
      <c r="E246" s="322">
        <f>Councils!E249</f>
        <v>79</v>
      </c>
      <c r="F246" s="322">
        <f>Councils!F249</f>
        <v>4</v>
      </c>
      <c r="G246" s="322">
        <f>Councils!G249</f>
        <v>0</v>
      </c>
      <c r="H246" s="322">
        <f>Councils!H249</f>
        <v>0</v>
      </c>
      <c r="I246" s="322">
        <f>Councils!I249</f>
        <v>0</v>
      </c>
      <c r="J246" s="322">
        <f>Councils!J249</f>
        <v>1</v>
      </c>
      <c r="K246" s="322">
        <f>Councils!K249</f>
        <v>0</v>
      </c>
      <c r="L246" s="322">
        <f>Councils!L249</f>
        <v>1</v>
      </c>
      <c r="M246" s="323">
        <f>Councils!M249</f>
        <v>25</v>
      </c>
      <c r="N246" s="322">
        <f>Councils!O249</f>
        <v>0</v>
      </c>
      <c r="O246" s="322">
        <f>Councils!P249</f>
        <v>0</v>
      </c>
      <c r="P246" s="322">
        <f>Councils!Q249</f>
        <v>0</v>
      </c>
      <c r="Q246" s="322">
        <f>Councils!R249</f>
        <v>0</v>
      </c>
      <c r="R246" s="322">
        <f>Councils!S249</f>
        <v>1</v>
      </c>
      <c r="S246" s="322">
        <f>Councils!T249</f>
        <v>0</v>
      </c>
      <c r="T246" s="322">
        <f>Councils!U249</f>
        <v>1</v>
      </c>
      <c r="U246" s="323">
        <f>Councils!V249</f>
        <v>0</v>
      </c>
      <c r="V246" s="376">
        <v>81</v>
      </c>
      <c r="W246" s="377">
        <f t="shared" si="3"/>
        <v>2</v>
      </c>
      <c r="X246" s="378" t="str">
        <f>IF(ISNA(VLOOKUP($A246,GA!$A$1:$D$834,3,0))," ",VLOOKUP($A246,GA!$A$1:$D$834,3,0))</f>
        <v>Rangel</v>
      </c>
      <c r="Y246" s="379" t="str">
        <f>IF(ISNA(VLOOKUP($A246,Dormant_Councils!$A$1:$E$811,5,0)),"No",VLOOKUP($A246,Dormant_Councils!$A$1:$E$811,5,0))</f>
        <v>No</v>
      </c>
      <c r="Z246" s="381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22" t="str">
        <f>Councils!C250</f>
        <v>058</v>
      </c>
      <c r="C247" s="322" t="str">
        <f>Councils!D250</f>
        <v>San Antonio</v>
      </c>
      <c r="D247" s="322" t="str">
        <f>IF(ISNA(VLOOKUP($V247,DD_Info!$A$1:$E$221,3,0)),0,VLOOKUP($V247,DD_Info!$A$1:$E$221,3,0))</f>
        <v>San Antonio</v>
      </c>
      <c r="E247" s="322">
        <f>Councils!E250</f>
        <v>115</v>
      </c>
      <c r="F247" s="322">
        <f>Councils!F250</f>
        <v>5</v>
      </c>
      <c r="G247" s="322">
        <f>Councils!G250</f>
        <v>0</v>
      </c>
      <c r="H247" s="322">
        <f>Councils!H250</f>
        <v>0</v>
      </c>
      <c r="I247" s="322">
        <f>Councils!I250</f>
        <v>0</v>
      </c>
      <c r="J247" s="322">
        <f>Councils!J250</f>
        <v>0</v>
      </c>
      <c r="K247" s="322">
        <f>Councils!K250</f>
        <v>0</v>
      </c>
      <c r="L247" s="322">
        <f>Councils!L250</f>
        <v>0</v>
      </c>
      <c r="M247" s="323">
        <f>Councils!M250</f>
        <v>0</v>
      </c>
      <c r="N247" s="322">
        <f>Councils!O250</f>
        <v>0</v>
      </c>
      <c r="O247" s="322">
        <f>Councils!P250</f>
        <v>0</v>
      </c>
      <c r="P247" s="322">
        <f>Councils!Q250</f>
        <v>0</v>
      </c>
      <c r="Q247" s="322">
        <f>Councils!R250</f>
        <v>0</v>
      </c>
      <c r="R247" s="322">
        <f>Councils!S250</f>
        <v>0</v>
      </c>
      <c r="S247" s="322">
        <f>Councils!T250</f>
        <v>0</v>
      </c>
      <c r="T247" s="322">
        <f>Councils!U250</f>
        <v>0</v>
      </c>
      <c r="U247" s="323">
        <f>Councils!V250</f>
        <v>0</v>
      </c>
      <c r="V247" s="376">
        <v>58</v>
      </c>
      <c r="W247" s="377">
        <f t="shared" si="3"/>
        <v>2</v>
      </c>
      <c r="X247" s="378" t="str">
        <f>IF(ISNA(VLOOKUP($A247,GA!$A$1:$D$834,3,0))," ",VLOOKUP($A247,GA!$A$1:$D$834,3,0))</f>
        <v>Dougherty</v>
      </c>
      <c r="Y247" s="379" t="str">
        <f>IF(ISNA(VLOOKUP($A247,Dormant_Councils!$A$1:$E$811,5,0)),"No",VLOOKUP($A247,Dormant_Councils!$A$1:$E$811,5,0))</f>
        <v>No</v>
      </c>
      <c r="Z247" s="381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22" t="str">
        <f>Councils!C251</f>
        <v>017</v>
      </c>
      <c r="C248" s="322" t="str">
        <f>Councils!D251</f>
        <v>Weatherford</v>
      </c>
      <c r="D248" s="322" t="str">
        <f>IF(ISNA(VLOOKUP($V248,DD_Info!$A$1:$E$221,3,0)),0,VLOOKUP($V248,DD_Info!$A$1:$E$221,3,0))</f>
        <v>Fort Worth</v>
      </c>
      <c r="E248" s="322">
        <f>Councils!E251</f>
        <v>189</v>
      </c>
      <c r="F248" s="322">
        <f>Councils!F251</f>
        <v>9</v>
      </c>
      <c r="G248" s="322">
        <f>Councils!G251</f>
        <v>0</v>
      </c>
      <c r="H248" s="322">
        <f>Councils!H251</f>
        <v>0</v>
      </c>
      <c r="I248" s="322">
        <f>Councils!I251</f>
        <v>0</v>
      </c>
      <c r="J248" s="322">
        <f>Councils!J251</f>
        <v>2</v>
      </c>
      <c r="K248" s="322">
        <f>Councils!K251</f>
        <v>0</v>
      </c>
      <c r="L248" s="322">
        <f>Councils!L251</f>
        <v>2</v>
      </c>
      <c r="M248" s="323">
        <f>Councils!M251</f>
        <v>22.22</v>
      </c>
      <c r="N248" s="322">
        <f>Councils!O251</f>
        <v>0</v>
      </c>
      <c r="O248" s="322">
        <f>Councils!P251</f>
        <v>0</v>
      </c>
      <c r="P248" s="322">
        <f>Councils!Q251</f>
        <v>0</v>
      </c>
      <c r="Q248" s="322">
        <f>Councils!R251</f>
        <v>0</v>
      </c>
      <c r="R248" s="322">
        <f>Councils!S251</f>
        <v>1</v>
      </c>
      <c r="S248" s="322">
        <f>Councils!T251</f>
        <v>0</v>
      </c>
      <c r="T248" s="322">
        <f>Councils!U251</f>
        <v>1</v>
      </c>
      <c r="U248" s="323">
        <f>Councils!V251</f>
        <v>0</v>
      </c>
      <c r="V248" s="376">
        <v>17</v>
      </c>
      <c r="W248" s="377">
        <f t="shared" si="3"/>
        <v>1</v>
      </c>
      <c r="X248" s="378" t="str">
        <f>IF(ISNA(VLOOKUP($A248,GA!$A$1:$D$834,3,0))," ",VLOOKUP($A248,GA!$A$1:$D$834,3,0))</f>
        <v>Stark</v>
      </c>
      <c r="Y248" s="379" t="str">
        <f>IF(ISNA(VLOOKUP($A248,Dormant_Councils!$A$1:$E$811,5,0)),"No",VLOOKUP($A248,Dormant_Councils!$A$1:$E$811,5,0))</f>
        <v>No</v>
      </c>
      <c r="Z248" s="381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22" t="str">
        <f>Councils!C252</f>
        <v>051</v>
      </c>
      <c r="C249" s="322" t="str">
        <f>Councils!D252</f>
        <v>San Antonio</v>
      </c>
      <c r="D249" s="322" t="str">
        <f>IF(ISNA(VLOOKUP($V249,DD_Info!$A$1:$E$221,3,0)),0,VLOOKUP($V249,DD_Info!$A$1:$E$221,3,0))</f>
        <v>San Antonio</v>
      </c>
      <c r="E249" s="322">
        <f>Councils!E252</f>
        <v>175</v>
      </c>
      <c r="F249" s="322">
        <f>Councils!F252</f>
        <v>8</v>
      </c>
      <c r="G249" s="322">
        <f>Councils!G252</f>
        <v>0</v>
      </c>
      <c r="H249" s="322">
        <f>Councils!H252</f>
        <v>0</v>
      </c>
      <c r="I249" s="322">
        <f>Councils!I252</f>
        <v>0</v>
      </c>
      <c r="J249" s="322">
        <f>Councils!J252</f>
        <v>0</v>
      </c>
      <c r="K249" s="322">
        <f>Councils!K252</f>
        <v>0</v>
      </c>
      <c r="L249" s="322">
        <f>Councils!L252</f>
        <v>0</v>
      </c>
      <c r="M249" s="323">
        <f>Councils!M252</f>
        <v>0</v>
      </c>
      <c r="N249" s="322">
        <f>Councils!O252</f>
        <v>0</v>
      </c>
      <c r="O249" s="322">
        <f>Councils!P252</f>
        <v>0</v>
      </c>
      <c r="P249" s="322">
        <f>Councils!Q252</f>
        <v>0</v>
      </c>
      <c r="Q249" s="322">
        <f>Councils!R252</f>
        <v>0</v>
      </c>
      <c r="R249" s="322">
        <f>Councils!S252</f>
        <v>0</v>
      </c>
      <c r="S249" s="322">
        <f>Councils!T252</f>
        <v>0</v>
      </c>
      <c r="T249" s="322">
        <f>Councils!U252</f>
        <v>0</v>
      </c>
      <c r="U249" s="323">
        <f>Councils!V252</f>
        <v>0</v>
      </c>
      <c r="V249" s="376">
        <v>51</v>
      </c>
      <c r="W249" s="377">
        <f t="shared" si="3"/>
        <v>1</v>
      </c>
      <c r="X249" s="378" t="str">
        <f>IF(ISNA(VLOOKUP($A249,GA!$A$1:$D$834,3,0))," ",VLOOKUP($A249,GA!$A$1:$D$834,3,0))</f>
        <v>Dougherty</v>
      </c>
      <c r="Y249" s="379" t="str">
        <f>IF(ISNA(VLOOKUP($A249,Dormant_Councils!$A$1:$E$811,5,0)),"No",VLOOKUP($A249,Dormant_Councils!$A$1:$E$811,5,0))</f>
        <v>No</v>
      </c>
      <c r="Z249" s="381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22" t="str">
        <f>Councils!C253</f>
        <v>168</v>
      </c>
      <c r="C250" s="322" t="str">
        <f>Councils!D253</f>
        <v>Corpus Christi</v>
      </c>
      <c r="D250" s="322" t="str">
        <f>IF(ISNA(VLOOKUP($V250,DD_Info!$A$1:$E$221,3,0)),0,VLOOKUP($V250,DD_Info!$A$1:$E$221,3,0))</f>
        <v>Corpus Christi</v>
      </c>
      <c r="E250" s="322">
        <f>Councils!E253</f>
        <v>154</v>
      </c>
      <c r="F250" s="322">
        <f>Councils!F253</f>
        <v>7</v>
      </c>
      <c r="G250" s="322">
        <f>Councils!G253</f>
        <v>0</v>
      </c>
      <c r="H250" s="322">
        <f>Councils!H253</f>
        <v>0</v>
      </c>
      <c r="I250" s="322">
        <f>Councils!I253</f>
        <v>0</v>
      </c>
      <c r="J250" s="322">
        <f>Councils!J253</f>
        <v>3</v>
      </c>
      <c r="K250" s="322">
        <f>Councils!K253</f>
        <v>0</v>
      </c>
      <c r="L250" s="322">
        <f>Councils!L253</f>
        <v>3</v>
      </c>
      <c r="M250" s="323">
        <f>Councils!M253</f>
        <v>42.86</v>
      </c>
      <c r="N250" s="322">
        <f>Councils!O253</f>
        <v>0</v>
      </c>
      <c r="O250" s="322">
        <f>Councils!P253</f>
        <v>1</v>
      </c>
      <c r="P250" s="322">
        <f>Councils!Q253</f>
        <v>0</v>
      </c>
      <c r="Q250" s="322">
        <f>Councils!R253</f>
        <v>1</v>
      </c>
      <c r="R250" s="322">
        <f>Councils!S253</f>
        <v>1</v>
      </c>
      <c r="S250" s="322">
        <f>Councils!T253</f>
        <v>0</v>
      </c>
      <c r="T250" s="322">
        <f>Councils!U253</f>
        <v>1</v>
      </c>
      <c r="U250" s="323">
        <f>Councils!V253</f>
        <v>0</v>
      </c>
      <c r="V250" s="376">
        <v>168</v>
      </c>
      <c r="W250" s="377">
        <f t="shared" si="3"/>
        <v>1</v>
      </c>
      <c r="X250" s="378" t="str">
        <f>IF(ISNA(VLOOKUP($A250,GA!$A$1:$D$834,3,0))," ",VLOOKUP($A250,GA!$A$1:$D$834,3,0))</f>
        <v>Carlin</v>
      </c>
      <c r="Y250" s="379" t="str">
        <f>IF(ISNA(VLOOKUP($A250,Dormant_Councils!$A$1:$E$811,5,0)),"No",VLOOKUP($A250,Dormant_Councils!$A$1:$E$811,5,0))</f>
        <v>No</v>
      </c>
      <c r="Z250" s="381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22" t="str">
        <f>Councils!C254</f>
        <v>059</v>
      </c>
      <c r="C251" s="322" t="str">
        <f>Councils!D254</f>
        <v>San Antonio</v>
      </c>
      <c r="D251" s="322" t="str">
        <f>IF(ISNA(VLOOKUP($V251,DD_Info!$A$1:$E$221,3,0)),0,VLOOKUP($V251,DD_Info!$A$1:$E$221,3,0))</f>
        <v>San Antonio</v>
      </c>
      <c r="E251" s="322">
        <f>Councils!E254</f>
        <v>194</v>
      </c>
      <c r="F251" s="322">
        <f>Councils!F254</f>
        <v>9</v>
      </c>
      <c r="G251" s="322">
        <f>Councils!G254</f>
        <v>0</v>
      </c>
      <c r="H251" s="322">
        <f>Councils!H254</f>
        <v>0</v>
      </c>
      <c r="I251" s="322">
        <f>Councils!I254</f>
        <v>0</v>
      </c>
      <c r="J251" s="322">
        <f>Councils!J254</f>
        <v>1</v>
      </c>
      <c r="K251" s="322">
        <f>Councils!K254</f>
        <v>0</v>
      </c>
      <c r="L251" s="322">
        <f>Councils!L254</f>
        <v>1</v>
      </c>
      <c r="M251" s="323">
        <f>Councils!M254</f>
        <v>11.11</v>
      </c>
      <c r="N251" s="322">
        <f>Councils!O254</f>
        <v>0</v>
      </c>
      <c r="O251" s="322">
        <f>Councils!P254</f>
        <v>0</v>
      </c>
      <c r="P251" s="322">
        <f>Councils!Q254</f>
        <v>0</v>
      </c>
      <c r="Q251" s="322">
        <f>Councils!R254</f>
        <v>0</v>
      </c>
      <c r="R251" s="322">
        <f>Councils!S254</f>
        <v>2</v>
      </c>
      <c r="S251" s="322">
        <f>Councils!T254</f>
        <v>1</v>
      </c>
      <c r="T251" s="322">
        <f>Councils!U254</f>
        <v>1</v>
      </c>
      <c r="U251" s="323">
        <f>Councils!V254</f>
        <v>0</v>
      </c>
      <c r="V251" s="376">
        <v>59</v>
      </c>
      <c r="W251" s="377">
        <f t="shared" si="3"/>
        <v>1</v>
      </c>
      <c r="X251" s="378" t="str">
        <f>IF(ISNA(VLOOKUP($A251,GA!$A$1:$D$834,3,0))," ",VLOOKUP($A251,GA!$A$1:$D$834,3,0))</f>
        <v>Dougherty</v>
      </c>
      <c r="Y251" s="379" t="str">
        <f>IF(ISNA(VLOOKUP($A251,Dormant_Councils!$A$1:$E$811,5,0)),"No",VLOOKUP($A251,Dormant_Councils!$A$1:$E$811,5,0))</f>
        <v>No</v>
      </c>
      <c r="Z251" s="381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22" t="str">
        <f>Councils!C255</f>
        <v>Unassigned</v>
      </c>
      <c r="C252" s="322" t="str">
        <f>Councils!D255</f>
        <v>Texas City</v>
      </c>
      <c r="D252" s="322">
        <f>IF(ISNA(VLOOKUP($V252,DD_Info!$A$1:$E$221,3,0)),0,VLOOKUP($V252,DD_Info!$A$1:$E$221,3,0))</f>
        <v>0</v>
      </c>
      <c r="E252" s="322">
        <f>Councils!E255</f>
        <v>0</v>
      </c>
      <c r="F252" s="322">
        <f>Councils!F255</f>
        <v>0</v>
      </c>
      <c r="G252" s="322">
        <f>Councils!G255</f>
        <v>0</v>
      </c>
      <c r="H252" s="322">
        <f>Councils!H255</f>
        <v>0</v>
      </c>
      <c r="I252" s="322">
        <f>Councils!I255</f>
        <v>0</v>
      </c>
      <c r="J252" s="322">
        <f>Councils!J255</f>
        <v>0</v>
      </c>
      <c r="K252" s="322">
        <f>Councils!K255</f>
        <v>0</v>
      </c>
      <c r="L252" s="322">
        <f>Councils!L255</f>
        <v>0</v>
      </c>
      <c r="M252" s="323">
        <f>Councils!M255</f>
        <v>0</v>
      </c>
      <c r="N252" s="322">
        <f>Councils!O255</f>
        <v>0</v>
      </c>
      <c r="O252" s="322">
        <f>Councils!P255</f>
        <v>0</v>
      </c>
      <c r="P252" s="322">
        <f>Councils!Q255</f>
        <v>0</v>
      </c>
      <c r="Q252" s="322">
        <f>Councils!R255</f>
        <v>0</v>
      </c>
      <c r="R252" s="322">
        <f>Councils!S255</f>
        <v>0</v>
      </c>
      <c r="S252" s="322">
        <f>Councils!T255</f>
        <v>0</v>
      </c>
      <c r="T252" s="322">
        <f>Councils!U255</f>
        <v>0</v>
      </c>
      <c r="U252" s="323">
        <f>Councils!V255</f>
        <v>0</v>
      </c>
      <c r="V252" s="45" t="s">
        <v>93</v>
      </c>
      <c r="W252" s="377">
        <f t="shared" si="3"/>
        <v>3</v>
      </c>
      <c r="X252" s="378" t="str">
        <f>IF(ISNA(VLOOKUP($A252,GA!$A$1:$D$834,3,0))," ",VLOOKUP($A252,GA!$A$1:$D$834,3,0))</f>
        <v>Rangel</v>
      </c>
      <c r="Y252" s="379" t="str">
        <f>IF(ISNA(VLOOKUP($A252,Dormant_Councils!$A$1:$E$811,5,0)),"No",VLOOKUP($A252,Dormant_Councils!$A$1:$E$811,5,0))</f>
        <v>No</v>
      </c>
      <c r="Z252" s="381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22" t="str">
        <f>Councils!C256</f>
        <v>045</v>
      </c>
      <c r="C253" s="322" t="str">
        <f>Councils!D256</f>
        <v>Canyon Lake</v>
      </c>
      <c r="D253" s="322" t="str">
        <f>IF(ISNA(VLOOKUP($V253,DD_Info!$A$1:$E$221,3,0)),0,VLOOKUP($V253,DD_Info!$A$1:$E$221,3,0))</f>
        <v>San Antonio</v>
      </c>
      <c r="E253" s="322">
        <f>Councils!E256</f>
        <v>122</v>
      </c>
      <c r="F253" s="322">
        <f>Councils!F256</f>
        <v>6</v>
      </c>
      <c r="G253" s="322">
        <f>Councils!G256</f>
        <v>1</v>
      </c>
      <c r="H253" s="322">
        <f>Councils!H256</f>
        <v>0</v>
      </c>
      <c r="I253" s="322">
        <f>Councils!I256</f>
        <v>1</v>
      </c>
      <c r="J253" s="322">
        <f>Councils!J256</f>
        <v>3</v>
      </c>
      <c r="K253" s="322">
        <f>Councils!K256</f>
        <v>0</v>
      </c>
      <c r="L253" s="322">
        <f>Councils!L256</f>
        <v>3</v>
      </c>
      <c r="M253" s="323">
        <f>Councils!M256</f>
        <v>50</v>
      </c>
      <c r="N253" s="322">
        <f>Councils!O256</f>
        <v>0</v>
      </c>
      <c r="O253" s="322">
        <f>Councils!P256</f>
        <v>0</v>
      </c>
      <c r="P253" s="322">
        <f>Councils!Q256</f>
        <v>0</v>
      </c>
      <c r="Q253" s="322">
        <f>Councils!R256</f>
        <v>0</v>
      </c>
      <c r="R253" s="322">
        <f>Councils!S256</f>
        <v>0</v>
      </c>
      <c r="S253" s="322">
        <f>Councils!T256</f>
        <v>0</v>
      </c>
      <c r="T253" s="322">
        <f>Councils!U256</f>
        <v>0</v>
      </c>
      <c r="U253" s="323">
        <f>Councils!V256</f>
        <v>0</v>
      </c>
      <c r="V253" s="376">
        <v>45</v>
      </c>
      <c r="W253" s="377">
        <f t="shared" si="3"/>
        <v>2</v>
      </c>
      <c r="X253" s="378" t="str">
        <f>IF(ISNA(VLOOKUP($A253,GA!$A$1:$D$834,3,0))," ",VLOOKUP($A253,GA!$A$1:$D$834,3,0))</f>
        <v>Dougherty</v>
      </c>
      <c r="Y253" s="379" t="str">
        <f>IF(ISNA(VLOOKUP($A253,Dormant_Councils!$A$1:$E$811,5,0)),"No",VLOOKUP($A253,Dormant_Councils!$A$1:$E$811,5,0))</f>
        <v>No</v>
      </c>
      <c r="Z253" s="381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22" t="str">
        <f>Councils!C257</f>
        <v>180</v>
      </c>
      <c r="C254" s="322" t="str">
        <f>Councils!D257</f>
        <v>Taft</v>
      </c>
      <c r="D254" s="322" t="str">
        <f>IF(ISNA(VLOOKUP($V254,DD_Info!$A$1:$E$221,3,0)),0,VLOOKUP($V254,DD_Info!$A$1:$E$221,3,0))</f>
        <v>Corpus Christi</v>
      </c>
      <c r="E254" s="322">
        <f>Councils!E257</f>
        <v>41</v>
      </c>
      <c r="F254" s="322">
        <f>Councils!F257</f>
        <v>3</v>
      </c>
      <c r="G254" s="322">
        <f>Councils!G257</f>
        <v>0</v>
      </c>
      <c r="H254" s="322">
        <f>Councils!H257</f>
        <v>0</v>
      </c>
      <c r="I254" s="322">
        <f>Councils!I257</f>
        <v>0</v>
      </c>
      <c r="J254" s="322">
        <f>Councils!J257</f>
        <v>0</v>
      </c>
      <c r="K254" s="322">
        <f>Councils!K257</f>
        <v>0</v>
      </c>
      <c r="L254" s="322">
        <f>Councils!L257</f>
        <v>0</v>
      </c>
      <c r="M254" s="323">
        <f>Councils!M257</f>
        <v>0</v>
      </c>
      <c r="N254" s="322">
        <f>Councils!O257</f>
        <v>0</v>
      </c>
      <c r="O254" s="322">
        <f>Councils!P257</f>
        <v>0</v>
      </c>
      <c r="P254" s="322">
        <f>Councils!Q257</f>
        <v>0</v>
      </c>
      <c r="Q254" s="322">
        <f>Councils!R257</f>
        <v>0</v>
      </c>
      <c r="R254" s="322">
        <f>Councils!S257</f>
        <v>0</v>
      </c>
      <c r="S254" s="322">
        <f>Councils!T257</f>
        <v>0</v>
      </c>
      <c r="T254" s="322">
        <f>Councils!U257</f>
        <v>0</v>
      </c>
      <c r="U254" s="323">
        <f>Councils!V257</f>
        <v>0</v>
      </c>
      <c r="V254" s="376">
        <v>180</v>
      </c>
      <c r="W254" s="377">
        <f t="shared" si="3"/>
        <v>3</v>
      </c>
      <c r="X254" s="378" t="str">
        <f>IF(ISNA(VLOOKUP($A254,GA!$A$1:$D$834,3,0))," ",VLOOKUP($A254,GA!$A$1:$D$834,3,0))</f>
        <v>Carlin</v>
      </c>
      <c r="Y254" s="379" t="str">
        <f>IF(ISNA(VLOOKUP($A254,Dormant_Councils!$A$1:$E$811,5,0)),"No",VLOOKUP($A254,Dormant_Councils!$A$1:$E$811,5,0))</f>
        <v>Dormant</v>
      </c>
      <c r="Z254" s="381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22" t="str">
        <f>Councils!C258</f>
        <v>022</v>
      </c>
      <c r="C255" s="322" t="str">
        <f>Councils!D258</f>
        <v>Burkburnett</v>
      </c>
      <c r="D255" s="322" t="str">
        <f>IF(ISNA(VLOOKUP($V255,DD_Info!$A$1:$E$221,3,0)),0,VLOOKUP($V255,DD_Info!$A$1:$E$221,3,0))</f>
        <v>Fort Worth</v>
      </c>
      <c r="E255" s="322">
        <f>Councils!E258</f>
        <v>103</v>
      </c>
      <c r="F255" s="322">
        <f>Councils!F258</f>
        <v>5</v>
      </c>
      <c r="G255" s="322">
        <f>Councils!G258</f>
        <v>0</v>
      </c>
      <c r="H255" s="322">
        <f>Councils!H258</f>
        <v>0</v>
      </c>
      <c r="I255" s="322">
        <f>Councils!I258</f>
        <v>0</v>
      </c>
      <c r="J255" s="322">
        <f>Councils!J258</f>
        <v>0</v>
      </c>
      <c r="K255" s="322">
        <f>Councils!K258</f>
        <v>0</v>
      </c>
      <c r="L255" s="322">
        <f>Councils!L258</f>
        <v>0</v>
      </c>
      <c r="M255" s="323">
        <f>Councils!M258</f>
        <v>0</v>
      </c>
      <c r="N255" s="322">
        <f>Councils!O258</f>
        <v>0</v>
      </c>
      <c r="O255" s="322">
        <f>Councils!P258</f>
        <v>0</v>
      </c>
      <c r="P255" s="322">
        <f>Councils!Q258</f>
        <v>0</v>
      </c>
      <c r="Q255" s="322">
        <f>Councils!R258</f>
        <v>0</v>
      </c>
      <c r="R255" s="322">
        <f>Councils!S258</f>
        <v>0</v>
      </c>
      <c r="S255" s="322">
        <f>Councils!T258</f>
        <v>0</v>
      </c>
      <c r="T255" s="322">
        <f>Councils!U258</f>
        <v>0</v>
      </c>
      <c r="U255" s="323">
        <f>Councils!V258</f>
        <v>0</v>
      </c>
      <c r="V255" s="376">
        <v>22</v>
      </c>
      <c r="W255" s="377">
        <f t="shared" si="3"/>
        <v>2</v>
      </c>
      <c r="X255" s="378" t="str">
        <f>IF(ISNA(VLOOKUP($A255,GA!$A$1:$D$834,3,0))," ",VLOOKUP($A255,GA!$A$1:$D$834,3,0))</f>
        <v>Stark</v>
      </c>
      <c r="Y255" s="379" t="str">
        <f>IF(ISNA(VLOOKUP($A255,Dormant_Councils!$A$1:$E$811,5,0)),"No",VLOOKUP($A255,Dormant_Councils!$A$1:$E$811,5,0))</f>
        <v>No</v>
      </c>
      <c r="Z255" s="381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22" t="str">
        <f>Councils!C259</f>
        <v>079</v>
      </c>
      <c r="C256" s="322" t="str">
        <f>Councils!D259</f>
        <v>Houston</v>
      </c>
      <c r="D256" s="322" t="str">
        <f>IF(ISNA(VLOOKUP($V256,DD_Info!$A$1:$E$221,3,0)),0,VLOOKUP($V256,DD_Info!$A$1:$E$221,3,0))</f>
        <v>Galv/Hous</v>
      </c>
      <c r="E256" s="322">
        <f>Councils!E259</f>
        <v>259</v>
      </c>
      <c r="F256" s="322">
        <f>Councils!F259</f>
        <v>13</v>
      </c>
      <c r="G256" s="322">
        <f>Councils!G259</f>
        <v>0</v>
      </c>
      <c r="H256" s="322">
        <f>Councils!H259</f>
        <v>0</v>
      </c>
      <c r="I256" s="322">
        <f>Councils!I259</f>
        <v>0</v>
      </c>
      <c r="J256" s="322">
        <f>Councils!J259</f>
        <v>1</v>
      </c>
      <c r="K256" s="322">
        <f>Councils!K259</f>
        <v>0</v>
      </c>
      <c r="L256" s="322">
        <f>Councils!L259</f>
        <v>1</v>
      </c>
      <c r="M256" s="323">
        <f>Councils!M259</f>
        <v>7.69</v>
      </c>
      <c r="N256" s="322">
        <f>Councils!O259</f>
        <v>0</v>
      </c>
      <c r="O256" s="322">
        <f>Councils!P259</f>
        <v>0</v>
      </c>
      <c r="P256" s="322">
        <f>Councils!Q259</f>
        <v>4</v>
      </c>
      <c r="Q256" s="322">
        <f>Councils!R259</f>
        <v>-4</v>
      </c>
      <c r="R256" s="322">
        <f>Councils!S259</f>
        <v>1</v>
      </c>
      <c r="S256" s="322">
        <f>Councils!T259</f>
        <v>4</v>
      </c>
      <c r="T256" s="322">
        <f>Councils!U259</f>
        <v>-3</v>
      </c>
      <c r="U256" s="323">
        <f>Councils!V259</f>
        <v>0</v>
      </c>
      <c r="V256" s="376">
        <v>79</v>
      </c>
      <c r="W256" s="377">
        <f t="shared" si="3"/>
        <v>1</v>
      </c>
      <c r="X256" s="378" t="str">
        <f>IF(ISNA(VLOOKUP($A256,GA!$A$1:$D$834,3,0))," ",VLOOKUP($A256,GA!$A$1:$D$834,3,0))</f>
        <v>Supak</v>
      </c>
      <c r="Y256" s="379" t="str">
        <f>IF(ISNA(VLOOKUP($A256,Dormant_Councils!$A$1:$E$811,5,0)),"No",VLOOKUP($A256,Dormant_Councils!$A$1:$E$811,5,0))</f>
        <v>No</v>
      </c>
      <c r="Z256" s="381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22" t="str">
        <f>Councils!C260</f>
        <v>047</v>
      </c>
      <c r="C257" s="322" t="str">
        <f>Councils!D260</f>
        <v>San Antonio</v>
      </c>
      <c r="D257" s="322" t="str">
        <f>IF(ISNA(VLOOKUP($V257,DD_Info!$A$1:$E$221,3,0)),0,VLOOKUP($V257,DD_Info!$A$1:$E$221,3,0))</f>
        <v>San Antonio</v>
      </c>
      <c r="E257" s="322">
        <f>Councils!E260</f>
        <v>148</v>
      </c>
      <c r="F257" s="322">
        <f>Councils!F260</f>
        <v>7</v>
      </c>
      <c r="G257" s="322">
        <f>Councils!G260</f>
        <v>0</v>
      </c>
      <c r="H257" s="322">
        <f>Councils!H260</f>
        <v>0</v>
      </c>
      <c r="I257" s="322">
        <f>Councils!I260</f>
        <v>0</v>
      </c>
      <c r="J257" s="322">
        <f>Councils!J260</f>
        <v>3</v>
      </c>
      <c r="K257" s="322">
        <f>Councils!K260</f>
        <v>0</v>
      </c>
      <c r="L257" s="322">
        <f>Councils!L260</f>
        <v>3</v>
      </c>
      <c r="M257" s="323">
        <f>Councils!M260</f>
        <v>42.86</v>
      </c>
      <c r="N257" s="322">
        <f>Councils!O260</f>
        <v>0</v>
      </c>
      <c r="O257" s="322">
        <f>Councils!P260</f>
        <v>0</v>
      </c>
      <c r="P257" s="322">
        <f>Councils!Q260</f>
        <v>0</v>
      </c>
      <c r="Q257" s="322">
        <f>Councils!R260</f>
        <v>0</v>
      </c>
      <c r="R257" s="322">
        <f>Councils!S260</f>
        <v>2</v>
      </c>
      <c r="S257" s="322">
        <f>Councils!T260</f>
        <v>0</v>
      </c>
      <c r="T257" s="322">
        <f>Councils!U260</f>
        <v>2</v>
      </c>
      <c r="U257" s="323">
        <f>Councils!V260</f>
        <v>0</v>
      </c>
      <c r="V257" s="376">
        <v>47</v>
      </c>
      <c r="W257" s="377">
        <f t="shared" si="3"/>
        <v>1</v>
      </c>
      <c r="X257" s="378" t="str">
        <f>IF(ISNA(VLOOKUP($A257,GA!$A$1:$D$834,3,0))," ",VLOOKUP($A257,GA!$A$1:$D$834,3,0))</f>
        <v>Dougherty</v>
      </c>
      <c r="Y257" s="379" t="str">
        <f>IF(ISNA(VLOOKUP($A257,Dormant_Councils!$A$1:$E$811,5,0)),"No",VLOOKUP($A257,Dormant_Councils!$A$1:$E$811,5,0))</f>
        <v>No</v>
      </c>
      <c r="Z257" s="381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22" t="str">
        <f>Councils!C261</f>
        <v>060</v>
      </c>
      <c r="C258" s="322" t="str">
        <f>Councils!D261</f>
        <v>San Antonio</v>
      </c>
      <c r="D258" s="322" t="str">
        <f>IF(ISNA(VLOOKUP($V258,DD_Info!$A$1:$E$221,3,0)),0,VLOOKUP($V258,DD_Info!$A$1:$E$221,3,0))</f>
        <v>San Antonio</v>
      </c>
      <c r="E258" s="322">
        <f>Councils!E261</f>
        <v>56</v>
      </c>
      <c r="F258" s="322">
        <f>Councils!F261</f>
        <v>3</v>
      </c>
      <c r="G258" s="322">
        <f>Councils!G261</f>
        <v>0</v>
      </c>
      <c r="H258" s="322">
        <f>Councils!H261</f>
        <v>0</v>
      </c>
      <c r="I258" s="322">
        <f>Councils!I261</f>
        <v>0</v>
      </c>
      <c r="J258" s="322">
        <f>Councils!J261</f>
        <v>0</v>
      </c>
      <c r="K258" s="322">
        <f>Councils!K261</f>
        <v>0</v>
      </c>
      <c r="L258" s="322">
        <f>Councils!L261</f>
        <v>0</v>
      </c>
      <c r="M258" s="323">
        <f>Councils!M261</f>
        <v>0</v>
      </c>
      <c r="N258" s="322">
        <f>Councils!O261</f>
        <v>0</v>
      </c>
      <c r="O258" s="322">
        <f>Councils!P261</f>
        <v>0</v>
      </c>
      <c r="P258" s="322">
        <f>Councils!Q261</f>
        <v>0</v>
      </c>
      <c r="Q258" s="322">
        <f>Councils!R261</f>
        <v>0</v>
      </c>
      <c r="R258" s="322">
        <f>Councils!S261</f>
        <v>0</v>
      </c>
      <c r="S258" s="322">
        <f>Councils!T261</f>
        <v>1</v>
      </c>
      <c r="T258" s="322">
        <f>Councils!U261</f>
        <v>-1</v>
      </c>
      <c r="U258" s="323">
        <f>Councils!V261</f>
        <v>0</v>
      </c>
      <c r="V258" s="376">
        <v>60</v>
      </c>
      <c r="W258" s="377">
        <f t="shared" si="3"/>
        <v>3</v>
      </c>
      <c r="X258" s="378" t="str">
        <f>IF(ISNA(VLOOKUP($A258,GA!$A$1:$D$834,3,0))," ",VLOOKUP($A258,GA!$A$1:$D$834,3,0))</f>
        <v>Dougherty</v>
      </c>
      <c r="Y258" s="379" t="str">
        <f>IF(ISNA(VLOOKUP($A258,Dormant_Councils!$A$1:$E$811,5,0)),"No",VLOOKUP($A258,Dormant_Councils!$A$1:$E$811,5,0))</f>
        <v>No</v>
      </c>
      <c r="Z258" s="381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22" t="str">
        <f>Councils!C262</f>
        <v>022</v>
      </c>
      <c r="C259" s="322" t="str">
        <f>Councils!D262</f>
        <v>Vernon</v>
      </c>
      <c r="D259" s="322" t="str">
        <f>IF(ISNA(VLOOKUP($V259,DD_Info!$A$1:$E$221,3,0)),0,VLOOKUP($V259,DD_Info!$A$1:$E$221,3,0))</f>
        <v>Fort Worth</v>
      </c>
      <c r="E259" s="322">
        <f>Councils!E262</f>
        <v>83</v>
      </c>
      <c r="F259" s="322">
        <f>Councils!F262</f>
        <v>4</v>
      </c>
      <c r="G259" s="322">
        <f>Councils!G262</f>
        <v>0</v>
      </c>
      <c r="H259" s="322">
        <f>Councils!H262</f>
        <v>0</v>
      </c>
      <c r="I259" s="322">
        <f>Councils!I262</f>
        <v>0</v>
      </c>
      <c r="J259" s="322">
        <f>Councils!J262</f>
        <v>0</v>
      </c>
      <c r="K259" s="322">
        <f>Councils!K262</f>
        <v>0</v>
      </c>
      <c r="L259" s="322">
        <f>Councils!L262</f>
        <v>0</v>
      </c>
      <c r="M259" s="323">
        <f>Councils!M262</f>
        <v>0</v>
      </c>
      <c r="N259" s="322">
        <f>Councils!O262</f>
        <v>0</v>
      </c>
      <c r="O259" s="322">
        <f>Councils!P262</f>
        <v>0</v>
      </c>
      <c r="P259" s="322">
        <f>Councils!Q262</f>
        <v>1</v>
      </c>
      <c r="Q259" s="322">
        <f>Councils!R262</f>
        <v>-1</v>
      </c>
      <c r="R259" s="322">
        <f>Councils!S262</f>
        <v>0</v>
      </c>
      <c r="S259" s="322">
        <f>Councils!T262</f>
        <v>1</v>
      </c>
      <c r="T259" s="322">
        <f>Councils!U262</f>
        <v>-1</v>
      </c>
      <c r="U259" s="323">
        <f>Councils!V262</f>
        <v>0</v>
      </c>
      <c r="V259" s="376">
        <v>22</v>
      </c>
      <c r="W259" s="377">
        <f t="shared" ref="W259:W322" si="4">_xlfn.IFS($E259&gt;=140,1,$E259&gt;65,2,$E259&lt;=65,3)</f>
        <v>2</v>
      </c>
      <c r="X259" s="378" t="str">
        <f>IF(ISNA(VLOOKUP($A259,GA!$A$1:$D$834,3,0))," ",VLOOKUP($A259,GA!$A$1:$D$834,3,0))</f>
        <v>Stark</v>
      </c>
      <c r="Y259" s="379" t="str">
        <f>IF(ISNA(VLOOKUP($A259,Dormant_Councils!$A$1:$E$811,5,0)),"No",VLOOKUP($A259,Dormant_Councils!$A$1:$E$811,5,0))</f>
        <v>No</v>
      </c>
      <c r="Z259" s="381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22" t="str">
        <f>Councils!C263</f>
        <v>110</v>
      </c>
      <c r="C260" s="322" t="str">
        <f>Councils!D263</f>
        <v>Greenville</v>
      </c>
      <c r="D260" s="322" t="str">
        <f>IF(ISNA(VLOOKUP($V260,DD_Info!$A$1:$E$221,3,0)),0,VLOOKUP($V260,DD_Info!$A$1:$E$221,3,0))</f>
        <v>Dallas</v>
      </c>
      <c r="E260" s="322">
        <f>Councils!E263</f>
        <v>136</v>
      </c>
      <c r="F260" s="322">
        <f>Councils!F263</f>
        <v>7</v>
      </c>
      <c r="G260" s="322">
        <f>Councils!G263</f>
        <v>0</v>
      </c>
      <c r="H260" s="322">
        <f>Councils!H263</f>
        <v>0</v>
      </c>
      <c r="I260" s="322">
        <f>Councils!I263</f>
        <v>0</v>
      </c>
      <c r="J260" s="322">
        <f>Councils!J263</f>
        <v>4</v>
      </c>
      <c r="K260" s="322">
        <f>Councils!K263</f>
        <v>1</v>
      </c>
      <c r="L260" s="322">
        <f>Councils!L263</f>
        <v>3</v>
      </c>
      <c r="M260" s="323">
        <f>Councils!M263</f>
        <v>42.86</v>
      </c>
      <c r="N260" s="322">
        <f>Councils!O263</f>
        <v>0</v>
      </c>
      <c r="O260" s="322">
        <f>Councils!P263</f>
        <v>0</v>
      </c>
      <c r="P260" s="322">
        <f>Councils!Q263</f>
        <v>0</v>
      </c>
      <c r="Q260" s="322">
        <f>Councils!R263</f>
        <v>0</v>
      </c>
      <c r="R260" s="322">
        <f>Councils!S263</f>
        <v>1</v>
      </c>
      <c r="S260" s="322">
        <f>Councils!T263</f>
        <v>0</v>
      </c>
      <c r="T260" s="322">
        <f>Councils!U263</f>
        <v>1</v>
      </c>
      <c r="U260" s="323">
        <f>Councils!V263</f>
        <v>0</v>
      </c>
      <c r="V260" s="376">
        <v>110</v>
      </c>
      <c r="W260" s="377">
        <f t="shared" si="4"/>
        <v>2</v>
      </c>
      <c r="X260" s="378" t="str">
        <f>IF(ISNA(VLOOKUP($A260,GA!$A$1:$D$834,3,0))," ",VLOOKUP($A260,GA!$A$1:$D$834,3,0))</f>
        <v>Regan</v>
      </c>
      <c r="Y260" s="379" t="str">
        <f>IF(ISNA(VLOOKUP($A260,Dormant_Councils!$A$1:$E$811,5,0)),"No",VLOOKUP($A260,Dormant_Councils!$A$1:$E$811,5,0))</f>
        <v>No</v>
      </c>
      <c r="Z260" s="381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22" t="str">
        <f>Councils!C264</f>
        <v>075</v>
      </c>
      <c r="C261" s="322" t="str">
        <f>Councils!D264</f>
        <v>Richmond</v>
      </c>
      <c r="D261" s="322" t="str">
        <f>IF(ISNA(VLOOKUP($V261,DD_Info!$A$1:$E$221,3,0)),0,VLOOKUP($V261,DD_Info!$A$1:$E$221,3,0))</f>
        <v>Galv/Hous</v>
      </c>
      <c r="E261" s="322">
        <f>Councils!E264</f>
        <v>251</v>
      </c>
      <c r="F261" s="322">
        <f>Councils!F264</f>
        <v>12</v>
      </c>
      <c r="G261" s="322">
        <f>Councils!G264</f>
        <v>1</v>
      </c>
      <c r="H261" s="322">
        <f>Councils!H264</f>
        <v>3</v>
      </c>
      <c r="I261" s="322">
        <f>Councils!I264</f>
        <v>-2</v>
      </c>
      <c r="J261" s="322">
        <f>Councils!J264</f>
        <v>2</v>
      </c>
      <c r="K261" s="322">
        <f>Councils!K264</f>
        <v>3</v>
      </c>
      <c r="L261" s="322">
        <f>Councils!L264</f>
        <v>-1</v>
      </c>
      <c r="M261" s="323">
        <f>Councils!M264</f>
        <v>0</v>
      </c>
      <c r="N261" s="322">
        <f>Councils!O264</f>
        <v>0</v>
      </c>
      <c r="O261" s="322">
        <f>Councils!P264</f>
        <v>1</v>
      </c>
      <c r="P261" s="322">
        <f>Councils!Q264</f>
        <v>2</v>
      </c>
      <c r="Q261" s="322">
        <f>Councils!R264</f>
        <v>-1</v>
      </c>
      <c r="R261" s="322">
        <f>Councils!S264</f>
        <v>2</v>
      </c>
      <c r="S261" s="322">
        <f>Councils!T264</f>
        <v>4</v>
      </c>
      <c r="T261" s="322">
        <f>Councils!U264</f>
        <v>-2</v>
      </c>
      <c r="U261" s="323">
        <f>Councils!V264</f>
        <v>0</v>
      </c>
      <c r="V261" s="376">
        <v>75</v>
      </c>
      <c r="W261" s="377">
        <f t="shared" si="4"/>
        <v>1</v>
      </c>
      <c r="X261" s="378" t="str">
        <f>IF(ISNA(VLOOKUP($A261,GA!$A$1:$D$834,3,0))," ",VLOOKUP($A261,GA!$A$1:$D$834,3,0))</f>
        <v>Supak</v>
      </c>
      <c r="Y261" s="379" t="str">
        <f>IF(ISNA(VLOOKUP($A261,Dormant_Councils!$A$1:$E$811,5,0)),"No",VLOOKUP($A261,Dormant_Councils!$A$1:$E$811,5,0))</f>
        <v>No</v>
      </c>
      <c r="Z261" s="381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22" t="str">
        <f>Councils!C265</f>
        <v>026</v>
      </c>
      <c r="C262" s="322" t="str">
        <f>Councils!D265</f>
        <v>Fort Worth</v>
      </c>
      <c r="D262" s="322" t="str">
        <f>IF(ISNA(VLOOKUP($V262,DD_Info!$A$1:$E$221,3,0)),0,VLOOKUP($V262,DD_Info!$A$1:$E$221,3,0))</f>
        <v>Fort Worth</v>
      </c>
      <c r="E262" s="322">
        <f>Councils!E265</f>
        <v>75</v>
      </c>
      <c r="F262" s="322">
        <f>Councils!F265</f>
        <v>4</v>
      </c>
      <c r="G262" s="322">
        <f>Councils!G265</f>
        <v>0</v>
      </c>
      <c r="H262" s="322">
        <f>Councils!H265</f>
        <v>0</v>
      </c>
      <c r="I262" s="322">
        <f>Councils!I265</f>
        <v>0</v>
      </c>
      <c r="J262" s="322">
        <f>Councils!J265</f>
        <v>0</v>
      </c>
      <c r="K262" s="322">
        <f>Councils!K265</f>
        <v>0</v>
      </c>
      <c r="L262" s="322">
        <f>Councils!L265</f>
        <v>0</v>
      </c>
      <c r="M262" s="323">
        <f>Councils!M265</f>
        <v>0</v>
      </c>
      <c r="N262" s="322">
        <f>Councils!O265</f>
        <v>0</v>
      </c>
      <c r="O262" s="322">
        <f>Councils!P265</f>
        <v>0</v>
      </c>
      <c r="P262" s="322">
        <f>Councils!Q265</f>
        <v>1</v>
      </c>
      <c r="Q262" s="322">
        <f>Councils!R265</f>
        <v>-1</v>
      </c>
      <c r="R262" s="322">
        <f>Councils!S265</f>
        <v>0</v>
      </c>
      <c r="S262" s="322">
        <f>Councils!T265</f>
        <v>1</v>
      </c>
      <c r="T262" s="322">
        <f>Councils!U265</f>
        <v>-1</v>
      </c>
      <c r="U262" s="323">
        <f>Councils!V265</f>
        <v>0</v>
      </c>
      <c r="V262" s="376">
        <v>26</v>
      </c>
      <c r="W262" s="377">
        <f t="shared" si="4"/>
        <v>2</v>
      </c>
      <c r="X262" s="378" t="str">
        <f>IF(ISNA(VLOOKUP($A262,GA!$A$1:$D$834,3,0))," ",VLOOKUP($A262,GA!$A$1:$D$834,3,0))</f>
        <v>Stark</v>
      </c>
      <c r="Y262" s="379" t="str">
        <f>IF(ISNA(VLOOKUP($A262,Dormant_Councils!$A$1:$E$811,5,0)),"No",VLOOKUP($A262,Dormant_Councils!$A$1:$E$811,5,0))</f>
        <v>No</v>
      </c>
      <c r="Z262" s="381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22" t="str">
        <f>Councils!C266</f>
        <v>065</v>
      </c>
      <c r="C263" s="322" t="str">
        <f>Councils!D266</f>
        <v>Baytown</v>
      </c>
      <c r="D263" s="322" t="str">
        <f>IF(ISNA(VLOOKUP($V263,DD_Info!$A$1:$E$221,3,0)),0,VLOOKUP($V263,DD_Info!$A$1:$E$221,3,0))</f>
        <v>Galv/Hous</v>
      </c>
      <c r="E263" s="322">
        <f>Councils!E266</f>
        <v>37</v>
      </c>
      <c r="F263" s="322">
        <f>Councils!F266</f>
        <v>3</v>
      </c>
      <c r="G263" s="322">
        <f>Councils!G266</f>
        <v>0</v>
      </c>
      <c r="H263" s="322">
        <f>Councils!H266</f>
        <v>0</v>
      </c>
      <c r="I263" s="322">
        <f>Councils!I266</f>
        <v>0</v>
      </c>
      <c r="J263" s="322">
        <f>Councils!J266</f>
        <v>0</v>
      </c>
      <c r="K263" s="322">
        <f>Councils!K266</f>
        <v>0</v>
      </c>
      <c r="L263" s="322">
        <f>Councils!L266</f>
        <v>0</v>
      </c>
      <c r="M263" s="323">
        <f>Councils!M266</f>
        <v>0</v>
      </c>
      <c r="N263" s="322">
        <f>Councils!O266</f>
        <v>0</v>
      </c>
      <c r="O263" s="322">
        <f>Councils!P266</f>
        <v>0</v>
      </c>
      <c r="P263" s="322">
        <f>Councils!Q266</f>
        <v>0</v>
      </c>
      <c r="Q263" s="322">
        <f>Councils!R266</f>
        <v>0</v>
      </c>
      <c r="R263" s="322">
        <f>Councils!S266</f>
        <v>0</v>
      </c>
      <c r="S263" s="322">
        <f>Councils!T266</f>
        <v>0</v>
      </c>
      <c r="T263" s="322">
        <f>Councils!U266</f>
        <v>0</v>
      </c>
      <c r="U263" s="323">
        <f>Councils!V266</f>
        <v>0</v>
      </c>
      <c r="V263" s="376">
        <v>65</v>
      </c>
      <c r="W263" s="377">
        <f t="shared" si="4"/>
        <v>3</v>
      </c>
      <c r="X263" s="378" t="str">
        <f>IF(ISNA(VLOOKUP($A263,GA!$A$1:$D$834,3,0))," ",VLOOKUP($A263,GA!$A$1:$D$834,3,0))</f>
        <v>Rangel</v>
      </c>
      <c r="Y263" s="379" t="str">
        <f>IF(ISNA(VLOOKUP($A263,Dormant_Councils!$A$1:$E$811,5,0)),"No",VLOOKUP($A263,Dormant_Councils!$A$1:$E$811,5,0))</f>
        <v>Dormant</v>
      </c>
      <c r="Z263" s="381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22" t="str">
        <f>Councils!C267</f>
        <v>193</v>
      </c>
      <c r="C264" s="322" t="str">
        <f>Councils!D267</f>
        <v>Goliad</v>
      </c>
      <c r="D264" s="322" t="str">
        <f>IF(ISNA(VLOOKUP($V264,DD_Info!$A$1:$E$221,3,0)),0,VLOOKUP($V264,DD_Info!$A$1:$E$221,3,0))</f>
        <v>Victoria</v>
      </c>
      <c r="E264" s="322">
        <f>Councils!E267</f>
        <v>101</v>
      </c>
      <c r="F264" s="322">
        <f>Councils!F267</f>
        <v>5</v>
      </c>
      <c r="G264" s="322">
        <f>Councils!G267</f>
        <v>0</v>
      </c>
      <c r="H264" s="322">
        <f>Councils!H267</f>
        <v>0</v>
      </c>
      <c r="I264" s="322">
        <f>Councils!I267</f>
        <v>0</v>
      </c>
      <c r="J264" s="322">
        <f>Councils!J267</f>
        <v>0</v>
      </c>
      <c r="K264" s="322">
        <f>Councils!K267</f>
        <v>0</v>
      </c>
      <c r="L264" s="322">
        <f>Councils!L267</f>
        <v>0</v>
      </c>
      <c r="M264" s="323">
        <f>Councils!M267</f>
        <v>0</v>
      </c>
      <c r="N264" s="322">
        <f>Councils!O267</f>
        <v>0</v>
      </c>
      <c r="O264" s="322">
        <f>Councils!P267</f>
        <v>0</v>
      </c>
      <c r="P264" s="322">
        <f>Councils!Q267</f>
        <v>0</v>
      </c>
      <c r="Q264" s="322">
        <f>Councils!R267</f>
        <v>0</v>
      </c>
      <c r="R264" s="322">
        <f>Councils!S267</f>
        <v>1</v>
      </c>
      <c r="S264" s="322">
        <f>Councils!T267</f>
        <v>0</v>
      </c>
      <c r="T264" s="322">
        <f>Councils!U267</f>
        <v>1</v>
      </c>
      <c r="U264" s="323">
        <f>Councils!V267</f>
        <v>0</v>
      </c>
      <c r="V264" s="376">
        <v>193</v>
      </c>
      <c r="W264" s="377">
        <f t="shared" si="4"/>
        <v>2</v>
      </c>
      <c r="X264" s="378" t="str">
        <f>IF(ISNA(VLOOKUP($A264,GA!$A$1:$D$834,3,0))," ",VLOOKUP($A264,GA!$A$1:$D$834,3,0))</f>
        <v>Supak</v>
      </c>
      <c r="Y264" s="379" t="str">
        <f>IF(ISNA(VLOOKUP($A264,Dormant_Councils!$A$1:$E$811,5,0)),"No",VLOOKUP($A264,Dormant_Councils!$A$1:$E$811,5,0))</f>
        <v>No</v>
      </c>
      <c r="Z264" s="381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22" t="str">
        <f>Councils!C268</f>
        <v>081</v>
      </c>
      <c r="C265" s="322" t="str">
        <f>Councils!D268</f>
        <v>Houston</v>
      </c>
      <c r="D265" s="322" t="str">
        <f>IF(ISNA(VLOOKUP($V265,DD_Info!$A$1:$E$221,3,0)),0,VLOOKUP($V265,DD_Info!$A$1:$E$221,3,0))</f>
        <v>Galv/Hous</v>
      </c>
      <c r="E265" s="322">
        <f>Councils!E268</f>
        <v>60</v>
      </c>
      <c r="F265" s="322">
        <f>Councils!F268</f>
        <v>3</v>
      </c>
      <c r="G265" s="322">
        <f>Councils!G268</f>
        <v>0</v>
      </c>
      <c r="H265" s="322">
        <f>Councils!H268</f>
        <v>0</v>
      </c>
      <c r="I265" s="322">
        <f>Councils!I268</f>
        <v>0</v>
      </c>
      <c r="J265" s="322">
        <f>Councils!J268</f>
        <v>0</v>
      </c>
      <c r="K265" s="322">
        <f>Councils!K268</f>
        <v>0</v>
      </c>
      <c r="L265" s="322">
        <f>Councils!L268</f>
        <v>0</v>
      </c>
      <c r="M265" s="323">
        <f>Councils!M268</f>
        <v>0</v>
      </c>
      <c r="N265" s="322">
        <f>Councils!O268</f>
        <v>0</v>
      </c>
      <c r="O265" s="322">
        <f>Councils!P268</f>
        <v>0</v>
      </c>
      <c r="P265" s="322">
        <f>Councils!Q268</f>
        <v>0</v>
      </c>
      <c r="Q265" s="322">
        <f>Councils!R268</f>
        <v>0</v>
      </c>
      <c r="R265" s="322">
        <f>Councils!S268</f>
        <v>0</v>
      </c>
      <c r="S265" s="322">
        <f>Councils!T268</f>
        <v>0</v>
      </c>
      <c r="T265" s="322">
        <f>Councils!U268</f>
        <v>0</v>
      </c>
      <c r="U265" s="323">
        <f>Councils!V268</f>
        <v>0</v>
      </c>
      <c r="V265" s="376">
        <v>81</v>
      </c>
      <c r="W265" s="377">
        <f t="shared" si="4"/>
        <v>3</v>
      </c>
      <c r="X265" s="378" t="str">
        <f>IF(ISNA(VLOOKUP($A265,GA!$A$1:$D$834,3,0))," ",VLOOKUP($A265,GA!$A$1:$D$834,3,0))</f>
        <v>Rangel</v>
      </c>
      <c r="Y265" s="379" t="str">
        <f>IF(ISNA(VLOOKUP($A265,Dormant_Councils!$A$1:$E$811,5,0)),"No",VLOOKUP($A265,Dormant_Councils!$A$1:$E$811,5,0))</f>
        <v>No</v>
      </c>
      <c r="Z265" s="381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22" t="str">
        <f>Councils!C269</f>
        <v>134</v>
      </c>
      <c r="C266" s="322" t="str">
        <f>Councils!D269</f>
        <v>Nacogdoches</v>
      </c>
      <c r="D266" s="322" t="str">
        <f>IF(ISNA(VLOOKUP($V266,DD_Info!$A$1:$E$221,3,0)),0,VLOOKUP($V266,DD_Info!$A$1:$E$221,3,0))</f>
        <v>Tyler</v>
      </c>
      <c r="E266" s="322">
        <f>Councils!E269</f>
        <v>97</v>
      </c>
      <c r="F266" s="322">
        <f>Councils!F269</f>
        <v>5</v>
      </c>
      <c r="G266" s="322">
        <f>Councils!G269</f>
        <v>0</v>
      </c>
      <c r="H266" s="322">
        <f>Councils!H269</f>
        <v>0</v>
      </c>
      <c r="I266" s="322">
        <f>Councils!I269</f>
        <v>0</v>
      </c>
      <c r="J266" s="322">
        <f>Councils!J269</f>
        <v>1</v>
      </c>
      <c r="K266" s="322">
        <f>Councils!K269</f>
        <v>0</v>
      </c>
      <c r="L266" s="322">
        <f>Councils!L269</f>
        <v>1</v>
      </c>
      <c r="M266" s="323">
        <f>Councils!M269</f>
        <v>20</v>
      </c>
      <c r="N266" s="322">
        <f>Councils!O269</f>
        <v>0</v>
      </c>
      <c r="O266" s="322">
        <f>Councils!P269</f>
        <v>0</v>
      </c>
      <c r="P266" s="322">
        <f>Councils!Q269</f>
        <v>0</v>
      </c>
      <c r="Q266" s="322">
        <f>Councils!R269</f>
        <v>0</v>
      </c>
      <c r="R266" s="322">
        <f>Councils!S269</f>
        <v>1</v>
      </c>
      <c r="S266" s="322">
        <f>Councils!T269</f>
        <v>0</v>
      </c>
      <c r="T266" s="322">
        <f>Councils!U269</f>
        <v>1</v>
      </c>
      <c r="U266" s="323">
        <f>Councils!V269</f>
        <v>0</v>
      </c>
      <c r="V266" s="376">
        <v>134</v>
      </c>
      <c r="W266" s="377">
        <f t="shared" si="4"/>
        <v>2</v>
      </c>
      <c r="X266" s="378" t="str">
        <f>IF(ISNA(VLOOKUP($A266,GA!$A$1:$D$834,3,0))," ",VLOOKUP($A266,GA!$A$1:$D$834,3,0))</f>
        <v>Regan</v>
      </c>
      <c r="Y266" s="379" t="str">
        <f>IF(ISNA(VLOOKUP($A266,Dormant_Councils!$A$1:$E$811,5,0)),"No",VLOOKUP($A266,Dormant_Councils!$A$1:$E$811,5,0))</f>
        <v>No</v>
      </c>
      <c r="Z266" s="381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22" t="str">
        <f>Councils!C270</f>
        <v>002</v>
      </c>
      <c r="C267" s="322" t="str">
        <f>Councils!D270</f>
        <v>El Paso</v>
      </c>
      <c r="D267" s="322" t="str">
        <f>IF(ISNA(VLOOKUP($V267,DD_Info!$A$1:$E$221,3,0)),0,VLOOKUP($V267,DD_Info!$A$1:$E$221,3,0))</f>
        <v>El Paso</v>
      </c>
      <c r="E267" s="322">
        <f>Councils!E270</f>
        <v>313</v>
      </c>
      <c r="F267" s="322">
        <f>Councils!F270</f>
        <v>16</v>
      </c>
      <c r="G267" s="322">
        <f>Councils!G270</f>
        <v>4</v>
      </c>
      <c r="H267" s="322">
        <f>Councils!H270</f>
        <v>0</v>
      </c>
      <c r="I267" s="322">
        <f>Councils!I270</f>
        <v>4</v>
      </c>
      <c r="J267" s="322">
        <f>Councils!J270</f>
        <v>8</v>
      </c>
      <c r="K267" s="322">
        <f>Councils!K270</f>
        <v>0</v>
      </c>
      <c r="L267" s="322">
        <f>Councils!L270</f>
        <v>8</v>
      </c>
      <c r="M267" s="323">
        <f>Councils!M270</f>
        <v>50</v>
      </c>
      <c r="N267" s="322">
        <f>Councils!O270</f>
        <v>0</v>
      </c>
      <c r="O267" s="322">
        <f>Councils!P270</f>
        <v>0</v>
      </c>
      <c r="P267" s="322">
        <f>Councils!Q270</f>
        <v>0</v>
      </c>
      <c r="Q267" s="322">
        <f>Councils!R270</f>
        <v>0</v>
      </c>
      <c r="R267" s="322">
        <f>Councils!S270</f>
        <v>0</v>
      </c>
      <c r="S267" s="322">
        <f>Councils!T270</f>
        <v>2</v>
      </c>
      <c r="T267" s="322">
        <f>Councils!U270</f>
        <v>-2</v>
      </c>
      <c r="U267" s="323">
        <f>Councils!V270</f>
        <v>0</v>
      </c>
      <c r="V267" s="376">
        <v>2</v>
      </c>
      <c r="W267" s="377">
        <f t="shared" si="4"/>
        <v>1</v>
      </c>
      <c r="X267" s="378" t="str">
        <f>IF(ISNA(VLOOKUP($A267,GA!$A$1:$D$834,3,0))," ",VLOOKUP($A267,GA!$A$1:$D$834,3,0))</f>
        <v>Payne</v>
      </c>
      <c r="Y267" s="379" t="str">
        <f>IF(ISNA(VLOOKUP($A267,Dormant_Councils!$A$1:$E$811,5,0)),"No",VLOOKUP($A267,Dormant_Councils!$A$1:$E$811,5,0))</f>
        <v>No</v>
      </c>
      <c r="Z267" s="381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22" t="str">
        <f>Councils!C271</f>
        <v>199</v>
      </c>
      <c r="C268" s="322" t="str">
        <f>Councils!D271</f>
        <v>Amarillo</v>
      </c>
      <c r="D268" s="322" t="str">
        <f>IF(ISNA(VLOOKUP($V268,DD_Info!$A$1:$E$221,3,0)),0,VLOOKUP($V268,DD_Info!$A$1:$E$221,3,0))</f>
        <v>Amarillo</v>
      </c>
      <c r="E268" s="322">
        <f>Councils!E271</f>
        <v>61</v>
      </c>
      <c r="F268" s="322">
        <f>Councils!F271</f>
        <v>3</v>
      </c>
      <c r="G268" s="322">
        <f>Councils!G271</f>
        <v>0</v>
      </c>
      <c r="H268" s="322">
        <f>Councils!H271</f>
        <v>0</v>
      </c>
      <c r="I268" s="322">
        <f>Councils!I271</f>
        <v>0</v>
      </c>
      <c r="J268" s="322">
        <f>Councils!J271</f>
        <v>0</v>
      </c>
      <c r="K268" s="322">
        <f>Councils!K271</f>
        <v>2</v>
      </c>
      <c r="L268" s="322">
        <f>Councils!L271</f>
        <v>-2</v>
      </c>
      <c r="M268" s="323">
        <f>Councils!M271</f>
        <v>0</v>
      </c>
      <c r="N268" s="322">
        <f>Councils!O271</f>
        <v>0</v>
      </c>
      <c r="O268" s="322">
        <f>Councils!P271</f>
        <v>0</v>
      </c>
      <c r="P268" s="322">
        <f>Councils!Q271</f>
        <v>0</v>
      </c>
      <c r="Q268" s="322">
        <f>Councils!R271</f>
        <v>0</v>
      </c>
      <c r="R268" s="322">
        <f>Councils!S271</f>
        <v>0</v>
      </c>
      <c r="S268" s="322">
        <f>Councils!T271</f>
        <v>2</v>
      </c>
      <c r="T268" s="322">
        <f>Councils!U271</f>
        <v>-2</v>
      </c>
      <c r="U268" s="323">
        <f>Councils!V271</f>
        <v>0</v>
      </c>
      <c r="V268" s="376">
        <v>199</v>
      </c>
      <c r="W268" s="377">
        <f t="shared" si="4"/>
        <v>3</v>
      </c>
      <c r="X268" s="378" t="str">
        <f>IF(ISNA(VLOOKUP($A268,GA!$A$1:$D$834,3,0))," ",VLOOKUP($A268,GA!$A$1:$D$834,3,0))</f>
        <v>Payne</v>
      </c>
      <c r="Y268" s="379" t="str">
        <f>IF(ISNA(VLOOKUP($A268,Dormant_Councils!$A$1:$E$811,5,0)),"No",VLOOKUP($A268,Dormant_Councils!$A$1:$E$811,5,0))</f>
        <v>No</v>
      </c>
      <c r="Z268" s="381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22" t="str">
        <f>Councils!C272</f>
        <v>Unassigned</v>
      </c>
      <c r="C269" s="322" t="str">
        <f>Councils!D272</f>
        <v>Panhandle</v>
      </c>
      <c r="D269" s="322">
        <f>IF(ISNA(VLOOKUP($V269,DD_Info!$A$1:$E$221,3,0)),0,VLOOKUP($V269,DD_Info!$A$1:$E$221,3,0))</f>
        <v>0</v>
      </c>
      <c r="E269" s="322">
        <f>Councils!E272</f>
        <v>0</v>
      </c>
      <c r="F269" s="322">
        <f>Councils!F272</f>
        <v>0</v>
      </c>
      <c r="G269" s="322">
        <f>Councils!G272</f>
        <v>0</v>
      </c>
      <c r="H269" s="322">
        <f>Councils!H272</f>
        <v>0</v>
      </c>
      <c r="I269" s="322">
        <f>Councils!I272</f>
        <v>0</v>
      </c>
      <c r="J269" s="322">
        <f>Councils!J272</f>
        <v>0</v>
      </c>
      <c r="K269" s="322">
        <f>Councils!K272</f>
        <v>0</v>
      </c>
      <c r="L269" s="322">
        <f>Councils!L272</f>
        <v>0</v>
      </c>
      <c r="M269" s="323">
        <f>Councils!M272</f>
        <v>0</v>
      </c>
      <c r="N269" s="322">
        <f>Councils!O272</f>
        <v>0</v>
      </c>
      <c r="O269" s="322">
        <f>Councils!P272</f>
        <v>0</v>
      </c>
      <c r="P269" s="322">
        <f>Councils!Q272</f>
        <v>0</v>
      </c>
      <c r="Q269" s="322">
        <f>Councils!R272</f>
        <v>0</v>
      </c>
      <c r="R269" s="322">
        <f>Councils!S272</f>
        <v>0</v>
      </c>
      <c r="S269" s="322">
        <f>Councils!T272</f>
        <v>0</v>
      </c>
      <c r="T269" s="322">
        <f>Councils!U272</f>
        <v>0</v>
      </c>
      <c r="U269" s="323">
        <f>Councils!V272</f>
        <v>0</v>
      </c>
      <c r="V269" s="45" t="s">
        <v>93</v>
      </c>
      <c r="W269" s="377">
        <f t="shared" si="4"/>
        <v>3</v>
      </c>
      <c r="X269" s="378" t="str">
        <f>IF(ISNA(VLOOKUP($A269,GA!$A$1:$D$834,3,0))," ",VLOOKUP($A269,GA!$A$1:$D$834,3,0))</f>
        <v>Payne</v>
      </c>
      <c r="Y269" s="379" t="str">
        <f>IF(ISNA(VLOOKUP($A269,Dormant_Councils!$A$1:$E$811,5,0)),"No",VLOOKUP($A269,Dormant_Councils!$A$1:$E$811,5,0))</f>
        <v>No</v>
      </c>
      <c r="Z269" s="381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22" t="str">
        <f>Councils!C273</f>
        <v>246</v>
      </c>
      <c r="C270" s="322" t="str">
        <f>Councils!D273</f>
        <v>Lubbock</v>
      </c>
      <c r="D270" s="322" t="str">
        <f>IF(ISNA(VLOOKUP($V270,DD_Info!$A$1:$E$221,3,0)),0,VLOOKUP($V270,DD_Info!$A$1:$E$221,3,0))</f>
        <v>Lubbock</v>
      </c>
      <c r="E270" s="322">
        <f>Councils!E273</f>
        <v>54</v>
      </c>
      <c r="F270" s="322">
        <f>Councils!F273</f>
        <v>3</v>
      </c>
      <c r="G270" s="322">
        <f>Councils!G273</f>
        <v>0</v>
      </c>
      <c r="H270" s="322">
        <f>Councils!H273</f>
        <v>0</v>
      </c>
      <c r="I270" s="322">
        <f>Councils!I273</f>
        <v>0</v>
      </c>
      <c r="J270" s="322">
        <f>Councils!J273</f>
        <v>0</v>
      </c>
      <c r="K270" s="322">
        <f>Councils!K273</f>
        <v>0</v>
      </c>
      <c r="L270" s="322">
        <f>Councils!L273</f>
        <v>0</v>
      </c>
      <c r="M270" s="323">
        <f>Councils!M273</f>
        <v>0</v>
      </c>
      <c r="N270" s="322">
        <f>Councils!O273</f>
        <v>0</v>
      </c>
      <c r="O270" s="322">
        <f>Councils!P273</f>
        <v>0</v>
      </c>
      <c r="P270" s="322">
        <f>Councils!Q273</f>
        <v>0</v>
      </c>
      <c r="Q270" s="322">
        <f>Councils!R273</f>
        <v>0</v>
      </c>
      <c r="R270" s="322">
        <f>Councils!S273</f>
        <v>0</v>
      </c>
      <c r="S270" s="322">
        <f>Councils!T273</f>
        <v>0</v>
      </c>
      <c r="T270" s="322">
        <f>Councils!U273</f>
        <v>0</v>
      </c>
      <c r="U270" s="323">
        <f>Councils!V273</f>
        <v>0</v>
      </c>
      <c r="V270" s="376">
        <v>246</v>
      </c>
      <c r="W270" s="377">
        <f t="shared" si="4"/>
        <v>3</v>
      </c>
      <c r="X270" s="378" t="str">
        <f>IF(ISNA(VLOOKUP($A270,GA!$A$1:$D$834,3,0))," ",VLOOKUP($A270,GA!$A$1:$D$834,3,0))</f>
        <v>Payne</v>
      </c>
      <c r="Y270" s="379" t="str">
        <f>IF(ISNA(VLOOKUP($A270,Dormant_Councils!$A$1:$E$811,5,0)),"No",VLOOKUP($A270,Dormant_Councils!$A$1:$E$811,5,0))</f>
        <v>No</v>
      </c>
      <c r="Z270" s="381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22" t="str">
        <f>Councils!C274</f>
        <v>151</v>
      </c>
      <c r="C271" s="322" t="str">
        <f>Councils!D274</f>
        <v>Cedar Park</v>
      </c>
      <c r="D271" s="322" t="str">
        <f>IF(ISNA(VLOOKUP($V271,DD_Info!$A$1:$E$221,3,0)),0,VLOOKUP($V271,DD_Info!$A$1:$E$221,3,0))</f>
        <v>Austin</v>
      </c>
      <c r="E271" s="322">
        <f>Councils!E274</f>
        <v>264</v>
      </c>
      <c r="F271" s="322">
        <f>Councils!F274</f>
        <v>13</v>
      </c>
      <c r="G271" s="322">
        <f>Councils!G274</f>
        <v>1</v>
      </c>
      <c r="H271" s="322">
        <f>Councils!H274</f>
        <v>0</v>
      </c>
      <c r="I271" s="322">
        <f>Councils!I274</f>
        <v>1</v>
      </c>
      <c r="J271" s="322">
        <f>Councils!J274</f>
        <v>7</v>
      </c>
      <c r="K271" s="322">
        <f>Councils!K274</f>
        <v>0</v>
      </c>
      <c r="L271" s="322">
        <f>Councils!L274</f>
        <v>7</v>
      </c>
      <c r="M271" s="323">
        <f>Councils!M274</f>
        <v>53.85</v>
      </c>
      <c r="N271" s="322">
        <f>Councils!O274</f>
        <v>0</v>
      </c>
      <c r="O271" s="322">
        <f>Councils!P274</f>
        <v>1</v>
      </c>
      <c r="P271" s="322">
        <f>Councils!Q274</f>
        <v>0</v>
      </c>
      <c r="Q271" s="322">
        <f>Councils!R274</f>
        <v>1</v>
      </c>
      <c r="R271" s="322">
        <f>Councils!S274</f>
        <v>4</v>
      </c>
      <c r="S271" s="322">
        <f>Councils!T274</f>
        <v>2</v>
      </c>
      <c r="T271" s="322">
        <f>Councils!U274</f>
        <v>2</v>
      </c>
      <c r="U271" s="323">
        <f>Councils!V274</f>
        <v>0</v>
      </c>
      <c r="V271" s="376">
        <v>151</v>
      </c>
      <c r="W271" s="377">
        <f t="shared" si="4"/>
        <v>1</v>
      </c>
      <c r="X271" s="378" t="str">
        <f>IF(ISNA(VLOOKUP($A271,GA!$A$1:$D$834,3,0))," ",VLOOKUP($A271,GA!$A$1:$D$834,3,0))</f>
        <v>Rangel</v>
      </c>
      <c r="Y271" s="379" t="str">
        <f>IF(ISNA(VLOOKUP($A271,Dormant_Councils!$A$1:$E$811,5,0)),"No",VLOOKUP($A271,Dormant_Councils!$A$1:$E$811,5,0))</f>
        <v>No</v>
      </c>
      <c r="Z271" s="381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22" t="str">
        <f>Councils!C275</f>
        <v>043</v>
      </c>
      <c r="C272" s="322" t="str">
        <f>Councils!D275</f>
        <v>San Antonio</v>
      </c>
      <c r="D272" s="322" t="str">
        <f>IF(ISNA(VLOOKUP($V272,DD_Info!$A$1:$E$221,3,0)),0,VLOOKUP($V272,DD_Info!$A$1:$E$221,3,0))</f>
        <v>San Antonio</v>
      </c>
      <c r="E272" s="322">
        <f>Councils!E275</f>
        <v>424</v>
      </c>
      <c r="F272" s="322">
        <f>Councils!F275</f>
        <v>20</v>
      </c>
      <c r="G272" s="322">
        <f>Councils!G275</f>
        <v>0</v>
      </c>
      <c r="H272" s="322">
        <f>Councils!H275</f>
        <v>2</v>
      </c>
      <c r="I272" s="322">
        <f>Councils!I275</f>
        <v>-2</v>
      </c>
      <c r="J272" s="322">
        <f>Councils!J275</f>
        <v>4</v>
      </c>
      <c r="K272" s="322">
        <f>Councils!K275</f>
        <v>5</v>
      </c>
      <c r="L272" s="322">
        <f>Councils!L275</f>
        <v>-1</v>
      </c>
      <c r="M272" s="323">
        <f>Councils!M275</f>
        <v>0</v>
      </c>
      <c r="N272" s="322">
        <f>Councils!O275</f>
        <v>0</v>
      </c>
      <c r="O272" s="322">
        <f>Councils!P275</f>
        <v>0</v>
      </c>
      <c r="P272" s="322">
        <f>Councils!Q275</f>
        <v>0</v>
      </c>
      <c r="Q272" s="322">
        <f>Councils!R275</f>
        <v>0</v>
      </c>
      <c r="R272" s="322">
        <f>Councils!S275</f>
        <v>2</v>
      </c>
      <c r="S272" s="322">
        <f>Councils!T275</f>
        <v>2</v>
      </c>
      <c r="T272" s="322">
        <f>Councils!U275</f>
        <v>0</v>
      </c>
      <c r="U272" s="323">
        <f>Councils!V275</f>
        <v>0</v>
      </c>
      <c r="V272" s="376">
        <v>43</v>
      </c>
      <c r="W272" s="377">
        <f t="shared" si="4"/>
        <v>1</v>
      </c>
      <c r="X272" s="378" t="str">
        <f>IF(ISNA(VLOOKUP($A272,GA!$A$1:$D$834,3,0))," ",VLOOKUP($A272,GA!$A$1:$D$834,3,0))</f>
        <v>Dougherty</v>
      </c>
      <c r="Y272" s="379" t="str">
        <f>IF(ISNA(VLOOKUP($A272,Dormant_Councils!$A$1:$E$811,5,0)),"No",VLOOKUP($A272,Dormant_Councils!$A$1:$E$811,5,0))</f>
        <v>No</v>
      </c>
      <c r="Z272" s="381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22" t="str">
        <f>Councils!C276</f>
        <v>018</v>
      </c>
      <c r="C273" s="322" t="str">
        <f>Councils!D276</f>
        <v>Bedford-Euless</v>
      </c>
      <c r="D273" s="322" t="str">
        <f>IF(ISNA(VLOOKUP($V273,DD_Info!$A$1:$E$221,3,0)),0,VLOOKUP($V273,DD_Info!$A$1:$E$221,3,0))</f>
        <v>Fort Worth</v>
      </c>
      <c r="E273" s="322">
        <f>Councils!E276</f>
        <v>318</v>
      </c>
      <c r="F273" s="322">
        <f>Councils!F276</f>
        <v>15</v>
      </c>
      <c r="G273" s="322">
        <f>Councils!G276</f>
        <v>2</v>
      </c>
      <c r="H273" s="322">
        <f>Councils!H276</f>
        <v>0</v>
      </c>
      <c r="I273" s="322">
        <f>Councils!I276</f>
        <v>2</v>
      </c>
      <c r="J273" s="322">
        <f>Councils!J276</f>
        <v>2</v>
      </c>
      <c r="K273" s="322">
        <f>Councils!K276</f>
        <v>0</v>
      </c>
      <c r="L273" s="322">
        <f>Councils!L276</f>
        <v>2</v>
      </c>
      <c r="M273" s="323">
        <f>Councils!M276</f>
        <v>13.33</v>
      </c>
      <c r="N273" s="322">
        <f>Councils!O276</f>
        <v>0</v>
      </c>
      <c r="O273" s="322">
        <f>Councils!P276</f>
        <v>1</v>
      </c>
      <c r="P273" s="322">
        <f>Councils!Q276</f>
        <v>1</v>
      </c>
      <c r="Q273" s="322">
        <f>Councils!R276</f>
        <v>0</v>
      </c>
      <c r="R273" s="322">
        <f>Councils!S276</f>
        <v>2</v>
      </c>
      <c r="S273" s="322">
        <f>Councils!T276</f>
        <v>1</v>
      </c>
      <c r="T273" s="322">
        <f>Councils!U276</f>
        <v>1</v>
      </c>
      <c r="U273" s="323">
        <f>Councils!V276</f>
        <v>0</v>
      </c>
      <c r="V273" s="376">
        <v>18</v>
      </c>
      <c r="W273" s="377">
        <f t="shared" si="4"/>
        <v>1</v>
      </c>
      <c r="X273" s="378" t="str">
        <f>IF(ISNA(VLOOKUP($A273,GA!$A$1:$D$834,3,0))," ",VLOOKUP($A273,GA!$A$1:$D$834,3,0))</f>
        <v>Stark</v>
      </c>
      <c r="Y273" s="379" t="str">
        <f>IF(ISNA(VLOOKUP($A273,Dormant_Councils!$A$1:$E$811,5,0)),"No",VLOOKUP($A273,Dormant_Councils!$A$1:$E$811,5,0))</f>
        <v>No</v>
      </c>
      <c r="Z273" s="381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22" t="str">
        <f>Councils!C277</f>
        <v>233</v>
      </c>
      <c r="C274" s="322" t="str">
        <f>Councils!D277</f>
        <v>Laredo</v>
      </c>
      <c r="D274" s="322" t="str">
        <f>IF(ISNA(VLOOKUP($V274,DD_Info!$A$1:$E$221,3,0)),0,VLOOKUP($V274,DD_Info!$A$1:$E$221,3,0))</f>
        <v>Laredo</v>
      </c>
      <c r="E274" s="322">
        <f>Councils!E277</f>
        <v>58</v>
      </c>
      <c r="F274" s="322">
        <f>Councils!F277</f>
        <v>3</v>
      </c>
      <c r="G274" s="322">
        <f>Councils!G277</f>
        <v>0</v>
      </c>
      <c r="H274" s="322">
        <f>Councils!H277</f>
        <v>0</v>
      </c>
      <c r="I274" s="322">
        <f>Councils!I277</f>
        <v>0</v>
      </c>
      <c r="J274" s="322">
        <f>Councils!J277</f>
        <v>0</v>
      </c>
      <c r="K274" s="322">
        <f>Councils!K277</f>
        <v>0</v>
      </c>
      <c r="L274" s="322">
        <f>Councils!L277</f>
        <v>0</v>
      </c>
      <c r="M274" s="323">
        <f>Councils!M277</f>
        <v>0</v>
      </c>
      <c r="N274" s="322">
        <f>Councils!O277</f>
        <v>0</v>
      </c>
      <c r="O274" s="322">
        <f>Councils!P277</f>
        <v>0</v>
      </c>
      <c r="P274" s="322">
        <f>Councils!Q277</f>
        <v>0</v>
      </c>
      <c r="Q274" s="322">
        <f>Councils!R277</f>
        <v>0</v>
      </c>
      <c r="R274" s="322">
        <f>Councils!S277</f>
        <v>0</v>
      </c>
      <c r="S274" s="322">
        <f>Councils!T277</f>
        <v>0</v>
      </c>
      <c r="T274" s="322">
        <f>Councils!U277</f>
        <v>0</v>
      </c>
      <c r="U274" s="323">
        <f>Councils!V277</f>
        <v>0</v>
      </c>
      <c r="V274" s="376">
        <v>233</v>
      </c>
      <c r="W274" s="377">
        <f t="shared" si="4"/>
        <v>3</v>
      </c>
      <c r="X274" s="378" t="str">
        <f>IF(ISNA(VLOOKUP($A274,GA!$A$1:$D$834,3,0))," ",VLOOKUP($A274,GA!$A$1:$D$834,3,0))</f>
        <v>Carlin</v>
      </c>
      <c r="Y274" s="379" t="str">
        <f>IF(ISNA(VLOOKUP($A274,Dormant_Councils!$A$1:$E$811,5,0)),"No",VLOOKUP($A274,Dormant_Councils!$A$1:$E$811,5,0))</f>
        <v>Dormant</v>
      </c>
      <c r="Z274" s="381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22" t="str">
        <f>Councils!C278</f>
        <v>132</v>
      </c>
      <c r="C275" s="322" t="str">
        <f>Councils!D278</f>
        <v>Paris</v>
      </c>
      <c r="D275" s="322" t="str">
        <f>IF(ISNA(VLOOKUP($V275,DD_Info!$A$1:$E$221,3,0)),0,VLOOKUP($V275,DD_Info!$A$1:$E$221,3,0))</f>
        <v>Tyler</v>
      </c>
      <c r="E275" s="322">
        <f>Councils!E278</f>
        <v>79</v>
      </c>
      <c r="F275" s="322">
        <f>Councils!F278</f>
        <v>4</v>
      </c>
      <c r="G275" s="322">
        <f>Councils!G278</f>
        <v>1</v>
      </c>
      <c r="H275" s="322">
        <f>Councils!H278</f>
        <v>0</v>
      </c>
      <c r="I275" s="322">
        <f>Councils!I278</f>
        <v>1</v>
      </c>
      <c r="J275" s="322">
        <f>Councils!J278</f>
        <v>1</v>
      </c>
      <c r="K275" s="322">
        <f>Councils!K278</f>
        <v>1</v>
      </c>
      <c r="L275" s="322">
        <f>Councils!L278</f>
        <v>0</v>
      </c>
      <c r="M275" s="323">
        <f>Councils!M278</f>
        <v>0</v>
      </c>
      <c r="N275" s="322">
        <f>Councils!O278</f>
        <v>0</v>
      </c>
      <c r="O275" s="322">
        <f>Councils!P278</f>
        <v>0</v>
      </c>
      <c r="P275" s="322">
        <f>Councils!Q278</f>
        <v>0</v>
      </c>
      <c r="Q275" s="322">
        <f>Councils!R278</f>
        <v>0</v>
      </c>
      <c r="R275" s="322">
        <f>Councils!S278</f>
        <v>0</v>
      </c>
      <c r="S275" s="322">
        <f>Councils!T278</f>
        <v>0</v>
      </c>
      <c r="T275" s="322">
        <f>Councils!U278</f>
        <v>0</v>
      </c>
      <c r="U275" s="323">
        <f>Councils!V278</f>
        <v>0</v>
      </c>
      <c r="V275" s="376">
        <v>132</v>
      </c>
      <c r="W275" s="377">
        <f t="shared" si="4"/>
        <v>2</v>
      </c>
      <c r="X275" s="378" t="str">
        <f>IF(ISNA(VLOOKUP($A275,GA!$A$1:$D$834,3,0))," ",VLOOKUP($A275,GA!$A$1:$D$834,3,0))</f>
        <v>Regan</v>
      </c>
      <c r="Y275" s="379" t="str">
        <f>IF(ISNA(VLOOKUP($A275,Dormant_Councils!$A$1:$E$811,5,0)),"No",VLOOKUP($A275,Dormant_Councils!$A$1:$E$811,5,0))</f>
        <v>No</v>
      </c>
      <c r="Z275" s="381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22" t="str">
        <f>Councils!C279</f>
        <v>053</v>
      </c>
      <c r="C276" s="322" t="str">
        <f>Councils!D279</f>
        <v>San Antonio</v>
      </c>
      <c r="D276" s="322" t="str">
        <f>IF(ISNA(VLOOKUP($V276,DD_Info!$A$1:$E$221,3,0)),0,VLOOKUP($V276,DD_Info!$A$1:$E$221,3,0))</f>
        <v>San Antonio</v>
      </c>
      <c r="E276" s="322">
        <f>Councils!E279</f>
        <v>38</v>
      </c>
      <c r="F276" s="322">
        <f>Councils!F279</f>
        <v>3</v>
      </c>
      <c r="G276" s="322">
        <f>Councils!G279</f>
        <v>0</v>
      </c>
      <c r="H276" s="322">
        <f>Councils!H279</f>
        <v>0</v>
      </c>
      <c r="I276" s="322">
        <f>Councils!I279</f>
        <v>0</v>
      </c>
      <c r="J276" s="322">
        <f>Councils!J279</f>
        <v>1</v>
      </c>
      <c r="K276" s="322">
        <f>Councils!K279</f>
        <v>0</v>
      </c>
      <c r="L276" s="322">
        <f>Councils!L279</f>
        <v>1</v>
      </c>
      <c r="M276" s="323">
        <f>Councils!M279</f>
        <v>33.33</v>
      </c>
      <c r="N276" s="322">
        <f>Councils!O279</f>
        <v>0</v>
      </c>
      <c r="O276" s="322">
        <f>Councils!P279</f>
        <v>0</v>
      </c>
      <c r="P276" s="322">
        <f>Councils!Q279</f>
        <v>0</v>
      </c>
      <c r="Q276" s="322">
        <f>Councils!R279</f>
        <v>0</v>
      </c>
      <c r="R276" s="322">
        <f>Councils!S279</f>
        <v>0</v>
      </c>
      <c r="S276" s="322">
        <f>Councils!T279</f>
        <v>0</v>
      </c>
      <c r="T276" s="322">
        <f>Councils!U279</f>
        <v>0</v>
      </c>
      <c r="U276" s="323">
        <f>Councils!V279</f>
        <v>0</v>
      </c>
      <c r="V276" s="376">
        <v>53</v>
      </c>
      <c r="W276" s="377">
        <f t="shared" si="4"/>
        <v>3</v>
      </c>
      <c r="X276" s="378" t="str">
        <f>IF(ISNA(VLOOKUP($A276,GA!$A$1:$D$834,3,0))," ",VLOOKUP($A276,GA!$A$1:$D$834,3,0))</f>
        <v>Dougherty</v>
      </c>
      <c r="Y276" s="379" t="str">
        <f>IF(ISNA(VLOOKUP($A276,Dormant_Councils!$A$1:$E$811,5,0)),"No",VLOOKUP($A276,Dormant_Councils!$A$1:$E$811,5,0))</f>
        <v>No</v>
      </c>
      <c r="Z276" s="381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22" t="str">
        <f>Councils!C280</f>
        <v>013</v>
      </c>
      <c r="C277" s="322" t="str">
        <f>Councils!D280</f>
        <v>San Elizario</v>
      </c>
      <c r="D277" s="322" t="str">
        <f>IF(ISNA(VLOOKUP($V277,DD_Info!$A$1:$E$221,3,0)),0,VLOOKUP($V277,DD_Info!$A$1:$E$221,3,0))</f>
        <v>El Paso</v>
      </c>
      <c r="E277" s="322">
        <f>Councils!E280</f>
        <v>22</v>
      </c>
      <c r="F277" s="322">
        <f>Councils!F280</f>
        <v>3</v>
      </c>
      <c r="G277" s="322">
        <f>Councils!G280</f>
        <v>0</v>
      </c>
      <c r="H277" s="322">
        <f>Councils!H280</f>
        <v>0</v>
      </c>
      <c r="I277" s="322">
        <f>Councils!I280</f>
        <v>0</v>
      </c>
      <c r="J277" s="322">
        <f>Councils!J280</f>
        <v>0</v>
      </c>
      <c r="K277" s="322">
        <f>Councils!K280</f>
        <v>0</v>
      </c>
      <c r="L277" s="322">
        <f>Councils!L280</f>
        <v>0</v>
      </c>
      <c r="M277" s="323">
        <f>Councils!M280</f>
        <v>0</v>
      </c>
      <c r="N277" s="322">
        <f>Councils!O280</f>
        <v>0</v>
      </c>
      <c r="O277" s="322">
        <f>Councils!P280</f>
        <v>0</v>
      </c>
      <c r="P277" s="322">
        <f>Councils!Q280</f>
        <v>0</v>
      </c>
      <c r="Q277" s="322">
        <f>Councils!R280</f>
        <v>0</v>
      </c>
      <c r="R277" s="322">
        <f>Councils!S280</f>
        <v>0</v>
      </c>
      <c r="S277" s="322">
        <f>Councils!T280</f>
        <v>0</v>
      </c>
      <c r="T277" s="322">
        <f>Councils!U280</f>
        <v>0</v>
      </c>
      <c r="U277" s="323">
        <f>Councils!V280</f>
        <v>0</v>
      </c>
      <c r="V277" s="376">
        <v>13</v>
      </c>
      <c r="W277" s="377">
        <f t="shared" si="4"/>
        <v>3</v>
      </c>
      <c r="X277" s="378" t="str">
        <f>IF(ISNA(VLOOKUP($A277,GA!$A$1:$D$834,3,0))," ",VLOOKUP($A277,GA!$A$1:$D$834,3,0))</f>
        <v>Payne</v>
      </c>
      <c r="Y277" s="379" t="str">
        <f>IF(ISNA(VLOOKUP($A277,Dormant_Councils!$A$1:$E$811,5,0)),"No",VLOOKUP($A277,Dormant_Councils!$A$1:$E$811,5,0))</f>
        <v>Dormant</v>
      </c>
      <c r="Z277" s="381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22" t="str">
        <f>Councils!C281</f>
        <v>011</v>
      </c>
      <c r="C278" s="322" t="str">
        <f>Councils!D281</f>
        <v>Pecos</v>
      </c>
      <c r="D278" s="322" t="str">
        <f>IF(ISNA(VLOOKUP($V278,DD_Info!$A$1:$E$221,3,0)),0,VLOOKUP($V278,DD_Info!$A$1:$E$221,3,0))</f>
        <v>El Paso</v>
      </c>
      <c r="E278" s="322">
        <f>Councils!E281</f>
        <v>68</v>
      </c>
      <c r="F278" s="322">
        <f>Councils!F281</f>
        <v>3</v>
      </c>
      <c r="G278" s="322">
        <f>Councils!G281</f>
        <v>1</v>
      </c>
      <c r="H278" s="322">
        <f>Councils!H281</f>
        <v>0</v>
      </c>
      <c r="I278" s="322">
        <f>Councils!I281</f>
        <v>1</v>
      </c>
      <c r="J278" s="322">
        <f>Councils!J281</f>
        <v>5</v>
      </c>
      <c r="K278" s="322">
        <f>Councils!K281</f>
        <v>0</v>
      </c>
      <c r="L278" s="322">
        <f>Councils!L281</f>
        <v>5</v>
      </c>
      <c r="M278" s="323">
        <f>Councils!M281</f>
        <v>166.67</v>
      </c>
      <c r="N278" s="322">
        <f>Councils!O281</f>
        <v>0</v>
      </c>
      <c r="O278" s="322">
        <f>Councils!P281</f>
        <v>0</v>
      </c>
      <c r="P278" s="322">
        <f>Councils!Q281</f>
        <v>0</v>
      </c>
      <c r="Q278" s="322">
        <f>Councils!R281</f>
        <v>0</v>
      </c>
      <c r="R278" s="322">
        <f>Councils!S281</f>
        <v>0</v>
      </c>
      <c r="S278" s="322">
        <f>Councils!T281</f>
        <v>1</v>
      </c>
      <c r="T278" s="322">
        <f>Councils!U281</f>
        <v>-1</v>
      </c>
      <c r="U278" s="323">
        <f>Councils!V281</f>
        <v>0</v>
      </c>
      <c r="V278" s="376">
        <v>11</v>
      </c>
      <c r="W278" s="377">
        <f t="shared" si="4"/>
        <v>2</v>
      </c>
      <c r="X278" s="378" t="str">
        <f>IF(ISNA(VLOOKUP($A278,GA!$A$1:$D$834,3,0))," ",VLOOKUP($A278,GA!$A$1:$D$834,3,0))</f>
        <v>Payne</v>
      </c>
      <c r="Y278" s="379" t="str">
        <f>IF(ISNA(VLOOKUP($A278,Dormant_Councils!$A$1:$E$811,5,0)),"No",VLOOKUP($A278,Dormant_Councils!$A$1:$E$811,5,0))</f>
        <v>No</v>
      </c>
      <c r="Z278" s="381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22" t="str">
        <f>Councils!C282</f>
        <v>079</v>
      </c>
      <c r="C279" s="322" t="str">
        <f>Councils!D282</f>
        <v>Missouri City</v>
      </c>
      <c r="D279" s="322" t="str">
        <f>IF(ISNA(VLOOKUP($V279,DD_Info!$A$1:$E$221,3,0)),0,VLOOKUP($V279,DD_Info!$A$1:$E$221,3,0))</f>
        <v>Galv/Hous</v>
      </c>
      <c r="E279" s="322">
        <f>Councils!E282</f>
        <v>248</v>
      </c>
      <c r="F279" s="322">
        <f>Councils!F282</f>
        <v>12</v>
      </c>
      <c r="G279" s="322">
        <f>Councils!G282</f>
        <v>0</v>
      </c>
      <c r="H279" s="322">
        <f>Councils!H282</f>
        <v>5</v>
      </c>
      <c r="I279" s="322">
        <f>Councils!I282</f>
        <v>-5</v>
      </c>
      <c r="J279" s="322">
        <f>Councils!J282</f>
        <v>3</v>
      </c>
      <c r="K279" s="322">
        <f>Councils!K282</f>
        <v>5</v>
      </c>
      <c r="L279" s="322">
        <f>Councils!L282</f>
        <v>-2</v>
      </c>
      <c r="M279" s="323">
        <f>Councils!M282</f>
        <v>0</v>
      </c>
      <c r="N279" s="322">
        <f>Councils!O282</f>
        <v>0</v>
      </c>
      <c r="O279" s="322">
        <f>Councils!P282</f>
        <v>0</v>
      </c>
      <c r="P279" s="322">
        <f>Councils!Q282</f>
        <v>2</v>
      </c>
      <c r="Q279" s="322">
        <f>Councils!R282</f>
        <v>-2</v>
      </c>
      <c r="R279" s="322">
        <f>Councils!S282</f>
        <v>1</v>
      </c>
      <c r="S279" s="322">
        <f>Councils!T282</f>
        <v>2</v>
      </c>
      <c r="T279" s="322">
        <f>Councils!U282</f>
        <v>-1</v>
      </c>
      <c r="U279" s="323">
        <f>Councils!V282</f>
        <v>0</v>
      </c>
      <c r="V279" s="376">
        <v>79</v>
      </c>
      <c r="W279" s="377">
        <f t="shared" si="4"/>
        <v>1</v>
      </c>
      <c r="X279" s="378" t="str">
        <f>IF(ISNA(VLOOKUP($A279,GA!$A$1:$D$834,3,0))," ",VLOOKUP($A279,GA!$A$1:$D$834,3,0))</f>
        <v>Supak</v>
      </c>
      <c r="Y279" s="379" t="str">
        <f>IF(ISNA(VLOOKUP($A279,Dormant_Councils!$A$1:$E$811,5,0)),"No",VLOOKUP($A279,Dormant_Councils!$A$1:$E$811,5,0))</f>
        <v>No</v>
      </c>
      <c r="Z279" s="381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22" t="str">
        <f>Councils!C283</f>
        <v>019</v>
      </c>
      <c r="C280" s="322" t="str">
        <f>Councils!D283</f>
        <v>Mansfield</v>
      </c>
      <c r="D280" s="322" t="str">
        <f>IF(ISNA(VLOOKUP($V280,DD_Info!$A$1:$E$221,3,0)),0,VLOOKUP($V280,DD_Info!$A$1:$E$221,3,0))</f>
        <v>Fort Worth</v>
      </c>
      <c r="E280" s="322">
        <f>Councils!E283</f>
        <v>311</v>
      </c>
      <c r="F280" s="322">
        <f>Councils!F283</f>
        <v>15</v>
      </c>
      <c r="G280" s="322">
        <f>Councils!G283</f>
        <v>1</v>
      </c>
      <c r="H280" s="322">
        <f>Councils!H283</f>
        <v>0</v>
      </c>
      <c r="I280" s="322">
        <f>Councils!I283</f>
        <v>1</v>
      </c>
      <c r="J280" s="322">
        <f>Councils!J283</f>
        <v>4</v>
      </c>
      <c r="K280" s="322">
        <f>Councils!K283</f>
        <v>31</v>
      </c>
      <c r="L280" s="322">
        <f>Councils!L283</f>
        <v>-27</v>
      </c>
      <c r="M280" s="323">
        <f>Councils!M283</f>
        <v>0</v>
      </c>
      <c r="N280" s="322">
        <f>Councils!O283</f>
        <v>0</v>
      </c>
      <c r="O280" s="322">
        <f>Councils!P283</f>
        <v>0</v>
      </c>
      <c r="P280" s="322">
        <f>Councils!Q283</f>
        <v>0</v>
      </c>
      <c r="Q280" s="322">
        <f>Councils!R283</f>
        <v>0</v>
      </c>
      <c r="R280" s="322">
        <f>Councils!S283</f>
        <v>0</v>
      </c>
      <c r="S280" s="322">
        <f>Councils!T283</f>
        <v>5</v>
      </c>
      <c r="T280" s="322">
        <f>Councils!U283</f>
        <v>-5</v>
      </c>
      <c r="U280" s="323">
        <f>Councils!V283</f>
        <v>0</v>
      </c>
      <c r="V280" s="376">
        <v>19</v>
      </c>
      <c r="W280" s="377">
        <f t="shared" si="4"/>
        <v>1</v>
      </c>
      <c r="X280" s="378" t="str">
        <f>IF(ISNA(VLOOKUP($A280,GA!$A$1:$D$834,3,0))," ",VLOOKUP($A280,GA!$A$1:$D$834,3,0))</f>
        <v>Stark</v>
      </c>
      <c r="Y280" s="379" t="str">
        <f>IF(ISNA(VLOOKUP($A280,Dormant_Councils!$A$1:$E$811,5,0)),"No",VLOOKUP($A280,Dormant_Councils!$A$1:$E$811,5,0))</f>
        <v>No</v>
      </c>
      <c r="Z280" s="381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22" t="str">
        <f>Councils!C284</f>
        <v>052</v>
      </c>
      <c r="C281" s="322" t="str">
        <f>Councils!D284</f>
        <v>San Antonio</v>
      </c>
      <c r="D281" s="322" t="str">
        <f>IF(ISNA(VLOOKUP($V281,DD_Info!$A$1:$E$221,3,0)),0,VLOOKUP($V281,DD_Info!$A$1:$E$221,3,0))</f>
        <v>San Antonio</v>
      </c>
      <c r="E281" s="322">
        <f>Councils!E284</f>
        <v>76</v>
      </c>
      <c r="F281" s="322">
        <f>Councils!F284</f>
        <v>4</v>
      </c>
      <c r="G281" s="322">
        <f>Councils!G284</f>
        <v>0</v>
      </c>
      <c r="H281" s="322">
        <f>Councils!H284</f>
        <v>0</v>
      </c>
      <c r="I281" s="322">
        <f>Councils!I284</f>
        <v>0</v>
      </c>
      <c r="J281" s="322">
        <f>Councils!J284</f>
        <v>0</v>
      </c>
      <c r="K281" s="322">
        <f>Councils!K284</f>
        <v>0</v>
      </c>
      <c r="L281" s="322">
        <f>Councils!L284</f>
        <v>0</v>
      </c>
      <c r="M281" s="323">
        <f>Councils!M284</f>
        <v>0</v>
      </c>
      <c r="N281" s="322">
        <f>Councils!O284</f>
        <v>0</v>
      </c>
      <c r="O281" s="322">
        <f>Councils!P284</f>
        <v>0</v>
      </c>
      <c r="P281" s="322">
        <f>Councils!Q284</f>
        <v>0</v>
      </c>
      <c r="Q281" s="322">
        <f>Councils!R284</f>
        <v>0</v>
      </c>
      <c r="R281" s="322">
        <f>Councils!S284</f>
        <v>0</v>
      </c>
      <c r="S281" s="322">
        <f>Councils!T284</f>
        <v>0</v>
      </c>
      <c r="T281" s="322">
        <f>Councils!U284</f>
        <v>0</v>
      </c>
      <c r="U281" s="323">
        <f>Councils!V284</f>
        <v>0</v>
      </c>
      <c r="V281" s="376">
        <v>52</v>
      </c>
      <c r="W281" s="377">
        <f t="shared" si="4"/>
        <v>2</v>
      </c>
      <c r="X281" s="378" t="str">
        <f>IF(ISNA(VLOOKUP($A281,GA!$A$1:$D$834,3,0))," ",VLOOKUP($A281,GA!$A$1:$D$834,3,0))</f>
        <v>Dougherty</v>
      </c>
      <c r="Y281" s="379" t="str">
        <f>IF(ISNA(VLOOKUP($A281,Dormant_Councils!$A$1:$E$811,5,0)),"No",VLOOKUP($A281,Dormant_Councils!$A$1:$E$811,5,0))</f>
        <v>No</v>
      </c>
      <c r="Z281" s="381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22" t="str">
        <f>Councils!C285</f>
        <v>232</v>
      </c>
      <c r="C282" s="322" t="str">
        <f>Councils!D285</f>
        <v>Laredo</v>
      </c>
      <c r="D282" s="322" t="str">
        <f>IF(ISNA(VLOOKUP($V282,DD_Info!$A$1:$E$221,3,0)),0,VLOOKUP($V282,DD_Info!$A$1:$E$221,3,0))</f>
        <v>Laredo</v>
      </c>
      <c r="E282" s="322">
        <f>Councils!E285</f>
        <v>16</v>
      </c>
      <c r="F282" s="322">
        <f>Councils!F285</f>
        <v>7</v>
      </c>
      <c r="G282" s="322">
        <f>Councils!G285</f>
        <v>0</v>
      </c>
      <c r="H282" s="322">
        <f>Councils!H285</f>
        <v>0</v>
      </c>
      <c r="I282" s="322">
        <f>Councils!I285</f>
        <v>0</v>
      </c>
      <c r="J282" s="322">
        <f>Councils!J285</f>
        <v>0</v>
      </c>
      <c r="K282" s="322">
        <f>Councils!K285</f>
        <v>0</v>
      </c>
      <c r="L282" s="322">
        <f>Councils!L285</f>
        <v>0</v>
      </c>
      <c r="M282" s="323">
        <f>Councils!M285</f>
        <v>0</v>
      </c>
      <c r="N282" s="322">
        <f>Councils!O285</f>
        <v>0</v>
      </c>
      <c r="O282" s="322">
        <f>Councils!P285</f>
        <v>0</v>
      </c>
      <c r="P282" s="322">
        <f>Councils!Q285</f>
        <v>0</v>
      </c>
      <c r="Q282" s="322">
        <f>Councils!R285</f>
        <v>0</v>
      </c>
      <c r="R282" s="322">
        <f>Councils!S285</f>
        <v>0</v>
      </c>
      <c r="S282" s="322">
        <f>Councils!T285</f>
        <v>0</v>
      </c>
      <c r="T282" s="322">
        <f>Councils!U285</f>
        <v>0</v>
      </c>
      <c r="U282" s="323">
        <f>Councils!V285</f>
        <v>0</v>
      </c>
      <c r="V282" s="376">
        <v>232</v>
      </c>
      <c r="W282" s="377">
        <f t="shared" si="4"/>
        <v>3</v>
      </c>
      <c r="X282" s="378" t="str">
        <f>IF(ISNA(VLOOKUP($A282,GA!$A$1:$D$834,3,0))," ",VLOOKUP($A282,GA!$A$1:$D$834,3,0))</f>
        <v>Carlin</v>
      </c>
      <c r="Y282" s="379" t="str">
        <f>IF(ISNA(VLOOKUP($A282,Dormant_Councils!$A$1:$E$811,5,0)),"No",VLOOKUP($A282,Dormant_Councils!$A$1:$E$811,5,0))</f>
        <v>Dormant</v>
      </c>
      <c r="Z282" s="381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22" t="str">
        <f>Councils!C286</f>
        <v>059</v>
      </c>
      <c r="C283" s="322" t="str">
        <f>Councils!D286</f>
        <v>San Antonio</v>
      </c>
      <c r="D283" s="322" t="str">
        <f>IF(ISNA(VLOOKUP($V283,DD_Info!$A$1:$E$221,3,0)),0,VLOOKUP($V283,DD_Info!$A$1:$E$221,3,0))</f>
        <v>San Antonio</v>
      </c>
      <c r="E283" s="322">
        <f>Councils!E286</f>
        <v>65</v>
      </c>
      <c r="F283" s="322">
        <f>Councils!F286</f>
        <v>3</v>
      </c>
      <c r="G283" s="322">
        <f>Councils!G286</f>
        <v>0</v>
      </c>
      <c r="H283" s="322">
        <f>Councils!H286</f>
        <v>0</v>
      </c>
      <c r="I283" s="322">
        <f>Councils!I286</f>
        <v>0</v>
      </c>
      <c r="J283" s="322">
        <f>Councils!J286</f>
        <v>0</v>
      </c>
      <c r="K283" s="322">
        <f>Councils!K286</f>
        <v>0</v>
      </c>
      <c r="L283" s="322">
        <f>Councils!L286</f>
        <v>0</v>
      </c>
      <c r="M283" s="323">
        <f>Councils!M286</f>
        <v>0</v>
      </c>
      <c r="N283" s="322">
        <f>Councils!O286</f>
        <v>0</v>
      </c>
      <c r="O283" s="322">
        <f>Councils!P286</f>
        <v>0</v>
      </c>
      <c r="P283" s="322">
        <f>Councils!Q286</f>
        <v>0</v>
      </c>
      <c r="Q283" s="322">
        <f>Councils!R286</f>
        <v>0</v>
      </c>
      <c r="R283" s="322">
        <f>Councils!S286</f>
        <v>0</v>
      </c>
      <c r="S283" s="322">
        <f>Councils!T286</f>
        <v>0</v>
      </c>
      <c r="T283" s="322">
        <f>Councils!U286</f>
        <v>0</v>
      </c>
      <c r="U283" s="323">
        <f>Councils!V286</f>
        <v>0</v>
      </c>
      <c r="V283" s="376">
        <v>59</v>
      </c>
      <c r="W283" s="377">
        <f t="shared" si="4"/>
        <v>3</v>
      </c>
      <c r="X283" s="378" t="str">
        <f>IF(ISNA(VLOOKUP($A283,GA!$A$1:$D$834,3,0))," ",VLOOKUP($A283,GA!$A$1:$D$834,3,0))</f>
        <v>Dougherty</v>
      </c>
      <c r="Y283" s="379" t="str">
        <f>IF(ISNA(VLOOKUP($A283,Dormant_Councils!$A$1:$E$811,5,0)),"No",VLOOKUP($A283,Dormant_Councils!$A$1:$E$811,5,0))</f>
        <v>No</v>
      </c>
      <c r="Z283" s="381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22" t="str">
        <f>Councils!C287</f>
        <v>Unassigned</v>
      </c>
      <c r="C284" s="322" t="str">
        <f>Councils!D287</f>
        <v>El Paso</v>
      </c>
      <c r="D284" s="322">
        <f>IF(ISNA(VLOOKUP($V284,DD_Info!$A$1:$E$221,3,0)),0,VLOOKUP($V284,DD_Info!$A$1:$E$221,3,0))</f>
        <v>0</v>
      </c>
      <c r="E284" s="322">
        <f>Councils!E287</f>
        <v>0</v>
      </c>
      <c r="F284" s="322">
        <f>Councils!F287</f>
        <v>0</v>
      </c>
      <c r="G284" s="322">
        <f>Councils!G287</f>
        <v>0</v>
      </c>
      <c r="H284" s="322">
        <f>Councils!H287</f>
        <v>0</v>
      </c>
      <c r="I284" s="322">
        <f>Councils!I287</f>
        <v>0</v>
      </c>
      <c r="J284" s="322">
        <f>Councils!J287</f>
        <v>0</v>
      </c>
      <c r="K284" s="322">
        <f>Councils!K287</f>
        <v>0</v>
      </c>
      <c r="L284" s="322">
        <f>Councils!L287</f>
        <v>0</v>
      </c>
      <c r="M284" s="323">
        <f>Councils!M287</f>
        <v>0</v>
      </c>
      <c r="N284" s="322">
        <f>Councils!O287</f>
        <v>0</v>
      </c>
      <c r="O284" s="322">
        <f>Councils!P287</f>
        <v>0</v>
      </c>
      <c r="P284" s="322">
        <f>Councils!Q287</f>
        <v>0</v>
      </c>
      <c r="Q284" s="322">
        <f>Councils!R287</f>
        <v>0</v>
      </c>
      <c r="R284" s="322">
        <f>Councils!S287</f>
        <v>0</v>
      </c>
      <c r="S284" s="322">
        <f>Councils!T287</f>
        <v>0</v>
      </c>
      <c r="T284" s="322">
        <f>Councils!U287</f>
        <v>0</v>
      </c>
      <c r="U284" s="323">
        <f>Councils!V287</f>
        <v>0</v>
      </c>
      <c r="V284" s="45" t="s">
        <v>93</v>
      </c>
      <c r="W284" s="377">
        <f t="shared" si="4"/>
        <v>3</v>
      </c>
      <c r="X284" s="378" t="str">
        <f>IF(ISNA(VLOOKUP($A284,GA!$A$1:$D$834,3,0))," ",VLOOKUP($A284,GA!$A$1:$D$834,3,0))</f>
        <v>Payne</v>
      </c>
      <c r="Y284" s="379" t="str">
        <f>IF(ISNA(VLOOKUP($A284,Dormant_Councils!$A$1:$E$811,5,0)),"No",VLOOKUP($A284,Dormant_Councils!$A$1:$E$811,5,0))</f>
        <v>No</v>
      </c>
      <c r="Z284" s="381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22" t="str">
        <f>Councils!C288</f>
        <v>196</v>
      </c>
      <c r="C285" s="322" t="str">
        <f>Councils!D288</f>
        <v>Canyon</v>
      </c>
      <c r="D285" s="322" t="str">
        <f>IF(ISNA(VLOOKUP($V285,DD_Info!$A$1:$E$221,3,0)),0,VLOOKUP($V285,DD_Info!$A$1:$E$221,3,0))</f>
        <v>Amarillo</v>
      </c>
      <c r="E285" s="322">
        <f>Councils!E288</f>
        <v>162</v>
      </c>
      <c r="F285" s="322">
        <f>Councils!F288</f>
        <v>8</v>
      </c>
      <c r="G285" s="322">
        <f>Councils!G288</f>
        <v>0</v>
      </c>
      <c r="H285" s="322">
        <f>Councils!H288</f>
        <v>0</v>
      </c>
      <c r="I285" s="322">
        <f>Councils!I288</f>
        <v>0</v>
      </c>
      <c r="J285" s="322">
        <f>Councils!J288</f>
        <v>1</v>
      </c>
      <c r="K285" s="322">
        <f>Councils!K288</f>
        <v>0</v>
      </c>
      <c r="L285" s="322">
        <f>Councils!L288</f>
        <v>1</v>
      </c>
      <c r="M285" s="323">
        <f>Councils!M288</f>
        <v>12.5</v>
      </c>
      <c r="N285" s="322">
        <f>Councils!O288</f>
        <v>0</v>
      </c>
      <c r="O285" s="322">
        <f>Councils!P288</f>
        <v>0</v>
      </c>
      <c r="P285" s="322">
        <f>Councils!Q288</f>
        <v>1</v>
      </c>
      <c r="Q285" s="322">
        <f>Councils!R288</f>
        <v>-1</v>
      </c>
      <c r="R285" s="322">
        <f>Councils!S288</f>
        <v>1</v>
      </c>
      <c r="S285" s="322">
        <f>Councils!T288</f>
        <v>1</v>
      </c>
      <c r="T285" s="322">
        <f>Councils!U288</f>
        <v>0</v>
      </c>
      <c r="U285" s="323">
        <f>Councils!V288</f>
        <v>0</v>
      </c>
      <c r="V285" s="376">
        <v>196</v>
      </c>
      <c r="W285" s="377">
        <f t="shared" si="4"/>
        <v>1</v>
      </c>
      <c r="X285" s="378" t="str">
        <f>IF(ISNA(VLOOKUP($A285,GA!$A$1:$D$834,3,0))," ",VLOOKUP($A285,GA!$A$1:$D$834,3,0))</f>
        <v>Payne</v>
      </c>
      <c r="Y285" s="379" t="str">
        <f>IF(ISNA(VLOOKUP($A285,Dormant_Councils!$A$1:$E$811,5,0)),"No",VLOOKUP($A285,Dormant_Councils!$A$1:$E$811,5,0))</f>
        <v>No</v>
      </c>
      <c r="Z285" s="381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22" t="str">
        <f>Councils!C289</f>
        <v>111</v>
      </c>
      <c r="C286" s="322" t="str">
        <f>Councils!D289</f>
        <v>Plano</v>
      </c>
      <c r="D286" s="322" t="str">
        <f>IF(ISNA(VLOOKUP($V286,DD_Info!$A$1:$E$221,3,0)),0,VLOOKUP($V286,DD_Info!$A$1:$E$221,3,0))</f>
        <v>Dallas</v>
      </c>
      <c r="E286" s="322">
        <f>Councils!E289</f>
        <v>349</v>
      </c>
      <c r="F286" s="322">
        <f>Councils!F289</f>
        <v>16</v>
      </c>
      <c r="G286" s="322">
        <f>Councils!G289</f>
        <v>0</v>
      </c>
      <c r="H286" s="322">
        <f>Councils!H289</f>
        <v>1</v>
      </c>
      <c r="I286" s="322">
        <f>Councils!I289</f>
        <v>-1</v>
      </c>
      <c r="J286" s="322">
        <f>Councils!J289</f>
        <v>1</v>
      </c>
      <c r="K286" s="322">
        <f>Councils!K289</f>
        <v>1</v>
      </c>
      <c r="L286" s="322">
        <f>Councils!L289</f>
        <v>0</v>
      </c>
      <c r="M286" s="323">
        <f>Councils!M289</f>
        <v>0</v>
      </c>
      <c r="N286" s="322">
        <f>Councils!O289</f>
        <v>0</v>
      </c>
      <c r="O286" s="322">
        <f>Councils!P289</f>
        <v>0</v>
      </c>
      <c r="P286" s="322">
        <f>Councils!Q289</f>
        <v>1</v>
      </c>
      <c r="Q286" s="322">
        <f>Councils!R289</f>
        <v>-1</v>
      </c>
      <c r="R286" s="322">
        <f>Councils!S289</f>
        <v>0</v>
      </c>
      <c r="S286" s="322">
        <f>Councils!T289</f>
        <v>2</v>
      </c>
      <c r="T286" s="322">
        <f>Councils!U289</f>
        <v>-2</v>
      </c>
      <c r="U286" s="323">
        <f>Councils!V289</f>
        <v>0</v>
      </c>
      <c r="V286" s="376">
        <v>111</v>
      </c>
      <c r="W286" s="377">
        <f t="shared" si="4"/>
        <v>1</v>
      </c>
      <c r="X286" s="378" t="str">
        <f>IF(ISNA(VLOOKUP($A286,GA!$A$1:$D$834,3,0))," ",VLOOKUP($A286,GA!$A$1:$D$834,3,0))</f>
        <v>Regan</v>
      </c>
      <c r="Y286" s="379" t="str">
        <f>IF(ISNA(VLOOKUP($A286,Dormant_Councils!$A$1:$E$811,5,0)),"No",VLOOKUP($A286,Dormant_Councils!$A$1:$E$811,5,0))</f>
        <v>No</v>
      </c>
      <c r="Z286" s="381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22" t="str">
        <f>Councils!C290</f>
        <v>060</v>
      </c>
      <c r="C287" s="322" t="str">
        <f>Councils!D290</f>
        <v>South San Antonio</v>
      </c>
      <c r="D287" s="322" t="str">
        <f>IF(ISNA(VLOOKUP($V287,DD_Info!$A$1:$E$221,3,0)),0,VLOOKUP($V287,DD_Info!$A$1:$E$221,3,0))</f>
        <v>San Antonio</v>
      </c>
      <c r="E287" s="322">
        <f>Councils!E290</f>
        <v>56</v>
      </c>
      <c r="F287" s="322">
        <f>Councils!F290</f>
        <v>3</v>
      </c>
      <c r="G287" s="322">
        <f>Councils!G290</f>
        <v>0</v>
      </c>
      <c r="H287" s="322">
        <f>Councils!H290</f>
        <v>0</v>
      </c>
      <c r="I287" s="322">
        <f>Councils!I290</f>
        <v>0</v>
      </c>
      <c r="J287" s="322">
        <f>Councils!J290</f>
        <v>0</v>
      </c>
      <c r="K287" s="322">
        <f>Councils!K290</f>
        <v>0</v>
      </c>
      <c r="L287" s="322">
        <f>Councils!L290</f>
        <v>0</v>
      </c>
      <c r="M287" s="323">
        <f>Councils!M290</f>
        <v>0</v>
      </c>
      <c r="N287" s="322">
        <f>Councils!O290</f>
        <v>0</v>
      </c>
      <c r="O287" s="322">
        <f>Councils!P290</f>
        <v>0</v>
      </c>
      <c r="P287" s="322">
        <f>Councils!Q290</f>
        <v>0</v>
      </c>
      <c r="Q287" s="322">
        <f>Councils!R290</f>
        <v>0</v>
      </c>
      <c r="R287" s="322">
        <f>Councils!S290</f>
        <v>0</v>
      </c>
      <c r="S287" s="322">
        <f>Councils!T290</f>
        <v>0</v>
      </c>
      <c r="T287" s="322">
        <f>Councils!U290</f>
        <v>0</v>
      </c>
      <c r="U287" s="323">
        <f>Councils!V290</f>
        <v>0</v>
      </c>
      <c r="V287" s="376">
        <v>60</v>
      </c>
      <c r="W287" s="377">
        <f t="shared" si="4"/>
        <v>3</v>
      </c>
      <c r="X287" s="378" t="str">
        <f>IF(ISNA(VLOOKUP($A287,GA!$A$1:$D$834,3,0))," ",VLOOKUP($A287,GA!$A$1:$D$834,3,0))</f>
        <v>Dougherty</v>
      </c>
      <c r="Y287" s="379" t="str">
        <f>IF(ISNA(VLOOKUP($A287,Dormant_Councils!$A$1:$E$811,5,0)),"No",VLOOKUP($A287,Dormant_Councils!$A$1:$E$811,5,0))</f>
        <v>No</v>
      </c>
      <c r="Z287" s="381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22" t="str">
        <f>Councils!C291</f>
        <v>244</v>
      </c>
      <c r="C288" s="322" t="str">
        <f>Councils!D291</f>
        <v>Littlefield</v>
      </c>
      <c r="D288" s="322" t="str">
        <f>IF(ISNA(VLOOKUP($V288,DD_Info!$A$1:$E$221,3,0)),0,VLOOKUP($V288,DD_Info!$A$1:$E$221,3,0))</f>
        <v>Lubbock</v>
      </c>
      <c r="E288" s="322">
        <f>Councils!E291</f>
        <v>52</v>
      </c>
      <c r="F288" s="322">
        <f>Councils!F291</f>
        <v>3</v>
      </c>
      <c r="G288" s="322">
        <f>Councils!G291</f>
        <v>1</v>
      </c>
      <c r="H288" s="322">
        <f>Councils!H291</f>
        <v>0</v>
      </c>
      <c r="I288" s="322">
        <f>Councils!I291</f>
        <v>1</v>
      </c>
      <c r="J288" s="322">
        <f>Councils!J291</f>
        <v>1</v>
      </c>
      <c r="K288" s="322">
        <f>Councils!K291</f>
        <v>0</v>
      </c>
      <c r="L288" s="322">
        <f>Councils!L291</f>
        <v>1</v>
      </c>
      <c r="M288" s="323">
        <f>Councils!M291</f>
        <v>33.33</v>
      </c>
      <c r="N288" s="322">
        <f>Councils!O291</f>
        <v>0</v>
      </c>
      <c r="O288" s="322">
        <f>Councils!P291</f>
        <v>1</v>
      </c>
      <c r="P288" s="322">
        <f>Councils!Q291</f>
        <v>1</v>
      </c>
      <c r="Q288" s="322">
        <f>Councils!R291</f>
        <v>0</v>
      </c>
      <c r="R288" s="322">
        <f>Councils!S291</f>
        <v>1</v>
      </c>
      <c r="S288" s="322">
        <f>Councils!T291</f>
        <v>2</v>
      </c>
      <c r="T288" s="322">
        <f>Councils!U291</f>
        <v>-1</v>
      </c>
      <c r="U288" s="323">
        <f>Councils!V291</f>
        <v>0</v>
      </c>
      <c r="V288" s="376">
        <v>244</v>
      </c>
      <c r="W288" s="377">
        <f t="shared" si="4"/>
        <v>3</v>
      </c>
      <c r="X288" s="378" t="str">
        <f>IF(ISNA(VLOOKUP($A288,GA!$A$1:$D$834,3,0))," ",VLOOKUP($A288,GA!$A$1:$D$834,3,0))</f>
        <v>Payne</v>
      </c>
      <c r="Y288" s="379" t="str">
        <f>IF(ISNA(VLOOKUP($A288,Dormant_Councils!$A$1:$E$811,5,0)),"No",VLOOKUP($A288,Dormant_Councils!$A$1:$E$811,5,0))</f>
        <v>No</v>
      </c>
      <c r="Z288" s="381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22" t="str">
        <f>Councils!C292</f>
        <v>087</v>
      </c>
      <c r="C289" s="322" t="str">
        <f>Councils!D292</f>
        <v>Houston</v>
      </c>
      <c r="D289" s="322" t="str">
        <f>IF(ISNA(VLOOKUP($V289,DD_Info!$A$1:$E$221,3,0)),0,VLOOKUP($V289,DD_Info!$A$1:$E$221,3,0))</f>
        <v>Galv/Hous</v>
      </c>
      <c r="E289" s="322">
        <f>Councils!E292</f>
        <v>287</v>
      </c>
      <c r="F289" s="322">
        <f>Councils!F292</f>
        <v>14</v>
      </c>
      <c r="G289" s="322">
        <f>Councils!G292</f>
        <v>0</v>
      </c>
      <c r="H289" s="322">
        <f>Councils!H292</f>
        <v>0</v>
      </c>
      <c r="I289" s="322">
        <f>Councils!I292</f>
        <v>0</v>
      </c>
      <c r="J289" s="322">
        <f>Councils!J292</f>
        <v>0</v>
      </c>
      <c r="K289" s="322">
        <f>Councils!K292</f>
        <v>0</v>
      </c>
      <c r="L289" s="322">
        <f>Councils!L292</f>
        <v>0</v>
      </c>
      <c r="M289" s="323">
        <f>Councils!M292</f>
        <v>0</v>
      </c>
      <c r="N289" s="322">
        <f>Councils!O292</f>
        <v>0</v>
      </c>
      <c r="O289" s="322">
        <f>Councils!P292</f>
        <v>0</v>
      </c>
      <c r="P289" s="322">
        <f>Councils!Q292</f>
        <v>0</v>
      </c>
      <c r="Q289" s="322">
        <f>Councils!R292</f>
        <v>0</v>
      </c>
      <c r="R289" s="322">
        <f>Councils!S292</f>
        <v>0</v>
      </c>
      <c r="S289" s="322">
        <f>Councils!T292</f>
        <v>0</v>
      </c>
      <c r="T289" s="322">
        <f>Councils!U292</f>
        <v>0</v>
      </c>
      <c r="U289" s="323">
        <f>Councils!V292</f>
        <v>0</v>
      </c>
      <c r="V289" s="376">
        <v>87</v>
      </c>
      <c r="W289" s="377">
        <f t="shared" si="4"/>
        <v>1</v>
      </c>
      <c r="X289" s="378" t="str">
        <f>IF(ISNA(VLOOKUP($A289,GA!$A$1:$D$834,3,0))," ",VLOOKUP($A289,GA!$A$1:$D$834,3,0))</f>
        <v>Rangel</v>
      </c>
      <c r="Y289" s="379" t="str">
        <f>IF(ISNA(VLOOKUP($A289,Dormant_Councils!$A$1:$E$811,5,0)),"No",VLOOKUP($A289,Dormant_Councils!$A$1:$E$811,5,0))</f>
        <v>No</v>
      </c>
      <c r="Z289" s="381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22" t="str">
        <f>Councils!C293</f>
        <v>127</v>
      </c>
      <c r="C290" s="322" t="str">
        <f>Councils!D293</f>
        <v>Port Arthur</v>
      </c>
      <c r="D290" s="322" t="str">
        <f>IF(ISNA(VLOOKUP($V290,DD_Info!$A$1:$E$221,3,0)),0,VLOOKUP($V290,DD_Info!$A$1:$E$221,3,0))</f>
        <v>Beaumont</v>
      </c>
      <c r="E290" s="322">
        <f>Councils!E293</f>
        <v>21</v>
      </c>
      <c r="F290" s="322">
        <f>Councils!F293</f>
        <v>3</v>
      </c>
      <c r="G290" s="322">
        <f>Councils!G293</f>
        <v>0</v>
      </c>
      <c r="H290" s="322">
        <f>Councils!H293</f>
        <v>0</v>
      </c>
      <c r="I290" s="322">
        <f>Councils!I293</f>
        <v>0</v>
      </c>
      <c r="J290" s="322">
        <f>Councils!J293</f>
        <v>0</v>
      </c>
      <c r="K290" s="322">
        <f>Councils!K293</f>
        <v>0</v>
      </c>
      <c r="L290" s="322">
        <f>Councils!L293</f>
        <v>0</v>
      </c>
      <c r="M290" s="323">
        <f>Councils!M293</f>
        <v>0</v>
      </c>
      <c r="N290" s="322">
        <f>Councils!O293</f>
        <v>0</v>
      </c>
      <c r="O290" s="322">
        <f>Councils!P293</f>
        <v>0</v>
      </c>
      <c r="P290" s="322">
        <f>Councils!Q293</f>
        <v>0</v>
      </c>
      <c r="Q290" s="322">
        <f>Councils!R293</f>
        <v>0</v>
      </c>
      <c r="R290" s="322">
        <f>Councils!S293</f>
        <v>0</v>
      </c>
      <c r="S290" s="322">
        <f>Councils!T293</f>
        <v>0</v>
      </c>
      <c r="T290" s="322">
        <f>Councils!U293</f>
        <v>0</v>
      </c>
      <c r="U290" s="323">
        <f>Councils!V293</f>
        <v>0</v>
      </c>
      <c r="V290" s="376">
        <v>127</v>
      </c>
      <c r="W290" s="377">
        <f t="shared" si="4"/>
        <v>3</v>
      </c>
      <c r="X290" s="378" t="str">
        <f>IF(ISNA(VLOOKUP($A290,GA!$A$1:$D$834,3,0))," ",VLOOKUP($A290,GA!$A$1:$D$834,3,0))</f>
        <v>Rangel</v>
      </c>
      <c r="Y290" s="379" t="str">
        <f>IF(ISNA(VLOOKUP($A290,Dormant_Councils!$A$1:$E$811,5,0)),"No",VLOOKUP($A290,Dormant_Councils!$A$1:$E$811,5,0))</f>
        <v>Dormant</v>
      </c>
      <c r="Z290" s="381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22" t="str">
        <f>Councils!C294</f>
        <v>245</v>
      </c>
      <c r="C291" s="322" t="str">
        <f>Councils!D294</f>
        <v>Lamesa</v>
      </c>
      <c r="D291" s="322" t="str">
        <f>IF(ISNA(VLOOKUP($V291,DD_Info!$A$1:$E$221,3,0)),0,VLOOKUP($V291,DD_Info!$A$1:$E$221,3,0))</f>
        <v>Lubbock</v>
      </c>
      <c r="E291" s="322">
        <f>Councils!E294</f>
        <v>62</v>
      </c>
      <c r="F291" s="322">
        <f>Councils!F294</f>
        <v>3</v>
      </c>
      <c r="G291" s="322">
        <f>Councils!G294</f>
        <v>0</v>
      </c>
      <c r="H291" s="322">
        <f>Councils!H294</f>
        <v>0</v>
      </c>
      <c r="I291" s="322">
        <f>Councils!I294</f>
        <v>0</v>
      </c>
      <c r="J291" s="322">
        <f>Councils!J294</f>
        <v>0</v>
      </c>
      <c r="K291" s="322">
        <f>Councils!K294</f>
        <v>0</v>
      </c>
      <c r="L291" s="322">
        <f>Councils!L294</f>
        <v>0</v>
      </c>
      <c r="M291" s="323">
        <f>Councils!M294</f>
        <v>0</v>
      </c>
      <c r="N291" s="322">
        <f>Councils!O294</f>
        <v>0</v>
      </c>
      <c r="O291" s="322">
        <f>Councils!P294</f>
        <v>0</v>
      </c>
      <c r="P291" s="322">
        <f>Councils!Q294</f>
        <v>1</v>
      </c>
      <c r="Q291" s="322">
        <f>Councils!R294</f>
        <v>-1</v>
      </c>
      <c r="R291" s="322">
        <f>Councils!S294</f>
        <v>0</v>
      </c>
      <c r="S291" s="322">
        <f>Councils!T294</f>
        <v>3</v>
      </c>
      <c r="T291" s="322">
        <f>Councils!U294</f>
        <v>-3</v>
      </c>
      <c r="U291" s="323">
        <f>Councils!V294</f>
        <v>0</v>
      </c>
      <c r="V291" s="376">
        <v>245</v>
      </c>
      <c r="W291" s="377">
        <f t="shared" si="4"/>
        <v>3</v>
      </c>
      <c r="X291" s="378" t="str">
        <f>IF(ISNA(VLOOKUP($A291,GA!$A$1:$D$834,3,0))," ",VLOOKUP($A291,GA!$A$1:$D$834,3,0))</f>
        <v>Payne</v>
      </c>
      <c r="Y291" s="379" t="str">
        <f>IF(ISNA(VLOOKUP($A291,Dormant_Councils!$A$1:$E$811,5,0)),"No",VLOOKUP($A291,Dormant_Councils!$A$1:$E$811,5,0))</f>
        <v>No</v>
      </c>
      <c r="Z291" s="381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22" t="str">
        <f>Councils!C295</f>
        <v>043</v>
      </c>
      <c r="C292" s="322" t="str">
        <f>Councils!D295</f>
        <v>San Antonio</v>
      </c>
      <c r="D292" s="322" t="str">
        <f>IF(ISNA(VLOOKUP($V292,DD_Info!$A$1:$E$221,3,0)),0,VLOOKUP($V292,DD_Info!$A$1:$E$221,3,0))</f>
        <v>San Antonio</v>
      </c>
      <c r="E292" s="322">
        <f>Councils!E295</f>
        <v>249</v>
      </c>
      <c r="F292" s="322">
        <f>Councils!F295</f>
        <v>12</v>
      </c>
      <c r="G292" s="322">
        <f>Councils!G295</f>
        <v>0</v>
      </c>
      <c r="H292" s="322">
        <f>Councils!H295</f>
        <v>1</v>
      </c>
      <c r="I292" s="322">
        <f>Councils!I295</f>
        <v>-1</v>
      </c>
      <c r="J292" s="322">
        <f>Councils!J295</f>
        <v>1</v>
      </c>
      <c r="K292" s="322">
        <f>Councils!K295</f>
        <v>5</v>
      </c>
      <c r="L292" s="322">
        <f>Councils!L295</f>
        <v>-4</v>
      </c>
      <c r="M292" s="323">
        <f>Councils!M295</f>
        <v>0</v>
      </c>
      <c r="N292" s="322">
        <f>Councils!O295</f>
        <v>0</v>
      </c>
      <c r="O292" s="322">
        <f>Councils!P295</f>
        <v>0</v>
      </c>
      <c r="P292" s="322">
        <f>Councils!Q295</f>
        <v>0</v>
      </c>
      <c r="Q292" s="322">
        <f>Councils!R295</f>
        <v>0</v>
      </c>
      <c r="R292" s="322">
        <f>Councils!S295</f>
        <v>0</v>
      </c>
      <c r="S292" s="322">
        <f>Councils!T295</f>
        <v>1</v>
      </c>
      <c r="T292" s="322">
        <f>Councils!U295</f>
        <v>-1</v>
      </c>
      <c r="U292" s="323">
        <f>Councils!V295</f>
        <v>0</v>
      </c>
      <c r="V292" s="376">
        <v>43</v>
      </c>
      <c r="W292" s="377">
        <f t="shared" si="4"/>
        <v>1</v>
      </c>
      <c r="X292" s="378" t="str">
        <f>IF(ISNA(VLOOKUP($A292,GA!$A$1:$D$834,3,0))," ",VLOOKUP($A292,GA!$A$1:$D$834,3,0))</f>
        <v>Dougherty</v>
      </c>
      <c r="Y292" s="379" t="str">
        <f>IF(ISNA(VLOOKUP($A292,Dormant_Councils!$A$1:$E$811,5,0)),"No",VLOOKUP($A292,Dormant_Councils!$A$1:$E$811,5,0))</f>
        <v>No</v>
      </c>
      <c r="Z292" s="381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22" t="str">
        <f>Councils!C296</f>
        <v>159</v>
      </c>
      <c r="C293" s="322" t="str">
        <f>Councils!D296</f>
        <v>Kyle</v>
      </c>
      <c r="D293" s="322" t="str">
        <f>IF(ISNA(VLOOKUP($V293,DD_Info!$A$1:$E$221,3,0)),0,VLOOKUP($V293,DD_Info!$A$1:$E$221,3,0))</f>
        <v>Austin</v>
      </c>
      <c r="E293" s="322">
        <f>Councils!E296</f>
        <v>252</v>
      </c>
      <c r="F293" s="322">
        <f>Councils!F296</f>
        <v>12</v>
      </c>
      <c r="G293" s="322">
        <f>Councils!G296</f>
        <v>0</v>
      </c>
      <c r="H293" s="322">
        <f>Councils!H296</f>
        <v>0</v>
      </c>
      <c r="I293" s="322">
        <f>Councils!I296</f>
        <v>0</v>
      </c>
      <c r="J293" s="322">
        <f>Councils!J296</f>
        <v>2</v>
      </c>
      <c r="K293" s="322">
        <f>Councils!K296</f>
        <v>0</v>
      </c>
      <c r="L293" s="322">
        <f>Councils!L296</f>
        <v>2</v>
      </c>
      <c r="M293" s="323">
        <f>Councils!M296</f>
        <v>16.670000000000002</v>
      </c>
      <c r="N293" s="322">
        <f>Councils!O296</f>
        <v>0</v>
      </c>
      <c r="O293" s="322">
        <f>Councils!P296</f>
        <v>0</v>
      </c>
      <c r="P293" s="322">
        <f>Councils!Q296</f>
        <v>0</v>
      </c>
      <c r="Q293" s="322">
        <f>Councils!R296</f>
        <v>0</v>
      </c>
      <c r="R293" s="322">
        <f>Councils!S296</f>
        <v>3</v>
      </c>
      <c r="S293" s="322">
        <f>Councils!T296</f>
        <v>1</v>
      </c>
      <c r="T293" s="322">
        <f>Councils!U296</f>
        <v>2</v>
      </c>
      <c r="U293" s="323">
        <f>Councils!V296</f>
        <v>0</v>
      </c>
      <c r="V293" s="376">
        <v>159</v>
      </c>
      <c r="W293" s="377">
        <f t="shared" si="4"/>
        <v>1</v>
      </c>
      <c r="X293" s="378" t="str">
        <f>IF(ISNA(VLOOKUP($A293,GA!$A$1:$D$834,3,0))," ",VLOOKUP($A293,GA!$A$1:$D$834,3,0))</f>
        <v>Rangel</v>
      </c>
      <c r="Y293" s="379" t="str">
        <f>IF(ISNA(VLOOKUP($A293,Dormant_Councils!$A$1:$E$811,5,0)),"No",VLOOKUP($A293,Dormant_Councils!$A$1:$E$811,5,0))</f>
        <v>No</v>
      </c>
      <c r="Z293" s="381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22" t="str">
        <f>Councils!C297</f>
        <v>040</v>
      </c>
      <c r="C294" s="322" t="str">
        <f>Councils!D297</f>
        <v>San Antonio</v>
      </c>
      <c r="D294" s="322" t="str">
        <f>IF(ISNA(VLOOKUP($V294,DD_Info!$A$1:$E$221,3,0)),0,VLOOKUP($V294,DD_Info!$A$1:$E$221,3,0))</f>
        <v>San Antonio</v>
      </c>
      <c r="E294" s="322">
        <f>Councils!E297</f>
        <v>349</v>
      </c>
      <c r="F294" s="322">
        <f>Councils!F297</f>
        <v>17</v>
      </c>
      <c r="G294" s="322">
        <f>Councils!G297</f>
        <v>0</v>
      </c>
      <c r="H294" s="322">
        <f>Councils!H297</f>
        <v>0</v>
      </c>
      <c r="I294" s="322">
        <f>Councils!I297</f>
        <v>0</v>
      </c>
      <c r="J294" s="322">
        <f>Councils!J297</f>
        <v>5</v>
      </c>
      <c r="K294" s="322">
        <f>Councils!K297</f>
        <v>0</v>
      </c>
      <c r="L294" s="322">
        <f>Councils!L297</f>
        <v>5</v>
      </c>
      <c r="M294" s="323">
        <f>Councils!M297</f>
        <v>29.41</v>
      </c>
      <c r="N294" s="322">
        <f>Councils!O297</f>
        <v>0</v>
      </c>
      <c r="O294" s="322">
        <f>Councils!P297</f>
        <v>0</v>
      </c>
      <c r="P294" s="322">
        <f>Councils!Q297</f>
        <v>0</v>
      </c>
      <c r="Q294" s="322">
        <f>Councils!R297</f>
        <v>0</v>
      </c>
      <c r="R294" s="322">
        <f>Councils!S297</f>
        <v>0</v>
      </c>
      <c r="S294" s="322">
        <f>Councils!T297</f>
        <v>3</v>
      </c>
      <c r="T294" s="322">
        <f>Councils!U297</f>
        <v>-3</v>
      </c>
      <c r="U294" s="323">
        <f>Councils!V297</f>
        <v>0</v>
      </c>
      <c r="V294" s="376">
        <v>40</v>
      </c>
      <c r="W294" s="377">
        <f t="shared" si="4"/>
        <v>1</v>
      </c>
      <c r="X294" s="378" t="str">
        <f>IF(ISNA(VLOOKUP($A294,GA!$A$1:$D$834,3,0))," ",VLOOKUP($A294,GA!$A$1:$D$834,3,0))</f>
        <v>Dougherty</v>
      </c>
      <c r="Y294" s="379" t="str">
        <f>IF(ISNA(VLOOKUP($A294,Dormant_Councils!$A$1:$E$811,5,0)),"No",VLOOKUP($A294,Dormant_Councils!$A$1:$E$811,5,0))</f>
        <v>No</v>
      </c>
      <c r="Z294" s="381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22" t="str">
        <f>Councils!C298</f>
        <v>057</v>
      </c>
      <c r="C295" s="322" t="str">
        <f>Councils!D298</f>
        <v>Pleasanton</v>
      </c>
      <c r="D295" s="322" t="str">
        <f>IF(ISNA(VLOOKUP($V295,DD_Info!$A$1:$E$221,3,0)),0,VLOOKUP($V295,DD_Info!$A$1:$E$221,3,0))</f>
        <v>San Antonio</v>
      </c>
      <c r="E295" s="322">
        <f>Councils!E298</f>
        <v>133</v>
      </c>
      <c r="F295" s="322">
        <f>Councils!F298</f>
        <v>7</v>
      </c>
      <c r="G295" s="322">
        <f>Councils!G298</f>
        <v>0</v>
      </c>
      <c r="H295" s="322">
        <f>Councils!H298</f>
        <v>5</v>
      </c>
      <c r="I295" s="322">
        <f>Councils!I298</f>
        <v>-5</v>
      </c>
      <c r="J295" s="322">
        <f>Councils!J298</f>
        <v>0</v>
      </c>
      <c r="K295" s="322">
        <f>Councils!K298</f>
        <v>5</v>
      </c>
      <c r="L295" s="322">
        <f>Councils!L298</f>
        <v>-5</v>
      </c>
      <c r="M295" s="323">
        <f>Councils!M298</f>
        <v>0</v>
      </c>
      <c r="N295" s="322">
        <f>Councils!O298</f>
        <v>0</v>
      </c>
      <c r="O295" s="322">
        <f>Councils!P298</f>
        <v>0</v>
      </c>
      <c r="P295" s="322">
        <f>Councils!Q298</f>
        <v>0</v>
      </c>
      <c r="Q295" s="322">
        <f>Councils!R298</f>
        <v>0</v>
      </c>
      <c r="R295" s="322">
        <f>Councils!S298</f>
        <v>1</v>
      </c>
      <c r="S295" s="322">
        <f>Councils!T298</f>
        <v>0</v>
      </c>
      <c r="T295" s="322">
        <f>Councils!U298</f>
        <v>1</v>
      </c>
      <c r="U295" s="323">
        <f>Councils!V298</f>
        <v>0</v>
      </c>
      <c r="V295" s="376">
        <v>57</v>
      </c>
      <c r="W295" s="377">
        <f t="shared" si="4"/>
        <v>2</v>
      </c>
      <c r="X295" s="378" t="str">
        <f>IF(ISNA(VLOOKUP($A295,GA!$A$1:$D$834,3,0))," ",VLOOKUP($A295,GA!$A$1:$D$834,3,0))</f>
        <v>Dougherty</v>
      </c>
      <c r="Y295" s="379" t="str">
        <f>IF(ISNA(VLOOKUP($A295,Dormant_Councils!$A$1:$E$811,5,0)),"No",VLOOKUP($A295,Dormant_Councils!$A$1:$E$811,5,0))</f>
        <v>No</v>
      </c>
      <c r="Z295" s="381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22" t="str">
        <f>Councils!C299</f>
        <v>087</v>
      </c>
      <c r="C296" s="322" t="str">
        <f>Councils!D299</f>
        <v>Houston</v>
      </c>
      <c r="D296" s="322" t="str">
        <f>IF(ISNA(VLOOKUP($V296,DD_Info!$A$1:$E$221,3,0)),0,VLOOKUP($V296,DD_Info!$A$1:$E$221,3,0))</f>
        <v>Galv/Hous</v>
      </c>
      <c r="E296" s="322">
        <f>Councils!E299</f>
        <v>100</v>
      </c>
      <c r="F296" s="322">
        <f>Councils!F299</f>
        <v>5</v>
      </c>
      <c r="G296" s="322">
        <f>Councils!G299</f>
        <v>2</v>
      </c>
      <c r="H296" s="322">
        <f>Councils!H299</f>
        <v>0</v>
      </c>
      <c r="I296" s="322">
        <f>Councils!I299</f>
        <v>2</v>
      </c>
      <c r="J296" s="322">
        <f>Councils!J299</f>
        <v>4</v>
      </c>
      <c r="K296" s="322">
        <f>Councils!K299</f>
        <v>0</v>
      </c>
      <c r="L296" s="322">
        <f>Councils!L299</f>
        <v>4</v>
      </c>
      <c r="M296" s="323">
        <f>Councils!M299</f>
        <v>80</v>
      </c>
      <c r="N296" s="322">
        <f>Councils!O299</f>
        <v>0</v>
      </c>
      <c r="O296" s="322">
        <f>Councils!P299</f>
        <v>0</v>
      </c>
      <c r="P296" s="322">
        <f>Councils!Q299</f>
        <v>0</v>
      </c>
      <c r="Q296" s="322">
        <f>Councils!R299</f>
        <v>0</v>
      </c>
      <c r="R296" s="322">
        <f>Councils!S299</f>
        <v>0</v>
      </c>
      <c r="S296" s="322">
        <f>Councils!T299</f>
        <v>0</v>
      </c>
      <c r="T296" s="322">
        <f>Councils!U299</f>
        <v>0</v>
      </c>
      <c r="U296" s="323">
        <f>Councils!V299</f>
        <v>0</v>
      </c>
      <c r="V296" s="376">
        <v>87</v>
      </c>
      <c r="W296" s="377">
        <f t="shared" si="4"/>
        <v>2</v>
      </c>
      <c r="X296" s="378" t="str">
        <f>IF(ISNA(VLOOKUP($A296,GA!$A$1:$D$834,3,0))," ",VLOOKUP($A296,GA!$A$1:$D$834,3,0))</f>
        <v>Supak</v>
      </c>
      <c r="Y296" s="379" t="str">
        <f>IF(ISNA(VLOOKUP($A296,Dormant_Councils!$A$1:$E$811,5,0)),"No",VLOOKUP($A296,Dormant_Councils!$A$1:$E$811,5,0))</f>
        <v>No</v>
      </c>
      <c r="Z296" s="381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22" t="str">
        <f>Councils!C300</f>
        <v>171</v>
      </c>
      <c r="C297" s="322" t="str">
        <f>Councils!D300</f>
        <v>Rockport</v>
      </c>
      <c r="D297" s="322" t="str">
        <f>IF(ISNA(VLOOKUP($V297,DD_Info!$A$1:$E$221,3,0)),0,VLOOKUP($V297,DD_Info!$A$1:$E$221,3,0))</f>
        <v>Corpus Christi</v>
      </c>
      <c r="E297" s="322">
        <f>Councils!E300</f>
        <v>116</v>
      </c>
      <c r="F297" s="322">
        <f>Councils!F300</f>
        <v>6</v>
      </c>
      <c r="G297" s="322">
        <f>Councils!G300</f>
        <v>1</v>
      </c>
      <c r="H297" s="322">
        <f>Councils!H300</f>
        <v>0</v>
      </c>
      <c r="I297" s="322">
        <f>Councils!I300</f>
        <v>1</v>
      </c>
      <c r="J297" s="322">
        <f>Councils!J300</f>
        <v>2</v>
      </c>
      <c r="K297" s="322">
        <f>Councils!K300</f>
        <v>0</v>
      </c>
      <c r="L297" s="322">
        <f>Councils!L300</f>
        <v>2</v>
      </c>
      <c r="M297" s="323">
        <f>Councils!M300</f>
        <v>33.33</v>
      </c>
      <c r="N297" s="322">
        <f>Councils!O300</f>
        <v>0</v>
      </c>
      <c r="O297" s="322">
        <f>Councils!P300</f>
        <v>0</v>
      </c>
      <c r="P297" s="322">
        <f>Councils!Q300</f>
        <v>0</v>
      </c>
      <c r="Q297" s="322">
        <f>Councils!R300</f>
        <v>0</v>
      </c>
      <c r="R297" s="322">
        <f>Councils!S300</f>
        <v>0</v>
      </c>
      <c r="S297" s="322">
        <f>Councils!T300</f>
        <v>2</v>
      </c>
      <c r="T297" s="322">
        <f>Councils!U300</f>
        <v>-2</v>
      </c>
      <c r="U297" s="323">
        <f>Councils!V300</f>
        <v>0</v>
      </c>
      <c r="V297" s="376">
        <v>171</v>
      </c>
      <c r="W297" s="377">
        <f t="shared" si="4"/>
        <v>2</v>
      </c>
      <c r="X297" s="378" t="str">
        <f>IF(ISNA(VLOOKUP($A297,GA!$A$1:$D$834,3,0))," ",VLOOKUP($A297,GA!$A$1:$D$834,3,0))</f>
        <v>Carlin</v>
      </c>
      <c r="Y297" s="379" t="str">
        <f>IF(ISNA(VLOOKUP($A297,Dormant_Councils!$A$1:$E$811,5,0)),"No",VLOOKUP($A297,Dormant_Councils!$A$1:$E$811,5,0))</f>
        <v>No</v>
      </c>
      <c r="Z297" s="381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22" t="str">
        <f>Councils!C301</f>
        <v>055</v>
      </c>
      <c r="C298" s="322" t="str">
        <f>Councils!D301</f>
        <v>Saspamco Elmendorf</v>
      </c>
      <c r="D298" s="322" t="str">
        <f>IF(ISNA(VLOOKUP($V298,DD_Info!$A$1:$E$221,3,0)),0,VLOOKUP($V298,DD_Info!$A$1:$E$221,3,0))</f>
        <v>San Antonio</v>
      </c>
      <c r="E298" s="322">
        <f>Councils!E301</f>
        <v>78</v>
      </c>
      <c r="F298" s="322">
        <f>Councils!F301</f>
        <v>4</v>
      </c>
      <c r="G298" s="322">
        <f>Councils!G301</f>
        <v>0</v>
      </c>
      <c r="H298" s="322">
        <f>Councils!H301</f>
        <v>0</v>
      </c>
      <c r="I298" s="322">
        <f>Councils!I301</f>
        <v>0</v>
      </c>
      <c r="J298" s="322">
        <f>Councils!J301</f>
        <v>0</v>
      </c>
      <c r="K298" s="322">
        <f>Councils!K301</f>
        <v>0</v>
      </c>
      <c r="L298" s="322">
        <f>Councils!L301</f>
        <v>0</v>
      </c>
      <c r="M298" s="323">
        <f>Councils!M301</f>
        <v>0</v>
      </c>
      <c r="N298" s="322">
        <f>Councils!O301</f>
        <v>0</v>
      </c>
      <c r="O298" s="322">
        <f>Councils!P301</f>
        <v>0</v>
      </c>
      <c r="P298" s="322">
        <f>Councils!Q301</f>
        <v>0</v>
      </c>
      <c r="Q298" s="322">
        <f>Councils!R301</f>
        <v>0</v>
      </c>
      <c r="R298" s="322">
        <f>Councils!S301</f>
        <v>0</v>
      </c>
      <c r="S298" s="322">
        <f>Councils!T301</f>
        <v>4</v>
      </c>
      <c r="T298" s="322">
        <f>Councils!U301</f>
        <v>-4</v>
      </c>
      <c r="U298" s="323">
        <f>Councils!V301</f>
        <v>0</v>
      </c>
      <c r="V298" s="376">
        <v>55</v>
      </c>
      <c r="W298" s="377">
        <f t="shared" si="4"/>
        <v>2</v>
      </c>
      <c r="X298" s="378" t="str">
        <f>IF(ISNA(VLOOKUP($A298,GA!$A$1:$D$834,3,0))," ",VLOOKUP($A298,GA!$A$1:$D$834,3,0))</f>
        <v>Dougherty</v>
      </c>
      <c r="Y298" s="379" t="str">
        <f>IF(ISNA(VLOOKUP($A298,Dormant_Councils!$A$1:$E$811,5,0)),"No",VLOOKUP($A298,Dormant_Councils!$A$1:$E$811,5,0))</f>
        <v>No</v>
      </c>
      <c r="Z298" s="381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22" t="str">
        <f>Councils!C302</f>
        <v>006</v>
      </c>
      <c r="C299" s="322" t="str">
        <f>Councils!D302</f>
        <v>El Paso</v>
      </c>
      <c r="D299" s="322" t="str">
        <f>IF(ISNA(VLOOKUP($V299,DD_Info!$A$1:$E$221,3,0)),0,VLOOKUP($V299,DD_Info!$A$1:$E$221,3,0))</f>
        <v>El Paso</v>
      </c>
      <c r="E299" s="322">
        <f>Councils!E302</f>
        <v>60</v>
      </c>
      <c r="F299" s="322">
        <f>Councils!F302</f>
        <v>3</v>
      </c>
      <c r="G299" s="322">
        <f>Councils!G302</f>
        <v>0</v>
      </c>
      <c r="H299" s="322">
        <f>Councils!H302</f>
        <v>0</v>
      </c>
      <c r="I299" s="322">
        <f>Councils!I302</f>
        <v>0</v>
      </c>
      <c r="J299" s="322">
        <f>Councils!J302</f>
        <v>0</v>
      </c>
      <c r="K299" s="322">
        <f>Councils!K302</f>
        <v>0</v>
      </c>
      <c r="L299" s="322">
        <f>Councils!L302</f>
        <v>0</v>
      </c>
      <c r="M299" s="323">
        <f>Councils!M302</f>
        <v>0</v>
      </c>
      <c r="N299" s="322">
        <f>Councils!O302</f>
        <v>0</v>
      </c>
      <c r="O299" s="322">
        <f>Councils!P302</f>
        <v>0</v>
      </c>
      <c r="P299" s="322">
        <f>Councils!Q302</f>
        <v>0</v>
      </c>
      <c r="Q299" s="322">
        <f>Councils!R302</f>
        <v>0</v>
      </c>
      <c r="R299" s="322">
        <f>Councils!S302</f>
        <v>0</v>
      </c>
      <c r="S299" s="322">
        <f>Councils!T302</f>
        <v>0</v>
      </c>
      <c r="T299" s="322">
        <f>Councils!U302</f>
        <v>0</v>
      </c>
      <c r="U299" s="323">
        <f>Councils!V302</f>
        <v>0</v>
      </c>
      <c r="V299" s="376">
        <v>6</v>
      </c>
      <c r="W299" s="377">
        <f t="shared" si="4"/>
        <v>3</v>
      </c>
      <c r="X299" s="378" t="str">
        <f>IF(ISNA(VLOOKUP($A299,GA!$A$1:$D$834,3,0))," ",VLOOKUP($A299,GA!$A$1:$D$834,3,0))</f>
        <v>Payne</v>
      </c>
      <c r="Y299" s="379" t="str">
        <f>IF(ISNA(VLOOKUP($A299,Dormant_Councils!$A$1:$E$811,5,0)),"No",VLOOKUP($A299,Dormant_Councils!$A$1:$E$811,5,0))</f>
        <v>No</v>
      </c>
      <c r="Z299" s="381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22" t="str">
        <f>Councils!C303</f>
        <v>051</v>
      </c>
      <c r="C300" s="322" t="str">
        <f>Councils!D303</f>
        <v>San Antonio</v>
      </c>
      <c r="D300" s="322" t="str">
        <f>IF(ISNA(VLOOKUP($V300,DD_Info!$A$1:$E$221,3,0)),0,VLOOKUP($V300,DD_Info!$A$1:$E$221,3,0))</f>
        <v>San Antonio</v>
      </c>
      <c r="E300" s="322">
        <f>Councils!E303</f>
        <v>405</v>
      </c>
      <c r="F300" s="322">
        <f>Councils!F303</f>
        <v>20</v>
      </c>
      <c r="G300" s="322">
        <f>Councils!G303</f>
        <v>0</v>
      </c>
      <c r="H300" s="322">
        <f>Councils!H303</f>
        <v>0</v>
      </c>
      <c r="I300" s="322">
        <f>Councils!I303</f>
        <v>0</v>
      </c>
      <c r="J300" s="322">
        <f>Councils!J303</f>
        <v>5</v>
      </c>
      <c r="K300" s="322">
        <f>Councils!K303</f>
        <v>0</v>
      </c>
      <c r="L300" s="322">
        <f>Councils!L303</f>
        <v>5</v>
      </c>
      <c r="M300" s="323">
        <f>Councils!M303</f>
        <v>25</v>
      </c>
      <c r="N300" s="322">
        <f>Councils!O303</f>
        <v>0</v>
      </c>
      <c r="O300" s="322">
        <f>Councils!P303</f>
        <v>0</v>
      </c>
      <c r="P300" s="322">
        <f>Councils!Q303</f>
        <v>0</v>
      </c>
      <c r="Q300" s="322">
        <f>Councils!R303</f>
        <v>0</v>
      </c>
      <c r="R300" s="322">
        <f>Councils!S303</f>
        <v>1</v>
      </c>
      <c r="S300" s="322">
        <f>Councils!T303</f>
        <v>0</v>
      </c>
      <c r="T300" s="322">
        <f>Councils!U303</f>
        <v>1</v>
      </c>
      <c r="U300" s="323">
        <f>Councils!V303</f>
        <v>0</v>
      </c>
      <c r="V300" s="376">
        <v>51</v>
      </c>
      <c r="W300" s="377">
        <f t="shared" si="4"/>
        <v>1</v>
      </c>
      <c r="X300" s="378" t="str">
        <f>IF(ISNA(VLOOKUP($A300,GA!$A$1:$D$834,3,0))," ",VLOOKUP($A300,GA!$A$1:$D$834,3,0))</f>
        <v>Dougherty</v>
      </c>
      <c r="Y300" s="379" t="str">
        <f>IF(ISNA(VLOOKUP($A300,Dormant_Councils!$A$1:$E$811,5,0)),"No",VLOOKUP($A300,Dormant_Councils!$A$1:$E$811,5,0))</f>
        <v>No</v>
      </c>
      <c r="Z300" s="381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22" t="str">
        <f>Councils!C304</f>
        <v>170</v>
      </c>
      <c r="C301" s="322" t="str">
        <f>Councils!D304</f>
        <v>Corpus Christi</v>
      </c>
      <c r="D301" s="322" t="str">
        <f>IF(ISNA(VLOOKUP($V301,DD_Info!$A$1:$E$221,3,0)),0,VLOOKUP($V301,DD_Info!$A$1:$E$221,3,0))</f>
        <v>Corpus Christi</v>
      </c>
      <c r="E301" s="322">
        <f>Councils!E304</f>
        <v>52</v>
      </c>
      <c r="F301" s="322">
        <f>Councils!F304</f>
        <v>3</v>
      </c>
      <c r="G301" s="322">
        <f>Councils!G304</f>
        <v>0</v>
      </c>
      <c r="H301" s="322">
        <f>Councils!H304</f>
        <v>0</v>
      </c>
      <c r="I301" s="322">
        <f>Councils!I304</f>
        <v>0</v>
      </c>
      <c r="J301" s="322">
        <f>Councils!J304</f>
        <v>1</v>
      </c>
      <c r="K301" s="322">
        <f>Councils!K304</f>
        <v>0</v>
      </c>
      <c r="L301" s="322">
        <f>Councils!L304</f>
        <v>1</v>
      </c>
      <c r="M301" s="323">
        <f>Councils!M304</f>
        <v>33.33</v>
      </c>
      <c r="N301" s="322">
        <f>Councils!O304</f>
        <v>0</v>
      </c>
      <c r="O301" s="322">
        <f>Councils!P304</f>
        <v>0</v>
      </c>
      <c r="P301" s="322">
        <f>Councils!Q304</f>
        <v>1</v>
      </c>
      <c r="Q301" s="322">
        <f>Councils!R304</f>
        <v>-1</v>
      </c>
      <c r="R301" s="322">
        <f>Councils!S304</f>
        <v>0</v>
      </c>
      <c r="S301" s="322">
        <f>Councils!T304</f>
        <v>1</v>
      </c>
      <c r="T301" s="322">
        <f>Councils!U304</f>
        <v>-1</v>
      </c>
      <c r="U301" s="323">
        <f>Councils!V304</f>
        <v>0</v>
      </c>
      <c r="V301" s="376">
        <v>170</v>
      </c>
      <c r="W301" s="377">
        <f t="shared" si="4"/>
        <v>3</v>
      </c>
      <c r="X301" s="378" t="str">
        <f>IF(ISNA(VLOOKUP($A301,GA!$A$1:$D$834,3,0))," ",VLOOKUP($A301,GA!$A$1:$D$834,3,0))</f>
        <v>Carlin</v>
      </c>
      <c r="Y301" s="379" t="str">
        <f>IF(ISNA(VLOOKUP($A301,Dormant_Councils!$A$1:$E$811,5,0)),"No",VLOOKUP($A301,Dormant_Councils!$A$1:$E$811,5,0))</f>
        <v>No</v>
      </c>
      <c r="Z301" s="381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22" t="str">
        <f>Councils!C305</f>
        <v>049</v>
      </c>
      <c r="C302" s="322" t="str">
        <f>Councils!D305</f>
        <v>San Antonio</v>
      </c>
      <c r="D302" s="322" t="str">
        <f>IF(ISNA(VLOOKUP($V302,DD_Info!$A$1:$E$221,3,0)),0,VLOOKUP($V302,DD_Info!$A$1:$E$221,3,0))</f>
        <v>San Antonio</v>
      </c>
      <c r="E302" s="322">
        <f>Councils!E305</f>
        <v>37</v>
      </c>
      <c r="F302" s="322">
        <f>Councils!F305</f>
        <v>3</v>
      </c>
      <c r="G302" s="322">
        <f>Councils!G305</f>
        <v>0</v>
      </c>
      <c r="H302" s="322">
        <f>Councils!H305</f>
        <v>0</v>
      </c>
      <c r="I302" s="322">
        <f>Councils!I305</f>
        <v>0</v>
      </c>
      <c r="J302" s="322">
        <f>Councils!J305</f>
        <v>0</v>
      </c>
      <c r="K302" s="322">
        <f>Councils!K305</f>
        <v>0</v>
      </c>
      <c r="L302" s="322">
        <f>Councils!L305</f>
        <v>0</v>
      </c>
      <c r="M302" s="323">
        <f>Councils!M305</f>
        <v>0</v>
      </c>
      <c r="N302" s="322">
        <f>Councils!O305</f>
        <v>0</v>
      </c>
      <c r="O302" s="322">
        <f>Councils!P305</f>
        <v>0</v>
      </c>
      <c r="P302" s="322">
        <f>Councils!Q305</f>
        <v>0</v>
      </c>
      <c r="Q302" s="322">
        <f>Councils!R305</f>
        <v>0</v>
      </c>
      <c r="R302" s="322">
        <f>Councils!S305</f>
        <v>0</v>
      </c>
      <c r="S302" s="322">
        <f>Councils!T305</f>
        <v>0</v>
      </c>
      <c r="T302" s="322">
        <f>Councils!U305</f>
        <v>0</v>
      </c>
      <c r="U302" s="323">
        <f>Councils!V305</f>
        <v>0</v>
      </c>
      <c r="V302" s="376">
        <v>49</v>
      </c>
      <c r="W302" s="377">
        <f t="shared" si="4"/>
        <v>3</v>
      </c>
      <c r="X302" s="378" t="str">
        <f>IF(ISNA(VLOOKUP($A302,GA!$A$1:$D$834,3,0))," ",VLOOKUP($A302,GA!$A$1:$D$834,3,0))</f>
        <v>Dougherty</v>
      </c>
      <c r="Y302" s="379" t="str">
        <f>IF(ISNA(VLOOKUP($A302,Dormant_Councils!$A$1:$E$811,5,0)),"No",VLOOKUP($A302,Dormant_Councils!$A$1:$E$811,5,0))</f>
        <v>No</v>
      </c>
      <c r="Z302" s="381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22" t="str">
        <f>Councils!C306</f>
        <v>154</v>
      </c>
      <c r="C303" s="322" t="str">
        <f>Councils!D306</f>
        <v>Giddings</v>
      </c>
      <c r="D303" s="322" t="str">
        <f>IF(ISNA(VLOOKUP($V303,DD_Info!$A$1:$E$221,3,0)),0,VLOOKUP($V303,DD_Info!$A$1:$E$221,3,0))</f>
        <v>Austin</v>
      </c>
      <c r="E303" s="322">
        <f>Councils!E306</f>
        <v>101</v>
      </c>
      <c r="F303" s="322">
        <f>Councils!F306</f>
        <v>5</v>
      </c>
      <c r="G303" s="322">
        <f>Councils!G306</f>
        <v>0</v>
      </c>
      <c r="H303" s="322">
        <f>Councils!H306</f>
        <v>0</v>
      </c>
      <c r="I303" s="322">
        <f>Councils!I306</f>
        <v>0</v>
      </c>
      <c r="J303" s="322">
        <f>Councils!J306</f>
        <v>2</v>
      </c>
      <c r="K303" s="322">
        <f>Councils!K306</f>
        <v>0</v>
      </c>
      <c r="L303" s="322">
        <f>Councils!L306</f>
        <v>2</v>
      </c>
      <c r="M303" s="323">
        <f>Councils!M306</f>
        <v>40</v>
      </c>
      <c r="N303" s="322">
        <f>Councils!O306</f>
        <v>0</v>
      </c>
      <c r="O303" s="322">
        <f>Councils!P306</f>
        <v>0</v>
      </c>
      <c r="P303" s="322">
        <f>Councils!Q306</f>
        <v>1</v>
      </c>
      <c r="Q303" s="322">
        <f>Councils!R306</f>
        <v>-1</v>
      </c>
      <c r="R303" s="322">
        <f>Councils!S306</f>
        <v>2</v>
      </c>
      <c r="S303" s="322">
        <f>Councils!T306</f>
        <v>1</v>
      </c>
      <c r="T303" s="322">
        <f>Councils!U306</f>
        <v>1</v>
      </c>
      <c r="U303" s="323">
        <f>Councils!V306</f>
        <v>0</v>
      </c>
      <c r="V303" s="376">
        <v>154</v>
      </c>
      <c r="W303" s="377">
        <f t="shared" si="4"/>
        <v>2</v>
      </c>
      <c r="X303" s="378" t="str">
        <f>IF(ISNA(VLOOKUP($A303,GA!$A$1:$D$834,3,0))," ",VLOOKUP($A303,GA!$A$1:$D$834,3,0))</f>
        <v>Britten</v>
      </c>
      <c r="Y303" s="379" t="str">
        <f>IF(ISNA(VLOOKUP($A303,Dormant_Councils!$A$1:$E$811,5,0)),"No",VLOOKUP($A303,Dormant_Councils!$A$1:$E$811,5,0))</f>
        <v>No</v>
      </c>
      <c r="Z303" s="381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22" t="str">
        <f>Councils!C307</f>
        <v>090</v>
      </c>
      <c r="C304" s="322" t="str">
        <f>Councils!D307</f>
        <v>Houston</v>
      </c>
      <c r="D304" s="322" t="str">
        <f>IF(ISNA(VLOOKUP($V304,DD_Info!$A$1:$E$221,3,0)),0,VLOOKUP($V304,DD_Info!$A$1:$E$221,3,0))</f>
        <v>Galv/Hous</v>
      </c>
      <c r="E304" s="322">
        <f>Councils!E307</f>
        <v>307</v>
      </c>
      <c r="F304" s="322">
        <f>Councils!F307</f>
        <v>14</v>
      </c>
      <c r="G304" s="322">
        <f>Councils!G307</f>
        <v>0</v>
      </c>
      <c r="H304" s="322">
        <f>Councils!H307</f>
        <v>1</v>
      </c>
      <c r="I304" s="322">
        <f>Councils!I307</f>
        <v>-1</v>
      </c>
      <c r="J304" s="322">
        <f>Councils!J307</f>
        <v>0</v>
      </c>
      <c r="K304" s="322">
        <f>Councils!K307</f>
        <v>2</v>
      </c>
      <c r="L304" s="322">
        <f>Councils!L307</f>
        <v>-2</v>
      </c>
      <c r="M304" s="323">
        <f>Councils!M307</f>
        <v>0</v>
      </c>
      <c r="N304" s="322">
        <f>Councils!O307</f>
        <v>0</v>
      </c>
      <c r="O304" s="322">
        <f>Councils!P307</f>
        <v>0</v>
      </c>
      <c r="P304" s="322">
        <f>Councils!Q307</f>
        <v>0</v>
      </c>
      <c r="Q304" s="322">
        <f>Councils!R307</f>
        <v>0</v>
      </c>
      <c r="R304" s="322">
        <f>Councils!S307</f>
        <v>0</v>
      </c>
      <c r="S304" s="322">
        <f>Councils!T307</f>
        <v>1</v>
      </c>
      <c r="T304" s="322">
        <f>Councils!U307</f>
        <v>-1</v>
      </c>
      <c r="U304" s="323">
        <f>Councils!V307</f>
        <v>0</v>
      </c>
      <c r="V304" s="376">
        <v>90</v>
      </c>
      <c r="W304" s="377">
        <f t="shared" si="4"/>
        <v>1</v>
      </c>
      <c r="X304" s="378" t="str">
        <f>IF(ISNA(VLOOKUP($A304,GA!$A$1:$D$834,3,0))," ",VLOOKUP($A304,GA!$A$1:$D$834,3,0))</f>
        <v>Rangel</v>
      </c>
      <c r="Y304" s="379" t="str">
        <f>IF(ISNA(VLOOKUP($A304,Dormant_Councils!$A$1:$E$811,5,0)),"No",VLOOKUP($A304,Dormant_Councils!$A$1:$E$811,5,0))</f>
        <v>No</v>
      </c>
      <c r="Z304" s="381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22" t="str">
        <f>Councils!C308</f>
        <v>244</v>
      </c>
      <c r="C305" s="322" t="str">
        <f>Councils!D308</f>
        <v>Lubbock</v>
      </c>
      <c r="D305" s="322" t="str">
        <f>IF(ISNA(VLOOKUP($V305,DD_Info!$A$1:$E$221,3,0)),0,VLOOKUP($V305,DD_Info!$A$1:$E$221,3,0))</f>
        <v>Lubbock</v>
      </c>
      <c r="E305" s="322">
        <f>Councils!E308</f>
        <v>123</v>
      </c>
      <c r="F305" s="322">
        <f>Councils!F308</f>
        <v>6</v>
      </c>
      <c r="G305" s="322">
        <f>Councils!G308</f>
        <v>0</v>
      </c>
      <c r="H305" s="322">
        <f>Councils!H308</f>
        <v>0</v>
      </c>
      <c r="I305" s="322">
        <f>Councils!I308</f>
        <v>0</v>
      </c>
      <c r="J305" s="322">
        <f>Councils!J308</f>
        <v>1</v>
      </c>
      <c r="K305" s="322">
        <f>Councils!K308</f>
        <v>0</v>
      </c>
      <c r="L305" s="322">
        <f>Councils!L308</f>
        <v>1</v>
      </c>
      <c r="M305" s="323">
        <f>Councils!M308</f>
        <v>16.670000000000002</v>
      </c>
      <c r="N305" s="322">
        <f>Councils!O308</f>
        <v>0</v>
      </c>
      <c r="O305" s="322">
        <f>Councils!P308</f>
        <v>0</v>
      </c>
      <c r="P305" s="322">
        <f>Councils!Q308</f>
        <v>0</v>
      </c>
      <c r="Q305" s="322">
        <f>Councils!R308</f>
        <v>0</v>
      </c>
      <c r="R305" s="322">
        <f>Councils!S308</f>
        <v>0</v>
      </c>
      <c r="S305" s="322">
        <f>Councils!T308</f>
        <v>0</v>
      </c>
      <c r="T305" s="322">
        <f>Councils!U308</f>
        <v>0</v>
      </c>
      <c r="U305" s="323">
        <f>Councils!V308</f>
        <v>0</v>
      </c>
      <c r="V305" s="376">
        <v>244</v>
      </c>
      <c r="W305" s="377">
        <f t="shared" si="4"/>
        <v>2</v>
      </c>
      <c r="X305" s="378" t="str">
        <f>IF(ISNA(VLOOKUP($A305,GA!$A$1:$D$834,3,0))," ",VLOOKUP($A305,GA!$A$1:$D$834,3,0))</f>
        <v>Payne</v>
      </c>
      <c r="Y305" s="379" t="str">
        <f>IF(ISNA(VLOOKUP($A305,Dormant_Councils!$A$1:$E$811,5,0)),"No",VLOOKUP($A305,Dormant_Councils!$A$1:$E$811,5,0))</f>
        <v>No</v>
      </c>
      <c r="Z305" s="381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22" t="str">
        <f>Councils!C309</f>
        <v>Unassigned</v>
      </c>
      <c r="C306" s="322" t="str">
        <f>Councils!D309</f>
        <v>Crockett</v>
      </c>
      <c r="D306" s="322">
        <f>IF(ISNA(VLOOKUP($V306,DD_Info!$A$1:$E$221,3,0)),0,VLOOKUP($V306,DD_Info!$A$1:$E$221,3,0))</f>
        <v>0</v>
      </c>
      <c r="E306" s="322">
        <f>Councils!E309</f>
        <v>0</v>
      </c>
      <c r="F306" s="322">
        <f>Councils!F309</f>
        <v>0</v>
      </c>
      <c r="G306" s="322">
        <f>Councils!G309</f>
        <v>0</v>
      </c>
      <c r="H306" s="322">
        <f>Councils!H309</f>
        <v>0</v>
      </c>
      <c r="I306" s="322">
        <f>Councils!I309</f>
        <v>0</v>
      </c>
      <c r="J306" s="322">
        <f>Councils!J309</f>
        <v>0</v>
      </c>
      <c r="K306" s="322">
        <f>Councils!K309</f>
        <v>0</v>
      </c>
      <c r="L306" s="322">
        <f>Councils!L309</f>
        <v>0</v>
      </c>
      <c r="M306" s="323">
        <f>Councils!M309</f>
        <v>0</v>
      </c>
      <c r="N306" s="322">
        <f>Councils!O309</f>
        <v>0</v>
      </c>
      <c r="O306" s="322">
        <f>Councils!P309</f>
        <v>0</v>
      </c>
      <c r="P306" s="322">
        <f>Councils!Q309</f>
        <v>0</v>
      </c>
      <c r="Q306" s="322">
        <f>Councils!R309</f>
        <v>0</v>
      </c>
      <c r="R306" s="322">
        <f>Councils!S309</f>
        <v>0</v>
      </c>
      <c r="S306" s="322">
        <f>Councils!T309</f>
        <v>0</v>
      </c>
      <c r="T306" s="322">
        <f>Councils!U309</f>
        <v>0</v>
      </c>
      <c r="U306" s="323">
        <f>Councils!V309</f>
        <v>0</v>
      </c>
      <c r="V306" s="45" t="s">
        <v>93</v>
      </c>
      <c r="W306" s="377">
        <f t="shared" si="4"/>
        <v>3</v>
      </c>
      <c r="X306" s="378" t="str">
        <f>IF(ISNA(VLOOKUP($A306,GA!$A$1:$D$834,3,0))," ",VLOOKUP($A306,GA!$A$1:$D$834,3,0))</f>
        <v>Regan</v>
      </c>
      <c r="Y306" s="379" t="str">
        <f>IF(ISNA(VLOOKUP($A306,Dormant_Councils!$A$1:$E$811,5,0)),"No",VLOOKUP($A306,Dormant_Councils!$A$1:$E$811,5,0))</f>
        <v>No</v>
      </c>
      <c r="Z306" s="381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22" t="str">
        <f>Councils!C310</f>
        <v>153</v>
      </c>
      <c r="C307" s="322" t="str">
        <f>Councils!D310</f>
        <v>Lockhart</v>
      </c>
      <c r="D307" s="322" t="str">
        <f>IF(ISNA(VLOOKUP($V307,DD_Info!$A$1:$E$221,3,0)),0,VLOOKUP($V307,DD_Info!$A$1:$E$221,3,0))</f>
        <v>Austin</v>
      </c>
      <c r="E307" s="322">
        <f>Councils!E310</f>
        <v>94</v>
      </c>
      <c r="F307" s="322">
        <f>Councils!F310</f>
        <v>4</v>
      </c>
      <c r="G307" s="322">
        <f>Councils!G310</f>
        <v>0</v>
      </c>
      <c r="H307" s="322">
        <f>Councils!H310</f>
        <v>0</v>
      </c>
      <c r="I307" s="322">
        <f>Councils!I310</f>
        <v>0</v>
      </c>
      <c r="J307" s="322">
        <f>Councils!J310</f>
        <v>5</v>
      </c>
      <c r="K307" s="322">
        <f>Councils!K310</f>
        <v>0</v>
      </c>
      <c r="L307" s="322">
        <f>Councils!L310</f>
        <v>5</v>
      </c>
      <c r="M307" s="323">
        <f>Councils!M310</f>
        <v>125</v>
      </c>
      <c r="N307" s="322">
        <f>Councils!O310</f>
        <v>0</v>
      </c>
      <c r="O307" s="322">
        <f>Councils!P310</f>
        <v>0</v>
      </c>
      <c r="P307" s="322">
        <f>Councils!Q310</f>
        <v>0</v>
      </c>
      <c r="Q307" s="322">
        <f>Councils!R310</f>
        <v>0</v>
      </c>
      <c r="R307" s="322">
        <f>Councils!S310</f>
        <v>1</v>
      </c>
      <c r="S307" s="322">
        <f>Councils!T310</f>
        <v>0</v>
      </c>
      <c r="T307" s="322">
        <f>Councils!U310</f>
        <v>1</v>
      </c>
      <c r="U307" s="323">
        <f>Councils!V310</f>
        <v>0</v>
      </c>
      <c r="V307" s="376">
        <v>153</v>
      </c>
      <c r="W307" s="377">
        <f t="shared" si="4"/>
        <v>2</v>
      </c>
      <c r="X307" s="378" t="str">
        <f>IF(ISNA(VLOOKUP($A307,GA!$A$1:$D$834,3,0))," ",VLOOKUP($A307,GA!$A$1:$D$834,3,0))</f>
        <v>Rangel</v>
      </c>
      <c r="Y307" s="379" t="str">
        <f>IF(ISNA(VLOOKUP($A307,Dormant_Councils!$A$1:$E$811,5,0)),"No",VLOOKUP($A307,Dormant_Councils!$A$1:$E$811,5,0))</f>
        <v>No</v>
      </c>
      <c r="Z307" s="381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22" t="str">
        <f>Councils!C311</f>
        <v>142</v>
      </c>
      <c r="C308" s="322" t="str">
        <f>Councils!D311</f>
        <v>Waco</v>
      </c>
      <c r="D308" s="322" t="str">
        <f>IF(ISNA(VLOOKUP($V308,DD_Info!$A$1:$E$221,3,0)),0,VLOOKUP($V308,DD_Info!$A$1:$E$221,3,0))</f>
        <v>Austin</v>
      </c>
      <c r="E308" s="322">
        <f>Councils!E311</f>
        <v>157</v>
      </c>
      <c r="F308" s="322">
        <f>Councils!F311</f>
        <v>8</v>
      </c>
      <c r="G308" s="322">
        <f>Councils!G311</f>
        <v>0</v>
      </c>
      <c r="H308" s="322">
        <f>Councils!H311</f>
        <v>0</v>
      </c>
      <c r="I308" s="322">
        <f>Councils!I311</f>
        <v>0</v>
      </c>
      <c r="J308" s="322">
        <f>Councils!J311</f>
        <v>0</v>
      </c>
      <c r="K308" s="322">
        <f>Councils!K311</f>
        <v>0</v>
      </c>
      <c r="L308" s="322">
        <f>Councils!L311</f>
        <v>0</v>
      </c>
      <c r="M308" s="323">
        <f>Councils!M311</f>
        <v>0</v>
      </c>
      <c r="N308" s="322">
        <f>Councils!O311</f>
        <v>0</v>
      </c>
      <c r="O308" s="322">
        <f>Councils!P311</f>
        <v>0</v>
      </c>
      <c r="P308" s="322">
        <f>Councils!Q311</f>
        <v>1</v>
      </c>
      <c r="Q308" s="322">
        <f>Councils!R311</f>
        <v>-1</v>
      </c>
      <c r="R308" s="322">
        <f>Councils!S311</f>
        <v>0</v>
      </c>
      <c r="S308" s="322">
        <f>Councils!T311</f>
        <v>3</v>
      </c>
      <c r="T308" s="322">
        <f>Councils!U311</f>
        <v>-3</v>
      </c>
      <c r="U308" s="323">
        <f>Councils!V311</f>
        <v>0</v>
      </c>
      <c r="V308" s="376">
        <v>142</v>
      </c>
      <c r="W308" s="377">
        <f t="shared" si="4"/>
        <v>1</v>
      </c>
      <c r="X308" s="378" t="str">
        <f>IF(ISNA(VLOOKUP($A308,GA!$A$1:$D$834,3,0))," ",VLOOKUP($A308,GA!$A$1:$D$834,3,0))</f>
        <v>Britten</v>
      </c>
      <c r="Y308" s="379" t="str">
        <f>IF(ISNA(VLOOKUP($A308,Dormant_Councils!$A$1:$E$811,5,0)),"No",VLOOKUP($A308,Dormant_Councils!$A$1:$E$811,5,0))</f>
        <v>No</v>
      </c>
      <c r="Z308" s="381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22" t="str">
        <f>Councils!C312</f>
        <v>157</v>
      </c>
      <c r="C309" s="322" t="str">
        <f>Councils!D312</f>
        <v>Austin</v>
      </c>
      <c r="D309" s="322" t="str">
        <f>IF(ISNA(VLOOKUP($V309,DD_Info!$A$1:$E$221,3,0)),0,VLOOKUP($V309,DD_Info!$A$1:$E$221,3,0))</f>
        <v>Austin</v>
      </c>
      <c r="E309" s="322">
        <f>Councils!E312</f>
        <v>64</v>
      </c>
      <c r="F309" s="322">
        <f>Councils!F312</f>
        <v>3</v>
      </c>
      <c r="G309" s="322">
        <f>Councils!G312</f>
        <v>0</v>
      </c>
      <c r="H309" s="322">
        <f>Councils!H312</f>
        <v>0</v>
      </c>
      <c r="I309" s="322">
        <f>Councils!I312</f>
        <v>0</v>
      </c>
      <c r="J309" s="322">
        <f>Councils!J312</f>
        <v>0</v>
      </c>
      <c r="K309" s="322">
        <f>Councils!K312</f>
        <v>0</v>
      </c>
      <c r="L309" s="322">
        <f>Councils!L312</f>
        <v>0</v>
      </c>
      <c r="M309" s="323">
        <f>Councils!M312</f>
        <v>0</v>
      </c>
      <c r="N309" s="322">
        <f>Councils!O312</f>
        <v>0</v>
      </c>
      <c r="O309" s="322">
        <f>Councils!P312</f>
        <v>0</v>
      </c>
      <c r="P309" s="322">
        <f>Councils!Q312</f>
        <v>0</v>
      </c>
      <c r="Q309" s="322">
        <f>Councils!R312</f>
        <v>0</v>
      </c>
      <c r="R309" s="322">
        <f>Councils!S312</f>
        <v>0</v>
      </c>
      <c r="S309" s="322">
        <f>Councils!T312</f>
        <v>0</v>
      </c>
      <c r="T309" s="322">
        <f>Councils!U312</f>
        <v>0</v>
      </c>
      <c r="U309" s="323">
        <f>Councils!V312</f>
        <v>0</v>
      </c>
      <c r="V309" s="376">
        <v>157</v>
      </c>
      <c r="W309" s="377">
        <f t="shared" si="4"/>
        <v>3</v>
      </c>
      <c r="X309" s="378" t="str">
        <f>IF(ISNA(VLOOKUP($A309,GA!$A$1:$D$834,3,0))," ",VLOOKUP($A309,GA!$A$1:$D$834,3,0))</f>
        <v>Rangel</v>
      </c>
      <c r="Y309" s="379" t="str">
        <f>IF(ISNA(VLOOKUP($A309,Dormant_Councils!$A$1:$E$811,5,0)),"No",VLOOKUP($A309,Dormant_Councils!$A$1:$E$811,5,0))</f>
        <v>No</v>
      </c>
      <c r="Z309" s="381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22" t="str">
        <f>Councils!C313</f>
        <v>235</v>
      </c>
      <c r="C310" s="322" t="str">
        <f>Councils!D313</f>
        <v>Carrizo Springs</v>
      </c>
      <c r="D310" s="322" t="str">
        <f>IF(ISNA(VLOOKUP($V310,DD_Info!$A$1:$E$221,3,0)),0,VLOOKUP($V310,DD_Info!$A$1:$E$221,3,0))</f>
        <v>Laredo</v>
      </c>
      <c r="E310" s="322">
        <f>Councils!E313</f>
        <v>128</v>
      </c>
      <c r="F310" s="322">
        <f>Councils!F313</f>
        <v>6</v>
      </c>
      <c r="G310" s="322">
        <f>Councils!G313</f>
        <v>0</v>
      </c>
      <c r="H310" s="322">
        <f>Councils!H313</f>
        <v>0</v>
      </c>
      <c r="I310" s="322">
        <f>Councils!I313</f>
        <v>0</v>
      </c>
      <c r="J310" s="322">
        <f>Councils!J313</f>
        <v>0</v>
      </c>
      <c r="K310" s="322">
        <f>Councils!K313</f>
        <v>0</v>
      </c>
      <c r="L310" s="322">
        <f>Councils!L313</f>
        <v>0</v>
      </c>
      <c r="M310" s="323">
        <f>Councils!M313</f>
        <v>0</v>
      </c>
      <c r="N310" s="322">
        <f>Councils!O313</f>
        <v>0</v>
      </c>
      <c r="O310" s="322">
        <f>Councils!P313</f>
        <v>0</v>
      </c>
      <c r="P310" s="322">
        <f>Councils!Q313</f>
        <v>0</v>
      </c>
      <c r="Q310" s="322">
        <f>Councils!R313</f>
        <v>0</v>
      </c>
      <c r="R310" s="322">
        <f>Councils!S313</f>
        <v>0</v>
      </c>
      <c r="S310" s="322">
        <f>Councils!T313</f>
        <v>0</v>
      </c>
      <c r="T310" s="322">
        <f>Councils!U313</f>
        <v>0</v>
      </c>
      <c r="U310" s="323">
        <f>Councils!V313</f>
        <v>0</v>
      </c>
      <c r="V310" s="376">
        <v>235</v>
      </c>
      <c r="W310" s="377">
        <f t="shared" si="4"/>
        <v>2</v>
      </c>
      <c r="X310" s="378" t="str">
        <f>IF(ISNA(VLOOKUP($A310,GA!$A$1:$D$834,3,0))," ",VLOOKUP($A310,GA!$A$1:$D$834,3,0))</f>
        <v>Carlin</v>
      </c>
      <c r="Y310" s="379" t="str">
        <f>IF(ISNA(VLOOKUP($A310,Dormant_Councils!$A$1:$E$811,5,0)),"No",VLOOKUP($A310,Dormant_Councils!$A$1:$E$811,5,0))</f>
        <v>No</v>
      </c>
      <c r="Z310" s="381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22" t="str">
        <f>Councils!C314</f>
        <v>158</v>
      </c>
      <c r="C311" s="322" t="str">
        <f>Councils!D314</f>
        <v>Austin</v>
      </c>
      <c r="D311" s="322" t="str">
        <f>IF(ISNA(VLOOKUP($V311,DD_Info!$A$1:$E$221,3,0)),0,VLOOKUP($V311,DD_Info!$A$1:$E$221,3,0))</f>
        <v>Austin</v>
      </c>
      <c r="E311" s="322">
        <f>Councils!E314</f>
        <v>329</v>
      </c>
      <c r="F311" s="322">
        <f>Councils!F314</f>
        <v>15</v>
      </c>
      <c r="G311" s="322">
        <f>Councils!G314</f>
        <v>0</v>
      </c>
      <c r="H311" s="322">
        <f>Councils!H314</f>
        <v>1</v>
      </c>
      <c r="I311" s="322">
        <f>Councils!I314</f>
        <v>-1</v>
      </c>
      <c r="J311" s="322">
        <f>Councils!J314</f>
        <v>0</v>
      </c>
      <c r="K311" s="322">
        <f>Councils!K314</f>
        <v>1</v>
      </c>
      <c r="L311" s="322">
        <f>Councils!L314</f>
        <v>-1</v>
      </c>
      <c r="M311" s="323">
        <f>Councils!M314</f>
        <v>0</v>
      </c>
      <c r="N311" s="322">
        <f>Councils!O314</f>
        <v>0</v>
      </c>
      <c r="O311" s="322">
        <f>Councils!P314</f>
        <v>0</v>
      </c>
      <c r="P311" s="322">
        <f>Councils!Q314</f>
        <v>0</v>
      </c>
      <c r="Q311" s="322">
        <f>Councils!R314</f>
        <v>0</v>
      </c>
      <c r="R311" s="322">
        <f>Councils!S314</f>
        <v>0</v>
      </c>
      <c r="S311" s="322">
        <f>Councils!T314</f>
        <v>5</v>
      </c>
      <c r="T311" s="322">
        <f>Councils!U314</f>
        <v>-5</v>
      </c>
      <c r="U311" s="323">
        <f>Councils!V314</f>
        <v>0</v>
      </c>
      <c r="V311" s="376">
        <v>158</v>
      </c>
      <c r="W311" s="377">
        <f t="shared" si="4"/>
        <v>1</v>
      </c>
      <c r="X311" s="378" t="str">
        <f>IF(ISNA(VLOOKUP($A311,GA!$A$1:$D$834,3,0))," ",VLOOKUP($A311,GA!$A$1:$D$834,3,0))</f>
        <v>Rangel</v>
      </c>
      <c r="Y311" s="379" t="str">
        <f>IF(ISNA(VLOOKUP($A311,Dormant_Councils!$A$1:$E$811,5,0)),"No",VLOOKUP($A311,Dormant_Councils!$A$1:$E$811,5,0))</f>
        <v>No</v>
      </c>
      <c r="Z311" s="381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22" t="str">
        <f>Councils!C315</f>
        <v>109</v>
      </c>
      <c r="C312" s="322" t="str">
        <f>Councils!D315</f>
        <v>Duncanville</v>
      </c>
      <c r="D312" s="322" t="str">
        <f>IF(ISNA(VLOOKUP($V312,DD_Info!$A$1:$E$221,3,0)),0,VLOOKUP($V312,DD_Info!$A$1:$E$221,3,0))</f>
        <v>Dallas</v>
      </c>
      <c r="E312" s="322">
        <f>Councils!E315</f>
        <v>244</v>
      </c>
      <c r="F312" s="322">
        <f>Councils!F315</f>
        <v>11</v>
      </c>
      <c r="G312" s="322">
        <f>Councils!G315</f>
        <v>0</v>
      </c>
      <c r="H312" s="322">
        <f>Councils!H315</f>
        <v>0</v>
      </c>
      <c r="I312" s="322">
        <f>Councils!I315</f>
        <v>0</v>
      </c>
      <c r="J312" s="322">
        <f>Councils!J315</f>
        <v>5</v>
      </c>
      <c r="K312" s="322">
        <f>Councils!K315</f>
        <v>0</v>
      </c>
      <c r="L312" s="322">
        <f>Councils!L315</f>
        <v>5</v>
      </c>
      <c r="M312" s="323">
        <f>Councils!M315</f>
        <v>45.45</v>
      </c>
      <c r="N312" s="322">
        <f>Councils!O315</f>
        <v>0</v>
      </c>
      <c r="O312" s="322">
        <f>Councils!P315</f>
        <v>0</v>
      </c>
      <c r="P312" s="322">
        <f>Councils!Q315</f>
        <v>0</v>
      </c>
      <c r="Q312" s="322">
        <f>Councils!R315</f>
        <v>0</v>
      </c>
      <c r="R312" s="322">
        <f>Councils!S315</f>
        <v>1</v>
      </c>
      <c r="S312" s="322">
        <f>Councils!T315</f>
        <v>3</v>
      </c>
      <c r="T312" s="322">
        <f>Councils!U315</f>
        <v>-2</v>
      </c>
      <c r="U312" s="323">
        <f>Councils!V315</f>
        <v>0</v>
      </c>
      <c r="V312" s="376">
        <v>109</v>
      </c>
      <c r="W312" s="377">
        <f t="shared" si="4"/>
        <v>1</v>
      </c>
      <c r="X312" s="378" t="str">
        <f>IF(ISNA(VLOOKUP($A312,GA!$A$1:$D$834,3,0))," ",VLOOKUP($A312,GA!$A$1:$D$834,3,0))</f>
        <v>Stark</v>
      </c>
      <c r="Y312" s="379" t="str">
        <f>IF(ISNA(VLOOKUP($A312,Dormant_Councils!$A$1:$E$811,5,0)),"No",VLOOKUP($A312,Dormant_Councils!$A$1:$E$811,5,0))</f>
        <v>No</v>
      </c>
      <c r="Z312" s="381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22" t="str">
        <f>Councils!C316</f>
        <v>039</v>
      </c>
      <c r="C313" s="322" t="str">
        <f>Councils!D316</f>
        <v>San Antonio</v>
      </c>
      <c r="D313" s="322" t="str">
        <f>IF(ISNA(VLOOKUP($V313,DD_Info!$A$1:$E$221,3,0)),0,VLOOKUP($V313,DD_Info!$A$1:$E$221,3,0))</f>
        <v>San Antonio</v>
      </c>
      <c r="E313" s="322">
        <f>Councils!E316</f>
        <v>168</v>
      </c>
      <c r="F313" s="322">
        <f>Councils!F316</f>
        <v>8</v>
      </c>
      <c r="G313" s="322">
        <f>Councils!G316</f>
        <v>0</v>
      </c>
      <c r="H313" s="322">
        <f>Councils!H316</f>
        <v>0</v>
      </c>
      <c r="I313" s="322">
        <f>Councils!I316</f>
        <v>0</v>
      </c>
      <c r="J313" s="322">
        <f>Councils!J316</f>
        <v>1</v>
      </c>
      <c r="K313" s="322">
        <f>Councils!K316</f>
        <v>0</v>
      </c>
      <c r="L313" s="322">
        <f>Councils!L316</f>
        <v>1</v>
      </c>
      <c r="M313" s="323">
        <f>Councils!M316</f>
        <v>12.5</v>
      </c>
      <c r="N313" s="322">
        <f>Councils!O316</f>
        <v>0</v>
      </c>
      <c r="O313" s="322">
        <f>Councils!P316</f>
        <v>0</v>
      </c>
      <c r="P313" s="322">
        <f>Councils!Q316</f>
        <v>1</v>
      </c>
      <c r="Q313" s="322">
        <f>Councils!R316</f>
        <v>-1</v>
      </c>
      <c r="R313" s="322">
        <f>Councils!S316</f>
        <v>0</v>
      </c>
      <c r="S313" s="322">
        <f>Councils!T316</f>
        <v>1</v>
      </c>
      <c r="T313" s="322">
        <f>Councils!U316</f>
        <v>-1</v>
      </c>
      <c r="U313" s="323">
        <f>Councils!V316</f>
        <v>0</v>
      </c>
      <c r="V313" s="376">
        <v>39</v>
      </c>
      <c r="W313" s="377">
        <f t="shared" si="4"/>
        <v>1</v>
      </c>
      <c r="X313" s="378" t="str">
        <f>IF(ISNA(VLOOKUP($A313,GA!$A$1:$D$834,3,0))," ",VLOOKUP($A313,GA!$A$1:$D$834,3,0))</f>
        <v>Dougherty</v>
      </c>
      <c r="Y313" s="379" t="str">
        <f>IF(ISNA(VLOOKUP($A313,Dormant_Councils!$A$1:$E$811,5,0)),"No",VLOOKUP($A313,Dormant_Councils!$A$1:$E$811,5,0))</f>
        <v>No</v>
      </c>
      <c r="Z313" s="381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22" t="str">
        <f>Councils!C317</f>
        <v>167</v>
      </c>
      <c r="C314" s="322" t="str">
        <f>Councils!D317</f>
        <v>Corpus Christi</v>
      </c>
      <c r="D314" s="322" t="str">
        <f>IF(ISNA(VLOOKUP($V314,DD_Info!$A$1:$E$221,3,0)),0,VLOOKUP($V314,DD_Info!$A$1:$E$221,3,0))</f>
        <v>Corpus Christi</v>
      </c>
      <c r="E314" s="322">
        <f>Councils!E317</f>
        <v>139</v>
      </c>
      <c r="F314" s="322">
        <f>Councils!F317</f>
        <v>7</v>
      </c>
      <c r="G314" s="322">
        <f>Councils!G317</f>
        <v>0</v>
      </c>
      <c r="H314" s="322">
        <f>Councils!H317</f>
        <v>0</v>
      </c>
      <c r="I314" s="322">
        <f>Councils!I317</f>
        <v>0</v>
      </c>
      <c r="J314" s="322">
        <f>Councils!J317</f>
        <v>0</v>
      </c>
      <c r="K314" s="322">
        <f>Councils!K317</f>
        <v>0</v>
      </c>
      <c r="L314" s="322">
        <f>Councils!L317</f>
        <v>0</v>
      </c>
      <c r="M314" s="323">
        <f>Councils!M317</f>
        <v>0</v>
      </c>
      <c r="N314" s="322">
        <f>Councils!O317</f>
        <v>0</v>
      </c>
      <c r="O314" s="322">
        <f>Councils!P317</f>
        <v>0</v>
      </c>
      <c r="P314" s="322">
        <f>Councils!Q317</f>
        <v>0</v>
      </c>
      <c r="Q314" s="322">
        <f>Councils!R317</f>
        <v>0</v>
      </c>
      <c r="R314" s="322">
        <f>Councils!S317</f>
        <v>0</v>
      </c>
      <c r="S314" s="322">
        <f>Councils!T317</f>
        <v>0</v>
      </c>
      <c r="T314" s="322">
        <f>Councils!U317</f>
        <v>0</v>
      </c>
      <c r="U314" s="323">
        <f>Councils!V317</f>
        <v>0</v>
      </c>
      <c r="V314" s="376">
        <v>167</v>
      </c>
      <c r="W314" s="377">
        <f t="shared" si="4"/>
        <v>2</v>
      </c>
      <c r="X314" s="378" t="str">
        <f>IF(ISNA(VLOOKUP($A314,GA!$A$1:$D$834,3,0))," ",VLOOKUP($A314,GA!$A$1:$D$834,3,0))</f>
        <v>Carlin</v>
      </c>
      <c r="Y314" s="379" t="str">
        <f>IF(ISNA(VLOOKUP($A314,Dormant_Councils!$A$1:$E$811,5,0)),"No",VLOOKUP($A314,Dormant_Councils!$A$1:$E$811,5,0))</f>
        <v>No</v>
      </c>
      <c r="Z314" s="381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22" t="str">
        <f>Councils!C318</f>
        <v>153</v>
      </c>
      <c r="C315" s="322" t="str">
        <f>Councils!D318</f>
        <v>Luling</v>
      </c>
      <c r="D315" s="322" t="str">
        <f>IF(ISNA(VLOOKUP($V315,DD_Info!$A$1:$E$221,3,0)),0,VLOOKUP($V315,DD_Info!$A$1:$E$221,3,0))</f>
        <v>Austin</v>
      </c>
      <c r="E315" s="322">
        <f>Councils!E318</f>
        <v>95</v>
      </c>
      <c r="F315" s="322">
        <f>Councils!F318</f>
        <v>5</v>
      </c>
      <c r="G315" s="322">
        <f>Councils!G318</f>
        <v>0</v>
      </c>
      <c r="H315" s="322">
        <f>Councils!H318</f>
        <v>0</v>
      </c>
      <c r="I315" s="322">
        <f>Councils!I318</f>
        <v>0</v>
      </c>
      <c r="J315" s="322">
        <f>Councils!J318</f>
        <v>0</v>
      </c>
      <c r="K315" s="322">
        <f>Councils!K318</f>
        <v>0</v>
      </c>
      <c r="L315" s="322">
        <f>Councils!L318</f>
        <v>0</v>
      </c>
      <c r="M315" s="323">
        <f>Councils!M318</f>
        <v>0</v>
      </c>
      <c r="N315" s="322">
        <f>Councils!O318</f>
        <v>0</v>
      </c>
      <c r="O315" s="322">
        <f>Councils!P318</f>
        <v>0</v>
      </c>
      <c r="P315" s="322">
        <f>Councils!Q318</f>
        <v>1</v>
      </c>
      <c r="Q315" s="322">
        <f>Councils!R318</f>
        <v>-1</v>
      </c>
      <c r="R315" s="322">
        <f>Councils!S318</f>
        <v>0</v>
      </c>
      <c r="S315" s="322">
        <f>Councils!T318</f>
        <v>1</v>
      </c>
      <c r="T315" s="322">
        <f>Councils!U318</f>
        <v>-1</v>
      </c>
      <c r="U315" s="323">
        <f>Councils!V318</f>
        <v>0</v>
      </c>
      <c r="V315" s="376">
        <v>153</v>
      </c>
      <c r="W315" s="377">
        <f t="shared" si="4"/>
        <v>2</v>
      </c>
      <c r="X315" s="378" t="str">
        <f>IF(ISNA(VLOOKUP($A315,GA!$A$1:$D$834,3,0))," ",VLOOKUP($A315,GA!$A$1:$D$834,3,0))</f>
        <v>Rangel</v>
      </c>
      <c r="Y315" s="379" t="str">
        <f>IF(ISNA(VLOOKUP($A315,Dormant_Councils!$A$1:$E$811,5,0)),"No",VLOOKUP($A315,Dormant_Councils!$A$1:$E$811,5,0))</f>
        <v>No</v>
      </c>
      <c r="Z315" s="381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22" t="str">
        <f>Councils!C319</f>
        <v>063</v>
      </c>
      <c r="C316" s="322" t="str">
        <f>Councils!D319</f>
        <v>Brackettville</v>
      </c>
      <c r="D316" s="322" t="str">
        <f>IF(ISNA(VLOOKUP($V316,DD_Info!$A$1:$E$221,3,0)),0,VLOOKUP($V316,DD_Info!$A$1:$E$221,3,0))</f>
        <v>San Antonio</v>
      </c>
      <c r="E316" s="322">
        <f>Councils!E319</f>
        <v>53</v>
      </c>
      <c r="F316" s="322">
        <f>Councils!F319</f>
        <v>3</v>
      </c>
      <c r="G316" s="322">
        <f>Councils!G319</f>
        <v>0</v>
      </c>
      <c r="H316" s="322">
        <f>Councils!H319</f>
        <v>0</v>
      </c>
      <c r="I316" s="322">
        <f>Councils!I319</f>
        <v>0</v>
      </c>
      <c r="J316" s="322">
        <f>Councils!J319</f>
        <v>0</v>
      </c>
      <c r="K316" s="322">
        <f>Councils!K319</f>
        <v>0</v>
      </c>
      <c r="L316" s="322">
        <f>Councils!L319</f>
        <v>0</v>
      </c>
      <c r="M316" s="323">
        <f>Councils!M319</f>
        <v>0</v>
      </c>
      <c r="N316" s="322">
        <f>Councils!O319</f>
        <v>0</v>
      </c>
      <c r="O316" s="322">
        <f>Councils!P319</f>
        <v>0</v>
      </c>
      <c r="P316" s="322">
        <f>Councils!Q319</f>
        <v>0</v>
      </c>
      <c r="Q316" s="322">
        <f>Councils!R319</f>
        <v>0</v>
      </c>
      <c r="R316" s="322">
        <f>Councils!S319</f>
        <v>0</v>
      </c>
      <c r="S316" s="322">
        <f>Councils!T319</f>
        <v>0</v>
      </c>
      <c r="T316" s="322">
        <f>Councils!U319</f>
        <v>0</v>
      </c>
      <c r="U316" s="323">
        <f>Councils!V319</f>
        <v>0</v>
      </c>
      <c r="V316" s="376">
        <v>63</v>
      </c>
      <c r="W316" s="377">
        <f t="shared" si="4"/>
        <v>3</v>
      </c>
      <c r="X316" s="378" t="str">
        <f>IF(ISNA(VLOOKUP($A316,GA!$A$1:$D$834,3,0))," ",VLOOKUP($A316,GA!$A$1:$D$834,3,0))</f>
        <v>Dougherty</v>
      </c>
      <c r="Y316" s="379" t="str">
        <f>IF(ISNA(VLOOKUP($A316,Dormant_Councils!$A$1:$E$811,5,0)),"No",VLOOKUP($A316,Dormant_Councils!$A$1:$E$811,5,0))</f>
        <v>Dormant</v>
      </c>
      <c r="Z316" s="381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22" t="str">
        <f>Councils!C320</f>
        <v>152</v>
      </c>
      <c r="C317" s="322" t="str">
        <f>Councils!D320</f>
        <v>Elgin</v>
      </c>
      <c r="D317" s="322" t="str">
        <f>IF(ISNA(VLOOKUP($V317,DD_Info!$A$1:$E$221,3,0)),0,VLOOKUP($V317,DD_Info!$A$1:$E$221,3,0))</f>
        <v>Austin</v>
      </c>
      <c r="E317" s="322">
        <f>Councils!E320</f>
        <v>68</v>
      </c>
      <c r="F317" s="322">
        <f>Councils!F320</f>
        <v>3</v>
      </c>
      <c r="G317" s="322">
        <f>Councils!G320</f>
        <v>0</v>
      </c>
      <c r="H317" s="322">
        <f>Councils!H320</f>
        <v>0</v>
      </c>
      <c r="I317" s="322">
        <f>Councils!I320</f>
        <v>0</v>
      </c>
      <c r="J317" s="322">
        <f>Councils!J320</f>
        <v>1</v>
      </c>
      <c r="K317" s="322">
        <f>Councils!K320</f>
        <v>0</v>
      </c>
      <c r="L317" s="322">
        <f>Councils!L320</f>
        <v>1</v>
      </c>
      <c r="M317" s="323">
        <f>Councils!M320</f>
        <v>33.33</v>
      </c>
      <c r="N317" s="322">
        <f>Councils!O320</f>
        <v>0</v>
      </c>
      <c r="O317" s="322">
        <f>Councils!P320</f>
        <v>0</v>
      </c>
      <c r="P317" s="322">
        <f>Councils!Q320</f>
        <v>0</v>
      </c>
      <c r="Q317" s="322">
        <f>Councils!R320</f>
        <v>0</v>
      </c>
      <c r="R317" s="322">
        <f>Councils!S320</f>
        <v>0</v>
      </c>
      <c r="S317" s="322">
        <f>Councils!T320</f>
        <v>0</v>
      </c>
      <c r="T317" s="322">
        <f>Councils!U320</f>
        <v>0</v>
      </c>
      <c r="U317" s="323">
        <f>Councils!V320</f>
        <v>0</v>
      </c>
      <c r="V317" s="376">
        <v>152</v>
      </c>
      <c r="W317" s="377">
        <f t="shared" si="4"/>
        <v>2</v>
      </c>
      <c r="X317" s="378" t="str">
        <f>IF(ISNA(VLOOKUP($A317,GA!$A$1:$D$834,3,0))," ",VLOOKUP($A317,GA!$A$1:$D$834,3,0))</f>
        <v>Britten</v>
      </c>
      <c r="Y317" s="379" t="str">
        <f>IF(ISNA(VLOOKUP($A317,Dormant_Councils!$A$1:$E$811,5,0)),"No",VLOOKUP($A317,Dormant_Councils!$A$1:$E$811,5,0))</f>
        <v>No</v>
      </c>
      <c r="Z317" s="381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22" t="str">
        <f>Councils!C321</f>
        <v>089</v>
      </c>
      <c r="C318" s="322" t="str">
        <f>Councils!D321</f>
        <v>Houston</v>
      </c>
      <c r="D318" s="322" t="str">
        <f>IF(ISNA(VLOOKUP($V318,DD_Info!$A$1:$E$221,3,0)),0,VLOOKUP($V318,DD_Info!$A$1:$E$221,3,0))</f>
        <v>Galv/Hous</v>
      </c>
      <c r="E318" s="322">
        <f>Councils!E321</f>
        <v>108</v>
      </c>
      <c r="F318" s="322">
        <f>Councils!F321</f>
        <v>5</v>
      </c>
      <c r="G318" s="322">
        <f>Councils!G321</f>
        <v>0</v>
      </c>
      <c r="H318" s="322">
        <f>Councils!H321</f>
        <v>0</v>
      </c>
      <c r="I318" s="322">
        <f>Councils!I321</f>
        <v>0</v>
      </c>
      <c r="J318" s="322">
        <f>Councils!J321</f>
        <v>1</v>
      </c>
      <c r="K318" s="322">
        <f>Councils!K321</f>
        <v>0</v>
      </c>
      <c r="L318" s="322">
        <f>Councils!L321</f>
        <v>1</v>
      </c>
      <c r="M318" s="323">
        <f>Councils!M321</f>
        <v>20</v>
      </c>
      <c r="N318" s="322">
        <f>Councils!O321</f>
        <v>0</v>
      </c>
      <c r="O318" s="322">
        <f>Councils!P321</f>
        <v>1</v>
      </c>
      <c r="P318" s="322">
        <f>Councils!Q321</f>
        <v>0</v>
      </c>
      <c r="Q318" s="322">
        <f>Councils!R321</f>
        <v>1</v>
      </c>
      <c r="R318" s="322">
        <f>Councils!S321</f>
        <v>2</v>
      </c>
      <c r="S318" s="322">
        <f>Councils!T321</f>
        <v>0</v>
      </c>
      <c r="T318" s="322">
        <f>Councils!U321</f>
        <v>2</v>
      </c>
      <c r="U318" s="323">
        <f>Councils!V321</f>
        <v>0</v>
      </c>
      <c r="V318" s="376">
        <v>89</v>
      </c>
      <c r="W318" s="377">
        <f t="shared" si="4"/>
        <v>2</v>
      </c>
      <c r="X318" s="378" t="str">
        <f>IF(ISNA(VLOOKUP($A318,GA!$A$1:$D$834,3,0))," ",VLOOKUP($A318,GA!$A$1:$D$834,3,0))</f>
        <v>Rangel</v>
      </c>
      <c r="Y318" s="379" t="str">
        <f>IF(ISNA(VLOOKUP($A318,Dormant_Councils!$A$1:$E$811,5,0)),"No",VLOOKUP($A318,Dormant_Councils!$A$1:$E$811,5,0))</f>
        <v>No</v>
      </c>
      <c r="Z318" s="381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22" t="str">
        <f>Councils!C322</f>
        <v>056</v>
      </c>
      <c r="C319" s="322" t="str">
        <f>Councils!D322</f>
        <v>Kenedy</v>
      </c>
      <c r="D319" s="322" t="str">
        <f>IF(ISNA(VLOOKUP($V319,DD_Info!$A$1:$E$221,3,0)),0,VLOOKUP($V319,DD_Info!$A$1:$E$221,3,0))</f>
        <v>San Antonio</v>
      </c>
      <c r="E319" s="322">
        <f>Councils!E322</f>
        <v>27</v>
      </c>
      <c r="F319" s="322">
        <f>Councils!F322</f>
        <v>3</v>
      </c>
      <c r="G319" s="322">
        <f>Councils!G322</f>
        <v>0</v>
      </c>
      <c r="H319" s="322">
        <f>Councils!H322</f>
        <v>0</v>
      </c>
      <c r="I319" s="322">
        <f>Councils!I322</f>
        <v>0</v>
      </c>
      <c r="J319" s="322">
        <f>Councils!J322</f>
        <v>0</v>
      </c>
      <c r="K319" s="322">
        <f>Councils!K322</f>
        <v>0</v>
      </c>
      <c r="L319" s="322">
        <f>Councils!L322</f>
        <v>0</v>
      </c>
      <c r="M319" s="323">
        <f>Councils!M322</f>
        <v>0</v>
      </c>
      <c r="N319" s="322">
        <f>Councils!O322</f>
        <v>0</v>
      </c>
      <c r="O319" s="322">
        <f>Councils!P322</f>
        <v>0</v>
      </c>
      <c r="P319" s="322">
        <f>Councils!Q322</f>
        <v>0</v>
      </c>
      <c r="Q319" s="322">
        <f>Councils!R322</f>
        <v>0</v>
      </c>
      <c r="R319" s="322">
        <f>Councils!S322</f>
        <v>0</v>
      </c>
      <c r="S319" s="322">
        <f>Councils!T322</f>
        <v>0</v>
      </c>
      <c r="T319" s="322">
        <f>Councils!U322</f>
        <v>0</v>
      </c>
      <c r="U319" s="323">
        <f>Councils!V322</f>
        <v>0</v>
      </c>
      <c r="V319" s="376">
        <v>56</v>
      </c>
      <c r="W319" s="377">
        <f t="shared" si="4"/>
        <v>3</v>
      </c>
      <c r="X319" s="378" t="str">
        <f>IF(ISNA(VLOOKUP($A319,GA!$A$1:$D$834,3,0))," ",VLOOKUP($A319,GA!$A$1:$D$834,3,0))</f>
        <v>Dougherty</v>
      </c>
      <c r="Y319" s="379" t="str">
        <f>IF(ISNA(VLOOKUP($A319,Dormant_Councils!$A$1:$E$811,5,0)),"No",VLOOKUP($A319,Dormant_Councils!$A$1:$E$811,5,0))</f>
        <v>No</v>
      </c>
      <c r="Z319" s="381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22" t="str">
        <f>Councils!C323</f>
        <v>082</v>
      </c>
      <c r="C320" s="322" t="str">
        <f>Councils!D323</f>
        <v>Houston</v>
      </c>
      <c r="D320" s="322" t="str">
        <f>IF(ISNA(VLOOKUP($V320,DD_Info!$A$1:$E$221,3,0)),0,VLOOKUP($V320,DD_Info!$A$1:$E$221,3,0))</f>
        <v>Galv/Hous</v>
      </c>
      <c r="E320" s="322">
        <f>Councils!E323</f>
        <v>194</v>
      </c>
      <c r="F320" s="322">
        <f>Councils!F323</f>
        <v>10</v>
      </c>
      <c r="G320" s="322">
        <f>Councils!G323</f>
        <v>0</v>
      </c>
      <c r="H320" s="322">
        <f>Councils!H323</f>
        <v>0</v>
      </c>
      <c r="I320" s="322">
        <f>Councils!I323</f>
        <v>0</v>
      </c>
      <c r="J320" s="322">
        <f>Councils!J323</f>
        <v>4</v>
      </c>
      <c r="K320" s="322">
        <f>Councils!K323</f>
        <v>0</v>
      </c>
      <c r="L320" s="322">
        <f>Councils!L323</f>
        <v>4</v>
      </c>
      <c r="M320" s="323">
        <f>Councils!M323</f>
        <v>40</v>
      </c>
      <c r="N320" s="322">
        <f>Councils!O323</f>
        <v>0</v>
      </c>
      <c r="O320" s="322">
        <f>Councils!P323</f>
        <v>0</v>
      </c>
      <c r="P320" s="322">
        <f>Councils!Q323</f>
        <v>0</v>
      </c>
      <c r="Q320" s="322">
        <f>Councils!R323</f>
        <v>0</v>
      </c>
      <c r="R320" s="322">
        <f>Councils!S323</f>
        <v>3</v>
      </c>
      <c r="S320" s="322">
        <f>Councils!T323</f>
        <v>1</v>
      </c>
      <c r="T320" s="322">
        <f>Councils!U323</f>
        <v>2</v>
      </c>
      <c r="U320" s="323">
        <f>Councils!V323</f>
        <v>0</v>
      </c>
      <c r="V320" s="376">
        <v>82</v>
      </c>
      <c r="W320" s="377">
        <f t="shared" si="4"/>
        <v>1</v>
      </c>
      <c r="X320" s="378" t="str">
        <f>IF(ISNA(VLOOKUP($A320,GA!$A$1:$D$834,3,0))," ",VLOOKUP($A320,GA!$A$1:$D$834,3,0))</f>
        <v>Supak</v>
      </c>
      <c r="Y320" s="379" t="str">
        <f>IF(ISNA(VLOOKUP($A320,Dormant_Councils!$A$1:$E$811,5,0)),"No",VLOOKUP($A320,Dormant_Councils!$A$1:$E$811,5,0))</f>
        <v>No</v>
      </c>
      <c r="Z320" s="381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22" t="str">
        <f>Councils!C324</f>
        <v>207</v>
      </c>
      <c r="C321" s="322" t="str">
        <f>Councils!D324</f>
        <v>Mcallen</v>
      </c>
      <c r="D321" s="322" t="str">
        <f>IF(ISNA(VLOOKUP($V321,DD_Info!$A$1:$E$221,3,0)),0,VLOOKUP($V321,DD_Info!$A$1:$E$221,3,0))</f>
        <v>Brownsville</v>
      </c>
      <c r="E321" s="322">
        <f>Councils!E324</f>
        <v>335</v>
      </c>
      <c r="F321" s="322">
        <f>Councils!F324</f>
        <v>17</v>
      </c>
      <c r="G321" s="322">
        <f>Councils!G324</f>
        <v>0</v>
      </c>
      <c r="H321" s="322">
        <f>Councils!H324</f>
        <v>0</v>
      </c>
      <c r="I321" s="322">
        <f>Councils!I324</f>
        <v>0</v>
      </c>
      <c r="J321" s="322">
        <f>Councils!J324</f>
        <v>4</v>
      </c>
      <c r="K321" s="322">
        <f>Councils!K324</f>
        <v>1</v>
      </c>
      <c r="L321" s="322">
        <f>Councils!L324</f>
        <v>3</v>
      </c>
      <c r="M321" s="323">
        <f>Councils!M324</f>
        <v>17.649999999999999</v>
      </c>
      <c r="N321" s="322">
        <f>Councils!O324</f>
        <v>0</v>
      </c>
      <c r="O321" s="322">
        <f>Councils!P324</f>
        <v>1</v>
      </c>
      <c r="P321" s="322">
        <f>Councils!Q324</f>
        <v>0</v>
      </c>
      <c r="Q321" s="322">
        <f>Councils!R324</f>
        <v>1</v>
      </c>
      <c r="R321" s="322">
        <f>Councils!S324</f>
        <v>1</v>
      </c>
      <c r="S321" s="322">
        <f>Councils!T324</f>
        <v>2</v>
      </c>
      <c r="T321" s="322">
        <f>Councils!U324</f>
        <v>-1</v>
      </c>
      <c r="U321" s="323">
        <f>Councils!V324</f>
        <v>0</v>
      </c>
      <c r="V321" s="376">
        <v>207</v>
      </c>
      <c r="W321" s="377">
        <f t="shared" si="4"/>
        <v>1</v>
      </c>
      <c r="X321" s="378" t="str">
        <f>IF(ISNA(VLOOKUP($A321,GA!$A$1:$D$834,3,0))," ",VLOOKUP($A321,GA!$A$1:$D$834,3,0))</f>
        <v>Carlin</v>
      </c>
      <c r="Y321" s="379" t="str">
        <f>IF(ISNA(VLOOKUP($A321,Dormant_Councils!$A$1:$E$811,5,0)),"No",VLOOKUP($A321,Dormant_Councils!$A$1:$E$811,5,0))</f>
        <v>No</v>
      </c>
      <c r="Z321" s="381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22" t="str">
        <f>Councils!C325</f>
        <v>060</v>
      </c>
      <c r="C322" s="322" t="str">
        <f>Councils!D325</f>
        <v>San Antonio</v>
      </c>
      <c r="D322" s="322" t="str">
        <f>IF(ISNA(VLOOKUP($V322,DD_Info!$A$1:$E$221,3,0)),0,VLOOKUP($V322,DD_Info!$A$1:$E$221,3,0))</f>
        <v>San Antonio</v>
      </c>
      <c r="E322" s="322">
        <f>Councils!E325</f>
        <v>108</v>
      </c>
      <c r="F322" s="322">
        <f>Councils!F325</f>
        <v>5</v>
      </c>
      <c r="G322" s="322">
        <f>Councils!G325</f>
        <v>0</v>
      </c>
      <c r="H322" s="322">
        <f>Councils!H325</f>
        <v>0</v>
      </c>
      <c r="I322" s="322">
        <f>Councils!I325</f>
        <v>0</v>
      </c>
      <c r="J322" s="322">
        <f>Councils!J325</f>
        <v>2</v>
      </c>
      <c r="K322" s="322">
        <f>Councils!K325</f>
        <v>0</v>
      </c>
      <c r="L322" s="322">
        <f>Councils!L325</f>
        <v>2</v>
      </c>
      <c r="M322" s="323">
        <f>Councils!M325</f>
        <v>40</v>
      </c>
      <c r="N322" s="322">
        <f>Councils!O325</f>
        <v>0</v>
      </c>
      <c r="O322" s="322">
        <f>Councils!P325</f>
        <v>0</v>
      </c>
      <c r="P322" s="322">
        <f>Councils!Q325</f>
        <v>0</v>
      </c>
      <c r="Q322" s="322">
        <f>Councils!R325</f>
        <v>0</v>
      </c>
      <c r="R322" s="322">
        <f>Councils!S325</f>
        <v>0</v>
      </c>
      <c r="S322" s="322">
        <f>Councils!T325</f>
        <v>0</v>
      </c>
      <c r="T322" s="322">
        <f>Councils!U325</f>
        <v>0</v>
      </c>
      <c r="U322" s="323">
        <f>Councils!V325</f>
        <v>0</v>
      </c>
      <c r="V322" s="376">
        <v>60</v>
      </c>
      <c r="W322" s="377">
        <f t="shared" si="4"/>
        <v>2</v>
      </c>
      <c r="X322" s="378" t="str">
        <f>IF(ISNA(VLOOKUP($A322,GA!$A$1:$D$834,3,0))," ",VLOOKUP($A322,GA!$A$1:$D$834,3,0))</f>
        <v>Dougherty</v>
      </c>
      <c r="Y322" s="379" t="str">
        <f>IF(ISNA(VLOOKUP($A322,Dormant_Councils!$A$1:$E$811,5,0)),"No",VLOOKUP($A322,Dormant_Councils!$A$1:$E$811,5,0))</f>
        <v>No</v>
      </c>
      <c r="Z322" s="381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22" t="str">
        <f>Councils!C326</f>
        <v>040</v>
      </c>
      <c r="C323" s="322" t="str">
        <f>Councils!D326</f>
        <v>Helotes</v>
      </c>
      <c r="D323" s="322" t="str">
        <f>IF(ISNA(VLOOKUP($V323,DD_Info!$A$1:$E$221,3,0)),0,VLOOKUP($V323,DD_Info!$A$1:$E$221,3,0))</f>
        <v>San Antonio</v>
      </c>
      <c r="E323" s="322">
        <f>Councils!E326</f>
        <v>353</v>
      </c>
      <c r="F323" s="322">
        <f>Councils!F326</f>
        <v>17</v>
      </c>
      <c r="G323" s="322">
        <f>Councils!G326</f>
        <v>0</v>
      </c>
      <c r="H323" s="322">
        <f>Councils!H326</f>
        <v>1</v>
      </c>
      <c r="I323" s="322">
        <f>Councils!I326</f>
        <v>-1</v>
      </c>
      <c r="J323" s="322">
        <f>Councils!J326</f>
        <v>0</v>
      </c>
      <c r="K323" s="322">
        <f>Councils!K326</f>
        <v>9</v>
      </c>
      <c r="L323" s="322">
        <f>Councils!L326</f>
        <v>-9</v>
      </c>
      <c r="M323" s="323">
        <f>Councils!M326</f>
        <v>0</v>
      </c>
      <c r="N323" s="322">
        <f>Councils!O326</f>
        <v>0</v>
      </c>
      <c r="O323" s="322">
        <f>Councils!P326</f>
        <v>0</v>
      </c>
      <c r="P323" s="322">
        <f>Councils!Q326</f>
        <v>0</v>
      </c>
      <c r="Q323" s="322">
        <f>Councils!R326</f>
        <v>0</v>
      </c>
      <c r="R323" s="322">
        <f>Councils!S326</f>
        <v>1</v>
      </c>
      <c r="S323" s="322">
        <f>Councils!T326</f>
        <v>1</v>
      </c>
      <c r="T323" s="322">
        <f>Councils!U326</f>
        <v>0</v>
      </c>
      <c r="U323" s="323">
        <f>Councils!V326</f>
        <v>0</v>
      </c>
      <c r="V323" s="376">
        <v>40</v>
      </c>
      <c r="W323" s="377">
        <f t="shared" ref="W323:W386" si="5">_xlfn.IFS($E323&gt;=140,1,$E323&gt;65,2,$E323&lt;=65,3)</f>
        <v>1</v>
      </c>
      <c r="X323" s="378" t="str">
        <f>IF(ISNA(VLOOKUP($A323,GA!$A$1:$D$834,3,0))," ",VLOOKUP($A323,GA!$A$1:$D$834,3,0))</f>
        <v>Dougherty</v>
      </c>
      <c r="Y323" s="379" t="str">
        <f>IF(ISNA(VLOOKUP($A323,Dormant_Councils!$A$1:$E$811,5,0)),"No",VLOOKUP($A323,Dormant_Councils!$A$1:$E$811,5,0))</f>
        <v>No</v>
      </c>
      <c r="Z323" s="381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22" t="str">
        <f>Councils!C327</f>
        <v>235</v>
      </c>
      <c r="C324" s="322" t="str">
        <f>Councils!D327</f>
        <v>Asherton</v>
      </c>
      <c r="D324" s="322" t="str">
        <f>IF(ISNA(VLOOKUP($V324,DD_Info!$A$1:$E$221,3,0)),0,VLOOKUP($V324,DD_Info!$A$1:$E$221,3,0))</f>
        <v>Laredo</v>
      </c>
      <c r="E324" s="322">
        <f>Councils!E327</f>
        <v>74</v>
      </c>
      <c r="F324" s="322">
        <f>Councils!F327</f>
        <v>4</v>
      </c>
      <c r="G324" s="322">
        <f>Councils!G327</f>
        <v>0</v>
      </c>
      <c r="H324" s="322">
        <f>Councils!H327</f>
        <v>0</v>
      </c>
      <c r="I324" s="322">
        <f>Councils!I327</f>
        <v>0</v>
      </c>
      <c r="J324" s="322">
        <f>Councils!J327</f>
        <v>0</v>
      </c>
      <c r="K324" s="322">
        <f>Councils!K327</f>
        <v>0</v>
      </c>
      <c r="L324" s="322">
        <f>Councils!L327</f>
        <v>0</v>
      </c>
      <c r="M324" s="323">
        <f>Councils!M327</f>
        <v>0</v>
      </c>
      <c r="N324" s="322">
        <f>Councils!O327</f>
        <v>0</v>
      </c>
      <c r="O324" s="322">
        <f>Councils!P327</f>
        <v>0</v>
      </c>
      <c r="P324" s="322">
        <f>Councils!Q327</f>
        <v>0</v>
      </c>
      <c r="Q324" s="322">
        <f>Councils!R327</f>
        <v>0</v>
      </c>
      <c r="R324" s="322">
        <f>Councils!S327</f>
        <v>0</v>
      </c>
      <c r="S324" s="322">
        <f>Councils!T327</f>
        <v>0</v>
      </c>
      <c r="T324" s="322">
        <f>Councils!U327</f>
        <v>0</v>
      </c>
      <c r="U324" s="323">
        <f>Councils!V327</f>
        <v>0</v>
      </c>
      <c r="V324" s="376">
        <v>235</v>
      </c>
      <c r="W324" s="377">
        <f t="shared" si="5"/>
        <v>2</v>
      </c>
      <c r="X324" s="378" t="str">
        <f>IF(ISNA(VLOOKUP($A324,GA!$A$1:$D$834,3,0))," ",VLOOKUP($A324,GA!$A$1:$D$834,3,0))</f>
        <v>Carlin</v>
      </c>
      <c r="Y324" s="379" t="str">
        <f>IF(ISNA(VLOOKUP($A324,Dormant_Councils!$A$1:$E$811,5,0)),"No",VLOOKUP($A324,Dormant_Councils!$A$1:$E$811,5,0))</f>
        <v>No</v>
      </c>
      <c r="Z324" s="381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22" t="str">
        <f>Councils!C328</f>
        <v>037</v>
      </c>
      <c r="C325" s="322" t="str">
        <f>Councils!D328</f>
        <v>Pearsall</v>
      </c>
      <c r="D325" s="322" t="str">
        <f>IF(ISNA(VLOOKUP($V325,DD_Info!$A$1:$E$221,3,0)),0,VLOOKUP($V325,DD_Info!$A$1:$E$221,3,0))</f>
        <v>San Antonio</v>
      </c>
      <c r="E325" s="322">
        <f>Councils!E328</f>
        <v>135</v>
      </c>
      <c r="F325" s="322">
        <f>Councils!F328</f>
        <v>7</v>
      </c>
      <c r="G325" s="322">
        <f>Councils!G328</f>
        <v>0</v>
      </c>
      <c r="H325" s="322">
        <f>Councils!H328</f>
        <v>0</v>
      </c>
      <c r="I325" s="322">
        <f>Councils!I328</f>
        <v>0</v>
      </c>
      <c r="J325" s="322">
        <f>Councils!J328</f>
        <v>0</v>
      </c>
      <c r="K325" s="322">
        <f>Councils!K328</f>
        <v>0</v>
      </c>
      <c r="L325" s="322">
        <f>Councils!L328</f>
        <v>0</v>
      </c>
      <c r="M325" s="323">
        <f>Councils!M328</f>
        <v>0</v>
      </c>
      <c r="N325" s="322">
        <f>Councils!O328</f>
        <v>0</v>
      </c>
      <c r="O325" s="322">
        <f>Councils!P328</f>
        <v>0</v>
      </c>
      <c r="P325" s="322">
        <f>Councils!Q328</f>
        <v>1</v>
      </c>
      <c r="Q325" s="322">
        <f>Councils!R328</f>
        <v>-1</v>
      </c>
      <c r="R325" s="322">
        <f>Councils!S328</f>
        <v>4</v>
      </c>
      <c r="S325" s="322">
        <f>Councils!T328</f>
        <v>2</v>
      </c>
      <c r="T325" s="322">
        <f>Councils!U328</f>
        <v>2</v>
      </c>
      <c r="U325" s="323">
        <f>Councils!V328</f>
        <v>0</v>
      </c>
      <c r="V325" s="376">
        <v>37</v>
      </c>
      <c r="W325" s="377">
        <f t="shared" si="5"/>
        <v>2</v>
      </c>
      <c r="X325" s="378" t="str">
        <f>IF(ISNA(VLOOKUP($A325,GA!$A$1:$D$834,3,0))," ",VLOOKUP($A325,GA!$A$1:$D$834,3,0))</f>
        <v>Dougherty</v>
      </c>
      <c r="Y325" s="379" t="str">
        <f>IF(ISNA(VLOOKUP($A325,Dormant_Councils!$A$1:$E$811,5,0)),"No",VLOOKUP($A325,Dormant_Councils!$A$1:$E$811,5,0))</f>
        <v>No</v>
      </c>
      <c r="Z325" s="381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22" t="str">
        <f>Councils!C329</f>
        <v>178</v>
      </c>
      <c r="C326" s="322" t="str">
        <f>Councils!D329</f>
        <v>Orange Grove</v>
      </c>
      <c r="D326" s="322" t="str">
        <f>IF(ISNA(VLOOKUP($V326,DD_Info!$A$1:$E$221,3,0)),0,VLOOKUP($V326,DD_Info!$A$1:$E$221,3,0))</f>
        <v>Corpus Christi</v>
      </c>
      <c r="E326" s="322">
        <f>Councils!E329</f>
        <v>87</v>
      </c>
      <c r="F326" s="322">
        <f>Councils!F329</f>
        <v>4</v>
      </c>
      <c r="G326" s="322">
        <f>Councils!G329</f>
        <v>0</v>
      </c>
      <c r="H326" s="322">
        <f>Councils!H329</f>
        <v>0</v>
      </c>
      <c r="I326" s="322">
        <f>Councils!I329</f>
        <v>0</v>
      </c>
      <c r="J326" s="322">
        <f>Councils!J329</f>
        <v>0</v>
      </c>
      <c r="K326" s="322">
        <f>Councils!K329</f>
        <v>0</v>
      </c>
      <c r="L326" s="322">
        <f>Councils!L329</f>
        <v>0</v>
      </c>
      <c r="M326" s="323">
        <f>Councils!M329</f>
        <v>0</v>
      </c>
      <c r="N326" s="322">
        <f>Councils!O329</f>
        <v>0</v>
      </c>
      <c r="O326" s="322">
        <f>Councils!P329</f>
        <v>0</v>
      </c>
      <c r="P326" s="322">
        <f>Councils!Q329</f>
        <v>0</v>
      </c>
      <c r="Q326" s="322">
        <f>Councils!R329</f>
        <v>0</v>
      </c>
      <c r="R326" s="322">
        <f>Councils!S329</f>
        <v>0</v>
      </c>
      <c r="S326" s="322">
        <f>Councils!T329</f>
        <v>0</v>
      </c>
      <c r="T326" s="322">
        <f>Councils!U329</f>
        <v>0</v>
      </c>
      <c r="U326" s="323">
        <f>Councils!V329</f>
        <v>0</v>
      </c>
      <c r="V326" s="376">
        <v>178</v>
      </c>
      <c r="W326" s="377">
        <f t="shared" si="5"/>
        <v>2</v>
      </c>
      <c r="X326" s="378" t="str">
        <f>IF(ISNA(VLOOKUP($A326,GA!$A$1:$D$834,3,0))," ",VLOOKUP($A326,GA!$A$1:$D$834,3,0))</f>
        <v>Carlin</v>
      </c>
      <c r="Y326" s="379" t="str">
        <f>IF(ISNA(VLOOKUP($A326,Dormant_Councils!$A$1:$E$811,5,0)),"No",VLOOKUP($A326,Dormant_Councils!$A$1:$E$811,5,0))</f>
        <v>No</v>
      </c>
      <c r="Z326" s="381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22" t="str">
        <f>Councils!C330</f>
        <v>Unassigned</v>
      </c>
      <c r="C327" s="322" t="str">
        <f>Councils!D330</f>
        <v>Cleburne</v>
      </c>
      <c r="D327" s="322">
        <f>IF(ISNA(VLOOKUP($V327,DD_Info!$A$1:$E$221,3,0)),0,VLOOKUP($V327,DD_Info!$A$1:$E$221,3,0))</f>
        <v>0</v>
      </c>
      <c r="E327" s="322">
        <f>Councils!E330</f>
        <v>0</v>
      </c>
      <c r="F327" s="322">
        <f>Councils!F330</f>
        <v>0</v>
      </c>
      <c r="G327" s="322">
        <f>Councils!G330</f>
        <v>0</v>
      </c>
      <c r="H327" s="322">
        <f>Councils!H330</f>
        <v>0</v>
      </c>
      <c r="I327" s="322">
        <f>Councils!I330</f>
        <v>0</v>
      </c>
      <c r="J327" s="322">
        <f>Councils!J330</f>
        <v>0</v>
      </c>
      <c r="K327" s="322">
        <f>Councils!K330</f>
        <v>0</v>
      </c>
      <c r="L327" s="322">
        <f>Councils!L330</f>
        <v>0</v>
      </c>
      <c r="M327" s="323">
        <f>Councils!M330</f>
        <v>0</v>
      </c>
      <c r="N327" s="322">
        <f>Councils!O330</f>
        <v>0</v>
      </c>
      <c r="O327" s="322">
        <f>Councils!P330</f>
        <v>0</v>
      </c>
      <c r="P327" s="322">
        <f>Councils!Q330</f>
        <v>0</v>
      </c>
      <c r="Q327" s="322">
        <f>Councils!R330</f>
        <v>0</v>
      </c>
      <c r="R327" s="322">
        <f>Councils!S330</f>
        <v>0</v>
      </c>
      <c r="S327" s="322">
        <f>Councils!T330</f>
        <v>0</v>
      </c>
      <c r="T327" s="322">
        <f>Councils!U330</f>
        <v>0</v>
      </c>
      <c r="U327" s="323">
        <f>Councils!V330</f>
        <v>0</v>
      </c>
      <c r="V327" s="45" t="s">
        <v>93</v>
      </c>
      <c r="W327" s="377">
        <f t="shared" si="5"/>
        <v>3</v>
      </c>
      <c r="X327" s="378" t="str">
        <f>IF(ISNA(VLOOKUP($A327,GA!$A$1:$D$834,3,0))," ",VLOOKUP($A327,GA!$A$1:$D$834,3,0))</f>
        <v>Stark</v>
      </c>
      <c r="Y327" s="379" t="str">
        <f>IF(ISNA(VLOOKUP($A327,Dormant_Councils!$A$1:$E$811,5,0)),"No",VLOOKUP($A327,Dormant_Councils!$A$1:$E$811,5,0))</f>
        <v>No</v>
      </c>
      <c r="Z327" s="381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22" t="str">
        <f>Councils!C331</f>
        <v>235</v>
      </c>
      <c r="C328" s="322" t="str">
        <f>Councils!D331</f>
        <v>Crystal City</v>
      </c>
      <c r="D328" s="322" t="str">
        <f>IF(ISNA(VLOOKUP($V328,DD_Info!$A$1:$E$221,3,0)),0,VLOOKUP($V328,DD_Info!$A$1:$E$221,3,0))</f>
        <v>Laredo</v>
      </c>
      <c r="E328" s="322">
        <f>Councils!E331</f>
        <v>54</v>
      </c>
      <c r="F328" s="322">
        <f>Councils!F331</f>
        <v>3</v>
      </c>
      <c r="G328" s="322">
        <f>Councils!G331</f>
        <v>0</v>
      </c>
      <c r="H328" s="322">
        <f>Councils!H331</f>
        <v>0</v>
      </c>
      <c r="I328" s="322">
        <f>Councils!I331</f>
        <v>0</v>
      </c>
      <c r="J328" s="322">
        <f>Councils!J331</f>
        <v>1</v>
      </c>
      <c r="K328" s="322">
        <f>Councils!K331</f>
        <v>0</v>
      </c>
      <c r="L328" s="322">
        <f>Councils!L331</f>
        <v>1</v>
      </c>
      <c r="M328" s="323">
        <f>Councils!M331</f>
        <v>33.33</v>
      </c>
      <c r="N328" s="322">
        <f>Councils!O331</f>
        <v>0</v>
      </c>
      <c r="O328" s="322">
        <f>Councils!P331</f>
        <v>0</v>
      </c>
      <c r="P328" s="322">
        <f>Councils!Q331</f>
        <v>0</v>
      </c>
      <c r="Q328" s="322">
        <f>Councils!R331</f>
        <v>0</v>
      </c>
      <c r="R328" s="322">
        <f>Councils!S331</f>
        <v>0</v>
      </c>
      <c r="S328" s="322">
        <f>Councils!T331</f>
        <v>1</v>
      </c>
      <c r="T328" s="322">
        <f>Councils!U331</f>
        <v>-1</v>
      </c>
      <c r="U328" s="323">
        <f>Councils!V331</f>
        <v>0</v>
      </c>
      <c r="V328" s="376">
        <v>235</v>
      </c>
      <c r="W328" s="377">
        <f t="shared" si="5"/>
        <v>3</v>
      </c>
      <c r="X328" s="378" t="str">
        <f>IF(ISNA(VLOOKUP($A328,GA!$A$1:$D$834,3,0))," ",VLOOKUP($A328,GA!$A$1:$D$834,3,0))</f>
        <v>Carlin</v>
      </c>
      <c r="Y328" s="379" t="str">
        <f>IF(ISNA(VLOOKUP($A328,Dormant_Councils!$A$1:$E$811,5,0)),"No",VLOOKUP($A328,Dormant_Councils!$A$1:$E$811,5,0))</f>
        <v>No</v>
      </c>
      <c r="Z328" s="381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22" t="str">
        <f>Councils!C332</f>
        <v>097</v>
      </c>
      <c r="C329" s="322" t="str">
        <f>Councils!D332</f>
        <v>Huntsville</v>
      </c>
      <c r="D329" s="322" t="str">
        <f>IF(ISNA(VLOOKUP($V329,DD_Info!$A$1:$E$221,3,0)),0,VLOOKUP($V329,DD_Info!$A$1:$E$221,3,0))</f>
        <v>Galv/Hous</v>
      </c>
      <c r="E329" s="322">
        <f>Councils!E332</f>
        <v>19</v>
      </c>
      <c r="F329" s="322">
        <f>Councils!F332</f>
        <v>4</v>
      </c>
      <c r="G329" s="322">
        <f>Councils!G332</f>
        <v>0</v>
      </c>
      <c r="H329" s="322">
        <f>Councils!H332</f>
        <v>0</v>
      </c>
      <c r="I329" s="322">
        <f>Councils!I332</f>
        <v>0</v>
      </c>
      <c r="J329" s="322">
        <f>Councils!J332</f>
        <v>0</v>
      </c>
      <c r="K329" s="322">
        <f>Councils!K332</f>
        <v>0</v>
      </c>
      <c r="L329" s="322">
        <f>Councils!L332</f>
        <v>0</v>
      </c>
      <c r="M329" s="323">
        <f>Councils!M332</f>
        <v>0</v>
      </c>
      <c r="N329" s="322">
        <f>Councils!O332</f>
        <v>0</v>
      </c>
      <c r="O329" s="322">
        <f>Councils!P332</f>
        <v>0</v>
      </c>
      <c r="P329" s="322">
        <f>Councils!Q332</f>
        <v>0</v>
      </c>
      <c r="Q329" s="322">
        <f>Councils!R332</f>
        <v>0</v>
      </c>
      <c r="R329" s="322">
        <f>Councils!S332</f>
        <v>0</v>
      </c>
      <c r="S329" s="322">
        <f>Councils!T332</f>
        <v>0</v>
      </c>
      <c r="T329" s="322">
        <f>Councils!U332</f>
        <v>0</v>
      </c>
      <c r="U329" s="323">
        <f>Councils!V332</f>
        <v>0</v>
      </c>
      <c r="V329" s="376">
        <v>97</v>
      </c>
      <c r="W329" s="377">
        <f t="shared" si="5"/>
        <v>3</v>
      </c>
      <c r="X329" s="378" t="str">
        <f>IF(ISNA(VLOOKUP($A329,GA!$A$1:$D$834,3,0))," ",VLOOKUP($A329,GA!$A$1:$D$834,3,0))</f>
        <v>Rangel</v>
      </c>
      <c r="Y329" s="379" t="str">
        <f>IF(ISNA(VLOOKUP($A329,Dormant_Councils!$A$1:$E$811,5,0)),"No",VLOOKUP($A329,Dormant_Councils!$A$1:$E$811,5,0))</f>
        <v>No</v>
      </c>
      <c r="Z329" s="381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22" t="str">
        <f>Councils!C333</f>
        <v>193</v>
      </c>
      <c r="C330" s="322" t="str">
        <f>Councils!D333</f>
        <v>Victoria</v>
      </c>
      <c r="D330" s="322" t="str">
        <f>IF(ISNA(VLOOKUP($V330,DD_Info!$A$1:$E$221,3,0)),0,VLOOKUP($V330,DD_Info!$A$1:$E$221,3,0))</f>
        <v>Victoria</v>
      </c>
      <c r="E330" s="322">
        <f>Councils!E333</f>
        <v>121</v>
      </c>
      <c r="F330" s="322">
        <f>Councils!F333</f>
        <v>6</v>
      </c>
      <c r="G330" s="322">
        <f>Councils!G333</f>
        <v>0</v>
      </c>
      <c r="H330" s="322">
        <f>Councils!H333</f>
        <v>0</v>
      </c>
      <c r="I330" s="322">
        <f>Councils!I333</f>
        <v>0</v>
      </c>
      <c r="J330" s="322">
        <f>Councils!J333</f>
        <v>1</v>
      </c>
      <c r="K330" s="322">
        <f>Councils!K333</f>
        <v>0</v>
      </c>
      <c r="L330" s="322">
        <f>Councils!L333</f>
        <v>1</v>
      </c>
      <c r="M330" s="323">
        <f>Councils!M333</f>
        <v>16.670000000000002</v>
      </c>
      <c r="N330" s="322">
        <f>Councils!O333</f>
        <v>0</v>
      </c>
      <c r="O330" s="322">
        <f>Councils!P333</f>
        <v>0</v>
      </c>
      <c r="P330" s="322">
        <f>Councils!Q333</f>
        <v>0</v>
      </c>
      <c r="Q330" s="322">
        <f>Councils!R333</f>
        <v>0</v>
      </c>
      <c r="R330" s="322">
        <f>Councils!S333</f>
        <v>1</v>
      </c>
      <c r="S330" s="322">
        <f>Councils!T333</f>
        <v>0</v>
      </c>
      <c r="T330" s="322">
        <f>Councils!U333</f>
        <v>1</v>
      </c>
      <c r="U330" s="323">
        <f>Councils!V333</f>
        <v>0</v>
      </c>
      <c r="V330" s="376">
        <v>193</v>
      </c>
      <c r="W330" s="377">
        <f t="shared" si="5"/>
        <v>2</v>
      </c>
      <c r="X330" s="378" t="str">
        <f>IF(ISNA(VLOOKUP($A330,GA!$A$1:$D$834,3,0))," ",VLOOKUP($A330,GA!$A$1:$D$834,3,0))</f>
        <v>Supak</v>
      </c>
      <c r="Y330" s="379" t="str">
        <f>IF(ISNA(VLOOKUP($A330,Dormant_Councils!$A$1:$E$811,5,0)),"No",VLOOKUP($A330,Dormant_Councils!$A$1:$E$811,5,0))</f>
        <v>No</v>
      </c>
      <c r="Z330" s="381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22" t="str">
        <f>Councils!C334</f>
        <v>088</v>
      </c>
      <c r="C331" s="322" t="str">
        <f>Councils!D334</f>
        <v>Houston</v>
      </c>
      <c r="D331" s="322" t="str">
        <f>IF(ISNA(VLOOKUP($V331,DD_Info!$A$1:$E$221,3,0)),0,VLOOKUP($V331,DD_Info!$A$1:$E$221,3,0))</f>
        <v>Galv/Hous</v>
      </c>
      <c r="E331" s="322">
        <f>Councils!E334</f>
        <v>173</v>
      </c>
      <c r="F331" s="322">
        <f>Councils!F334</f>
        <v>9</v>
      </c>
      <c r="G331" s="322">
        <f>Councils!G334</f>
        <v>2</v>
      </c>
      <c r="H331" s="322">
        <f>Councils!H334</f>
        <v>0</v>
      </c>
      <c r="I331" s="322">
        <f>Councils!I334</f>
        <v>2</v>
      </c>
      <c r="J331" s="322">
        <f>Councils!J334</f>
        <v>3</v>
      </c>
      <c r="K331" s="322">
        <f>Councils!K334</f>
        <v>0</v>
      </c>
      <c r="L331" s="322">
        <f>Councils!L334</f>
        <v>3</v>
      </c>
      <c r="M331" s="323">
        <f>Councils!M334</f>
        <v>33.33</v>
      </c>
      <c r="N331" s="322">
        <f>Councils!O334</f>
        <v>0</v>
      </c>
      <c r="O331" s="322">
        <f>Councils!P334</f>
        <v>0</v>
      </c>
      <c r="P331" s="322">
        <f>Councils!Q334</f>
        <v>0</v>
      </c>
      <c r="Q331" s="322">
        <f>Councils!R334</f>
        <v>0</v>
      </c>
      <c r="R331" s="322">
        <f>Councils!S334</f>
        <v>1</v>
      </c>
      <c r="S331" s="322">
        <f>Councils!T334</f>
        <v>1</v>
      </c>
      <c r="T331" s="322">
        <f>Councils!U334</f>
        <v>0</v>
      </c>
      <c r="U331" s="323">
        <f>Councils!V334</f>
        <v>0</v>
      </c>
      <c r="V331" s="376">
        <v>88</v>
      </c>
      <c r="W331" s="377">
        <f t="shared" si="5"/>
        <v>1</v>
      </c>
      <c r="X331" s="378" t="str">
        <f>IF(ISNA(VLOOKUP($A331,GA!$A$1:$D$834,3,0))," ",VLOOKUP($A331,GA!$A$1:$D$834,3,0))</f>
        <v>Rangel</v>
      </c>
      <c r="Y331" s="379" t="str">
        <f>IF(ISNA(VLOOKUP($A331,Dormant_Councils!$A$1:$E$811,5,0)),"No",VLOOKUP($A331,Dormant_Councils!$A$1:$E$811,5,0))</f>
        <v>No</v>
      </c>
      <c r="Z331" s="381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22" t="str">
        <f>Councils!C335</f>
        <v>061</v>
      </c>
      <c r="C332" s="322" t="str">
        <f>Councils!D335</f>
        <v>San Antonio</v>
      </c>
      <c r="D332" s="322" t="str">
        <f>IF(ISNA(VLOOKUP($V332,DD_Info!$A$1:$E$221,3,0)),0,VLOOKUP($V332,DD_Info!$A$1:$E$221,3,0))</f>
        <v>San Antonio</v>
      </c>
      <c r="E332" s="322">
        <f>Councils!E335</f>
        <v>21</v>
      </c>
      <c r="F332" s="322">
        <f>Councils!F335</f>
        <v>3</v>
      </c>
      <c r="G332" s="322">
        <f>Councils!G335</f>
        <v>0</v>
      </c>
      <c r="H332" s="322">
        <f>Councils!H335</f>
        <v>0</v>
      </c>
      <c r="I332" s="322">
        <f>Councils!I335</f>
        <v>0</v>
      </c>
      <c r="J332" s="322">
        <f>Councils!J335</f>
        <v>0</v>
      </c>
      <c r="K332" s="322">
        <f>Councils!K335</f>
        <v>0</v>
      </c>
      <c r="L332" s="322">
        <f>Councils!L335</f>
        <v>0</v>
      </c>
      <c r="M332" s="323">
        <f>Councils!M335</f>
        <v>0</v>
      </c>
      <c r="N332" s="322">
        <f>Councils!O335</f>
        <v>0</v>
      </c>
      <c r="O332" s="322">
        <f>Councils!P335</f>
        <v>0</v>
      </c>
      <c r="P332" s="322">
        <f>Councils!Q335</f>
        <v>0</v>
      </c>
      <c r="Q332" s="322">
        <f>Councils!R335</f>
        <v>0</v>
      </c>
      <c r="R332" s="322">
        <f>Councils!S335</f>
        <v>0</v>
      </c>
      <c r="S332" s="322">
        <f>Councils!T335</f>
        <v>0</v>
      </c>
      <c r="T332" s="322">
        <f>Councils!U335</f>
        <v>0</v>
      </c>
      <c r="U332" s="323">
        <f>Councils!V335</f>
        <v>0</v>
      </c>
      <c r="V332" s="376">
        <v>61</v>
      </c>
      <c r="W332" s="377">
        <f t="shared" si="5"/>
        <v>3</v>
      </c>
      <c r="X332" s="378" t="str">
        <f>IF(ISNA(VLOOKUP($A332,GA!$A$1:$D$834,3,0))," ",VLOOKUP($A332,GA!$A$1:$D$834,3,0))</f>
        <v>Dougherty</v>
      </c>
      <c r="Y332" s="379" t="str">
        <f>IF(ISNA(VLOOKUP($A332,Dormant_Councils!$A$1:$E$811,5,0)),"No",VLOOKUP($A332,Dormant_Councils!$A$1:$E$811,5,0))</f>
        <v>Dormant</v>
      </c>
      <c r="Z332" s="381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22" t="str">
        <f>Councils!C336</f>
        <v>102</v>
      </c>
      <c r="C333" s="322" t="str">
        <f>Councils!D336</f>
        <v>Waxahachie</v>
      </c>
      <c r="D333" s="322" t="str">
        <f>IF(ISNA(VLOOKUP($V333,DD_Info!$A$1:$E$221,3,0)),0,VLOOKUP($V333,DD_Info!$A$1:$E$221,3,0))</f>
        <v>Dallas</v>
      </c>
      <c r="E333" s="322">
        <f>Councils!E336</f>
        <v>269</v>
      </c>
      <c r="F333" s="322">
        <f>Councils!F336</f>
        <v>13</v>
      </c>
      <c r="G333" s="322">
        <f>Councils!G336</f>
        <v>0</v>
      </c>
      <c r="H333" s="322">
        <f>Councils!H336</f>
        <v>0</v>
      </c>
      <c r="I333" s="322">
        <f>Councils!I336</f>
        <v>0</v>
      </c>
      <c r="J333" s="322">
        <f>Councils!J336</f>
        <v>6</v>
      </c>
      <c r="K333" s="322">
        <f>Councils!K336</f>
        <v>0</v>
      </c>
      <c r="L333" s="322">
        <f>Councils!L336</f>
        <v>6</v>
      </c>
      <c r="M333" s="323">
        <f>Councils!M336</f>
        <v>46.15</v>
      </c>
      <c r="N333" s="322">
        <f>Councils!O336</f>
        <v>0</v>
      </c>
      <c r="O333" s="322">
        <f>Councils!P336</f>
        <v>1</v>
      </c>
      <c r="P333" s="322">
        <f>Councils!Q336</f>
        <v>0</v>
      </c>
      <c r="Q333" s="322">
        <f>Councils!R336</f>
        <v>1</v>
      </c>
      <c r="R333" s="322">
        <f>Councils!S336</f>
        <v>4</v>
      </c>
      <c r="S333" s="322">
        <f>Councils!T336</f>
        <v>2</v>
      </c>
      <c r="T333" s="322">
        <f>Councils!U336</f>
        <v>2</v>
      </c>
      <c r="U333" s="323">
        <f>Councils!V336</f>
        <v>0</v>
      </c>
      <c r="V333" s="376">
        <v>102</v>
      </c>
      <c r="W333" s="377">
        <f t="shared" si="5"/>
        <v>1</v>
      </c>
      <c r="X333" s="378" t="str">
        <f>IF(ISNA(VLOOKUP($A333,GA!$A$1:$D$834,3,0))," ",VLOOKUP($A333,GA!$A$1:$D$834,3,0))</f>
        <v>Regan</v>
      </c>
      <c r="Y333" s="379" t="str">
        <f>IF(ISNA(VLOOKUP($A333,Dormant_Councils!$A$1:$E$811,5,0)),"No",VLOOKUP($A333,Dormant_Councils!$A$1:$E$811,5,0))</f>
        <v>No</v>
      </c>
      <c r="Z333" s="381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22" t="str">
        <f>Councils!C337</f>
        <v>053</v>
      </c>
      <c r="C334" s="322" t="str">
        <f>Councils!D337</f>
        <v>San Antonio</v>
      </c>
      <c r="D334" s="322" t="str">
        <f>IF(ISNA(VLOOKUP($V334,DD_Info!$A$1:$E$221,3,0)),0,VLOOKUP($V334,DD_Info!$A$1:$E$221,3,0))</f>
        <v>San Antonio</v>
      </c>
      <c r="E334" s="322">
        <f>Councils!E337</f>
        <v>116</v>
      </c>
      <c r="F334" s="322">
        <f>Councils!F337</f>
        <v>6</v>
      </c>
      <c r="G334" s="322">
        <f>Councils!G337</f>
        <v>0</v>
      </c>
      <c r="H334" s="322">
        <f>Councils!H337</f>
        <v>0</v>
      </c>
      <c r="I334" s="322">
        <f>Councils!I337</f>
        <v>0</v>
      </c>
      <c r="J334" s="322">
        <f>Councils!J337</f>
        <v>0</v>
      </c>
      <c r="K334" s="322">
        <f>Councils!K337</f>
        <v>0</v>
      </c>
      <c r="L334" s="322">
        <f>Councils!L337</f>
        <v>0</v>
      </c>
      <c r="M334" s="323">
        <f>Councils!M337</f>
        <v>0</v>
      </c>
      <c r="N334" s="322">
        <f>Councils!O337</f>
        <v>0</v>
      </c>
      <c r="O334" s="322">
        <f>Councils!P337</f>
        <v>0</v>
      </c>
      <c r="P334" s="322">
        <f>Councils!Q337</f>
        <v>0</v>
      </c>
      <c r="Q334" s="322">
        <f>Councils!R337</f>
        <v>0</v>
      </c>
      <c r="R334" s="322">
        <f>Councils!S337</f>
        <v>0</v>
      </c>
      <c r="S334" s="322">
        <f>Councils!T337</f>
        <v>1</v>
      </c>
      <c r="T334" s="322">
        <f>Councils!U337</f>
        <v>-1</v>
      </c>
      <c r="U334" s="323">
        <f>Councils!V337</f>
        <v>0</v>
      </c>
      <c r="V334" s="376">
        <v>53</v>
      </c>
      <c r="W334" s="377">
        <f t="shared" si="5"/>
        <v>2</v>
      </c>
      <c r="X334" s="378" t="str">
        <f>IF(ISNA(VLOOKUP($A334,GA!$A$1:$D$834,3,0))," ",VLOOKUP($A334,GA!$A$1:$D$834,3,0))</f>
        <v>Dougherty</v>
      </c>
      <c r="Y334" s="379" t="str">
        <f>IF(ISNA(VLOOKUP($A334,Dormant_Councils!$A$1:$E$811,5,0)),"No",VLOOKUP($A334,Dormant_Councils!$A$1:$E$811,5,0))</f>
        <v>No</v>
      </c>
      <c r="Z334" s="381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22" t="str">
        <f>Councils!C338</f>
        <v>016</v>
      </c>
      <c r="C335" s="322" t="str">
        <f>Councils!D338</f>
        <v>Mineral Wells</v>
      </c>
      <c r="D335" s="322" t="str">
        <f>IF(ISNA(VLOOKUP($V335,DD_Info!$A$1:$E$221,3,0)),0,VLOOKUP($V335,DD_Info!$A$1:$E$221,3,0))</f>
        <v>Fort Worth</v>
      </c>
      <c r="E335" s="322">
        <f>Councils!E338</f>
        <v>104</v>
      </c>
      <c r="F335" s="322">
        <f>Councils!F338</f>
        <v>5</v>
      </c>
      <c r="G335" s="322">
        <f>Councils!G338</f>
        <v>0</v>
      </c>
      <c r="H335" s="322">
        <f>Councils!H338</f>
        <v>0</v>
      </c>
      <c r="I335" s="322">
        <f>Councils!I338</f>
        <v>0</v>
      </c>
      <c r="J335" s="322">
        <f>Councils!J338</f>
        <v>0</v>
      </c>
      <c r="K335" s="322">
        <f>Councils!K338</f>
        <v>0</v>
      </c>
      <c r="L335" s="322">
        <f>Councils!L338</f>
        <v>0</v>
      </c>
      <c r="M335" s="323">
        <f>Councils!M338</f>
        <v>0</v>
      </c>
      <c r="N335" s="322">
        <f>Councils!O338</f>
        <v>0</v>
      </c>
      <c r="O335" s="322">
        <f>Councils!P338</f>
        <v>0</v>
      </c>
      <c r="P335" s="322">
        <f>Councils!Q338</f>
        <v>0</v>
      </c>
      <c r="Q335" s="322">
        <f>Councils!R338</f>
        <v>0</v>
      </c>
      <c r="R335" s="322">
        <f>Councils!S338</f>
        <v>1</v>
      </c>
      <c r="S335" s="322">
        <f>Councils!T338</f>
        <v>0</v>
      </c>
      <c r="T335" s="322">
        <f>Councils!U338</f>
        <v>1</v>
      </c>
      <c r="U335" s="323">
        <f>Councils!V338</f>
        <v>0</v>
      </c>
      <c r="V335" s="376">
        <v>16</v>
      </c>
      <c r="W335" s="377">
        <f t="shared" si="5"/>
        <v>2</v>
      </c>
      <c r="X335" s="378" t="str">
        <f>IF(ISNA(VLOOKUP($A335,GA!$A$1:$D$834,3,0))," ",VLOOKUP($A335,GA!$A$1:$D$834,3,0))</f>
        <v>Stark</v>
      </c>
      <c r="Y335" s="379" t="str">
        <f>IF(ISNA(VLOOKUP($A335,Dormant_Councils!$A$1:$E$811,5,0)),"No",VLOOKUP($A335,Dormant_Councils!$A$1:$E$811,5,0))</f>
        <v>No</v>
      </c>
      <c r="Z335" s="381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22" t="str">
        <f>Councils!C339</f>
        <v>099</v>
      </c>
      <c r="C336" s="322" t="str">
        <f>Councils!D339</f>
        <v>Houston</v>
      </c>
      <c r="D336" s="322" t="str">
        <f>IF(ISNA(VLOOKUP($V336,DD_Info!$A$1:$E$221,3,0)),0,VLOOKUP($V336,DD_Info!$A$1:$E$221,3,0))</f>
        <v>Galv/Hous</v>
      </c>
      <c r="E336" s="322">
        <f>Councils!E339</f>
        <v>475</v>
      </c>
      <c r="F336" s="322">
        <f>Councils!F339</f>
        <v>20</v>
      </c>
      <c r="G336" s="322">
        <f>Councils!G339</f>
        <v>0</v>
      </c>
      <c r="H336" s="322">
        <f>Councils!H339</f>
        <v>2</v>
      </c>
      <c r="I336" s="322">
        <f>Councils!I339</f>
        <v>-2</v>
      </c>
      <c r="J336" s="322">
        <f>Councils!J339</f>
        <v>2</v>
      </c>
      <c r="K336" s="322">
        <f>Councils!K339</f>
        <v>14</v>
      </c>
      <c r="L336" s="322">
        <f>Councils!L339</f>
        <v>-12</v>
      </c>
      <c r="M336" s="323">
        <f>Councils!M339</f>
        <v>0</v>
      </c>
      <c r="N336" s="322">
        <f>Councils!O339</f>
        <v>0</v>
      </c>
      <c r="O336" s="322">
        <f>Councils!P339</f>
        <v>0</v>
      </c>
      <c r="P336" s="322">
        <f>Councils!Q339</f>
        <v>2</v>
      </c>
      <c r="Q336" s="322">
        <f>Councils!R339</f>
        <v>-2</v>
      </c>
      <c r="R336" s="322">
        <f>Councils!S339</f>
        <v>0</v>
      </c>
      <c r="S336" s="322">
        <f>Councils!T339</f>
        <v>5</v>
      </c>
      <c r="T336" s="322">
        <f>Councils!U339</f>
        <v>-5</v>
      </c>
      <c r="U336" s="323">
        <f>Councils!V339</f>
        <v>0</v>
      </c>
      <c r="V336" s="376">
        <v>99</v>
      </c>
      <c r="W336" s="377">
        <f t="shared" si="5"/>
        <v>1</v>
      </c>
      <c r="X336" s="378" t="str">
        <f>IF(ISNA(VLOOKUP($A336,GA!$A$1:$D$834,3,0))," ",VLOOKUP($A336,GA!$A$1:$D$834,3,0))</f>
        <v>Rangel</v>
      </c>
      <c r="Y336" s="379" t="str">
        <f>IF(ISNA(VLOOKUP($A336,Dormant_Councils!$A$1:$E$811,5,0)),"No",VLOOKUP($A336,Dormant_Councils!$A$1:$E$811,5,0))</f>
        <v>No</v>
      </c>
      <c r="Z336" s="381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22" t="str">
        <f>Councils!C340</f>
        <v>030</v>
      </c>
      <c r="C337" s="322" t="str">
        <f>Councils!D340</f>
        <v>The Colony</v>
      </c>
      <c r="D337" s="322" t="str">
        <f>IF(ISNA(VLOOKUP($V337,DD_Info!$A$1:$E$221,3,0)),0,VLOOKUP($V337,DD_Info!$A$1:$E$221,3,0))</f>
        <v>Fort Worth</v>
      </c>
      <c r="E337" s="322">
        <f>Councils!E340</f>
        <v>150</v>
      </c>
      <c r="F337" s="322">
        <f>Councils!F340</f>
        <v>7</v>
      </c>
      <c r="G337" s="322">
        <f>Councils!G340</f>
        <v>0</v>
      </c>
      <c r="H337" s="322">
        <f>Councils!H340</f>
        <v>0</v>
      </c>
      <c r="I337" s="322">
        <f>Councils!I340</f>
        <v>0</v>
      </c>
      <c r="J337" s="322">
        <f>Councils!J340</f>
        <v>1</v>
      </c>
      <c r="K337" s="322">
        <f>Councils!K340</f>
        <v>0</v>
      </c>
      <c r="L337" s="322">
        <f>Councils!L340</f>
        <v>1</v>
      </c>
      <c r="M337" s="323">
        <f>Councils!M340</f>
        <v>14.29</v>
      </c>
      <c r="N337" s="322">
        <f>Councils!O340</f>
        <v>0</v>
      </c>
      <c r="O337" s="322">
        <f>Councils!P340</f>
        <v>0</v>
      </c>
      <c r="P337" s="322">
        <f>Councils!Q340</f>
        <v>0</v>
      </c>
      <c r="Q337" s="322">
        <f>Councils!R340</f>
        <v>0</v>
      </c>
      <c r="R337" s="322">
        <f>Councils!S340</f>
        <v>0</v>
      </c>
      <c r="S337" s="322">
        <f>Councils!T340</f>
        <v>0</v>
      </c>
      <c r="T337" s="322">
        <f>Councils!U340</f>
        <v>0</v>
      </c>
      <c r="U337" s="323">
        <f>Councils!V340</f>
        <v>0</v>
      </c>
      <c r="V337" s="376">
        <v>30</v>
      </c>
      <c r="W337" s="377">
        <f t="shared" si="5"/>
        <v>1</v>
      </c>
      <c r="X337" s="378" t="str">
        <f>IF(ISNA(VLOOKUP($A337,GA!$A$1:$D$834,3,0))," ",VLOOKUP($A337,GA!$A$1:$D$834,3,0))</f>
        <v>Regan</v>
      </c>
      <c r="Y337" s="379" t="str">
        <f>IF(ISNA(VLOOKUP($A337,Dormant_Councils!$A$1:$E$811,5,0)),"No",VLOOKUP($A337,Dormant_Councils!$A$1:$E$811,5,0))</f>
        <v>No</v>
      </c>
      <c r="Z337" s="381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22" t="str">
        <f>Councils!C341</f>
        <v>070</v>
      </c>
      <c r="C338" s="322" t="str">
        <f>Councils!D341</f>
        <v>Friendswood</v>
      </c>
      <c r="D338" s="322" t="str">
        <f>IF(ISNA(VLOOKUP($V338,DD_Info!$A$1:$E$221,3,0)),0,VLOOKUP($V338,DD_Info!$A$1:$E$221,3,0))</f>
        <v>Galv/Hous</v>
      </c>
      <c r="E338" s="322">
        <f>Councils!E341</f>
        <v>294</v>
      </c>
      <c r="F338" s="322">
        <f>Councils!F341</f>
        <v>15</v>
      </c>
      <c r="G338" s="322">
        <f>Councils!G341</f>
        <v>0</v>
      </c>
      <c r="H338" s="322">
        <f>Councils!H341</f>
        <v>0</v>
      </c>
      <c r="I338" s="322">
        <f>Councils!I341</f>
        <v>0</v>
      </c>
      <c r="J338" s="322">
        <f>Councils!J341</f>
        <v>11</v>
      </c>
      <c r="K338" s="322">
        <f>Councils!K341</f>
        <v>0</v>
      </c>
      <c r="L338" s="322">
        <f>Councils!L341</f>
        <v>11</v>
      </c>
      <c r="M338" s="323">
        <f>Councils!M341</f>
        <v>73.33</v>
      </c>
      <c r="N338" s="322">
        <f>Councils!O341</f>
        <v>0</v>
      </c>
      <c r="O338" s="322">
        <f>Councils!P341</f>
        <v>0</v>
      </c>
      <c r="P338" s="322">
        <f>Councils!Q341</f>
        <v>0</v>
      </c>
      <c r="Q338" s="322">
        <f>Councils!R341</f>
        <v>0</v>
      </c>
      <c r="R338" s="322">
        <f>Councils!S341</f>
        <v>0</v>
      </c>
      <c r="S338" s="322">
        <f>Councils!T341</f>
        <v>1</v>
      </c>
      <c r="T338" s="322">
        <f>Councils!U341</f>
        <v>-1</v>
      </c>
      <c r="U338" s="323">
        <f>Councils!V341</f>
        <v>0</v>
      </c>
      <c r="V338" s="376">
        <v>70</v>
      </c>
      <c r="W338" s="377">
        <f t="shared" si="5"/>
        <v>1</v>
      </c>
      <c r="X338" s="378" t="str">
        <f>IF(ISNA(VLOOKUP($A338,GA!$A$1:$D$834,3,0))," ",VLOOKUP($A338,GA!$A$1:$D$834,3,0))</f>
        <v>Rangel</v>
      </c>
      <c r="Y338" s="379" t="str">
        <f>IF(ISNA(VLOOKUP($A338,Dormant_Councils!$A$1:$E$811,5,0)),"No",VLOOKUP($A338,Dormant_Councils!$A$1:$E$811,5,0))</f>
        <v>No</v>
      </c>
      <c r="Z338" s="381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22" t="str">
        <f>Councils!C342</f>
        <v>025</v>
      </c>
      <c r="C339" s="322" t="str">
        <f>Councils!D342</f>
        <v>North Richland Hills</v>
      </c>
      <c r="D339" s="322" t="str">
        <f>IF(ISNA(VLOOKUP($V339,DD_Info!$A$1:$E$221,3,0)),0,VLOOKUP($V339,DD_Info!$A$1:$E$221,3,0))</f>
        <v>Fort Worth</v>
      </c>
      <c r="E339" s="322">
        <f>Councils!E342</f>
        <v>344</v>
      </c>
      <c r="F339" s="322">
        <f>Councils!F342</f>
        <v>16</v>
      </c>
      <c r="G339" s="322">
        <f>Councils!G342</f>
        <v>0</v>
      </c>
      <c r="H339" s="322">
        <f>Councils!H342</f>
        <v>1</v>
      </c>
      <c r="I339" s="322">
        <f>Councils!I342</f>
        <v>-1</v>
      </c>
      <c r="J339" s="322">
        <f>Councils!J342</f>
        <v>0</v>
      </c>
      <c r="K339" s="322">
        <f>Councils!K342</f>
        <v>2</v>
      </c>
      <c r="L339" s="322">
        <f>Councils!L342</f>
        <v>-2</v>
      </c>
      <c r="M339" s="323">
        <f>Councils!M342</f>
        <v>0</v>
      </c>
      <c r="N339" s="322">
        <f>Councils!O342</f>
        <v>0</v>
      </c>
      <c r="O339" s="322">
        <f>Councils!P342</f>
        <v>0</v>
      </c>
      <c r="P339" s="322">
        <f>Councils!Q342</f>
        <v>0</v>
      </c>
      <c r="Q339" s="322">
        <f>Councils!R342</f>
        <v>0</v>
      </c>
      <c r="R339" s="322">
        <f>Councils!S342</f>
        <v>2</v>
      </c>
      <c r="S339" s="322">
        <f>Councils!T342</f>
        <v>3</v>
      </c>
      <c r="T339" s="322">
        <f>Councils!U342</f>
        <v>-1</v>
      </c>
      <c r="U339" s="323">
        <f>Councils!V342</f>
        <v>0</v>
      </c>
      <c r="V339" s="376">
        <v>25</v>
      </c>
      <c r="W339" s="377">
        <f t="shared" si="5"/>
        <v>1</v>
      </c>
      <c r="X339" s="378" t="str">
        <f>IF(ISNA(VLOOKUP($A339,GA!$A$1:$D$834,3,0))," ",VLOOKUP($A339,GA!$A$1:$D$834,3,0))</f>
        <v>Stark</v>
      </c>
      <c r="Y339" s="379" t="str">
        <f>IF(ISNA(VLOOKUP($A339,Dormant_Councils!$A$1:$E$811,5,0)),"No",VLOOKUP($A339,Dormant_Councils!$A$1:$E$811,5,0))</f>
        <v>No</v>
      </c>
      <c r="Z339" s="381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22" t="str">
        <f>Councils!C343</f>
        <v>245</v>
      </c>
      <c r="C340" s="322" t="str">
        <f>Councils!D343</f>
        <v>Denver City</v>
      </c>
      <c r="D340" s="322" t="str">
        <f>IF(ISNA(VLOOKUP($V340,DD_Info!$A$1:$E$221,3,0)),0,VLOOKUP($V340,DD_Info!$A$1:$E$221,3,0))</f>
        <v>Lubbock</v>
      </c>
      <c r="E340" s="322">
        <f>Councils!E343</f>
        <v>35</v>
      </c>
      <c r="F340" s="322">
        <f>Councils!F343</f>
        <v>3</v>
      </c>
      <c r="G340" s="322">
        <f>Councils!G343</f>
        <v>0</v>
      </c>
      <c r="H340" s="322">
        <f>Councils!H343</f>
        <v>0</v>
      </c>
      <c r="I340" s="322">
        <f>Councils!I343</f>
        <v>0</v>
      </c>
      <c r="J340" s="322">
        <f>Councils!J343</f>
        <v>2</v>
      </c>
      <c r="K340" s="322">
        <f>Councils!K343</f>
        <v>0</v>
      </c>
      <c r="L340" s="322">
        <f>Councils!L343</f>
        <v>2</v>
      </c>
      <c r="M340" s="323">
        <f>Councils!M343</f>
        <v>66.67</v>
      </c>
      <c r="N340" s="322">
        <f>Councils!O343</f>
        <v>0</v>
      </c>
      <c r="O340" s="322">
        <f>Councils!P343</f>
        <v>0</v>
      </c>
      <c r="P340" s="322">
        <f>Councils!Q343</f>
        <v>0</v>
      </c>
      <c r="Q340" s="322">
        <f>Councils!R343</f>
        <v>0</v>
      </c>
      <c r="R340" s="322">
        <f>Councils!S343</f>
        <v>0</v>
      </c>
      <c r="S340" s="322">
        <f>Councils!T343</f>
        <v>0</v>
      </c>
      <c r="T340" s="322">
        <f>Councils!U343</f>
        <v>0</v>
      </c>
      <c r="U340" s="323">
        <f>Councils!V343</f>
        <v>0</v>
      </c>
      <c r="V340" s="376">
        <v>245</v>
      </c>
      <c r="W340" s="377">
        <f t="shared" si="5"/>
        <v>3</v>
      </c>
      <c r="X340" s="378" t="str">
        <f>IF(ISNA(VLOOKUP($A340,GA!$A$1:$D$834,3,0))," ",VLOOKUP($A340,GA!$A$1:$D$834,3,0))</f>
        <v>Payne</v>
      </c>
      <c r="Y340" s="379" t="str">
        <f>IF(ISNA(VLOOKUP($A340,Dormant_Councils!$A$1:$E$811,5,0)),"No",VLOOKUP($A340,Dormant_Councils!$A$1:$E$811,5,0))</f>
        <v>No</v>
      </c>
      <c r="Z340" s="381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22" t="str">
        <f>Councils!C344</f>
        <v>043</v>
      </c>
      <c r="C341" s="322" t="str">
        <f>Councils!D344</f>
        <v>Bulverde</v>
      </c>
      <c r="D341" s="322" t="str">
        <f>IF(ISNA(VLOOKUP($V341,DD_Info!$A$1:$E$221,3,0)),0,VLOOKUP($V341,DD_Info!$A$1:$E$221,3,0))</f>
        <v>San Antonio</v>
      </c>
      <c r="E341" s="322">
        <f>Councils!E344</f>
        <v>244</v>
      </c>
      <c r="F341" s="322">
        <f>Councils!F344</f>
        <v>12</v>
      </c>
      <c r="G341" s="322">
        <f>Councils!G344</f>
        <v>0</v>
      </c>
      <c r="H341" s="322">
        <f>Councils!H344</f>
        <v>0</v>
      </c>
      <c r="I341" s="322">
        <f>Councils!I344</f>
        <v>0</v>
      </c>
      <c r="J341" s="322">
        <f>Councils!J344</f>
        <v>1</v>
      </c>
      <c r="K341" s="322">
        <f>Councils!K344</f>
        <v>3</v>
      </c>
      <c r="L341" s="322">
        <f>Councils!L344</f>
        <v>-2</v>
      </c>
      <c r="M341" s="323">
        <f>Councils!M344</f>
        <v>0</v>
      </c>
      <c r="N341" s="322">
        <f>Councils!O344</f>
        <v>0</v>
      </c>
      <c r="O341" s="322">
        <f>Councils!P344</f>
        <v>0</v>
      </c>
      <c r="P341" s="322">
        <f>Councils!Q344</f>
        <v>0</v>
      </c>
      <c r="Q341" s="322">
        <f>Councils!R344</f>
        <v>0</v>
      </c>
      <c r="R341" s="322">
        <f>Councils!S344</f>
        <v>3</v>
      </c>
      <c r="S341" s="322">
        <f>Councils!T344</f>
        <v>3</v>
      </c>
      <c r="T341" s="322">
        <f>Councils!U344</f>
        <v>0</v>
      </c>
      <c r="U341" s="323">
        <f>Councils!V344</f>
        <v>0</v>
      </c>
      <c r="V341" s="376">
        <v>43</v>
      </c>
      <c r="W341" s="377">
        <f t="shared" si="5"/>
        <v>1</v>
      </c>
      <c r="X341" s="378" t="str">
        <f>IF(ISNA(VLOOKUP($A341,GA!$A$1:$D$834,3,0))," ",VLOOKUP($A341,GA!$A$1:$D$834,3,0))</f>
        <v>Dougherty</v>
      </c>
      <c r="Y341" s="379" t="str">
        <f>IF(ISNA(VLOOKUP($A341,Dormant_Councils!$A$1:$E$811,5,0)),"No",VLOOKUP($A341,Dormant_Councils!$A$1:$E$811,5,0))</f>
        <v>No</v>
      </c>
      <c r="Z341" s="381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22" t="str">
        <f>Councils!C345</f>
        <v>066</v>
      </c>
      <c r="C342" s="322" t="str">
        <f>Councils!D345</f>
        <v>Brazoria</v>
      </c>
      <c r="D342" s="322" t="str">
        <f>IF(ISNA(VLOOKUP($V342,DD_Info!$A$1:$E$221,3,0)),0,VLOOKUP($V342,DD_Info!$A$1:$E$221,3,0))</f>
        <v>Galv/Hous</v>
      </c>
      <c r="E342" s="322">
        <f>Councils!E345</f>
        <v>118</v>
      </c>
      <c r="F342" s="322">
        <f>Councils!F345</f>
        <v>6</v>
      </c>
      <c r="G342" s="322">
        <f>Councils!G345</f>
        <v>0</v>
      </c>
      <c r="H342" s="322">
        <f>Councils!H345</f>
        <v>0</v>
      </c>
      <c r="I342" s="322">
        <f>Councils!I345</f>
        <v>0</v>
      </c>
      <c r="J342" s="322">
        <f>Councils!J345</f>
        <v>0</v>
      </c>
      <c r="K342" s="322">
        <f>Councils!K345</f>
        <v>0</v>
      </c>
      <c r="L342" s="322">
        <f>Councils!L345</f>
        <v>0</v>
      </c>
      <c r="M342" s="323">
        <f>Councils!M345</f>
        <v>0</v>
      </c>
      <c r="N342" s="322">
        <f>Councils!O345</f>
        <v>0</v>
      </c>
      <c r="O342" s="322">
        <f>Councils!P345</f>
        <v>0</v>
      </c>
      <c r="P342" s="322">
        <f>Councils!Q345</f>
        <v>1</v>
      </c>
      <c r="Q342" s="322">
        <f>Councils!R345</f>
        <v>-1</v>
      </c>
      <c r="R342" s="322">
        <f>Councils!S345</f>
        <v>0</v>
      </c>
      <c r="S342" s="322">
        <f>Councils!T345</f>
        <v>1</v>
      </c>
      <c r="T342" s="322">
        <f>Councils!U345</f>
        <v>-1</v>
      </c>
      <c r="U342" s="323">
        <f>Councils!V345</f>
        <v>0</v>
      </c>
      <c r="V342" s="376">
        <v>66</v>
      </c>
      <c r="W342" s="377">
        <f t="shared" si="5"/>
        <v>2</v>
      </c>
      <c r="X342" s="378" t="str">
        <f>IF(ISNA(VLOOKUP($A342,GA!$A$1:$D$834,3,0))," ",VLOOKUP($A342,GA!$A$1:$D$834,3,0))</f>
        <v>Supak</v>
      </c>
      <c r="Y342" s="379" t="str">
        <f>IF(ISNA(VLOOKUP($A342,Dormant_Councils!$A$1:$E$811,5,0)),"No",VLOOKUP($A342,Dormant_Councils!$A$1:$E$811,5,0))</f>
        <v>No</v>
      </c>
      <c r="Z342" s="381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22" t="str">
        <f>Councils!C346</f>
        <v>225</v>
      </c>
      <c r="C343" s="322" t="str">
        <f>Councils!D346</f>
        <v>Ozona</v>
      </c>
      <c r="D343" s="322" t="str">
        <f>IF(ISNA(VLOOKUP($V343,DD_Info!$A$1:$E$221,3,0)),0,VLOOKUP($V343,DD_Info!$A$1:$E$221,3,0))</f>
        <v>San Angelo</v>
      </c>
      <c r="E343" s="322">
        <f>Councils!E346</f>
        <v>80</v>
      </c>
      <c r="F343" s="322">
        <f>Councils!F346</f>
        <v>4</v>
      </c>
      <c r="G343" s="322">
        <f>Councils!G346</f>
        <v>0</v>
      </c>
      <c r="H343" s="322">
        <f>Councils!H346</f>
        <v>0</v>
      </c>
      <c r="I343" s="322">
        <f>Councils!I346</f>
        <v>0</v>
      </c>
      <c r="J343" s="322">
        <f>Councils!J346</f>
        <v>0</v>
      </c>
      <c r="K343" s="322">
        <f>Councils!K346</f>
        <v>0</v>
      </c>
      <c r="L343" s="322">
        <f>Councils!L346</f>
        <v>0</v>
      </c>
      <c r="M343" s="323">
        <f>Councils!M346</f>
        <v>0</v>
      </c>
      <c r="N343" s="322">
        <f>Councils!O346</f>
        <v>0</v>
      </c>
      <c r="O343" s="322">
        <f>Councils!P346</f>
        <v>0</v>
      </c>
      <c r="P343" s="322">
        <f>Councils!Q346</f>
        <v>0</v>
      </c>
      <c r="Q343" s="322">
        <f>Councils!R346</f>
        <v>0</v>
      </c>
      <c r="R343" s="322">
        <f>Councils!S346</f>
        <v>0</v>
      </c>
      <c r="S343" s="322">
        <f>Councils!T346</f>
        <v>0</v>
      </c>
      <c r="T343" s="322">
        <f>Councils!U346</f>
        <v>0</v>
      </c>
      <c r="U343" s="323">
        <f>Councils!V346</f>
        <v>0</v>
      </c>
      <c r="V343" s="376">
        <v>225</v>
      </c>
      <c r="W343" s="377">
        <f t="shared" si="5"/>
        <v>2</v>
      </c>
      <c r="X343" s="378" t="str">
        <f>IF(ISNA(VLOOKUP($A343,GA!$A$1:$D$834,3,0))," ",VLOOKUP($A343,GA!$A$1:$D$834,3,0))</f>
        <v>Payne</v>
      </c>
      <c r="Y343" s="379" t="str">
        <f>IF(ISNA(VLOOKUP($A343,Dormant_Councils!$A$1:$E$811,5,0)),"No",VLOOKUP($A343,Dormant_Councils!$A$1:$E$811,5,0))</f>
        <v>No</v>
      </c>
      <c r="Z343" s="381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22" t="str">
        <f>Councils!C347</f>
        <v>227</v>
      </c>
      <c r="C344" s="322" t="str">
        <f>Councils!D347</f>
        <v>Winters</v>
      </c>
      <c r="D344" s="322" t="str">
        <f>IF(ISNA(VLOOKUP($V344,DD_Info!$A$1:$E$221,3,0)),0,VLOOKUP($V344,DD_Info!$A$1:$E$221,3,0))</f>
        <v>San Angelo</v>
      </c>
      <c r="E344" s="322">
        <f>Councils!E347</f>
        <v>20</v>
      </c>
      <c r="F344" s="322">
        <f>Councils!F347</f>
        <v>3</v>
      </c>
      <c r="G344" s="322">
        <f>Councils!G347</f>
        <v>0</v>
      </c>
      <c r="H344" s="322">
        <f>Councils!H347</f>
        <v>0</v>
      </c>
      <c r="I344" s="322">
        <f>Councils!I347</f>
        <v>0</v>
      </c>
      <c r="J344" s="322">
        <f>Councils!J347</f>
        <v>0</v>
      </c>
      <c r="K344" s="322">
        <f>Councils!K347</f>
        <v>0</v>
      </c>
      <c r="L344" s="322">
        <f>Councils!L347</f>
        <v>0</v>
      </c>
      <c r="M344" s="323">
        <f>Councils!M347</f>
        <v>0</v>
      </c>
      <c r="N344" s="322">
        <f>Councils!O347</f>
        <v>0</v>
      </c>
      <c r="O344" s="322">
        <f>Councils!P347</f>
        <v>0</v>
      </c>
      <c r="P344" s="322">
        <f>Councils!Q347</f>
        <v>0</v>
      </c>
      <c r="Q344" s="322">
        <f>Councils!R347</f>
        <v>0</v>
      </c>
      <c r="R344" s="322">
        <f>Councils!S347</f>
        <v>0</v>
      </c>
      <c r="S344" s="322">
        <f>Councils!T347</f>
        <v>0</v>
      </c>
      <c r="T344" s="322">
        <f>Councils!U347</f>
        <v>0</v>
      </c>
      <c r="U344" s="323">
        <f>Councils!V347</f>
        <v>0</v>
      </c>
      <c r="V344" s="376">
        <v>227</v>
      </c>
      <c r="W344" s="377">
        <f t="shared" si="5"/>
        <v>3</v>
      </c>
      <c r="X344" s="378" t="str">
        <f>IF(ISNA(VLOOKUP($A344,GA!$A$1:$D$834,3,0))," ",VLOOKUP($A344,GA!$A$1:$D$834,3,0))</f>
        <v>Payne</v>
      </c>
      <c r="Y344" s="379" t="str">
        <f>IF(ISNA(VLOOKUP($A344,Dormant_Councils!$A$1:$E$811,5,0)),"No",VLOOKUP($A344,Dormant_Councils!$A$1:$E$811,5,0))</f>
        <v>Dormant</v>
      </c>
      <c r="Z344" s="381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22" t="str">
        <f>Councils!C348</f>
        <v>121</v>
      </c>
      <c r="C345" s="322" t="str">
        <f>Councils!D348</f>
        <v>Silsbee</v>
      </c>
      <c r="D345" s="322" t="str">
        <f>IF(ISNA(VLOOKUP($V345,DD_Info!$A$1:$E$221,3,0)),0,VLOOKUP($V345,DD_Info!$A$1:$E$221,3,0))</f>
        <v>Beaumont</v>
      </c>
      <c r="E345" s="322">
        <f>Councils!E348</f>
        <v>63</v>
      </c>
      <c r="F345" s="322">
        <f>Councils!F348</f>
        <v>3</v>
      </c>
      <c r="G345" s="322">
        <f>Councils!G348</f>
        <v>0</v>
      </c>
      <c r="H345" s="322">
        <f>Councils!H348</f>
        <v>0</v>
      </c>
      <c r="I345" s="322">
        <f>Councils!I348</f>
        <v>0</v>
      </c>
      <c r="J345" s="322">
        <f>Councils!J348</f>
        <v>0</v>
      </c>
      <c r="K345" s="322">
        <f>Councils!K348</f>
        <v>0</v>
      </c>
      <c r="L345" s="322">
        <f>Councils!L348</f>
        <v>0</v>
      </c>
      <c r="M345" s="323">
        <f>Councils!M348</f>
        <v>0</v>
      </c>
      <c r="N345" s="322">
        <f>Councils!O348</f>
        <v>0</v>
      </c>
      <c r="O345" s="322">
        <f>Councils!P348</f>
        <v>0</v>
      </c>
      <c r="P345" s="322">
        <f>Councils!Q348</f>
        <v>0</v>
      </c>
      <c r="Q345" s="322">
        <f>Councils!R348</f>
        <v>0</v>
      </c>
      <c r="R345" s="322">
        <f>Councils!S348</f>
        <v>0</v>
      </c>
      <c r="S345" s="322">
        <f>Councils!T348</f>
        <v>0</v>
      </c>
      <c r="T345" s="322">
        <f>Councils!U348</f>
        <v>0</v>
      </c>
      <c r="U345" s="323">
        <f>Councils!V348</f>
        <v>0</v>
      </c>
      <c r="V345" s="376">
        <v>121</v>
      </c>
      <c r="W345" s="377">
        <f t="shared" si="5"/>
        <v>3</v>
      </c>
      <c r="X345" s="378" t="str">
        <f>IF(ISNA(VLOOKUP($A345,GA!$A$1:$D$834,3,0))," ",VLOOKUP($A345,GA!$A$1:$D$834,3,0))</f>
        <v>Rangel</v>
      </c>
      <c r="Y345" s="379" t="str">
        <f>IF(ISNA(VLOOKUP($A345,Dormant_Councils!$A$1:$E$811,5,0)),"No",VLOOKUP($A345,Dormant_Councils!$A$1:$E$811,5,0))</f>
        <v>No</v>
      </c>
      <c r="Z345" s="381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22" t="str">
        <f>Councils!C349</f>
        <v>037</v>
      </c>
      <c r="C346" s="322" t="str">
        <f>Councils!D349</f>
        <v>Lytle</v>
      </c>
      <c r="D346" s="322" t="str">
        <f>IF(ISNA(VLOOKUP($V346,DD_Info!$A$1:$E$221,3,0)),0,VLOOKUP($V346,DD_Info!$A$1:$E$221,3,0))</f>
        <v>San Antonio</v>
      </c>
      <c r="E346" s="322">
        <f>Councils!E349</f>
        <v>82</v>
      </c>
      <c r="F346" s="322">
        <f>Councils!F349</f>
        <v>4</v>
      </c>
      <c r="G346" s="322">
        <f>Councils!G349</f>
        <v>0</v>
      </c>
      <c r="H346" s="322">
        <f>Councils!H349</f>
        <v>0</v>
      </c>
      <c r="I346" s="322">
        <f>Councils!I349</f>
        <v>0</v>
      </c>
      <c r="J346" s="322">
        <f>Councils!J349</f>
        <v>0</v>
      </c>
      <c r="K346" s="322">
        <f>Councils!K349</f>
        <v>0</v>
      </c>
      <c r="L346" s="322">
        <f>Councils!L349</f>
        <v>0</v>
      </c>
      <c r="M346" s="323">
        <f>Councils!M349</f>
        <v>0</v>
      </c>
      <c r="N346" s="322">
        <f>Councils!O349</f>
        <v>0</v>
      </c>
      <c r="O346" s="322">
        <f>Councils!P349</f>
        <v>0</v>
      </c>
      <c r="P346" s="322">
        <f>Councils!Q349</f>
        <v>1</v>
      </c>
      <c r="Q346" s="322">
        <f>Councils!R349</f>
        <v>-1</v>
      </c>
      <c r="R346" s="322">
        <f>Councils!S349</f>
        <v>0</v>
      </c>
      <c r="S346" s="322">
        <f>Councils!T349</f>
        <v>1</v>
      </c>
      <c r="T346" s="322">
        <f>Councils!U349</f>
        <v>-1</v>
      </c>
      <c r="U346" s="323">
        <f>Councils!V349</f>
        <v>0</v>
      </c>
      <c r="V346" s="376">
        <v>37</v>
      </c>
      <c r="W346" s="377">
        <f t="shared" si="5"/>
        <v>2</v>
      </c>
      <c r="X346" s="378" t="str">
        <f>IF(ISNA(VLOOKUP($A346,GA!$A$1:$D$834,3,0))," ",VLOOKUP($A346,GA!$A$1:$D$834,3,0))</f>
        <v>Dougherty</v>
      </c>
      <c r="Y346" s="379" t="str">
        <f>IF(ISNA(VLOOKUP($A346,Dormant_Councils!$A$1:$E$811,5,0)),"No",VLOOKUP($A346,Dormant_Councils!$A$1:$E$811,5,0))</f>
        <v>No</v>
      </c>
      <c r="Z346" s="381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22" t="str">
        <f>Councils!C350</f>
        <v>178</v>
      </c>
      <c r="C347" s="322" t="str">
        <f>Councils!D350</f>
        <v>Gregory</v>
      </c>
      <c r="D347" s="322" t="str">
        <f>IF(ISNA(VLOOKUP($V347,DD_Info!$A$1:$E$221,3,0)),0,VLOOKUP($V347,DD_Info!$A$1:$E$221,3,0))</f>
        <v>Corpus Christi</v>
      </c>
      <c r="E347" s="322">
        <f>Councils!E350</f>
        <v>107</v>
      </c>
      <c r="F347" s="322">
        <f>Councils!F350</f>
        <v>5</v>
      </c>
      <c r="G347" s="322">
        <f>Councils!G350</f>
        <v>0</v>
      </c>
      <c r="H347" s="322">
        <f>Councils!H350</f>
        <v>0</v>
      </c>
      <c r="I347" s="322">
        <f>Councils!I350</f>
        <v>0</v>
      </c>
      <c r="J347" s="322">
        <f>Councils!J350</f>
        <v>0</v>
      </c>
      <c r="K347" s="322">
        <f>Councils!K350</f>
        <v>0</v>
      </c>
      <c r="L347" s="322">
        <f>Councils!L350</f>
        <v>0</v>
      </c>
      <c r="M347" s="323">
        <f>Councils!M350</f>
        <v>0</v>
      </c>
      <c r="N347" s="322">
        <f>Councils!O350</f>
        <v>0</v>
      </c>
      <c r="O347" s="322">
        <f>Councils!P350</f>
        <v>0</v>
      </c>
      <c r="P347" s="322">
        <f>Councils!Q350</f>
        <v>1</v>
      </c>
      <c r="Q347" s="322">
        <f>Councils!R350</f>
        <v>-1</v>
      </c>
      <c r="R347" s="322">
        <f>Councils!S350</f>
        <v>0</v>
      </c>
      <c r="S347" s="322">
        <f>Councils!T350</f>
        <v>1</v>
      </c>
      <c r="T347" s="322">
        <f>Councils!U350</f>
        <v>-1</v>
      </c>
      <c r="U347" s="323">
        <f>Councils!V350</f>
        <v>0</v>
      </c>
      <c r="V347" s="376">
        <v>178</v>
      </c>
      <c r="W347" s="377">
        <f t="shared" si="5"/>
        <v>2</v>
      </c>
      <c r="X347" s="378" t="str">
        <f>IF(ISNA(VLOOKUP($A347,GA!$A$1:$D$834,3,0))," ",VLOOKUP($A347,GA!$A$1:$D$834,3,0))</f>
        <v>Carlin</v>
      </c>
      <c r="Y347" s="379" t="str">
        <f>IF(ISNA(VLOOKUP($A347,Dormant_Councils!$A$1:$E$811,5,0)),"No",VLOOKUP($A347,Dormant_Councils!$A$1:$E$811,5,0))</f>
        <v>Dormant</v>
      </c>
      <c r="Z347" s="381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22" t="str">
        <f>Councils!C351</f>
        <v>089</v>
      </c>
      <c r="C348" s="322" t="str">
        <f>Councils!D351</f>
        <v>Houston</v>
      </c>
      <c r="D348" s="322" t="str">
        <f>IF(ISNA(VLOOKUP($V348,DD_Info!$A$1:$E$221,3,0)),0,VLOOKUP($V348,DD_Info!$A$1:$E$221,3,0))</f>
        <v>Galv/Hous</v>
      </c>
      <c r="E348" s="322">
        <f>Councils!E351</f>
        <v>49</v>
      </c>
      <c r="F348" s="322">
        <f>Councils!F351</f>
        <v>3</v>
      </c>
      <c r="G348" s="322">
        <f>Councils!G351</f>
        <v>0</v>
      </c>
      <c r="H348" s="322">
        <f>Councils!H351</f>
        <v>0</v>
      </c>
      <c r="I348" s="322">
        <f>Councils!I351</f>
        <v>0</v>
      </c>
      <c r="J348" s="322">
        <f>Councils!J351</f>
        <v>0</v>
      </c>
      <c r="K348" s="322">
        <f>Councils!K351</f>
        <v>0</v>
      </c>
      <c r="L348" s="322">
        <f>Councils!L351</f>
        <v>0</v>
      </c>
      <c r="M348" s="323">
        <f>Councils!M351</f>
        <v>0</v>
      </c>
      <c r="N348" s="322">
        <f>Councils!O351</f>
        <v>0</v>
      </c>
      <c r="O348" s="322">
        <f>Councils!P351</f>
        <v>0</v>
      </c>
      <c r="P348" s="322">
        <f>Councils!Q351</f>
        <v>0</v>
      </c>
      <c r="Q348" s="322">
        <f>Councils!R351</f>
        <v>0</v>
      </c>
      <c r="R348" s="322">
        <f>Councils!S351</f>
        <v>0</v>
      </c>
      <c r="S348" s="322">
        <f>Councils!T351</f>
        <v>0</v>
      </c>
      <c r="T348" s="322">
        <f>Councils!U351</f>
        <v>0</v>
      </c>
      <c r="U348" s="323">
        <f>Councils!V351</f>
        <v>0</v>
      </c>
      <c r="V348" s="376">
        <v>89</v>
      </c>
      <c r="W348" s="377">
        <f t="shared" si="5"/>
        <v>3</v>
      </c>
      <c r="X348" s="378" t="str">
        <f>IF(ISNA(VLOOKUP($A348,GA!$A$1:$D$834,3,0))," ",VLOOKUP($A348,GA!$A$1:$D$834,3,0))</f>
        <v>Rangel</v>
      </c>
      <c r="Y348" s="379" t="str">
        <f>IF(ISNA(VLOOKUP($A348,Dormant_Councils!$A$1:$E$811,5,0)),"No",VLOOKUP($A348,Dormant_Councils!$A$1:$E$811,5,0))</f>
        <v>No</v>
      </c>
      <c r="Z348" s="381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22" t="str">
        <f>Councils!C352</f>
        <v>048</v>
      </c>
      <c r="C349" s="322" t="str">
        <f>Councils!D352</f>
        <v>San Antonio</v>
      </c>
      <c r="D349" s="322" t="str">
        <f>IF(ISNA(VLOOKUP($V349,DD_Info!$A$1:$E$221,3,0)),0,VLOOKUP($V349,DD_Info!$A$1:$E$221,3,0))</f>
        <v>San Antonio</v>
      </c>
      <c r="E349" s="322">
        <f>Councils!E352</f>
        <v>125</v>
      </c>
      <c r="F349" s="322">
        <f>Councils!F352</f>
        <v>6</v>
      </c>
      <c r="G349" s="322">
        <f>Councils!G352</f>
        <v>0</v>
      </c>
      <c r="H349" s="322">
        <f>Councils!H352</f>
        <v>0</v>
      </c>
      <c r="I349" s="322">
        <f>Councils!I352</f>
        <v>0</v>
      </c>
      <c r="J349" s="322">
        <f>Councils!J352</f>
        <v>2</v>
      </c>
      <c r="K349" s="322">
        <f>Councils!K352</f>
        <v>0</v>
      </c>
      <c r="L349" s="322">
        <f>Councils!L352</f>
        <v>2</v>
      </c>
      <c r="M349" s="323">
        <f>Councils!M352</f>
        <v>33.33</v>
      </c>
      <c r="N349" s="322">
        <f>Councils!O352</f>
        <v>0</v>
      </c>
      <c r="O349" s="322">
        <f>Councils!P352</f>
        <v>0</v>
      </c>
      <c r="P349" s="322">
        <f>Councils!Q352</f>
        <v>0</v>
      </c>
      <c r="Q349" s="322">
        <f>Councils!R352</f>
        <v>0</v>
      </c>
      <c r="R349" s="322">
        <f>Councils!S352</f>
        <v>0</v>
      </c>
      <c r="S349" s="322">
        <f>Councils!T352</f>
        <v>2</v>
      </c>
      <c r="T349" s="322">
        <f>Councils!U352</f>
        <v>-2</v>
      </c>
      <c r="U349" s="323">
        <f>Councils!V352</f>
        <v>0</v>
      </c>
      <c r="V349" s="376">
        <v>48</v>
      </c>
      <c r="W349" s="377">
        <f t="shared" si="5"/>
        <v>2</v>
      </c>
      <c r="X349" s="378" t="str">
        <f>IF(ISNA(VLOOKUP($A349,GA!$A$1:$D$834,3,0))," ",VLOOKUP($A349,GA!$A$1:$D$834,3,0))</f>
        <v>Dougherty</v>
      </c>
      <c r="Y349" s="379" t="str">
        <f>IF(ISNA(VLOOKUP($A349,Dormant_Councils!$A$1:$E$811,5,0)),"No",VLOOKUP($A349,Dormant_Councils!$A$1:$E$811,5,0))</f>
        <v>No</v>
      </c>
      <c r="Z349" s="381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22" t="str">
        <f>Councils!C353</f>
        <v>221</v>
      </c>
      <c r="C350" s="322" t="str">
        <f>Councils!D353</f>
        <v>Stanton</v>
      </c>
      <c r="D350" s="322" t="str">
        <f>IF(ISNA(VLOOKUP($V350,DD_Info!$A$1:$E$221,3,0)),0,VLOOKUP($V350,DD_Info!$A$1:$E$221,3,0))</f>
        <v>San Angelo</v>
      </c>
      <c r="E350" s="322">
        <f>Councils!E353</f>
        <v>53</v>
      </c>
      <c r="F350" s="322">
        <f>Councils!F353</f>
        <v>3</v>
      </c>
      <c r="G350" s="322">
        <f>Councils!G353</f>
        <v>0</v>
      </c>
      <c r="H350" s="322">
        <f>Councils!H353</f>
        <v>0</v>
      </c>
      <c r="I350" s="322">
        <f>Councils!I353</f>
        <v>0</v>
      </c>
      <c r="J350" s="322">
        <f>Councils!J353</f>
        <v>0</v>
      </c>
      <c r="K350" s="322">
        <f>Councils!K353</f>
        <v>0</v>
      </c>
      <c r="L350" s="322">
        <f>Councils!L353</f>
        <v>0</v>
      </c>
      <c r="M350" s="323">
        <f>Councils!M353</f>
        <v>0</v>
      </c>
      <c r="N350" s="322">
        <f>Councils!O353</f>
        <v>0</v>
      </c>
      <c r="O350" s="322">
        <f>Councils!P353</f>
        <v>0</v>
      </c>
      <c r="P350" s="322">
        <f>Councils!Q353</f>
        <v>0</v>
      </c>
      <c r="Q350" s="322">
        <f>Councils!R353</f>
        <v>0</v>
      </c>
      <c r="R350" s="322">
        <f>Councils!S353</f>
        <v>0</v>
      </c>
      <c r="S350" s="322">
        <f>Councils!T353</f>
        <v>0</v>
      </c>
      <c r="T350" s="322">
        <f>Councils!U353</f>
        <v>0</v>
      </c>
      <c r="U350" s="323">
        <f>Councils!V353</f>
        <v>0</v>
      </c>
      <c r="V350" s="376">
        <v>221</v>
      </c>
      <c r="W350" s="377">
        <f t="shared" si="5"/>
        <v>3</v>
      </c>
      <c r="X350" s="378" t="str">
        <f>IF(ISNA(VLOOKUP($A350,GA!$A$1:$D$834,3,0))," ",VLOOKUP($A350,GA!$A$1:$D$834,3,0))</f>
        <v>Payne</v>
      </c>
      <c r="Y350" s="379" t="str">
        <f>IF(ISNA(VLOOKUP($A350,Dormant_Councils!$A$1:$E$811,5,0)),"No",VLOOKUP($A350,Dormant_Councils!$A$1:$E$811,5,0))</f>
        <v>No</v>
      </c>
      <c r="Z350" s="381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22" t="str">
        <f>Councils!C354</f>
        <v>053</v>
      </c>
      <c r="C351" s="322" t="str">
        <f>Councils!D354</f>
        <v>San Antonio</v>
      </c>
      <c r="D351" s="322" t="str">
        <f>IF(ISNA(VLOOKUP($V351,DD_Info!$A$1:$E$221,3,0)),0,VLOOKUP($V351,DD_Info!$A$1:$E$221,3,0))</f>
        <v>San Antonio</v>
      </c>
      <c r="E351" s="322">
        <f>Councils!E354</f>
        <v>48</v>
      </c>
      <c r="F351" s="322">
        <f>Councils!F354</f>
        <v>3</v>
      </c>
      <c r="G351" s="322">
        <f>Councils!G354</f>
        <v>0</v>
      </c>
      <c r="H351" s="322">
        <f>Councils!H354</f>
        <v>0</v>
      </c>
      <c r="I351" s="322">
        <f>Councils!I354</f>
        <v>0</v>
      </c>
      <c r="J351" s="322">
        <f>Councils!J354</f>
        <v>0</v>
      </c>
      <c r="K351" s="322">
        <f>Councils!K354</f>
        <v>0</v>
      </c>
      <c r="L351" s="322">
        <f>Councils!L354</f>
        <v>0</v>
      </c>
      <c r="M351" s="323">
        <f>Councils!M354</f>
        <v>0</v>
      </c>
      <c r="N351" s="322">
        <f>Councils!O354</f>
        <v>0</v>
      </c>
      <c r="O351" s="322">
        <f>Councils!P354</f>
        <v>0</v>
      </c>
      <c r="P351" s="322">
        <f>Councils!Q354</f>
        <v>0</v>
      </c>
      <c r="Q351" s="322">
        <f>Councils!R354</f>
        <v>0</v>
      </c>
      <c r="R351" s="322">
        <f>Councils!S354</f>
        <v>1</v>
      </c>
      <c r="S351" s="322">
        <f>Councils!T354</f>
        <v>0</v>
      </c>
      <c r="T351" s="322">
        <f>Councils!U354</f>
        <v>1</v>
      </c>
      <c r="U351" s="323">
        <f>Councils!V354</f>
        <v>0</v>
      </c>
      <c r="V351" s="376">
        <v>53</v>
      </c>
      <c r="W351" s="377">
        <f t="shared" si="5"/>
        <v>3</v>
      </c>
      <c r="X351" s="378" t="str">
        <f>IF(ISNA(VLOOKUP($A351,GA!$A$1:$D$834,3,0))," ",VLOOKUP($A351,GA!$A$1:$D$834,3,0))</f>
        <v>Dougherty</v>
      </c>
      <c r="Y351" s="379" t="str">
        <f>IF(ISNA(VLOOKUP($A351,Dormant_Councils!$A$1:$E$811,5,0)),"No",VLOOKUP($A351,Dormant_Councils!$A$1:$E$811,5,0))</f>
        <v>Dormant</v>
      </c>
      <c r="Z351" s="381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22" t="str">
        <f>Councils!C355</f>
        <v>090</v>
      </c>
      <c r="C352" s="322" t="str">
        <f>Councils!D355</f>
        <v>Houston</v>
      </c>
      <c r="D352" s="322" t="str">
        <f>IF(ISNA(VLOOKUP($V352,DD_Info!$A$1:$E$221,3,0)),0,VLOOKUP($V352,DD_Info!$A$1:$E$221,3,0))</f>
        <v>Galv/Hous</v>
      </c>
      <c r="E352" s="322">
        <f>Councils!E355</f>
        <v>717</v>
      </c>
      <c r="F352" s="322">
        <f>Councils!F355</f>
        <v>20</v>
      </c>
      <c r="G352" s="322">
        <f>Councils!G355</f>
        <v>1</v>
      </c>
      <c r="H352" s="322">
        <f>Councils!H355</f>
        <v>0</v>
      </c>
      <c r="I352" s="322">
        <f>Councils!I355</f>
        <v>1</v>
      </c>
      <c r="J352" s="322">
        <f>Councils!J355</f>
        <v>4</v>
      </c>
      <c r="K352" s="322">
        <f>Councils!K355</f>
        <v>0</v>
      </c>
      <c r="L352" s="322">
        <f>Councils!L355</f>
        <v>4</v>
      </c>
      <c r="M352" s="323">
        <f>Councils!M355</f>
        <v>20</v>
      </c>
      <c r="N352" s="322">
        <f>Councils!O355</f>
        <v>0</v>
      </c>
      <c r="O352" s="322">
        <f>Councils!P355</f>
        <v>1</v>
      </c>
      <c r="P352" s="322">
        <f>Councils!Q355</f>
        <v>2</v>
      </c>
      <c r="Q352" s="322">
        <f>Councils!R355</f>
        <v>-1</v>
      </c>
      <c r="R352" s="322">
        <f>Councils!S355</f>
        <v>3</v>
      </c>
      <c r="S352" s="322">
        <f>Councils!T355</f>
        <v>4</v>
      </c>
      <c r="T352" s="322">
        <f>Councils!U355</f>
        <v>-1</v>
      </c>
      <c r="U352" s="323">
        <f>Councils!V355</f>
        <v>0</v>
      </c>
      <c r="V352" s="376">
        <v>90</v>
      </c>
      <c r="W352" s="377">
        <f t="shared" si="5"/>
        <v>1</v>
      </c>
      <c r="X352" s="378" t="str">
        <f>IF(ISNA(VLOOKUP($A352,GA!$A$1:$D$834,3,0))," ",VLOOKUP($A352,GA!$A$1:$D$834,3,0))</f>
        <v>Rangel</v>
      </c>
      <c r="Y352" s="379" t="str">
        <f>IF(ISNA(VLOOKUP($A352,Dormant_Councils!$A$1:$E$811,5,0)),"No",VLOOKUP($A352,Dormant_Councils!$A$1:$E$811,5,0))</f>
        <v>No</v>
      </c>
      <c r="Z352" s="381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22" t="str">
        <f>Councils!C356</f>
        <v>223</v>
      </c>
      <c r="C353" s="322" t="str">
        <f>Councils!D356</f>
        <v>Odessa</v>
      </c>
      <c r="D353" s="322" t="str">
        <f>IF(ISNA(VLOOKUP($V353,DD_Info!$A$1:$E$221,3,0)),0,VLOOKUP($V353,DD_Info!$A$1:$E$221,3,0))</f>
        <v>San Angelo</v>
      </c>
      <c r="E353" s="322">
        <f>Councils!E356</f>
        <v>151</v>
      </c>
      <c r="F353" s="322">
        <f>Councils!F356</f>
        <v>7</v>
      </c>
      <c r="G353" s="322">
        <f>Councils!G356</f>
        <v>0</v>
      </c>
      <c r="H353" s="322">
        <f>Councils!H356</f>
        <v>0</v>
      </c>
      <c r="I353" s="322">
        <f>Councils!I356</f>
        <v>0</v>
      </c>
      <c r="J353" s="322">
        <f>Councils!J356</f>
        <v>0</v>
      </c>
      <c r="K353" s="322">
        <f>Councils!K356</f>
        <v>0</v>
      </c>
      <c r="L353" s="322">
        <f>Councils!L356</f>
        <v>0</v>
      </c>
      <c r="M353" s="323">
        <f>Councils!M356</f>
        <v>0</v>
      </c>
      <c r="N353" s="322">
        <f>Councils!O356</f>
        <v>0</v>
      </c>
      <c r="O353" s="322">
        <f>Councils!P356</f>
        <v>0</v>
      </c>
      <c r="P353" s="322">
        <f>Councils!Q356</f>
        <v>1</v>
      </c>
      <c r="Q353" s="322">
        <f>Councils!R356</f>
        <v>-1</v>
      </c>
      <c r="R353" s="322">
        <f>Councils!S356</f>
        <v>1</v>
      </c>
      <c r="S353" s="322">
        <f>Councils!T356</f>
        <v>3</v>
      </c>
      <c r="T353" s="322">
        <f>Councils!U356</f>
        <v>-2</v>
      </c>
      <c r="U353" s="323">
        <f>Councils!V356</f>
        <v>0</v>
      </c>
      <c r="V353" s="376">
        <v>223</v>
      </c>
      <c r="W353" s="377">
        <f t="shared" si="5"/>
        <v>1</v>
      </c>
      <c r="X353" s="378" t="str">
        <f>IF(ISNA(VLOOKUP($A353,GA!$A$1:$D$834,3,0))," ",VLOOKUP($A353,GA!$A$1:$D$834,3,0))</f>
        <v>Payne</v>
      </c>
      <c r="Y353" s="379" t="str">
        <f>IF(ISNA(VLOOKUP($A353,Dormant_Councils!$A$1:$E$811,5,0)),"No",VLOOKUP($A353,Dormant_Councils!$A$1:$E$811,5,0))</f>
        <v>No</v>
      </c>
      <c r="Z353" s="381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22" t="str">
        <f>Councils!C357</f>
        <v>116</v>
      </c>
      <c r="C354" s="322" t="str">
        <f>Councils!D357</f>
        <v>Dallas Fort Worth Met</v>
      </c>
      <c r="D354" s="322" t="str">
        <f>IF(ISNA(VLOOKUP($V354,DD_Info!$A$1:$E$221,3,0)),0,VLOOKUP($V354,DD_Info!$A$1:$E$221,3,0))</f>
        <v>Dallas</v>
      </c>
      <c r="E354" s="322">
        <f>Councils!E357</f>
        <v>32</v>
      </c>
      <c r="F354" s="322">
        <f>Councils!F357</f>
        <v>3</v>
      </c>
      <c r="G354" s="322">
        <f>Councils!G357</f>
        <v>0</v>
      </c>
      <c r="H354" s="322">
        <f>Councils!H357</f>
        <v>0</v>
      </c>
      <c r="I354" s="322">
        <f>Councils!I357</f>
        <v>0</v>
      </c>
      <c r="J354" s="322">
        <f>Councils!J357</f>
        <v>0</v>
      </c>
      <c r="K354" s="322">
        <f>Councils!K357</f>
        <v>0</v>
      </c>
      <c r="L354" s="322">
        <f>Councils!L357</f>
        <v>0</v>
      </c>
      <c r="M354" s="323">
        <f>Councils!M357</f>
        <v>0</v>
      </c>
      <c r="N354" s="322">
        <f>Councils!O357</f>
        <v>0</v>
      </c>
      <c r="O354" s="322">
        <f>Councils!P357</f>
        <v>0</v>
      </c>
      <c r="P354" s="322">
        <f>Councils!Q357</f>
        <v>0</v>
      </c>
      <c r="Q354" s="322">
        <f>Councils!R357</f>
        <v>0</v>
      </c>
      <c r="R354" s="322">
        <f>Councils!S357</f>
        <v>0</v>
      </c>
      <c r="S354" s="322">
        <f>Councils!T357</f>
        <v>0</v>
      </c>
      <c r="T354" s="322">
        <f>Councils!U357</f>
        <v>0</v>
      </c>
      <c r="U354" s="323">
        <f>Councils!V357</f>
        <v>0</v>
      </c>
      <c r="V354" s="376">
        <v>116</v>
      </c>
      <c r="W354" s="377">
        <f t="shared" si="5"/>
        <v>3</v>
      </c>
      <c r="X354" s="378" t="str">
        <f>IF(ISNA(VLOOKUP($A354,GA!$A$1:$D$834,3,0))," ",VLOOKUP($A354,GA!$A$1:$D$834,3,0))</f>
        <v>Regan</v>
      </c>
      <c r="Y354" s="379" t="str">
        <f>IF(ISNA(VLOOKUP($A354,Dormant_Councils!$A$1:$E$811,5,0)),"No",VLOOKUP($A354,Dormant_Councils!$A$1:$E$811,5,0))</f>
        <v>Dormant</v>
      </c>
      <c r="Z354" s="381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22" t="str">
        <f>Councils!C358</f>
        <v>228</v>
      </c>
      <c r="C355" s="322" t="str">
        <f>Councils!D358</f>
        <v>Abilene</v>
      </c>
      <c r="D355" s="322" t="str">
        <f>IF(ISNA(VLOOKUP($V355,DD_Info!$A$1:$E$221,3,0)),0,VLOOKUP($V355,DD_Info!$A$1:$E$221,3,0))</f>
        <v>San Angelo</v>
      </c>
      <c r="E355" s="322">
        <f>Councils!E358</f>
        <v>103</v>
      </c>
      <c r="F355" s="322">
        <f>Councils!F358</f>
        <v>5</v>
      </c>
      <c r="G355" s="322">
        <f>Councils!G358</f>
        <v>0</v>
      </c>
      <c r="H355" s="322">
        <f>Councils!H358</f>
        <v>0</v>
      </c>
      <c r="I355" s="322">
        <f>Councils!I358</f>
        <v>0</v>
      </c>
      <c r="J355" s="322">
        <f>Councils!J358</f>
        <v>0</v>
      </c>
      <c r="K355" s="322">
        <f>Councils!K358</f>
        <v>0</v>
      </c>
      <c r="L355" s="322">
        <f>Councils!L358</f>
        <v>0</v>
      </c>
      <c r="M355" s="323">
        <f>Councils!M358</f>
        <v>0</v>
      </c>
      <c r="N355" s="322">
        <f>Councils!O358</f>
        <v>0</v>
      </c>
      <c r="O355" s="322">
        <f>Councils!P358</f>
        <v>0</v>
      </c>
      <c r="P355" s="322">
        <f>Councils!Q358</f>
        <v>0</v>
      </c>
      <c r="Q355" s="322">
        <f>Councils!R358</f>
        <v>0</v>
      </c>
      <c r="R355" s="322">
        <f>Councils!S358</f>
        <v>0</v>
      </c>
      <c r="S355" s="322">
        <f>Councils!T358</f>
        <v>0</v>
      </c>
      <c r="T355" s="322">
        <f>Councils!U358</f>
        <v>0</v>
      </c>
      <c r="U355" s="323">
        <f>Councils!V358</f>
        <v>0</v>
      </c>
      <c r="V355" s="376">
        <v>228</v>
      </c>
      <c r="W355" s="377">
        <f t="shared" si="5"/>
        <v>2</v>
      </c>
      <c r="X355" s="378" t="str">
        <f>IF(ISNA(VLOOKUP($A355,GA!$A$1:$D$834,3,0))," ",VLOOKUP($A355,GA!$A$1:$D$834,3,0))</f>
        <v>Payne</v>
      </c>
      <c r="Y355" s="379" t="str">
        <f>IF(ISNA(VLOOKUP($A355,Dormant_Councils!$A$1:$E$811,5,0)),"No",VLOOKUP($A355,Dormant_Councils!$A$1:$E$811,5,0))</f>
        <v>No</v>
      </c>
      <c r="Z355" s="381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22" t="str">
        <f>Councils!C359</f>
        <v>054</v>
      </c>
      <c r="C356" s="322" t="str">
        <f>Councils!D359</f>
        <v>San Antonio</v>
      </c>
      <c r="D356" s="322" t="str">
        <f>IF(ISNA(VLOOKUP($V356,DD_Info!$A$1:$E$221,3,0)),0,VLOOKUP($V356,DD_Info!$A$1:$E$221,3,0))</f>
        <v>San Antonio</v>
      </c>
      <c r="E356" s="322">
        <f>Councils!E359</f>
        <v>195</v>
      </c>
      <c r="F356" s="322">
        <f>Councils!F359</f>
        <v>10</v>
      </c>
      <c r="G356" s="322">
        <f>Councils!G359</f>
        <v>0</v>
      </c>
      <c r="H356" s="322">
        <f>Councils!H359</f>
        <v>0</v>
      </c>
      <c r="I356" s="322">
        <f>Councils!I359</f>
        <v>0</v>
      </c>
      <c r="J356" s="322">
        <f>Councils!J359</f>
        <v>0</v>
      </c>
      <c r="K356" s="322">
        <f>Councils!K359</f>
        <v>0</v>
      </c>
      <c r="L356" s="322">
        <f>Councils!L359</f>
        <v>0</v>
      </c>
      <c r="M356" s="323">
        <f>Councils!M359</f>
        <v>0</v>
      </c>
      <c r="N356" s="322">
        <f>Councils!O359</f>
        <v>0</v>
      </c>
      <c r="O356" s="322">
        <f>Councils!P359</f>
        <v>0</v>
      </c>
      <c r="P356" s="322">
        <f>Councils!Q359</f>
        <v>0</v>
      </c>
      <c r="Q356" s="322">
        <f>Councils!R359</f>
        <v>0</v>
      </c>
      <c r="R356" s="322">
        <f>Councils!S359</f>
        <v>0</v>
      </c>
      <c r="S356" s="322">
        <f>Councils!T359</f>
        <v>1</v>
      </c>
      <c r="T356" s="322">
        <f>Councils!U359</f>
        <v>-1</v>
      </c>
      <c r="U356" s="323">
        <f>Councils!V359</f>
        <v>0</v>
      </c>
      <c r="V356" s="376">
        <v>54</v>
      </c>
      <c r="W356" s="377">
        <f t="shared" si="5"/>
        <v>1</v>
      </c>
      <c r="X356" s="378" t="str">
        <f>IF(ISNA(VLOOKUP($A356,GA!$A$1:$D$834,3,0))," ",VLOOKUP($A356,GA!$A$1:$D$834,3,0))</f>
        <v>Dougherty</v>
      </c>
      <c r="Y356" s="379" t="str">
        <f>IF(ISNA(VLOOKUP($A356,Dormant_Councils!$A$1:$E$811,5,0)),"No",VLOOKUP($A356,Dormant_Councils!$A$1:$E$811,5,0))</f>
        <v>No</v>
      </c>
      <c r="Z356" s="381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22" t="str">
        <f>Councils!C360</f>
        <v>131</v>
      </c>
      <c r="C357" s="322" t="str">
        <f>Councils!D360</f>
        <v>Gun Barrel City</v>
      </c>
      <c r="D357" s="322" t="str">
        <f>IF(ISNA(VLOOKUP($V357,DD_Info!$A$1:$E$221,3,0)),0,VLOOKUP($V357,DD_Info!$A$1:$E$221,3,0))</f>
        <v>Tyler</v>
      </c>
      <c r="E357" s="322">
        <f>Councils!E360</f>
        <v>68</v>
      </c>
      <c r="F357" s="322">
        <f>Councils!F360</f>
        <v>3</v>
      </c>
      <c r="G357" s="322">
        <f>Councils!G360</f>
        <v>0</v>
      </c>
      <c r="H357" s="322">
        <f>Councils!H360</f>
        <v>0</v>
      </c>
      <c r="I357" s="322">
        <f>Councils!I360</f>
        <v>0</v>
      </c>
      <c r="J357" s="322">
        <f>Councils!J360</f>
        <v>0</v>
      </c>
      <c r="K357" s="322">
        <f>Councils!K360</f>
        <v>0</v>
      </c>
      <c r="L357" s="322">
        <f>Councils!L360</f>
        <v>0</v>
      </c>
      <c r="M357" s="323">
        <f>Councils!M360</f>
        <v>0</v>
      </c>
      <c r="N357" s="322">
        <f>Councils!O360</f>
        <v>0</v>
      </c>
      <c r="O357" s="322">
        <f>Councils!P360</f>
        <v>0</v>
      </c>
      <c r="P357" s="322">
        <f>Councils!Q360</f>
        <v>0</v>
      </c>
      <c r="Q357" s="322">
        <f>Councils!R360</f>
        <v>0</v>
      </c>
      <c r="R357" s="322">
        <f>Councils!S360</f>
        <v>0</v>
      </c>
      <c r="S357" s="322">
        <f>Councils!T360</f>
        <v>0</v>
      </c>
      <c r="T357" s="322">
        <f>Councils!U360</f>
        <v>0</v>
      </c>
      <c r="U357" s="323">
        <f>Councils!V360</f>
        <v>0</v>
      </c>
      <c r="V357" s="376">
        <v>131</v>
      </c>
      <c r="W357" s="377">
        <f t="shared" si="5"/>
        <v>2</v>
      </c>
      <c r="X357" s="378" t="str">
        <f>IF(ISNA(VLOOKUP($A357,GA!$A$1:$D$834,3,0))," ",VLOOKUP($A357,GA!$A$1:$D$834,3,0))</f>
        <v>Regan</v>
      </c>
      <c r="Y357" s="379" t="str">
        <f>IF(ISNA(VLOOKUP($A357,Dormant_Councils!$A$1:$E$811,5,0)),"No",VLOOKUP($A357,Dormant_Councils!$A$1:$E$811,5,0))</f>
        <v>No</v>
      </c>
      <c r="Z357" s="381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22" t="str">
        <f>Councils!C361</f>
        <v>060</v>
      </c>
      <c r="C358" s="322" t="str">
        <f>Councils!D361</f>
        <v>San Antonio</v>
      </c>
      <c r="D358" s="322" t="str">
        <f>IF(ISNA(VLOOKUP($V358,DD_Info!$A$1:$E$221,3,0)),0,VLOOKUP($V358,DD_Info!$A$1:$E$221,3,0))</f>
        <v>San Antonio</v>
      </c>
      <c r="E358" s="322">
        <f>Councils!E361</f>
        <v>65</v>
      </c>
      <c r="F358" s="322">
        <f>Councils!F361</f>
        <v>3</v>
      </c>
      <c r="G358" s="322">
        <f>Councils!G361</f>
        <v>0</v>
      </c>
      <c r="H358" s="322">
        <f>Councils!H361</f>
        <v>0</v>
      </c>
      <c r="I358" s="322">
        <f>Councils!I361</f>
        <v>0</v>
      </c>
      <c r="J358" s="322">
        <f>Councils!J361</f>
        <v>0</v>
      </c>
      <c r="K358" s="322">
        <f>Councils!K361</f>
        <v>0</v>
      </c>
      <c r="L358" s="322">
        <f>Councils!L361</f>
        <v>0</v>
      </c>
      <c r="M358" s="323">
        <f>Councils!M361</f>
        <v>0</v>
      </c>
      <c r="N358" s="322">
        <f>Councils!O361</f>
        <v>0</v>
      </c>
      <c r="O358" s="322">
        <f>Councils!P361</f>
        <v>0</v>
      </c>
      <c r="P358" s="322">
        <f>Councils!Q361</f>
        <v>0</v>
      </c>
      <c r="Q358" s="322">
        <f>Councils!R361</f>
        <v>0</v>
      </c>
      <c r="R358" s="322">
        <f>Councils!S361</f>
        <v>0</v>
      </c>
      <c r="S358" s="322">
        <f>Councils!T361</f>
        <v>0</v>
      </c>
      <c r="T358" s="322">
        <f>Councils!U361</f>
        <v>0</v>
      </c>
      <c r="U358" s="323">
        <f>Councils!V361</f>
        <v>0</v>
      </c>
      <c r="V358" s="376">
        <v>60</v>
      </c>
      <c r="W358" s="377">
        <f t="shared" si="5"/>
        <v>3</v>
      </c>
      <c r="X358" s="378" t="str">
        <f>IF(ISNA(VLOOKUP($A358,GA!$A$1:$D$834,3,0))," ",VLOOKUP($A358,GA!$A$1:$D$834,3,0))</f>
        <v>Dougherty</v>
      </c>
      <c r="Y358" s="379" t="str">
        <f>IF(ISNA(VLOOKUP($A358,Dormant_Councils!$A$1:$E$811,5,0)),"No",VLOOKUP($A358,Dormant_Councils!$A$1:$E$811,5,0))</f>
        <v>No</v>
      </c>
      <c r="Z358" s="381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22" t="str">
        <f>Councils!C362</f>
        <v>126</v>
      </c>
      <c r="C359" s="322" t="str">
        <f>Councils!D362</f>
        <v>Dayton</v>
      </c>
      <c r="D359" s="322" t="str">
        <f>IF(ISNA(VLOOKUP($V359,DD_Info!$A$1:$E$221,3,0)),0,VLOOKUP($V359,DD_Info!$A$1:$E$221,3,0))</f>
        <v>Beaumont</v>
      </c>
      <c r="E359" s="322">
        <f>Councils!E362</f>
        <v>70</v>
      </c>
      <c r="F359" s="322">
        <f>Councils!F362</f>
        <v>3</v>
      </c>
      <c r="G359" s="322">
        <f>Councils!G362</f>
        <v>0</v>
      </c>
      <c r="H359" s="322">
        <f>Councils!H362</f>
        <v>0</v>
      </c>
      <c r="I359" s="322">
        <f>Councils!I362</f>
        <v>0</v>
      </c>
      <c r="J359" s="322">
        <f>Councils!J362</f>
        <v>1</v>
      </c>
      <c r="K359" s="322">
        <f>Councils!K362</f>
        <v>0</v>
      </c>
      <c r="L359" s="322">
        <f>Councils!L362</f>
        <v>1</v>
      </c>
      <c r="M359" s="323">
        <f>Councils!M362</f>
        <v>33.33</v>
      </c>
      <c r="N359" s="322">
        <f>Councils!O362</f>
        <v>0</v>
      </c>
      <c r="O359" s="322">
        <f>Councils!P362</f>
        <v>0</v>
      </c>
      <c r="P359" s="322">
        <f>Councils!Q362</f>
        <v>0</v>
      </c>
      <c r="Q359" s="322">
        <f>Councils!R362</f>
        <v>0</v>
      </c>
      <c r="R359" s="322">
        <f>Councils!S362</f>
        <v>0</v>
      </c>
      <c r="S359" s="322">
        <f>Councils!T362</f>
        <v>0</v>
      </c>
      <c r="T359" s="322">
        <f>Councils!U362</f>
        <v>0</v>
      </c>
      <c r="U359" s="323">
        <f>Councils!V362</f>
        <v>0</v>
      </c>
      <c r="V359" s="376">
        <v>126</v>
      </c>
      <c r="W359" s="377">
        <f t="shared" si="5"/>
        <v>2</v>
      </c>
      <c r="X359" s="378" t="str">
        <f>IF(ISNA(VLOOKUP($A359,GA!$A$1:$D$834,3,0))," ",VLOOKUP($A359,GA!$A$1:$D$834,3,0))</f>
        <v>Rangel</v>
      </c>
      <c r="Y359" s="379" t="str">
        <f>IF(ISNA(VLOOKUP($A359,Dormant_Councils!$A$1:$E$811,5,0)),"No",VLOOKUP($A359,Dormant_Councils!$A$1:$E$811,5,0))</f>
        <v>No</v>
      </c>
      <c r="Z359" s="381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22" t="str">
        <f>Councils!C363</f>
        <v>242</v>
      </c>
      <c r="C360" s="322" t="str">
        <f>Councils!D363</f>
        <v>Snyder</v>
      </c>
      <c r="D360" s="322" t="str">
        <f>IF(ISNA(VLOOKUP($V360,DD_Info!$A$1:$E$221,3,0)),0,VLOOKUP($V360,DD_Info!$A$1:$E$221,3,0))</f>
        <v>Lubbock</v>
      </c>
      <c r="E360" s="322">
        <f>Councils!E363</f>
        <v>65</v>
      </c>
      <c r="F360" s="322">
        <f>Councils!F363</f>
        <v>3</v>
      </c>
      <c r="G360" s="322">
        <f>Councils!G363</f>
        <v>0</v>
      </c>
      <c r="H360" s="322">
        <f>Councils!H363</f>
        <v>0</v>
      </c>
      <c r="I360" s="322">
        <f>Councils!I363</f>
        <v>0</v>
      </c>
      <c r="J360" s="322">
        <f>Councils!J363</f>
        <v>0</v>
      </c>
      <c r="K360" s="322">
        <f>Councils!K363</f>
        <v>0</v>
      </c>
      <c r="L360" s="322">
        <f>Councils!L363</f>
        <v>0</v>
      </c>
      <c r="M360" s="323">
        <f>Councils!M363</f>
        <v>0</v>
      </c>
      <c r="N360" s="322">
        <f>Councils!O363</f>
        <v>0</v>
      </c>
      <c r="O360" s="322">
        <f>Councils!P363</f>
        <v>0</v>
      </c>
      <c r="P360" s="322">
        <f>Councils!Q363</f>
        <v>0</v>
      </c>
      <c r="Q360" s="322">
        <f>Councils!R363</f>
        <v>0</v>
      </c>
      <c r="R360" s="322">
        <f>Councils!S363</f>
        <v>0</v>
      </c>
      <c r="S360" s="322">
        <f>Councils!T363</f>
        <v>0</v>
      </c>
      <c r="T360" s="322">
        <f>Councils!U363</f>
        <v>0</v>
      </c>
      <c r="U360" s="323">
        <f>Councils!V363</f>
        <v>0</v>
      </c>
      <c r="V360" s="376">
        <v>242</v>
      </c>
      <c r="W360" s="377">
        <f t="shared" si="5"/>
        <v>3</v>
      </c>
      <c r="X360" s="378" t="str">
        <f>IF(ISNA(VLOOKUP($A360,GA!$A$1:$D$834,3,0))," ",VLOOKUP($A360,GA!$A$1:$D$834,3,0))</f>
        <v>Payne</v>
      </c>
      <c r="Y360" s="379" t="str">
        <f>IF(ISNA(VLOOKUP($A360,Dormant_Councils!$A$1:$E$811,5,0)),"No",VLOOKUP($A360,Dormant_Councils!$A$1:$E$811,5,0))</f>
        <v>No</v>
      </c>
      <c r="Z360" s="381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22" t="str">
        <f>Councils!C364</f>
        <v>028</v>
      </c>
      <c r="C361" s="322" t="str">
        <f>Councils!D364</f>
        <v>Arlington</v>
      </c>
      <c r="D361" s="322" t="str">
        <f>IF(ISNA(VLOOKUP($V361,DD_Info!$A$1:$E$221,3,0)),0,VLOOKUP($V361,DD_Info!$A$1:$E$221,3,0))</f>
        <v>Fort Worth</v>
      </c>
      <c r="E361" s="322">
        <f>Councils!E364</f>
        <v>84</v>
      </c>
      <c r="F361" s="322">
        <f>Councils!F364</f>
        <v>4</v>
      </c>
      <c r="G361" s="322">
        <f>Councils!G364</f>
        <v>2</v>
      </c>
      <c r="H361" s="322">
        <f>Councils!H364</f>
        <v>0</v>
      </c>
      <c r="I361" s="322">
        <f>Councils!I364</f>
        <v>2</v>
      </c>
      <c r="J361" s="322">
        <f>Councils!J364</f>
        <v>2</v>
      </c>
      <c r="K361" s="322">
        <f>Councils!K364</f>
        <v>0</v>
      </c>
      <c r="L361" s="322">
        <f>Councils!L364</f>
        <v>2</v>
      </c>
      <c r="M361" s="323">
        <f>Councils!M364</f>
        <v>50</v>
      </c>
      <c r="N361" s="322">
        <f>Councils!O364</f>
        <v>0</v>
      </c>
      <c r="O361" s="322">
        <f>Councils!P364</f>
        <v>0</v>
      </c>
      <c r="P361" s="322">
        <f>Councils!Q364</f>
        <v>0</v>
      </c>
      <c r="Q361" s="322">
        <f>Councils!R364</f>
        <v>0</v>
      </c>
      <c r="R361" s="322">
        <f>Councils!S364</f>
        <v>0</v>
      </c>
      <c r="S361" s="322">
        <f>Councils!T364</f>
        <v>0</v>
      </c>
      <c r="T361" s="322">
        <f>Councils!U364</f>
        <v>0</v>
      </c>
      <c r="U361" s="323">
        <f>Councils!V364</f>
        <v>0</v>
      </c>
      <c r="V361" s="376">
        <v>28</v>
      </c>
      <c r="W361" s="377">
        <f t="shared" si="5"/>
        <v>2</v>
      </c>
      <c r="X361" s="378" t="str">
        <f>IF(ISNA(VLOOKUP($A361,GA!$A$1:$D$834,3,0))," ",VLOOKUP($A361,GA!$A$1:$D$834,3,0))</f>
        <v>Stark</v>
      </c>
      <c r="Y361" s="379" t="str">
        <f>IF(ISNA(VLOOKUP($A361,Dormant_Councils!$A$1:$E$811,5,0)),"No",VLOOKUP($A361,Dormant_Councils!$A$1:$E$811,5,0))</f>
        <v>No</v>
      </c>
      <c r="Z361" s="381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22" t="str">
        <f>Councils!C365</f>
        <v>160</v>
      </c>
      <c r="C362" s="322" t="str">
        <f>Councils!D365</f>
        <v>Burnet</v>
      </c>
      <c r="D362" s="322" t="str">
        <f>IF(ISNA(VLOOKUP($V362,DD_Info!$A$1:$E$221,3,0)),0,VLOOKUP($V362,DD_Info!$A$1:$E$221,3,0))</f>
        <v>Austin</v>
      </c>
      <c r="E362" s="322">
        <f>Councils!E365</f>
        <v>69</v>
      </c>
      <c r="F362" s="322">
        <f>Councils!F365</f>
        <v>3</v>
      </c>
      <c r="G362" s="322">
        <f>Councils!G365</f>
        <v>0</v>
      </c>
      <c r="H362" s="322">
        <f>Councils!H365</f>
        <v>0</v>
      </c>
      <c r="I362" s="322">
        <f>Councils!I365</f>
        <v>0</v>
      </c>
      <c r="J362" s="322">
        <f>Councils!J365</f>
        <v>1</v>
      </c>
      <c r="K362" s="322">
        <f>Councils!K365</f>
        <v>1</v>
      </c>
      <c r="L362" s="322">
        <f>Councils!L365</f>
        <v>0</v>
      </c>
      <c r="M362" s="323">
        <f>Councils!M365</f>
        <v>0</v>
      </c>
      <c r="N362" s="322">
        <f>Councils!O365</f>
        <v>0</v>
      </c>
      <c r="O362" s="322">
        <f>Councils!P365</f>
        <v>0</v>
      </c>
      <c r="P362" s="322">
        <f>Councils!Q365</f>
        <v>0</v>
      </c>
      <c r="Q362" s="322">
        <f>Councils!R365</f>
        <v>0</v>
      </c>
      <c r="R362" s="322">
        <f>Councils!S365</f>
        <v>1</v>
      </c>
      <c r="S362" s="322">
        <f>Councils!T365</f>
        <v>0</v>
      </c>
      <c r="T362" s="322">
        <f>Councils!U365</f>
        <v>1</v>
      </c>
      <c r="U362" s="323">
        <f>Councils!V365</f>
        <v>0</v>
      </c>
      <c r="V362" s="376">
        <v>160</v>
      </c>
      <c r="W362" s="377">
        <f t="shared" si="5"/>
        <v>2</v>
      </c>
      <c r="X362" s="378" t="str">
        <f>IF(ISNA(VLOOKUP($A362,GA!$A$1:$D$834,3,0))," ",VLOOKUP($A362,GA!$A$1:$D$834,3,0))</f>
        <v>Rangel</v>
      </c>
      <c r="Y362" s="379" t="str">
        <f>IF(ISNA(VLOOKUP($A362,Dormant_Councils!$A$1:$E$811,5,0)),"No",VLOOKUP($A362,Dormant_Councils!$A$1:$E$811,5,0))</f>
        <v>No</v>
      </c>
      <c r="Z362" s="381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22" t="str">
        <f>Councils!C366</f>
        <v>200</v>
      </c>
      <c r="C363" s="322" t="str">
        <f>Councils!D366</f>
        <v>Hereford</v>
      </c>
      <c r="D363" s="322" t="str">
        <f>IF(ISNA(VLOOKUP($V363,DD_Info!$A$1:$E$221,3,0)),0,VLOOKUP($V363,DD_Info!$A$1:$E$221,3,0))</f>
        <v>Amarillo</v>
      </c>
      <c r="E363" s="322">
        <f>Councils!E366</f>
        <v>75</v>
      </c>
      <c r="F363" s="322">
        <f>Councils!F366</f>
        <v>4</v>
      </c>
      <c r="G363" s="322">
        <f>Councils!G366</f>
        <v>0</v>
      </c>
      <c r="H363" s="322">
        <f>Councils!H366</f>
        <v>0</v>
      </c>
      <c r="I363" s="322">
        <f>Councils!I366</f>
        <v>0</v>
      </c>
      <c r="J363" s="322">
        <f>Councils!J366</f>
        <v>0</v>
      </c>
      <c r="K363" s="322">
        <f>Councils!K366</f>
        <v>0</v>
      </c>
      <c r="L363" s="322">
        <f>Councils!L366</f>
        <v>0</v>
      </c>
      <c r="M363" s="323">
        <f>Councils!M366</f>
        <v>0</v>
      </c>
      <c r="N363" s="322">
        <f>Councils!O366</f>
        <v>0</v>
      </c>
      <c r="O363" s="322">
        <f>Councils!P366</f>
        <v>1</v>
      </c>
      <c r="P363" s="322">
        <f>Councils!Q366</f>
        <v>0</v>
      </c>
      <c r="Q363" s="322">
        <f>Councils!R366</f>
        <v>1</v>
      </c>
      <c r="R363" s="322">
        <f>Councils!S366</f>
        <v>1</v>
      </c>
      <c r="S363" s="322">
        <f>Councils!T366</f>
        <v>0</v>
      </c>
      <c r="T363" s="322">
        <f>Councils!U366</f>
        <v>1</v>
      </c>
      <c r="U363" s="323">
        <f>Councils!V366</f>
        <v>0</v>
      </c>
      <c r="V363" s="376">
        <v>200</v>
      </c>
      <c r="W363" s="377">
        <f t="shared" si="5"/>
        <v>2</v>
      </c>
      <c r="X363" s="378" t="str">
        <f>IF(ISNA(VLOOKUP($A363,GA!$A$1:$D$834,3,0))," ",VLOOKUP($A363,GA!$A$1:$D$834,3,0))</f>
        <v>Payne</v>
      </c>
      <c r="Y363" s="379" t="str">
        <f>IF(ISNA(VLOOKUP($A363,Dormant_Councils!$A$1:$E$811,5,0)),"No",VLOOKUP($A363,Dormant_Councils!$A$1:$E$811,5,0))</f>
        <v>No</v>
      </c>
      <c r="Z363" s="381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22" t="str">
        <f>Councils!C367</f>
        <v>103</v>
      </c>
      <c r="C364" s="322" t="str">
        <f>Councils!D367</f>
        <v>Richardson</v>
      </c>
      <c r="D364" s="322" t="str">
        <f>IF(ISNA(VLOOKUP($V364,DD_Info!$A$1:$E$221,3,0)),0,VLOOKUP($V364,DD_Info!$A$1:$E$221,3,0))</f>
        <v>Dallas</v>
      </c>
      <c r="E364" s="322">
        <f>Councils!E367</f>
        <v>327</v>
      </c>
      <c r="F364" s="322">
        <f>Councils!F367</f>
        <v>16</v>
      </c>
      <c r="G364" s="322">
        <f>Councils!G367</f>
        <v>0</v>
      </c>
      <c r="H364" s="322">
        <f>Councils!H367</f>
        <v>0</v>
      </c>
      <c r="I364" s="322">
        <f>Councils!I367</f>
        <v>0</v>
      </c>
      <c r="J364" s="322">
        <f>Councils!J367</f>
        <v>3</v>
      </c>
      <c r="K364" s="322">
        <f>Councils!K367</f>
        <v>0</v>
      </c>
      <c r="L364" s="322">
        <f>Councils!L367</f>
        <v>3</v>
      </c>
      <c r="M364" s="323">
        <f>Councils!M367</f>
        <v>18.75</v>
      </c>
      <c r="N364" s="322">
        <f>Councils!O367</f>
        <v>0</v>
      </c>
      <c r="O364" s="322">
        <f>Councils!P367</f>
        <v>0</v>
      </c>
      <c r="P364" s="322">
        <f>Councils!Q367</f>
        <v>0</v>
      </c>
      <c r="Q364" s="322">
        <f>Councils!R367</f>
        <v>0</v>
      </c>
      <c r="R364" s="322">
        <f>Councils!S367</f>
        <v>2</v>
      </c>
      <c r="S364" s="322">
        <f>Councils!T367</f>
        <v>3</v>
      </c>
      <c r="T364" s="322">
        <f>Councils!U367</f>
        <v>-1</v>
      </c>
      <c r="U364" s="323">
        <f>Councils!V367</f>
        <v>0</v>
      </c>
      <c r="V364" s="376">
        <v>103</v>
      </c>
      <c r="W364" s="377">
        <f t="shared" si="5"/>
        <v>1</v>
      </c>
      <c r="X364" s="378" t="str">
        <f>IF(ISNA(VLOOKUP($A364,GA!$A$1:$D$834,3,0))," ",VLOOKUP($A364,GA!$A$1:$D$834,3,0))</f>
        <v>Regan</v>
      </c>
      <c r="Y364" s="379" t="str">
        <f>IF(ISNA(VLOOKUP($A364,Dormant_Councils!$A$1:$E$811,5,0)),"No",VLOOKUP($A364,Dormant_Councils!$A$1:$E$811,5,0))</f>
        <v>No</v>
      </c>
      <c r="Z364" s="381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22" t="str">
        <f>Councils!C368</f>
        <v>074</v>
      </c>
      <c r="C365" s="322" t="str">
        <f>Councils!D368</f>
        <v>Pearland</v>
      </c>
      <c r="D365" s="322" t="str">
        <f>IF(ISNA(VLOOKUP($V365,DD_Info!$A$1:$E$221,3,0)),0,VLOOKUP($V365,DD_Info!$A$1:$E$221,3,0))</f>
        <v>Galv/Hous</v>
      </c>
      <c r="E365" s="322">
        <f>Councils!E368</f>
        <v>478</v>
      </c>
      <c r="F365" s="322">
        <f>Councils!F368</f>
        <v>20</v>
      </c>
      <c r="G365" s="322">
        <f>Councils!G368</f>
        <v>0</v>
      </c>
      <c r="H365" s="322">
        <f>Councils!H368</f>
        <v>0</v>
      </c>
      <c r="I365" s="322">
        <f>Councils!I368</f>
        <v>0</v>
      </c>
      <c r="J365" s="322">
        <f>Councils!J368</f>
        <v>5</v>
      </c>
      <c r="K365" s="322">
        <f>Councils!K368</f>
        <v>51</v>
      </c>
      <c r="L365" s="322">
        <f>Councils!L368</f>
        <v>-46</v>
      </c>
      <c r="M365" s="323">
        <f>Councils!M368</f>
        <v>0</v>
      </c>
      <c r="N365" s="322">
        <f>Councils!O368</f>
        <v>0</v>
      </c>
      <c r="O365" s="322">
        <f>Councils!P368</f>
        <v>0</v>
      </c>
      <c r="P365" s="322">
        <f>Councils!Q368</f>
        <v>1</v>
      </c>
      <c r="Q365" s="322">
        <f>Councils!R368</f>
        <v>-1</v>
      </c>
      <c r="R365" s="322">
        <f>Councils!S368</f>
        <v>1</v>
      </c>
      <c r="S365" s="322">
        <f>Councils!T368</f>
        <v>12</v>
      </c>
      <c r="T365" s="322">
        <f>Councils!U368</f>
        <v>-11</v>
      </c>
      <c r="U365" s="323">
        <f>Councils!V368</f>
        <v>0</v>
      </c>
      <c r="V365" s="376">
        <v>74</v>
      </c>
      <c r="W365" s="377">
        <f t="shared" si="5"/>
        <v>1</v>
      </c>
      <c r="X365" s="378" t="str">
        <f>IF(ISNA(VLOOKUP($A365,GA!$A$1:$D$834,3,0))," ",VLOOKUP($A365,GA!$A$1:$D$834,3,0))</f>
        <v>Rangel</v>
      </c>
      <c r="Y365" s="379" t="str">
        <f>IF(ISNA(VLOOKUP($A365,Dormant_Councils!$A$1:$E$811,5,0)),"No",VLOOKUP($A365,Dormant_Councils!$A$1:$E$811,5,0))</f>
        <v>No</v>
      </c>
      <c r="Z365" s="381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22" t="str">
        <f>Councils!C369</f>
        <v>132</v>
      </c>
      <c r="C366" s="322" t="str">
        <f>Councils!D369</f>
        <v>Sulphur Springs</v>
      </c>
      <c r="D366" s="322" t="str">
        <f>IF(ISNA(VLOOKUP($V366,DD_Info!$A$1:$E$221,3,0)),0,VLOOKUP($V366,DD_Info!$A$1:$E$221,3,0))</f>
        <v>Tyler</v>
      </c>
      <c r="E366" s="322">
        <f>Councils!E369</f>
        <v>60</v>
      </c>
      <c r="F366" s="322">
        <f>Councils!F369</f>
        <v>3</v>
      </c>
      <c r="G366" s="322">
        <f>Councils!G369</f>
        <v>0</v>
      </c>
      <c r="H366" s="322">
        <f>Councils!H369</f>
        <v>0</v>
      </c>
      <c r="I366" s="322">
        <f>Councils!I369</f>
        <v>0</v>
      </c>
      <c r="J366" s="322">
        <f>Councils!J369</f>
        <v>2</v>
      </c>
      <c r="K366" s="322">
        <f>Councils!K369</f>
        <v>0</v>
      </c>
      <c r="L366" s="322">
        <f>Councils!L369</f>
        <v>2</v>
      </c>
      <c r="M366" s="323">
        <f>Councils!M369</f>
        <v>66.67</v>
      </c>
      <c r="N366" s="322">
        <f>Councils!O369</f>
        <v>0</v>
      </c>
      <c r="O366" s="322">
        <f>Councils!P369</f>
        <v>1</v>
      </c>
      <c r="P366" s="322">
        <f>Councils!Q369</f>
        <v>0</v>
      </c>
      <c r="Q366" s="322">
        <f>Councils!R369</f>
        <v>1</v>
      </c>
      <c r="R366" s="322">
        <f>Councils!S369</f>
        <v>1</v>
      </c>
      <c r="S366" s="322">
        <f>Councils!T369</f>
        <v>0</v>
      </c>
      <c r="T366" s="322">
        <f>Councils!U369</f>
        <v>1</v>
      </c>
      <c r="U366" s="323">
        <f>Councils!V369</f>
        <v>0</v>
      </c>
      <c r="V366" s="376">
        <v>132</v>
      </c>
      <c r="W366" s="377">
        <f t="shared" si="5"/>
        <v>3</v>
      </c>
      <c r="X366" s="378" t="str">
        <f>IF(ISNA(VLOOKUP($A366,GA!$A$1:$D$834,3,0))," ",VLOOKUP($A366,GA!$A$1:$D$834,3,0))</f>
        <v>Regan</v>
      </c>
      <c r="Y366" s="379" t="str">
        <f>IF(ISNA(VLOOKUP($A366,Dormant_Councils!$A$1:$E$811,5,0)),"No",VLOOKUP($A366,Dormant_Councils!$A$1:$E$811,5,0))</f>
        <v>No</v>
      </c>
      <c r="Z366" s="381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22" t="str">
        <f>Councils!C370</f>
        <v>061</v>
      </c>
      <c r="C367" s="322" t="str">
        <f>Councils!D370</f>
        <v>San Antonio</v>
      </c>
      <c r="D367" s="322" t="str">
        <f>IF(ISNA(VLOOKUP($V367,DD_Info!$A$1:$E$221,3,0)),0,VLOOKUP($V367,DD_Info!$A$1:$E$221,3,0))</f>
        <v>San Antonio</v>
      </c>
      <c r="E367" s="322">
        <f>Councils!E370</f>
        <v>36</v>
      </c>
      <c r="F367" s="322">
        <f>Councils!F370</f>
        <v>3</v>
      </c>
      <c r="G367" s="322">
        <f>Councils!G370</f>
        <v>1</v>
      </c>
      <c r="H367" s="322">
        <f>Councils!H370</f>
        <v>0</v>
      </c>
      <c r="I367" s="322">
        <f>Councils!I370</f>
        <v>1</v>
      </c>
      <c r="J367" s="322">
        <f>Councils!J370</f>
        <v>1</v>
      </c>
      <c r="K367" s="322">
        <f>Councils!K370</f>
        <v>0</v>
      </c>
      <c r="L367" s="322">
        <f>Councils!L370</f>
        <v>1</v>
      </c>
      <c r="M367" s="323">
        <f>Councils!M370</f>
        <v>33.33</v>
      </c>
      <c r="N367" s="322">
        <f>Councils!O370</f>
        <v>0</v>
      </c>
      <c r="O367" s="322">
        <f>Councils!P370</f>
        <v>0</v>
      </c>
      <c r="P367" s="322">
        <f>Councils!Q370</f>
        <v>0</v>
      </c>
      <c r="Q367" s="322">
        <f>Councils!R370</f>
        <v>0</v>
      </c>
      <c r="R367" s="322">
        <f>Councils!S370</f>
        <v>0</v>
      </c>
      <c r="S367" s="322">
        <f>Councils!T370</f>
        <v>0</v>
      </c>
      <c r="T367" s="322">
        <f>Councils!U370</f>
        <v>0</v>
      </c>
      <c r="U367" s="323">
        <f>Councils!V370</f>
        <v>0</v>
      </c>
      <c r="V367" s="376">
        <v>61</v>
      </c>
      <c r="W367" s="377">
        <f t="shared" si="5"/>
        <v>3</v>
      </c>
      <c r="X367" s="378" t="str">
        <f>IF(ISNA(VLOOKUP($A367,GA!$A$1:$D$834,3,0))," ",VLOOKUP($A367,GA!$A$1:$D$834,3,0))</f>
        <v>Dougherty</v>
      </c>
      <c r="Y367" s="379" t="str">
        <f>IF(ISNA(VLOOKUP($A367,Dormant_Councils!$A$1:$E$811,5,0)),"No",VLOOKUP($A367,Dormant_Councils!$A$1:$E$811,5,0))</f>
        <v>Dormant</v>
      </c>
      <c r="Z367" s="381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22" t="str">
        <f>Councils!C371</f>
        <v>159</v>
      </c>
      <c r="C368" s="322" t="str">
        <f>Councils!D371</f>
        <v>Buda</v>
      </c>
      <c r="D368" s="322" t="str">
        <f>IF(ISNA(VLOOKUP($V368,DD_Info!$A$1:$E$221,3,0)),0,VLOOKUP($V368,DD_Info!$A$1:$E$221,3,0))</f>
        <v>Austin</v>
      </c>
      <c r="E368" s="322">
        <f>Councils!E371</f>
        <v>152</v>
      </c>
      <c r="F368" s="322">
        <f>Councils!F371</f>
        <v>8</v>
      </c>
      <c r="G368" s="322">
        <f>Councils!G371</f>
        <v>0</v>
      </c>
      <c r="H368" s="322">
        <f>Councils!H371</f>
        <v>0</v>
      </c>
      <c r="I368" s="322">
        <f>Councils!I371</f>
        <v>0</v>
      </c>
      <c r="J368" s="322">
        <f>Councils!J371</f>
        <v>0</v>
      </c>
      <c r="K368" s="322">
        <f>Councils!K371</f>
        <v>3</v>
      </c>
      <c r="L368" s="322">
        <f>Councils!L371</f>
        <v>-3</v>
      </c>
      <c r="M368" s="323">
        <f>Councils!M371</f>
        <v>0</v>
      </c>
      <c r="N368" s="322">
        <f>Councils!O371</f>
        <v>0</v>
      </c>
      <c r="O368" s="322">
        <f>Councils!P371</f>
        <v>0</v>
      </c>
      <c r="P368" s="322">
        <f>Councils!Q371</f>
        <v>0</v>
      </c>
      <c r="Q368" s="322">
        <f>Councils!R371</f>
        <v>0</v>
      </c>
      <c r="R368" s="322">
        <f>Councils!S371</f>
        <v>0</v>
      </c>
      <c r="S368" s="322">
        <f>Councils!T371</f>
        <v>0</v>
      </c>
      <c r="T368" s="322">
        <f>Councils!U371</f>
        <v>0</v>
      </c>
      <c r="U368" s="323">
        <f>Councils!V371</f>
        <v>0</v>
      </c>
      <c r="V368" s="376">
        <v>159</v>
      </c>
      <c r="W368" s="377">
        <f t="shared" si="5"/>
        <v>1</v>
      </c>
      <c r="X368" s="378" t="str">
        <f>IF(ISNA(VLOOKUP($A368,GA!$A$1:$D$834,3,0))," ",VLOOKUP($A368,GA!$A$1:$D$834,3,0))</f>
        <v>Britten</v>
      </c>
      <c r="Y368" s="379" t="str">
        <f>IF(ISNA(VLOOKUP($A368,Dormant_Councils!$A$1:$E$811,5,0)),"No",VLOOKUP($A368,Dormant_Councils!$A$1:$E$811,5,0))</f>
        <v>No</v>
      </c>
      <c r="Z368" s="381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22" t="str">
        <f>Councils!C372</f>
        <v>073</v>
      </c>
      <c r="C369" s="322" t="str">
        <f>Councils!D372</f>
        <v>Channelview</v>
      </c>
      <c r="D369" s="322" t="str">
        <f>IF(ISNA(VLOOKUP($V369,DD_Info!$A$1:$E$221,3,0)),0,VLOOKUP($V369,DD_Info!$A$1:$E$221,3,0))</f>
        <v>Galv/Hous</v>
      </c>
      <c r="E369" s="322">
        <f>Councils!E372</f>
        <v>103</v>
      </c>
      <c r="F369" s="322">
        <f>Councils!F372</f>
        <v>5</v>
      </c>
      <c r="G369" s="322">
        <f>Councils!G372</f>
        <v>0</v>
      </c>
      <c r="H369" s="322">
        <f>Councils!H372</f>
        <v>0</v>
      </c>
      <c r="I369" s="322">
        <f>Councils!I372</f>
        <v>0</v>
      </c>
      <c r="J369" s="322">
        <f>Councils!J372</f>
        <v>0</v>
      </c>
      <c r="K369" s="322">
        <f>Councils!K372</f>
        <v>0</v>
      </c>
      <c r="L369" s="322">
        <f>Councils!L372</f>
        <v>0</v>
      </c>
      <c r="M369" s="323">
        <f>Councils!M372</f>
        <v>0</v>
      </c>
      <c r="N369" s="322">
        <f>Councils!O372</f>
        <v>0</v>
      </c>
      <c r="O369" s="322">
        <f>Councils!P372</f>
        <v>0</v>
      </c>
      <c r="P369" s="322">
        <f>Councils!Q372</f>
        <v>1</v>
      </c>
      <c r="Q369" s="322">
        <f>Councils!R372</f>
        <v>-1</v>
      </c>
      <c r="R369" s="322">
        <f>Councils!S372</f>
        <v>0</v>
      </c>
      <c r="S369" s="322">
        <f>Councils!T372</f>
        <v>1</v>
      </c>
      <c r="T369" s="322">
        <f>Councils!U372</f>
        <v>-1</v>
      </c>
      <c r="U369" s="323">
        <f>Councils!V372</f>
        <v>0</v>
      </c>
      <c r="V369" s="376">
        <v>73</v>
      </c>
      <c r="W369" s="377">
        <f t="shared" si="5"/>
        <v>2</v>
      </c>
      <c r="X369" s="378" t="str">
        <f>IF(ISNA(VLOOKUP($A369,GA!$A$1:$D$834,3,0))," ",VLOOKUP($A369,GA!$A$1:$D$834,3,0))</f>
        <v>Rangel</v>
      </c>
      <c r="Y369" s="379" t="str">
        <f>IF(ISNA(VLOOKUP($A369,Dormant_Councils!$A$1:$E$811,5,0)),"No",VLOOKUP($A369,Dormant_Councils!$A$1:$E$811,5,0))</f>
        <v>No</v>
      </c>
      <c r="Z369" s="381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22" t="str">
        <f>Councils!C373</f>
        <v>013</v>
      </c>
      <c r="C370" s="322" t="str">
        <f>Councils!D373</f>
        <v>El Paso</v>
      </c>
      <c r="D370" s="322" t="str">
        <f>IF(ISNA(VLOOKUP($V370,DD_Info!$A$1:$E$221,3,0)),0,VLOOKUP($V370,DD_Info!$A$1:$E$221,3,0))</f>
        <v>El Paso</v>
      </c>
      <c r="E370" s="322">
        <f>Councils!E373</f>
        <v>19</v>
      </c>
      <c r="F370" s="322">
        <f>Councils!F373</f>
        <v>4</v>
      </c>
      <c r="G370" s="322">
        <f>Councils!G373</f>
        <v>0</v>
      </c>
      <c r="H370" s="322">
        <f>Councils!H373</f>
        <v>0</v>
      </c>
      <c r="I370" s="322">
        <f>Councils!I373</f>
        <v>0</v>
      </c>
      <c r="J370" s="322">
        <f>Councils!J373</f>
        <v>0</v>
      </c>
      <c r="K370" s="322">
        <f>Councils!K373</f>
        <v>0</v>
      </c>
      <c r="L370" s="322">
        <f>Councils!L373</f>
        <v>0</v>
      </c>
      <c r="M370" s="323">
        <f>Councils!M373</f>
        <v>0</v>
      </c>
      <c r="N370" s="322">
        <f>Councils!O373</f>
        <v>0</v>
      </c>
      <c r="O370" s="322">
        <f>Councils!P373</f>
        <v>0</v>
      </c>
      <c r="P370" s="322">
        <f>Councils!Q373</f>
        <v>0</v>
      </c>
      <c r="Q370" s="322">
        <f>Councils!R373</f>
        <v>0</v>
      </c>
      <c r="R370" s="322">
        <f>Councils!S373</f>
        <v>0</v>
      </c>
      <c r="S370" s="322">
        <f>Councils!T373</f>
        <v>0</v>
      </c>
      <c r="T370" s="322">
        <f>Councils!U373</f>
        <v>0</v>
      </c>
      <c r="U370" s="323">
        <f>Councils!V373</f>
        <v>0</v>
      </c>
      <c r="V370" s="376">
        <v>13</v>
      </c>
      <c r="W370" s="377">
        <f t="shared" si="5"/>
        <v>3</v>
      </c>
      <c r="X370" s="378" t="str">
        <f>IF(ISNA(VLOOKUP($A370,GA!$A$1:$D$834,3,0))," ",VLOOKUP($A370,GA!$A$1:$D$834,3,0))</f>
        <v>Payne</v>
      </c>
      <c r="Y370" s="379" t="str">
        <f>IF(ISNA(VLOOKUP($A370,Dormant_Councils!$A$1:$E$811,5,0)),"No",VLOOKUP($A370,Dormant_Councils!$A$1:$E$811,5,0))</f>
        <v>Dormant</v>
      </c>
      <c r="Z370" s="381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22" t="str">
        <f>Councils!C374</f>
        <v>193</v>
      </c>
      <c r="C371" s="322" t="str">
        <f>Councils!D374</f>
        <v>Victoria</v>
      </c>
      <c r="D371" s="322" t="str">
        <f>IF(ISNA(VLOOKUP($V371,DD_Info!$A$1:$E$221,3,0)),0,VLOOKUP($V371,DD_Info!$A$1:$E$221,3,0))</f>
        <v>Victoria</v>
      </c>
      <c r="E371" s="322">
        <f>Councils!E374</f>
        <v>512</v>
      </c>
      <c r="F371" s="322">
        <f>Councils!F374</f>
        <v>20</v>
      </c>
      <c r="G371" s="322">
        <f>Councils!G374</f>
        <v>0</v>
      </c>
      <c r="H371" s="322">
        <f>Councils!H374</f>
        <v>0</v>
      </c>
      <c r="I371" s="322">
        <f>Councils!I374</f>
        <v>0</v>
      </c>
      <c r="J371" s="322">
        <f>Councils!J374</f>
        <v>3</v>
      </c>
      <c r="K371" s="322">
        <f>Councils!K374</f>
        <v>0</v>
      </c>
      <c r="L371" s="322">
        <f>Councils!L374</f>
        <v>3</v>
      </c>
      <c r="M371" s="323">
        <f>Councils!M374</f>
        <v>15</v>
      </c>
      <c r="N371" s="322">
        <f>Councils!O374</f>
        <v>0</v>
      </c>
      <c r="O371" s="322">
        <f>Councils!P374</f>
        <v>0</v>
      </c>
      <c r="P371" s="322">
        <f>Councils!Q374</f>
        <v>1</v>
      </c>
      <c r="Q371" s="322">
        <f>Councils!R374</f>
        <v>-1</v>
      </c>
      <c r="R371" s="322">
        <f>Councils!S374</f>
        <v>1</v>
      </c>
      <c r="S371" s="322">
        <f>Councils!T374</f>
        <v>3</v>
      </c>
      <c r="T371" s="322">
        <f>Councils!U374</f>
        <v>-2</v>
      </c>
      <c r="U371" s="323">
        <f>Councils!V374</f>
        <v>0</v>
      </c>
      <c r="V371" s="376">
        <v>193</v>
      </c>
      <c r="W371" s="377">
        <f t="shared" si="5"/>
        <v>1</v>
      </c>
      <c r="X371" s="378" t="str">
        <f>IF(ISNA(VLOOKUP($A371,GA!$A$1:$D$834,3,0))," ",VLOOKUP($A371,GA!$A$1:$D$834,3,0))</f>
        <v>Supak</v>
      </c>
      <c r="Y371" s="379" t="str">
        <f>IF(ISNA(VLOOKUP($A371,Dormant_Councils!$A$1:$E$811,5,0)),"No",VLOOKUP($A371,Dormant_Councils!$A$1:$E$811,5,0))</f>
        <v>No</v>
      </c>
      <c r="Z371" s="381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22" t="str">
        <f>Councils!C375</f>
        <v>005</v>
      </c>
      <c r="C372" s="322" t="str">
        <f>Councils!D375</f>
        <v>El Paso</v>
      </c>
      <c r="D372" s="322" t="str">
        <f>IF(ISNA(VLOOKUP($V372,DD_Info!$A$1:$E$221,3,0)),0,VLOOKUP($V372,DD_Info!$A$1:$E$221,3,0))</f>
        <v>El Paso</v>
      </c>
      <c r="E372" s="322">
        <f>Councils!E375</f>
        <v>63</v>
      </c>
      <c r="F372" s="322">
        <f>Councils!F375</f>
        <v>3</v>
      </c>
      <c r="G372" s="322">
        <f>Councils!G375</f>
        <v>0</v>
      </c>
      <c r="H372" s="322">
        <f>Councils!H375</f>
        <v>0</v>
      </c>
      <c r="I372" s="322">
        <f>Councils!I375</f>
        <v>0</v>
      </c>
      <c r="J372" s="322">
        <f>Councils!J375</f>
        <v>0</v>
      </c>
      <c r="K372" s="322">
        <f>Councils!K375</f>
        <v>0</v>
      </c>
      <c r="L372" s="322">
        <f>Councils!L375</f>
        <v>0</v>
      </c>
      <c r="M372" s="323">
        <f>Councils!M375</f>
        <v>0</v>
      </c>
      <c r="N372" s="322">
        <f>Councils!O375</f>
        <v>0</v>
      </c>
      <c r="O372" s="322">
        <f>Councils!P375</f>
        <v>0</v>
      </c>
      <c r="P372" s="322">
        <f>Councils!Q375</f>
        <v>0</v>
      </c>
      <c r="Q372" s="322">
        <f>Councils!R375</f>
        <v>0</v>
      </c>
      <c r="R372" s="322">
        <f>Councils!S375</f>
        <v>0</v>
      </c>
      <c r="S372" s="322">
        <f>Councils!T375</f>
        <v>0</v>
      </c>
      <c r="T372" s="322">
        <f>Councils!U375</f>
        <v>0</v>
      </c>
      <c r="U372" s="323">
        <f>Councils!V375</f>
        <v>0</v>
      </c>
      <c r="V372" s="376">
        <v>5</v>
      </c>
      <c r="W372" s="377">
        <f t="shared" si="5"/>
        <v>3</v>
      </c>
      <c r="X372" s="378" t="str">
        <f>IF(ISNA(VLOOKUP($A372,GA!$A$1:$D$834,3,0))," ",VLOOKUP($A372,GA!$A$1:$D$834,3,0))</f>
        <v>Payne</v>
      </c>
      <c r="Y372" s="379" t="str">
        <f>IF(ISNA(VLOOKUP($A372,Dormant_Councils!$A$1:$E$811,5,0)),"No",VLOOKUP($A372,Dormant_Councils!$A$1:$E$811,5,0))</f>
        <v>No</v>
      </c>
      <c r="Z372" s="381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22" t="str">
        <f>Councils!C376</f>
        <v>221</v>
      </c>
      <c r="C373" s="322" t="str">
        <f>Councils!D376</f>
        <v>Big Spring</v>
      </c>
      <c r="D373" s="322" t="str">
        <f>IF(ISNA(VLOOKUP($V373,DD_Info!$A$1:$E$221,3,0)),0,VLOOKUP($V373,DD_Info!$A$1:$E$221,3,0))</f>
        <v>San Angelo</v>
      </c>
      <c r="E373" s="322">
        <f>Councils!E376</f>
        <v>52</v>
      </c>
      <c r="F373" s="322">
        <f>Councils!F376</f>
        <v>3</v>
      </c>
      <c r="G373" s="322">
        <f>Councils!G376</f>
        <v>0</v>
      </c>
      <c r="H373" s="322">
        <f>Councils!H376</f>
        <v>0</v>
      </c>
      <c r="I373" s="322">
        <f>Councils!I376</f>
        <v>0</v>
      </c>
      <c r="J373" s="322">
        <f>Councils!J376</f>
        <v>4</v>
      </c>
      <c r="K373" s="322">
        <f>Councils!K376</f>
        <v>0</v>
      </c>
      <c r="L373" s="322">
        <f>Councils!L376</f>
        <v>4</v>
      </c>
      <c r="M373" s="323">
        <f>Councils!M376</f>
        <v>133.33000000000001</v>
      </c>
      <c r="N373" s="322">
        <f>Councils!O376</f>
        <v>0</v>
      </c>
      <c r="O373" s="322">
        <f>Councils!P376</f>
        <v>0</v>
      </c>
      <c r="P373" s="322">
        <f>Councils!Q376</f>
        <v>0</v>
      </c>
      <c r="Q373" s="322">
        <f>Councils!R376</f>
        <v>0</v>
      </c>
      <c r="R373" s="322">
        <f>Councils!S376</f>
        <v>1</v>
      </c>
      <c r="S373" s="322">
        <f>Councils!T376</f>
        <v>2</v>
      </c>
      <c r="T373" s="322">
        <f>Councils!U376</f>
        <v>-1</v>
      </c>
      <c r="U373" s="323">
        <f>Councils!V376</f>
        <v>0</v>
      </c>
      <c r="V373" s="376">
        <v>221</v>
      </c>
      <c r="W373" s="377">
        <f t="shared" si="5"/>
        <v>3</v>
      </c>
      <c r="X373" s="378" t="str">
        <f>IF(ISNA(VLOOKUP($A373,GA!$A$1:$D$834,3,0))," ",VLOOKUP($A373,GA!$A$1:$D$834,3,0))</f>
        <v>Payne</v>
      </c>
      <c r="Y373" s="379" t="str">
        <f>IF(ISNA(VLOOKUP($A373,Dormant_Councils!$A$1:$E$811,5,0)),"No",VLOOKUP($A373,Dormant_Councils!$A$1:$E$811,5,0))</f>
        <v>No</v>
      </c>
      <c r="Z373" s="381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22" t="str">
        <f>Councils!C377</f>
        <v>158</v>
      </c>
      <c r="C374" s="322" t="str">
        <f>Councils!D377</f>
        <v>Wimberley</v>
      </c>
      <c r="D374" s="322" t="str">
        <f>IF(ISNA(VLOOKUP($V374,DD_Info!$A$1:$E$221,3,0)),0,VLOOKUP($V374,DD_Info!$A$1:$E$221,3,0))</f>
        <v>Austin</v>
      </c>
      <c r="E374" s="322">
        <f>Councils!E377</f>
        <v>139</v>
      </c>
      <c r="F374" s="322">
        <f>Councils!F377</f>
        <v>7</v>
      </c>
      <c r="G374" s="322">
        <f>Councils!G377</f>
        <v>0</v>
      </c>
      <c r="H374" s="322">
        <f>Councils!H377</f>
        <v>0</v>
      </c>
      <c r="I374" s="322">
        <f>Councils!I377</f>
        <v>0</v>
      </c>
      <c r="J374" s="322">
        <f>Councils!J377</f>
        <v>0</v>
      </c>
      <c r="K374" s="322">
        <f>Councils!K377</f>
        <v>0</v>
      </c>
      <c r="L374" s="322">
        <f>Councils!L377</f>
        <v>0</v>
      </c>
      <c r="M374" s="323">
        <f>Councils!M377</f>
        <v>0</v>
      </c>
      <c r="N374" s="322">
        <f>Councils!O377</f>
        <v>0</v>
      </c>
      <c r="O374" s="322">
        <f>Councils!P377</f>
        <v>0</v>
      </c>
      <c r="P374" s="322">
        <f>Councils!Q377</f>
        <v>0</v>
      </c>
      <c r="Q374" s="322">
        <f>Councils!R377</f>
        <v>0</v>
      </c>
      <c r="R374" s="322">
        <f>Councils!S377</f>
        <v>0</v>
      </c>
      <c r="S374" s="322">
        <f>Councils!T377</f>
        <v>1</v>
      </c>
      <c r="T374" s="322">
        <f>Councils!U377</f>
        <v>-1</v>
      </c>
      <c r="U374" s="323">
        <f>Councils!V377</f>
        <v>0</v>
      </c>
      <c r="V374" s="376">
        <v>158</v>
      </c>
      <c r="W374" s="377">
        <f t="shared" si="5"/>
        <v>2</v>
      </c>
      <c r="X374" s="378" t="str">
        <f>IF(ISNA(VLOOKUP($A374,GA!$A$1:$D$834,3,0))," ",VLOOKUP($A374,GA!$A$1:$D$834,3,0))</f>
        <v>Rangel</v>
      </c>
      <c r="Y374" s="379" t="str">
        <f>IF(ISNA(VLOOKUP($A374,Dormant_Councils!$A$1:$E$811,5,0)),"No",VLOOKUP($A374,Dormant_Councils!$A$1:$E$811,5,0))</f>
        <v>No</v>
      </c>
      <c r="Z374" s="381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22" t="str">
        <f>Councils!C378</f>
        <v>070</v>
      </c>
      <c r="C375" s="322" t="str">
        <f>Councils!D378</f>
        <v>Houston</v>
      </c>
      <c r="D375" s="322" t="str">
        <f>IF(ISNA(VLOOKUP($V375,DD_Info!$A$1:$E$221,3,0)),0,VLOOKUP($V375,DD_Info!$A$1:$E$221,3,0))</f>
        <v>Galv/Hous</v>
      </c>
      <c r="E375" s="322">
        <f>Councils!E378</f>
        <v>216</v>
      </c>
      <c r="F375" s="322">
        <f>Councils!F378</f>
        <v>10</v>
      </c>
      <c r="G375" s="322">
        <f>Councils!G378</f>
        <v>0</v>
      </c>
      <c r="H375" s="322">
        <f>Councils!H378</f>
        <v>0</v>
      </c>
      <c r="I375" s="322">
        <f>Councils!I378</f>
        <v>0</v>
      </c>
      <c r="J375" s="322">
        <f>Councils!J378</f>
        <v>0</v>
      </c>
      <c r="K375" s="322">
        <f>Councils!K378</f>
        <v>0</v>
      </c>
      <c r="L375" s="322">
        <f>Councils!L378</f>
        <v>0</v>
      </c>
      <c r="M375" s="323">
        <f>Councils!M378</f>
        <v>0</v>
      </c>
      <c r="N375" s="322">
        <f>Councils!O378</f>
        <v>0</v>
      </c>
      <c r="O375" s="322">
        <f>Councils!P378</f>
        <v>0</v>
      </c>
      <c r="P375" s="322">
        <f>Councils!Q378</f>
        <v>1</v>
      </c>
      <c r="Q375" s="322">
        <f>Councils!R378</f>
        <v>-1</v>
      </c>
      <c r="R375" s="322">
        <f>Councils!S378</f>
        <v>1</v>
      </c>
      <c r="S375" s="322">
        <f>Councils!T378</f>
        <v>1</v>
      </c>
      <c r="T375" s="322">
        <f>Councils!U378</f>
        <v>0</v>
      </c>
      <c r="U375" s="323">
        <f>Councils!V378</f>
        <v>0</v>
      </c>
      <c r="V375" s="376">
        <v>70</v>
      </c>
      <c r="W375" s="377">
        <f t="shared" si="5"/>
        <v>1</v>
      </c>
      <c r="X375" s="378" t="str">
        <f>IF(ISNA(VLOOKUP($A375,GA!$A$1:$D$834,3,0))," ",VLOOKUP($A375,GA!$A$1:$D$834,3,0))</f>
        <v>Rangel</v>
      </c>
      <c r="Y375" s="379" t="str">
        <f>IF(ISNA(VLOOKUP($A375,Dormant_Councils!$A$1:$E$811,5,0)),"No",VLOOKUP($A375,Dormant_Councils!$A$1:$E$811,5,0))</f>
        <v>No</v>
      </c>
      <c r="Z375" s="381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22" t="str">
        <f>Councils!C379</f>
        <v>221</v>
      </c>
      <c r="C376" s="322" t="str">
        <f>Councils!D379</f>
        <v>Midland</v>
      </c>
      <c r="D376" s="322" t="str">
        <f>IF(ISNA(VLOOKUP($V376,DD_Info!$A$1:$E$221,3,0)),0,VLOOKUP($V376,DD_Info!$A$1:$E$221,3,0))</f>
        <v>San Angelo</v>
      </c>
      <c r="E376" s="322">
        <f>Councils!E379</f>
        <v>129</v>
      </c>
      <c r="F376" s="322">
        <f>Councils!F379</f>
        <v>6</v>
      </c>
      <c r="G376" s="322">
        <f>Councils!G379</f>
        <v>0</v>
      </c>
      <c r="H376" s="322">
        <f>Councils!H379</f>
        <v>0</v>
      </c>
      <c r="I376" s="322">
        <f>Councils!I379</f>
        <v>0</v>
      </c>
      <c r="J376" s="322">
        <f>Councils!J379</f>
        <v>0</v>
      </c>
      <c r="K376" s="322">
        <f>Councils!K379</f>
        <v>0</v>
      </c>
      <c r="L376" s="322">
        <f>Councils!L379</f>
        <v>0</v>
      </c>
      <c r="M376" s="323">
        <f>Councils!M379</f>
        <v>0</v>
      </c>
      <c r="N376" s="322">
        <f>Councils!O379</f>
        <v>0</v>
      </c>
      <c r="O376" s="322">
        <f>Councils!P379</f>
        <v>0</v>
      </c>
      <c r="P376" s="322">
        <f>Councils!Q379</f>
        <v>0</v>
      </c>
      <c r="Q376" s="322">
        <f>Councils!R379</f>
        <v>0</v>
      </c>
      <c r="R376" s="322">
        <f>Councils!S379</f>
        <v>1</v>
      </c>
      <c r="S376" s="322">
        <f>Councils!T379</f>
        <v>0</v>
      </c>
      <c r="T376" s="322">
        <f>Councils!U379</f>
        <v>1</v>
      </c>
      <c r="U376" s="323">
        <f>Councils!V379</f>
        <v>0</v>
      </c>
      <c r="V376" s="376">
        <v>221</v>
      </c>
      <c r="W376" s="377">
        <f t="shared" si="5"/>
        <v>2</v>
      </c>
      <c r="X376" s="378" t="str">
        <f>IF(ISNA(VLOOKUP($A376,GA!$A$1:$D$834,3,0))," ",VLOOKUP($A376,GA!$A$1:$D$834,3,0))</f>
        <v>Payne</v>
      </c>
      <c r="Y376" s="379" t="str">
        <f>IF(ISNA(VLOOKUP($A376,Dormant_Councils!$A$1:$E$811,5,0)),"No",VLOOKUP($A376,Dormant_Councils!$A$1:$E$811,5,0))</f>
        <v>No</v>
      </c>
      <c r="Z376" s="381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22" t="str">
        <f>Councils!C380</f>
        <v>167</v>
      </c>
      <c r="C377" s="322" t="str">
        <f>Councils!D380</f>
        <v>Corpus Christi</v>
      </c>
      <c r="D377" s="322" t="str">
        <f>IF(ISNA(VLOOKUP($V377,DD_Info!$A$1:$E$221,3,0)),0,VLOOKUP($V377,DD_Info!$A$1:$E$221,3,0))</f>
        <v>Corpus Christi</v>
      </c>
      <c r="E377" s="322">
        <f>Councils!E380</f>
        <v>204</v>
      </c>
      <c r="F377" s="322">
        <f>Councils!F380</f>
        <v>10</v>
      </c>
      <c r="G377" s="322">
        <f>Councils!G380</f>
        <v>0</v>
      </c>
      <c r="H377" s="322">
        <f>Councils!H380</f>
        <v>1</v>
      </c>
      <c r="I377" s="322">
        <f>Councils!I380</f>
        <v>-1</v>
      </c>
      <c r="J377" s="322">
        <f>Councils!J380</f>
        <v>0</v>
      </c>
      <c r="K377" s="322">
        <f>Councils!K380</f>
        <v>1</v>
      </c>
      <c r="L377" s="322">
        <f>Councils!L380</f>
        <v>-1</v>
      </c>
      <c r="M377" s="323">
        <f>Councils!M380</f>
        <v>0</v>
      </c>
      <c r="N377" s="322">
        <f>Councils!O380</f>
        <v>0</v>
      </c>
      <c r="O377" s="322">
        <f>Councils!P380</f>
        <v>0</v>
      </c>
      <c r="P377" s="322">
        <f>Councils!Q380</f>
        <v>0</v>
      </c>
      <c r="Q377" s="322">
        <f>Councils!R380</f>
        <v>0</v>
      </c>
      <c r="R377" s="322">
        <f>Councils!S380</f>
        <v>0</v>
      </c>
      <c r="S377" s="322">
        <f>Councils!T380</f>
        <v>0</v>
      </c>
      <c r="T377" s="322">
        <f>Councils!U380</f>
        <v>0</v>
      </c>
      <c r="U377" s="323">
        <f>Councils!V380</f>
        <v>0</v>
      </c>
      <c r="V377" s="376">
        <v>167</v>
      </c>
      <c r="W377" s="377">
        <f t="shared" si="5"/>
        <v>1</v>
      </c>
      <c r="X377" s="378" t="str">
        <f>IF(ISNA(VLOOKUP($A377,GA!$A$1:$D$834,3,0))," ",VLOOKUP($A377,GA!$A$1:$D$834,3,0))</f>
        <v>Carlin</v>
      </c>
      <c r="Y377" s="379" t="str">
        <f>IF(ISNA(VLOOKUP($A377,Dormant_Councils!$A$1:$E$811,5,0)),"No",VLOOKUP($A377,Dormant_Councils!$A$1:$E$811,5,0))</f>
        <v>No</v>
      </c>
      <c r="Z377" s="381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22" t="str">
        <f>Councils!C381</f>
        <v>084</v>
      </c>
      <c r="C378" s="322" t="str">
        <f>Councils!D381</f>
        <v>Bellville</v>
      </c>
      <c r="D378" s="322" t="str">
        <f>IF(ISNA(VLOOKUP($V378,DD_Info!$A$1:$E$221,3,0)),0,VLOOKUP($V378,DD_Info!$A$1:$E$221,3,0))</f>
        <v>Galv/Hous</v>
      </c>
      <c r="E378" s="322">
        <f>Councils!E381</f>
        <v>86</v>
      </c>
      <c r="F378" s="322">
        <f>Councils!F381</f>
        <v>4</v>
      </c>
      <c r="G378" s="322">
        <f>Councils!G381</f>
        <v>0</v>
      </c>
      <c r="H378" s="322">
        <f>Councils!H381</f>
        <v>0</v>
      </c>
      <c r="I378" s="322">
        <f>Councils!I381</f>
        <v>0</v>
      </c>
      <c r="J378" s="322">
        <f>Councils!J381</f>
        <v>3</v>
      </c>
      <c r="K378" s="322">
        <f>Councils!K381</f>
        <v>0</v>
      </c>
      <c r="L378" s="322">
        <f>Councils!L381</f>
        <v>3</v>
      </c>
      <c r="M378" s="323">
        <f>Councils!M381</f>
        <v>75</v>
      </c>
      <c r="N378" s="322">
        <f>Councils!O381</f>
        <v>0</v>
      </c>
      <c r="O378" s="322">
        <f>Councils!P381</f>
        <v>0</v>
      </c>
      <c r="P378" s="322">
        <f>Councils!Q381</f>
        <v>0</v>
      </c>
      <c r="Q378" s="322">
        <f>Councils!R381</f>
        <v>0</v>
      </c>
      <c r="R378" s="322">
        <f>Councils!S381</f>
        <v>1</v>
      </c>
      <c r="S378" s="322">
        <f>Councils!T381</f>
        <v>0</v>
      </c>
      <c r="T378" s="322">
        <f>Councils!U381</f>
        <v>1</v>
      </c>
      <c r="U378" s="323">
        <f>Councils!V381</f>
        <v>0</v>
      </c>
      <c r="V378" s="376">
        <v>84</v>
      </c>
      <c r="W378" s="377">
        <f t="shared" si="5"/>
        <v>2</v>
      </c>
      <c r="X378" s="378" t="str">
        <f>IF(ISNA(VLOOKUP($A378,GA!$A$1:$D$834,3,0))," ",VLOOKUP($A378,GA!$A$1:$D$834,3,0))</f>
        <v>Supak</v>
      </c>
      <c r="Y378" s="379" t="str">
        <f>IF(ISNA(VLOOKUP($A378,Dormant_Councils!$A$1:$E$811,5,0)),"No",VLOOKUP($A378,Dormant_Councils!$A$1:$E$811,5,0))</f>
        <v>No</v>
      </c>
      <c r="Z378" s="381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22" t="str">
        <f>Councils!C382</f>
        <v>216</v>
      </c>
      <c r="C379" s="322" t="str">
        <f>Councils!D382</f>
        <v>Raymondville</v>
      </c>
      <c r="D379" s="322" t="str">
        <f>IF(ISNA(VLOOKUP($V379,DD_Info!$A$1:$E$221,3,0)),0,VLOOKUP($V379,DD_Info!$A$1:$E$221,3,0))</f>
        <v>Brownsville</v>
      </c>
      <c r="E379" s="322">
        <f>Councils!E382</f>
        <v>57</v>
      </c>
      <c r="F379" s="322">
        <f>Councils!F382</f>
        <v>3</v>
      </c>
      <c r="G379" s="322">
        <f>Councils!G382</f>
        <v>0</v>
      </c>
      <c r="H379" s="322">
        <f>Councils!H382</f>
        <v>0</v>
      </c>
      <c r="I379" s="322">
        <f>Councils!I382</f>
        <v>0</v>
      </c>
      <c r="J379" s="322">
        <f>Councils!J382</f>
        <v>0</v>
      </c>
      <c r="K379" s="322">
        <f>Councils!K382</f>
        <v>0</v>
      </c>
      <c r="L379" s="322">
        <f>Councils!L382</f>
        <v>0</v>
      </c>
      <c r="M379" s="323">
        <f>Councils!M382</f>
        <v>0</v>
      </c>
      <c r="N379" s="322">
        <f>Councils!O382</f>
        <v>0</v>
      </c>
      <c r="O379" s="322">
        <f>Councils!P382</f>
        <v>0</v>
      </c>
      <c r="P379" s="322">
        <f>Councils!Q382</f>
        <v>0</v>
      </c>
      <c r="Q379" s="322">
        <f>Councils!R382</f>
        <v>0</v>
      </c>
      <c r="R379" s="322">
        <f>Councils!S382</f>
        <v>1</v>
      </c>
      <c r="S379" s="322">
        <f>Councils!T382</f>
        <v>0</v>
      </c>
      <c r="T379" s="322">
        <f>Councils!U382</f>
        <v>1</v>
      </c>
      <c r="U379" s="323">
        <f>Councils!V382</f>
        <v>0</v>
      </c>
      <c r="V379" s="376">
        <v>216</v>
      </c>
      <c r="W379" s="377">
        <f t="shared" si="5"/>
        <v>3</v>
      </c>
      <c r="X379" s="378" t="str">
        <f>IF(ISNA(VLOOKUP($A379,GA!$A$1:$D$834,3,0))," ",VLOOKUP($A379,GA!$A$1:$D$834,3,0))</f>
        <v>Carlin</v>
      </c>
      <c r="Y379" s="379" t="str">
        <f>IF(ISNA(VLOOKUP($A379,Dormant_Councils!$A$1:$E$811,5,0)),"No",VLOOKUP($A379,Dormant_Councils!$A$1:$E$811,5,0))</f>
        <v>No</v>
      </c>
      <c r="Z379" s="381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22" t="str">
        <f>Councils!C383</f>
        <v>049</v>
      </c>
      <c r="C380" s="322" t="str">
        <f>Councils!D383</f>
        <v>San Antonio</v>
      </c>
      <c r="D380" s="322" t="str">
        <f>IF(ISNA(VLOOKUP($V380,DD_Info!$A$1:$E$221,3,0)),0,VLOOKUP($V380,DD_Info!$A$1:$E$221,3,0))</f>
        <v>San Antonio</v>
      </c>
      <c r="E380" s="322">
        <f>Councils!E383</f>
        <v>176</v>
      </c>
      <c r="F380" s="322">
        <f>Councils!F383</f>
        <v>9</v>
      </c>
      <c r="G380" s="322">
        <f>Councils!G383</f>
        <v>0</v>
      </c>
      <c r="H380" s="322">
        <f>Councils!H383</f>
        <v>0</v>
      </c>
      <c r="I380" s="322">
        <f>Councils!I383</f>
        <v>0</v>
      </c>
      <c r="J380" s="322">
        <f>Councils!J383</f>
        <v>2</v>
      </c>
      <c r="K380" s="322">
        <f>Councils!K383</f>
        <v>0</v>
      </c>
      <c r="L380" s="322">
        <f>Councils!L383</f>
        <v>2</v>
      </c>
      <c r="M380" s="323">
        <f>Councils!M383</f>
        <v>22.22</v>
      </c>
      <c r="N380" s="322">
        <f>Councils!O383</f>
        <v>0</v>
      </c>
      <c r="O380" s="322">
        <f>Councils!P383</f>
        <v>0</v>
      </c>
      <c r="P380" s="322">
        <f>Councils!Q383</f>
        <v>1</v>
      </c>
      <c r="Q380" s="322">
        <f>Councils!R383</f>
        <v>-1</v>
      </c>
      <c r="R380" s="322">
        <f>Councils!S383</f>
        <v>1</v>
      </c>
      <c r="S380" s="322">
        <f>Councils!T383</f>
        <v>2</v>
      </c>
      <c r="T380" s="322">
        <f>Councils!U383</f>
        <v>-1</v>
      </c>
      <c r="U380" s="323">
        <f>Councils!V383</f>
        <v>0</v>
      </c>
      <c r="V380" s="376">
        <v>49</v>
      </c>
      <c r="W380" s="377">
        <f t="shared" si="5"/>
        <v>1</v>
      </c>
      <c r="X380" s="378" t="str">
        <f>IF(ISNA(VLOOKUP($A380,GA!$A$1:$D$834,3,0))," ",VLOOKUP($A380,GA!$A$1:$D$834,3,0))</f>
        <v>Dougherty</v>
      </c>
      <c r="Y380" s="379" t="str">
        <f>IF(ISNA(VLOOKUP($A380,Dormant_Councils!$A$1:$E$811,5,0)),"No",VLOOKUP($A380,Dormant_Councils!$A$1:$E$811,5,0))</f>
        <v>No</v>
      </c>
      <c r="Z380" s="381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22" t="str">
        <f>Councils!C384</f>
        <v>019</v>
      </c>
      <c r="C381" s="322" t="str">
        <f>Councils!D384</f>
        <v>Arlington</v>
      </c>
      <c r="D381" s="322" t="str">
        <f>IF(ISNA(VLOOKUP($V381,DD_Info!$A$1:$E$221,3,0)),0,VLOOKUP($V381,DD_Info!$A$1:$E$221,3,0))</f>
        <v>Fort Worth</v>
      </c>
      <c r="E381" s="322">
        <f>Councils!E384</f>
        <v>195</v>
      </c>
      <c r="F381" s="322">
        <f>Councils!F384</f>
        <v>9</v>
      </c>
      <c r="G381" s="322">
        <f>Councils!G384</f>
        <v>0</v>
      </c>
      <c r="H381" s="322">
        <f>Councils!H384</f>
        <v>1</v>
      </c>
      <c r="I381" s="322">
        <f>Councils!I384</f>
        <v>-1</v>
      </c>
      <c r="J381" s="322">
        <f>Councils!J384</f>
        <v>8</v>
      </c>
      <c r="K381" s="322">
        <f>Councils!K384</f>
        <v>2</v>
      </c>
      <c r="L381" s="322">
        <f>Councils!L384</f>
        <v>6</v>
      </c>
      <c r="M381" s="323">
        <f>Councils!M384</f>
        <v>66.67</v>
      </c>
      <c r="N381" s="322">
        <f>Councils!O384</f>
        <v>0</v>
      </c>
      <c r="O381" s="322">
        <f>Councils!P384</f>
        <v>1</v>
      </c>
      <c r="P381" s="322">
        <f>Councils!Q384</f>
        <v>0</v>
      </c>
      <c r="Q381" s="322">
        <f>Councils!R384</f>
        <v>1</v>
      </c>
      <c r="R381" s="322">
        <f>Councils!S384</f>
        <v>7</v>
      </c>
      <c r="S381" s="322">
        <f>Councils!T384</f>
        <v>1</v>
      </c>
      <c r="T381" s="322">
        <f>Councils!U384</f>
        <v>6</v>
      </c>
      <c r="U381" s="323">
        <f>Councils!V384</f>
        <v>0</v>
      </c>
      <c r="V381" s="376">
        <v>19</v>
      </c>
      <c r="W381" s="377">
        <f t="shared" si="5"/>
        <v>1</v>
      </c>
      <c r="X381" s="378" t="str">
        <f>IF(ISNA(VLOOKUP($A381,GA!$A$1:$D$834,3,0))," ",VLOOKUP($A381,GA!$A$1:$D$834,3,0))</f>
        <v>Stark</v>
      </c>
      <c r="Y381" s="379" t="str">
        <f>IF(ISNA(VLOOKUP($A381,Dormant_Councils!$A$1:$E$811,5,0)),"No",VLOOKUP($A381,Dormant_Councils!$A$1:$E$811,5,0))</f>
        <v>No</v>
      </c>
      <c r="Z381" s="381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22" t="str">
        <f>Councils!C385</f>
        <v>068</v>
      </c>
      <c r="C382" s="322" t="str">
        <f>Councils!D385</f>
        <v>League City</v>
      </c>
      <c r="D382" s="322" t="str">
        <f>IF(ISNA(VLOOKUP($V382,DD_Info!$A$1:$E$221,3,0)),0,VLOOKUP($V382,DD_Info!$A$1:$E$221,3,0))</f>
        <v>Galv/Hous</v>
      </c>
      <c r="E382" s="322">
        <f>Councils!E385</f>
        <v>313</v>
      </c>
      <c r="F382" s="322">
        <f>Councils!F385</f>
        <v>15</v>
      </c>
      <c r="G382" s="322">
        <f>Councils!G385</f>
        <v>0</v>
      </c>
      <c r="H382" s="322">
        <f>Councils!H385</f>
        <v>0</v>
      </c>
      <c r="I382" s="322">
        <f>Councils!I385</f>
        <v>0</v>
      </c>
      <c r="J382" s="322">
        <f>Councils!J385</f>
        <v>1</v>
      </c>
      <c r="K382" s="322">
        <f>Councils!K385</f>
        <v>0</v>
      </c>
      <c r="L382" s="322">
        <f>Councils!L385</f>
        <v>1</v>
      </c>
      <c r="M382" s="323">
        <f>Councils!M385</f>
        <v>6.67</v>
      </c>
      <c r="N382" s="322">
        <f>Councils!O385</f>
        <v>0</v>
      </c>
      <c r="O382" s="322">
        <f>Councils!P385</f>
        <v>0</v>
      </c>
      <c r="P382" s="322">
        <f>Councils!Q385</f>
        <v>0</v>
      </c>
      <c r="Q382" s="322">
        <f>Councils!R385</f>
        <v>0</v>
      </c>
      <c r="R382" s="322">
        <f>Councils!S385</f>
        <v>0</v>
      </c>
      <c r="S382" s="322">
        <f>Councils!T385</f>
        <v>0</v>
      </c>
      <c r="T382" s="322">
        <f>Councils!U385</f>
        <v>0</v>
      </c>
      <c r="U382" s="323">
        <f>Councils!V385</f>
        <v>0</v>
      </c>
      <c r="V382" s="376">
        <v>68</v>
      </c>
      <c r="W382" s="377">
        <f t="shared" si="5"/>
        <v>1</v>
      </c>
      <c r="X382" s="378" t="str">
        <f>IF(ISNA(VLOOKUP($A382,GA!$A$1:$D$834,3,0))," ",VLOOKUP($A382,GA!$A$1:$D$834,3,0))</f>
        <v>Rangel</v>
      </c>
      <c r="Y382" s="379" t="str">
        <f>IF(ISNA(VLOOKUP($A382,Dormant_Councils!$A$1:$E$811,5,0)),"No",VLOOKUP($A382,Dormant_Councils!$A$1:$E$811,5,0))</f>
        <v>No</v>
      </c>
      <c r="Z382" s="381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22" t="str">
        <f>Councils!C386</f>
        <v>177</v>
      </c>
      <c r="C383" s="322" t="str">
        <f>Councils!D386</f>
        <v>Robstown</v>
      </c>
      <c r="D383" s="322" t="str">
        <f>IF(ISNA(VLOOKUP($V383,DD_Info!$A$1:$E$221,3,0)),0,VLOOKUP($V383,DD_Info!$A$1:$E$221,3,0))</f>
        <v>Corpus Christi</v>
      </c>
      <c r="E383" s="322">
        <f>Councils!E386</f>
        <v>125</v>
      </c>
      <c r="F383" s="322">
        <f>Councils!F386</f>
        <v>6</v>
      </c>
      <c r="G383" s="322">
        <f>Councils!G386</f>
        <v>0</v>
      </c>
      <c r="H383" s="322">
        <f>Councils!H386</f>
        <v>0</v>
      </c>
      <c r="I383" s="322">
        <f>Councils!I386</f>
        <v>0</v>
      </c>
      <c r="J383" s="322">
        <f>Councils!J386</f>
        <v>0</v>
      </c>
      <c r="K383" s="322">
        <f>Councils!K386</f>
        <v>0</v>
      </c>
      <c r="L383" s="322">
        <f>Councils!L386</f>
        <v>0</v>
      </c>
      <c r="M383" s="323">
        <f>Councils!M386</f>
        <v>0</v>
      </c>
      <c r="N383" s="322">
        <f>Councils!O386</f>
        <v>0</v>
      </c>
      <c r="O383" s="322">
        <f>Councils!P386</f>
        <v>0</v>
      </c>
      <c r="P383" s="322">
        <f>Councils!Q386</f>
        <v>1</v>
      </c>
      <c r="Q383" s="322">
        <f>Councils!R386</f>
        <v>-1</v>
      </c>
      <c r="R383" s="322">
        <f>Councils!S386</f>
        <v>0</v>
      </c>
      <c r="S383" s="322">
        <f>Councils!T386</f>
        <v>2</v>
      </c>
      <c r="T383" s="322">
        <f>Councils!U386</f>
        <v>-2</v>
      </c>
      <c r="U383" s="323">
        <f>Councils!V386</f>
        <v>0</v>
      </c>
      <c r="V383" s="376">
        <v>177</v>
      </c>
      <c r="W383" s="377">
        <f t="shared" si="5"/>
        <v>2</v>
      </c>
      <c r="X383" s="378" t="str">
        <f>IF(ISNA(VLOOKUP($A383,GA!$A$1:$D$834,3,0))," ",VLOOKUP($A383,GA!$A$1:$D$834,3,0))</f>
        <v>Carlin</v>
      </c>
      <c r="Y383" s="379" t="str">
        <f>IF(ISNA(VLOOKUP($A383,Dormant_Councils!$A$1:$E$811,5,0)),"No",VLOOKUP($A383,Dormant_Councils!$A$1:$E$811,5,0))</f>
        <v>No</v>
      </c>
      <c r="Z383" s="381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22" t="str">
        <f>Councils!C387</f>
        <v>064</v>
      </c>
      <c r="C384" s="322" t="str">
        <f>Councils!D387</f>
        <v>Houston</v>
      </c>
      <c r="D384" s="322" t="str">
        <f>IF(ISNA(VLOOKUP($V384,DD_Info!$A$1:$E$221,3,0)),0,VLOOKUP($V384,DD_Info!$A$1:$E$221,3,0))</f>
        <v>Galv/Hous</v>
      </c>
      <c r="E384" s="322">
        <f>Councils!E387</f>
        <v>64</v>
      </c>
      <c r="F384" s="322">
        <f>Councils!F387</f>
        <v>3</v>
      </c>
      <c r="G384" s="322">
        <f>Councils!G387</f>
        <v>0</v>
      </c>
      <c r="H384" s="322">
        <f>Councils!H387</f>
        <v>0</v>
      </c>
      <c r="I384" s="322">
        <f>Councils!I387</f>
        <v>0</v>
      </c>
      <c r="J384" s="322">
        <f>Councils!J387</f>
        <v>0</v>
      </c>
      <c r="K384" s="322">
        <f>Councils!K387</f>
        <v>0</v>
      </c>
      <c r="L384" s="322">
        <f>Councils!L387</f>
        <v>0</v>
      </c>
      <c r="M384" s="323">
        <f>Councils!M387</f>
        <v>0</v>
      </c>
      <c r="N384" s="322">
        <f>Councils!O387</f>
        <v>0</v>
      </c>
      <c r="O384" s="322">
        <f>Councils!P387</f>
        <v>0</v>
      </c>
      <c r="P384" s="322">
        <f>Councils!Q387</f>
        <v>0</v>
      </c>
      <c r="Q384" s="322">
        <f>Councils!R387</f>
        <v>0</v>
      </c>
      <c r="R384" s="322">
        <f>Councils!S387</f>
        <v>0</v>
      </c>
      <c r="S384" s="322">
        <f>Councils!T387</f>
        <v>0</v>
      </c>
      <c r="T384" s="322">
        <f>Councils!U387</f>
        <v>0</v>
      </c>
      <c r="U384" s="323">
        <f>Councils!V387</f>
        <v>0</v>
      </c>
      <c r="V384" s="376">
        <v>64</v>
      </c>
      <c r="W384" s="377">
        <f t="shared" si="5"/>
        <v>3</v>
      </c>
      <c r="X384" s="378" t="str">
        <f>IF(ISNA(VLOOKUP($A384,GA!$A$1:$D$834,3,0))," ",VLOOKUP($A384,GA!$A$1:$D$834,3,0))</f>
        <v>Rangel</v>
      </c>
      <c r="Y384" s="379" t="str">
        <f>IF(ISNA(VLOOKUP($A384,Dormant_Councils!$A$1:$E$811,5,0)),"No",VLOOKUP($A384,Dormant_Councils!$A$1:$E$811,5,0))</f>
        <v>Dormant</v>
      </c>
      <c r="Z384" s="381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22" t="str">
        <f>Councils!C388</f>
        <v>103</v>
      </c>
      <c r="C385" s="322" t="str">
        <f>Councils!D388</f>
        <v>Rockwall</v>
      </c>
      <c r="D385" s="322" t="str">
        <f>IF(ISNA(VLOOKUP($V385,DD_Info!$A$1:$E$221,3,0)),0,VLOOKUP($V385,DD_Info!$A$1:$E$221,3,0))</f>
        <v>Dallas</v>
      </c>
      <c r="E385" s="322">
        <f>Councils!E388</f>
        <v>256</v>
      </c>
      <c r="F385" s="322">
        <f>Councils!F388</f>
        <v>12</v>
      </c>
      <c r="G385" s="322">
        <f>Councils!G388</f>
        <v>0</v>
      </c>
      <c r="H385" s="322">
        <f>Councils!H388</f>
        <v>0</v>
      </c>
      <c r="I385" s="322">
        <f>Councils!I388</f>
        <v>0</v>
      </c>
      <c r="J385" s="322">
        <f>Councils!J388</f>
        <v>2</v>
      </c>
      <c r="K385" s="322">
        <f>Councils!K388</f>
        <v>1</v>
      </c>
      <c r="L385" s="322">
        <f>Councils!L388</f>
        <v>1</v>
      </c>
      <c r="M385" s="323">
        <f>Councils!M388</f>
        <v>8.33</v>
      </c>
      <c r="N385" s="322">
        <f>Councils!O388</f>
        <v>0</v>
      </c>
      <c r="O385" s="322">
        <f>Councils!P388</f>
        <v>0</v>
      </c>
      <c r="P385" s="322">
        <f>Councils!Q388</f>
        <v>0</v>
      </c>
      <c r="Q385" s="322">
        <f>Councils!R388</f>
        <v>0</v>
      </c>
      <c r="R385" s="322">
        <f>Councils!S388</f>
        <v>1</v>
      </c>
      <c r="S385" s="322">
        <f>Councils!T388</f>
        <v>1</v>
      </c>
      <c r="T385" s="322">
        <f>Councils!U388</f>
        <v>0</v>
      </c>
      <c r="U385" s="323">
        <f>Councils!V388</f>
        <v>0</v>
      </c>
      <c r="V385" s="376">
        <v>103</v>
      </c>
      <c r="W385" s="377">
        <f t="shared" si="5"/>
        <v>1</v>
      </c>
      <c r="X385" s="378" t="str">
        <f>IF(ISNA(VLOOKUP($A385,GA!$A$1:$D$834,3,0))," ",VLOOKUP($A385,GA!$A$1:$D$834,3,0))</f>
        <v>Regan</v>
      </c>
      <c r="Y385" s="379" t="str">
        <f>IF(ISNA(VLOOKUP($A385,Dormant_Councils!$A$1:$E$811,5,0)),"No",VLOOKUP($A385,Dormant_Councils!$A$1:$E$811,5,0))</f>
        <v>No</v>
      </c>
      <c r="Z385" s="381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22" t="str">
        <f>Councils!C389</f>
        <v>052</v>
      </c>
      <c r="C386" s="322" t="str">
        <f>Councils!D389</f>
        <v>San Antonio</v>
      </c>
      <c r="D386" s="322" t="str">
        <f>IF(ISNA(VLOOKUP($V386,DD_Info!$A$1:$E$221,3,0)),0,VLOOKUP($V386,DD_Info!$A$1:$E$221,3,0))</f>
        <v>San Antonio</v>
      </c>
      <c r="E386" s="322">
        <f>Councils!E389</f>
        <v>42</v>
      </c>
      <c r="F386" s="322">
        <f>Councils!F389</f>
        <v>3</v>
      </c>
      <c r="G386" s="322">
        <f>Councils!G389</f>
        <v>0</v>
      </c>
      <c r="H386" s="322">
        <f>Councils!H389</f>
        <v>0</v>
      </c>
      <c r="I386" s="322">
        <f>Councils!I389</f>
        <v>0</v>
      </c>
      <c r="J386" s="322">
        <f>Councils!J389</f>
        <v>0</v>
      </c>
      <c r="K386" s="322">
        <f>Councils!K389</f>
        <v>0</v>
      </c>
      <c r="L386" s="322">
        <f>Councils!L389</f>
        <v>0</v>
      </c>
      <c r="M386" s="323">
        <f>Councils!M389</f>
        <v>0</v>
      </c>
      <c r="N386" s="322">
        <f>Councils!O389</f>
        <v>0</v>
      </c>
      <c r="O386" s="322">
        <f>Councils!P389</f>
        <v>0</v>
      </c>
      <c r="P386" s="322">
        <f>Councils!Q389</f>
        <v>0</v>
      </c>
      <c r="Q386" s="322">
        <f>Councils!R389</f>
        <v>0</v>
      </c>
      <c r="R386" s="322">
        <f>Councils!S389</f>
        <v>0</v>
      </c>
      <c r="S386" s="322">
        <f>Councils!T389</f>
        <v>0</v>
      </c>
      <c r="T386" s="322">
        <f>Councils!U389</f>
        <v>0</v>
      </c>
      <c r="U386" s="323">
        <f>Councils!V389</f>
        <v>0</v>
      </c>
      <c r="V386" s="376">
        <v>52</v>
      </c>
      <c r="W386" s="377">
        <f t="shared" si="5"/>
        <v>3</v>
      </c>
      <c r="X386" s="378" t="str">
        <f>IF(ISNA(VLOOKUP($A386,GA!$A$1:$D$834,3,0))," ",VLOOKUP($A386,GA!$A$1:$D$834,3,0))</f>
        <v>Dougherty</v>
      </c>
      <c r="Y386" s="379" t="str">
        <f>IF(ISNA(VLOOKUP($A386,Dormant_Councils!$A$1:$E$811,5,0)),"No",VLOOKUP($A386,Dormant_Councils!$A$1:$E$811,5,0))</f>
        <v>No</v>
      </c>
      <c r="Z386" s="381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22" t="str">
        <f>Councils!C390</f>
        <v>095</v>
      </c>
      <c r="C387" s="322" t="str">
        <f>Councils!D390</f>
        <v>Navasota</v>
      </c>
      <c r="D387" s="322" t="str">
        <f>IF(ISNA(VLOOKUP($V387,DD_Info!$A$1:$E$221,3,0)),0,VLOOKUP($V387,DD_Info!$A$1:$E$221,3,0))</f>
        <v>Galv/Hous</v>
      </c>
      <c r="E387" s="322">
        <f>Councils!E390</f>
        <v>94</v>
      </c>
      <c r="F387" s="322">
        <f>Councils!F390</f>
        <v>5</v>
      </c>
      <c r="G387" s="322">
        <f>Councils!G390</f>
        <v>0</v>
      </c>
      <c r="H387" s="322">
        <f>Councils!H390</f>
        <v>0</v>
      </c>
      <c r="I387" s="322">
        <f>Councils!I390</f>
        <v>0</v>
      </c>
      <c r="J387" s="322">
        <f>Councils!J390</f>
        <v>1</v>
      </c>
      <c r="K387" s="322">
        <f>Councils!K390</f>
        <v>0</v>
      </c>
      <c r="L387" s="322">
        <f>Councils!L390</f>
        <v>1</v>
      </c>
      <c r="M387" s="323">
        <f>Councils!M390</f>
        <v>20</v>
      </c>
      <c r="N387" s="322">
        <f>Councils!O390</f>
        <v>0</v>
      </c>
      <c r="O387" s="322">
        <f>Councils!P390</f>
        <v>0</v>
      </c>
      <c r="P387" s="322">
        <f>Councils!Q390</f>
        <v>0</v>
      </c>
      <c r="Q387" s="322">
        <f>Councils!R390</f>
        <v>0</v>
      </c>
      <c r="R387" s="322">
        <f>Councils!S390</f>
        <v>0</v>
      </c>
      <c r="S387" s="322">
        <f>Councils!T390</f>
        <v>1</v>
      </c>
      <c r="T387" s="322">
        <f>Councils!U390</f>
        <v>-1</v>
      </c>
      <c r="U387" s="323">
        <f>Councils!V390</f>
        <v>0</v>
      </c>
      <c r="V387" s="376">
        <v>95</v>
      </c>
      <c r="W387" s="377">
        <f t="shared" ref="W387:W450" si="6">_xlfn.IFS($E387&gt;=140,1,$E387&gt;65,2,$E387&lt;=65,3)</f>
        <v>2</v>
      </c>
      <c r="X387" s="378" t="str">
        <f>IF(ISNA(VLOOKUP($A387,GA!$A$1:$D$834,3,0))," ",VLOOKUP($A387,GA!$A$1:$D$834,3,0))</f>
        <v>Rangel</v>
      </c>
      <c r="Y387" s="379" t="str">
        <f>IF(ISNA(VLOOKUP($A387,Dormant_Councils!$A$1:$E$811,5,0)),"No",VLOOKUP($A387,Dormant_Councils!$A$1:$E$811,5,0))</f>
        <v>No</v>
      </c>
      <c r="Z387" s="381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22" t="str">
        <f>Councils!C391</f>
        <v>150</v>
      </c>
      <c r="C388" s="322" t="str">
        <f>Councils!D391</f>
        <v>Round Rock</v>
      </c>
      <c r="D388" s="322" t="str">
        <f>IF(ISNA(VLOOKUP($V388,DD_Info!$A$1:$E$221,3,0)),0,VLOOKUP($V388,DD_Info!$A$1:$E$221,3,0))</f>
        <v>Austin</v>
      </c>
      <c r="E388" s="322">
        <f>Councils!E391</f>
        <v>360</v>
      </c>
      <c r="F388" s="322">
        <f>Councils!F391</f>
        <v>18</v>
      </c>
      <c r="G388" s="322">
        <f>Councils!G391</f>
        <v>1</v>
      </c>
      <c r="H388" s="322">
        <f>Councils!H391</f>
        <v>0</v>
      </c>
      <c r="I388" s="322">
        <f>Councils!I391</f>
        <v>1</v>
      </c>
      <c r="J388" s="322">
        <f>Councils!J391</f>
        <v>3</v>
      </c>
      <c r="K388" s="322">
        <f>Councils!K391</f>
        <v>0</v>
      </c>
      <c r="L388" s="322">
        <f>Councils!L391</f>
        <v>3</v>
      </c>
      <c r="M388" s="323">
        <f>Councils!M391</f>
        <v>16.670000000000002</v>
      </c>
      <c r="N388" s="322">
        <f>Councils!O391</f>
        <v>0</v>
      </c>
      <c r="O388" s="322">
        <f>Councils!P391</f>
        <v>0</v>
      </c>
      <c r="P388" s="322">
        <f>Councils!Q391</f>
        <v>1</v>
      </c>
      <c r="Q388" s="322">
        <f>Councils!R391</f>
        <v>-1</v>
      </c>
      <c r="R388" s="322">
        <f>Councils!S391</f>
        <v>0</v>
      </c>
      <c r="S388" s="322">
        <f>Councils!T391</f>
        <v>1</v>
      </c>
      <c r="T388" s="322">
        <f>Councils!U391</f>
        <v>-1</v>
      </c>
      <c r="U388" s="323">
        <f>Councils!V391</f>
        <v>0</v>
      </c>
      <c r="V388" s="376">
        <v>150</v>
      </c>
      <c r="W388" s="377">
        <f t="shared" si="6"/>
        <v>1</v>
      </c>
      <c r="X388" s="378" t="str">
        <f>IF(ISNA(VLOOKUP($A388,GA!$A$1:$D$834,3,0))," ",VLOOKUP($A388,GA!$A$1:$D$834,3,0))</f>
        <v>Rangel</v>
      </c>
      <c r="Y388" s="379" t="str">
        <f>IF(ISNA(VLOOKUP($A388,Dormant_Councils!$A$1:$E$811,5,0)),"No",VLOOKUP($A388,Dormant_Councils!$A$1:$E$811,5,0))</f>
        <v>No</v>
      </c>
      <c r="Z388" s="381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22" t="str">
        <f>Councils!C392</f>
        <v>188</v>
      </c>
      <c r="C389" s="322" t="str">
        <f>Councils!D392</f>
        <v>El Campo</v>
      </c>
      <c r="D389" s="322" t="str">
        <f>IF(ISNA(VLOOKUP($V389,DD_Info!$A$1:$E$221,3,0)),0,VLOOKUP($V389,DD_Info!$A$1:$E$221,3,0))</f>
        <v>Victoria</v>
      </c>
      <c r="E389" s="322">
        <f>Councils!E392</f>
        <v>155</v>
      </c>
      <c r="F389" s="322">
        <f>Councils!F392</f>
        <v>8</v>
      </c>
      <c r="G389" s="322">
        <f>Councils!G392</f>
        <v>0</v>
      </c>
      <c r="H389" s="322">
        <f>Councils!H392</f>
        <v>0</v>
      </c>
      <c r="I389" s="322">
        <f>Councils!I392</f>
        <v>0</v>
      </c>
      <c r="J389" s="322">
        <f>Councils!J392</f>
        <v>0</v>
      </c>
      <c r="K389" s="322">
        <f>Councils!K392</f>
        <v>0</v>
      </c>
      <c r="L389" s="322">
        <f>Councils!L392</f>
        <v>0</v>
      </c>
      <c r="M389" s="323">
        <f>Councils!M392</f>
        <v>0</v>
      </c>
      <c r="N389" s="322">
        <f>Councils!O392</f>
        <v>0</v>
      </c>
      <c r="O389" s="322">
        <f>Councils!P392</f>
        <v>0</v>
      </c>
      <c r="P389" s="322">
        <f>Councils!Q392</f>
        <v>2</v>
      </c>
      <c r="Q389" s="322">
        <f>Councils!R392</f>
        <v>-2</v>
      </c>
      <c r="R389" s="322">
        <f>Councils!S392</f>
        <v>2</v>
      </c>
      <c r="S389" s="322">
        <f>Councils!T392</f>
        <v>3</v>
      </c>
      <c r="T389" s="322">
        <f>Councils!U392</f>
        <v>-1</v>
      </c>
      <c r="U389" s="323">
        <f>Councils!V392</f>
        <v>0</v>
      </c>
      <c r="V389" s="376">
        <v>188</v>
      </c>
      <c r="W389" s="377">
        <f t="shared" si="6"/>
        <v>1</v>
      </c>
      <c r="X389" s="378" t="str">
        <f>IF(ISNA(VLOOKUP($A389,GA!$A$1:$D$834,3,0))," ",VLOOKUP($A389,GA!$A$1:$D$834,3,0))</f>
        <v>Supak</v>
      </c>
      <c r="Y389" s="379" t="str">
        <f>IF(ISNA(VLOOKUP($A389,Dormant_Councils!$A$1:$E$811,5,0)),"No",VLOOKUP($A389,Dormant_Councils!$A$1:$E$811,5,0))</f>
        <v>No</v>
      </c>
      <c r="Z389" s="381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22" t="str">
        <f>Councils!C393</f>
        <v>188</v>
      </c>
      <c r="C390" s="322" t="str">
        <f>Councils!D393</f>
        <v>Louise-Hillje</v>
      </c>
      <c r="D390" s="322" t="str">
        <f>IF(ISNA(VLOOKUP($V390,DD_Info!$A$1:$E$221,3,0)),0,VLOOKUP($V390,DD_Info!$A$1:$E$221,3,0))</f>
        <v>Victoria</v>
      </c>
      <c r="E390" s="322">
        <f>Councils!E393</f>
        <v>100</v>
      </c>
      <c r="F390" s="322">
        <f>Councils!F393</f>
        <v>5</v>
      </c>
      <c r="G390" s="322">
        <f>Councils!G393</f>
        <v>0</v>
      </c>
      <c r="H390" s="322">
        <f>Councils!H393</f>
        <v>0</v>
      </c>
      <c r="I390" s="322">
        <f>Councils!I393</f>
        <v>0</v>
      </c>
      <c r="J390" s="322">
        <f>Councils!J393</f>
        <v>0</v>
      </c>
      <c r="K390" s="322">
        <f>Councils!K393</f>
        <v>0</v>
      </c>
      <c r="L390" s="322">
        <f>Councils!L393</f>
        <v>0</v>
      </c>
      <c r="M390" s="323">
        <f>Councils!M393</f>
        <v>0</v>
      </c>
      <c r="N390" s="322">
        <f>Councils!O393</f>
        <v>0</v>
      </c>
      <c r="O390" s="322">
        <f>Councils!P393</f>
        <v>0</v>
      </c>
      <c r="P390" s="322">
        <f>Councils!Q393</f>
        <v>1</v>
      </c>
      <c r="Q390" s="322">
        <f>Councils!R393</f>
        <v>-1</v>
      </c>
      <c r="R390" s="322">
        <f>Councils!S393</f>
        <v>0</v>
      </c>
      <c r="S390" s="322">
        <f>Councils!T393</f>
        <v>1</v>
      </c>
      <c r="T390" s="322">
        <f>Councils!U393</f>
        <v>-1</v>
      </c>
      <c r="U390" s="323">
        <f>Councils!V393</f>
        <v>0</v>
      </c>
      <c r="V390" s="376">
        <v>188</v>
      </c>
      <c r="W390" s="377">
        <f t="shared" si="6"/>
        <v>2</v>
      </c>
      <c r="X390" s="378" t="str">
        <f>IF(ISNA(VLOOKUP($A390,GA!$A$1:$D$834,3,0))," ",VLOOKUP($A390,GA!$A$1:$D$834,3,0))</f>
        <v>Supak</v>
      </c>
      <c r="Y390" s="379" t="str">
        <f>IF(ISNA(VLOOKUP($A390,Dormant_Councils!$A$1:$E$811,5,0)),"No",VLOOKUP($A390,Dormant_Councils!$A$1:$E$811,5,0))</f>
        <v>No</v>
      </c>
      <c r="Z390" s="381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22" t="str">
        <f>Councils!C394</f>
        <v>199</v>
      </c>
      <c r="C391" s="322" t="str">
        <f>Councils!D394</f>
        <v>Amarillo</v>
      </c>
      <c r="D391" s="322" t="str">
        <f>IF(ISNA(VLOOKUP($V391,DD_Info!$A$1:$E$221,3,0)),0,VLOOKUP($V391,DD_Info!$A$1:$E$221,3,0))</f>
        <v>Amarillo</v>
      </c>
      <c r="E391" s="322">
        <f>Councils!E394</f>
        <v>60</v>
      </c>
      <c r="F391" s="322">
        <f>Councils!F394</f>
        <v>3</v>
      </c>
      <c r="G391" s="322">
        <f>Councils!G394</f>
        <v>0</v>
      </c>
      <c r="H391" s="322">
        <f>Councils!H394</f>
        <v>0</v>
      </c>
      <c r="I391" s="322">
        <f>Councils!I394</f>
        <v>0</v>
      </c>
      <c r="J391" s="322">
        <f>Councils!J394</f>
        <v>0</v>
      </c>
      <c r="K391" s="322">
        <f>Councils!K394</f>
        <v>0</v>
      </c>
      <c r="L391" s="322">
        <f>Councils!L394</f>
        <v>0</v>
      </c>
      <c r="M391" s="323">
        <f>Councils!M394</f>
        <v>0</v>
      </c>
      <c r="N391" s="322">
        <f>Councils!O394</f>
        <v>0</v>
      </c>
      <c r="O391" s="322">
        <f>Councils!P394</f>
        <v>0</v>
      </c>
      <c r="P391" s="322">
        <f>Councils!Q394</f>
        <v>0</v>
      </c>
      <c r="Q391" s="322">
        <f>Councils!R394</f>
        <v>0</v>
      </c>
      <c r="R391" s="322">
        <f>Councils!S394</f>
        <v>0</v>
      </c>
      <c r="S391" s="322">
        <f>Councils!T394</f>
        <v>0</v>
      </c>
      <c r="T391" s="322">
        <f>Councils!U394</f>
        <v>0</v>
      </c>
      <c r="U391" s="323">
        <f>Councils!V394</f>
        <v>0</v>
      </c>
      <c r="V391" s="376">
        <v>199</v>
      </c>
      <c r="W391" s="377">
        <f t="shared" si="6"/>
        <v>3</v>
      </c>
      <c r="X391" s="378" t="str">
        <f>IF(ISNA(VLOOKUP($A391,GA!$A$1:$D$834,3,0))," ",VLOOKUP($A391,GA!$A$1:$D$834,3,0))</f>
        <v>Payne</v>
      </c>
      <c r="Y391" s="379" t="str">
        <f>IF(ISNA(VLOOKUP($A391,Dormant_Councils!$A$1:$E$811,5,0)),"No",VLOOKUP($A391,Dormant_Councils!$A$1:$E$811,5,0))</f>
        <v>No</v>
      </c>
      <c r="Z391" s="381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22" t="str">
        <f>Councils!C395</f>
        <v>051</v>
      </c>
      <c r="C392" s="322" t="str">
        <f>Councils!D395</f>
        <v>San Antonio</v>
      </c>
      <c r="D392" s="322" t="str">
        <f>IF(ISNA(VLOOKUP($V392,DD_Info!$A$1:$E$221,3,0)),0,VLOOKUP($V392,DD_Info!$A$1:$E$221,3,0))</f>
        <v>San Antonio</v>
      </c>
      <c r="E392" s="322">
        <f>Councils!E395</f>
        <v>99</v>
      </c>
      <c r="F392" s="322">
        <f>Councils!F395</f>
        <v>5</v>
      </c>
      <c r="G392" s="322">
        <f>Councils!G395</f>
        <v>2</v>
      </c>
      <c r="H392" s="322">
        <f>Councils!H395</f>
        <v>0</v>
      </c>
      <c r="I392" s="322">
        <f>Councils!I395</f>
        <v>2</v>
      </c>
      <c r="J392" s="322">
        <f>Councils!J395</f>
        <v>4</v>
      </c>
      <c r="K392" s="322">
        <f>Councils!K395</f>
        <v>0</v>
      </c>
      <c r="L392" s="322">
        <f>Councils!L395</f>
        <v>4</v>
      </c>
      <c r="M392" s="323">
        <f>Councils!M395</f>
        <v>80</v>
      </c>
      <c r="N392" s="322">
        <f>Councils!O395</f>
        <v>0</v>
      </c>
      <c r="O392" s="322">
        <f>Councils!P395</f>
        <v>0</v>
      </c>
      <c r="P392" s="322">
        <f>Councils!Q395</f>
        <v>0</v>
      </c>
      <c r="Q392" s="322">
        <f>Councils!R395</f>
        <v>0</v>
      </c>
      <c r="R392" s="322">
        <f>Councils!S395</f>
        <v>1</v>
      </c>
      <c r="S392" s="322">
        <f>Councils!T395</f>
        <v>0</v>
      </c>
      <c r="T392" s="322">
        <f>Councils!U395</f>
        <v>1</v>
      </c>
      <c r="U392" s="323">
        <f>Councils!V395</f>
        <v>0</v>
      </c>
      <c r="V392" s="376">
        <v>51</v>
      </c>
      <c r="W392" s="377">
        <f t="shared" si="6"/>
        <v>2</v>
      </c>
      <c r="X392" s="378" t="str">
        <f>IF(ISNA(VLOOKUP($A392,GA!$A$1:$D$834,3,0))," ",VLOOKUP($A392,GA!$A$1:$D$834,3,0))</f>
        <v>Dougherty</v>
      </c>
      <c r="Y392" s="379" t="str">
        <f>IF(ISNA(VLOOKUP($A392,Dormant_Councils!$A$1:$E$811,5,0)),"No",VLOOKUP($A392,Dormant_Councils!$A$1:$E$811,5,0))</f>
        <v>No</v>
      </c>
      <c r="Z392" s="381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22" t="str">
        <f>Councils!C396</f>
        <v>Unassigned</v>
      </c>
      <c r="C393" s="322" t="str">
        <f>Councils!D396</f>
        <v>Iowa Park</v>
      </c>
      <c r="D393" s="322">
        <f>IF(ISNA(VLOOKUP($V393,DD_Info!$A$1:$E$221,3,0)),0,VLOOKUP($V393,DD_Info!$A$1:$E$221,3,0))</f>
        <v>0</v>
      </c>
      <c r="E393" s="322">
        <f>Councils!E396</f>
        <v>0</v>
      </c>
      <c r="F393" s="322">
        <f>Councils!F396</f>
        <v>0</v>
      </c>
      <c r="G393" s="322">
        <f>Councils!G396</f>
        <v>0</v>
      </c>
      <c r="H393" s="322">
        <f>Councils!H396</f>
        <v>0</v>
      </c>
      <c r="I393" s="322">
        <f>Councils!I396</f>
        <v>0</v>
      </c>
      <c r="J393" s="322">
        <f>Councils!J396</f>
        <v>0</v>
      </c>
      <c r="K393" s="322">
        <f>Councils!K396</f>
        <v>0</v>
      </c>
      <c r="L393" s="322">
        <f>Councils!L396</f>
        <v>0</v>
      </c>
      <c r="M393" s="323">
        <f>Councils!M396</f>
        <v>0</v>
      </c>
      <c r="N393" s="322">
        <f>Councils!O396</f>
        <v>0</v>
      </c>
      <c r="O393" s="322">
        <f>Councils!P396</f>
        <v>0</v>
      </c>
      <c r="P393" s="322">
        <f>Councils!Q396</f>
        <v>0</v>
      </c>
      <c r="Q393" s="322">
        <f>Councils!R396</f>
        <v>0</v>
      </c>
      <c r="R393" s="322">
        <f>Councils!S396</f>
        <v>0</v>
      </c>
      <c r="S393" s="322">
        <f>Councils!T396</f>
        <v>0</v>
      </c>
      <c r="T393" s="322">
        <f>Councils!U396</f>
        <v>0</v>
      </c>
      <c r="U393" s="323">
        <f>Councils!V396</f>
        <v>0</v>
      </c>
      <c r="V393" s="45" t="s">
        <v>93</v>
      </c>
      <c r="W393" s="377">
        <f t="shared" si="6"/>
        <v>3</v>
      </c>
      <c r="X393" s="378" t="str">
        <f>IF(ISNA(VLOOKUP($A393,GA!$A$1:$D$834,3,0))," ",VLOOKUP($A393,GA!$A$1:$D$834,3,0))</f>
        <v>Stark</v>
      </c>
      <c r="Y393" s="379" t="str">
        <f>IF(ISNA(VLOOKUP($A393,Dormant_Councils!$A$1:$E$811,5,0)),"No",VLOOKUP($A393,Dormant_Councils!$A$1:$E$811,5,0))</f>
        <v>No</v>
      </c>
      <c r="Z393" s="381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22" t="str">
        <f>Councils!C397</f>
        <v>Unassigned</v>
      </c>
      <c r="C394" s="322" t="str">
        <f>Councils!D397</f>
        <v>Montague</v>
      </c>
      <c r="D394" s="322">
        <f>IF(ISNA(VLOOKUP($V394,DD_Info!$A$1:$E$221,3,0)),0,VLOOKUP($V394,DD_Info!$A$1:$E$221,3,0))</f>
        <v>0</v>
      </c>
      <c r="E394" s="322">
        <f>Councils!E397</f>
        <v>0</v>
      </c>
      <c r="F394" s="322">
        <f>Councils!F397</f>
        <v>0</v>
      </c>
      <c r="G394" s="322">
        <f>Councils!G397</f>
        <v>0</v>
      </c>
      <c r="H394" s="322">
        <f>Councils!H397</f>
        <v>0</v>
      </c>
      <c r="I394" s="322">
        <f>Councils!I397</f>
        <v>0</v>
      </c>
      <c r="J394" s="322">
        <f>Councils!J397</f>
        <v>0</v>
      </c>
      <c r="K394" s="322">
        <f>Councils!K397</f>
        <v>0</v>
      </c>
      <c r="L394" s="322">
        <f>Councils!L397</f>
        <v>0</v>
      </c>
      <c r="M394" s="323">
        <f>Councils!M397</f>
        <v>0</v>
      </c>
      <c r="N394" s="322">
        <f>Councils!O397</f>
        <v>0</v>
      </c>
      <c r="O394" s="322">
        <f>Councils!P397</f>
        <v>0</v>
      </c>
      <c r="P394" s="322">
        <f>Councils!Q397</f>
        <v>0</v>
      </c>
      <c r="Q394" s="322">
        <f>Councils!R397</f>
        <v>0</v>
      </c>
      <c r="R394" s="322">
        <f>Councils!S397</f>
        <v>0</v>
      </c>
      <c r="S394" s="322">
        <f>Councils!T397</f>
        <v>0</v>
      </c>
      <c r="T394" s="322">
        <f>Councils!U397</f>
        <v>0</v>
      </c>
      <c r="U394" s="323">
        <f>Councils!V397</f>
        <v>0</v>
      </c>
      <c r="V394" s="45" t="s">
        <v>93</v>
      </c>
      <c r="W394" s="377">
        <f t="shared" si="6"/>
        <v>3</v>
      </c>
      <c r="X394" s="378" t="str">
        <f>IF(ISNA(VLOOKUP($A394,GA!$A$1:$D$834,3,0))," ",VLOOKUP($A394,GA!$A$1:$D$834,3,0))</f>
        <v>Payne</v>
      </c>
      <c r="Y394" s="379" t="str">
        <f>IF(ISNA(VLOOKUP($A394,Dormant_Councils!$A$1:$E$811,5,0)),"No",VLOOKUP($A394,Dormant_Councils!$A$1:$E$811,5,0))</f>
        <v>No</v>
      </c>
      <c r="Z394" s="381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22" t="str">
        <f>Councils!C398</f>
        <v>126</v>
      </c>
      <c r="C395" s="322" t="str">
        <f>Councils!D398</f>
        <v>Livingston</v>
      </c>
      <c r="D395" s="322" t="str">
        <f>IF(ISNA(VLOOKUP($V395,DD_Info!$A$1:$E$221,3,0)),0,VLOOKUP($V395,DD_Info!$A$1:$E$221,3,0))</f>
        <v>Beaumont</v>
      </c>
      <c r="E395" s="322">
        <f>Councils!E398</f>
        <v>115</v>
      </c>
      <c r="F395" s="322">
        <f>Councils!F398</f>
        <v>6</v>
      </c>
      <c r="G395" s="322">
        <f>Councils!G398</f>
        <v>0</v>
      </c>
      <c r="H395" s="322">
        <f>Councils!H398</f>
        <v>0</v>
      </c>
      <c r="I395" s="322">
        <f>Councils!I398</f>
        <v>0</v>
      </c>
      <c r="J395" s="322">
        <f>Councils!J398</f>
        <v>2</v>
      </c>
      <c r="K395" s="322">
        <f>Councils!K398</f>
        <v>0</v>
      </c>
      <c r="L395" s="322">
        <f>Councils!L398</f>
        <v>2</v>
      </c>
      <c r="M395" s="323">
        <f>Councils!M398</f>
        <v>33.33</v>
      </c>
      <c r="N395" s="322">
        <f>Councils!O398</f>
        <v>0</v>
      </c>
      <c r="O395" s="322">
        <f>Councils!P398</f>
        <v>0</v>
      </c>
      <c r="P395" s="322">
        <f>Councils!Q398</f>
        <v>0</v>
      </c>
      <c r="Q395" s="322">
        <f>Councils!R398</f>
        <v>0</v>
      </c>
      <c r="R395" s="322">
        <f>Councils!S398</f>
        <v>1</v>
      </c>
      <c r="S395" s="322">
        <f>Councils!T398</f>
        <v>0</v>
      </c>
      <c r="T395" s="322">
        <f>Councils!U398</f>
        <v>1</v>
      </c>
      <c r="U395" s="323">
        <f>Councils!V398</f>
        <v>0</v>
      </c>
      <c r="V395" s="376">
        <v>126</v>
      </c>
      <c r="W395" s="377">
        <f t="shared" si="6"/>
        <v>2</v>
      </c>
      <c r="X395" s="378" t="str">
        <f>IF(ISNA(VLOOKUP($A395,GA!$A$1:$D$834,3,0))," ",VLOOKUP($A395,GA!$A$1:$D$834,3,0))</f>
        <v>Rangel</v>
      </c>
      <c r="Y395" s="379" t="str">
        <f>IF(ISNA(VLOOKUP($A395,Dormant_Councils!$A$1:$E$811,5,0)),"No",VLOOKUP($A395,Dormant_Councils!$A$1:$E$811,5,0))</f>
        <v>No</v>
      </c>
      <c r="Z395" s="381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22" t="str">
        <f>Councils!C399</f>
        <v>202</v>
      </c>
      <c r="C396" s="322" t="str">
        <f>Councils!D399</f>
        <v>Perryton</v>
      </c>
      <c r="D396" s="322" t="str">
        <f>IF(ISNA(VLOOKUP($V396,DD_Info!$A$1:$E$221,3,0)),0,VLOOKUP($V396,DD_Info!$A$1:$E$221,3,0))</f>
        <v>Amarillo</v>
      </c>
      <c r="E396" s="322">
        <f>Councils!E399</f>
        <v>84</v>
      </c>
      <c r="F396" s="322">
        <f>Councils!F399</f>
        <v>4</v>
      </c>
      <c r="G396" s="322">
        <f>Councils!G399</f>
        <v>0</v>
      </c>
      <c r="H396" s="322">
        <f>Councils!H399</f>
        <v>0</v>
      </c>
      <c r="I396" s="322">
        <f>Councils!I399</f>
        <v>0</v>
      </c>
      <c r="J396" s="322">
        <f>Councils!J399</f>
        <v>0</v>
      </c>
      <c r="K396" s="322">
        <f>Councils!K399</f>
        <v>0</v>
      </c>
      <c r="L396" s="322">
        <f>Councils!L399</f>
        <v>0</v>
      </c>
      <c r="M396" s="323">
        <f>Councils!M399</f>
        <v>0</v>
      </c>
      <c r="N396" s="322">
        <f>Councils!O399</f>
        <v>0</v>
      </c>
      <c r="O396" s="322">
        <f>Councils!P399</f>
        <v>0</v>
      </c>
      <c r="P396" s="322">
        <f>Councils!Q399</f>
        <v>0</v>
      </c>
      <c r="Q396" s="322">
        <f>Councils!R399</f>
        <v>0</v>
      </c>
      <c r="R396" s="322">
        <f>Councils!S399</f>
        <v>0</v>
      </c>
      <c r="S396" s="322">
        <f>Councils!T399</f>
        <v>0</v>
      </c>
      <c r="T396" s="322">
        <f>Councils!U399</f>
        <v>0</v>
      </c>
      <c r="U396" s="323">
        <f>Councils!V399</f>
        <v>0</v>
      </c>
      <c r="V396" s="376">
        <v>202</v>
      </c>
      <c r="W396" s="377">
        <f t="shared" si="6"/>
        <v>2</v>
      </c>
      <c r="X396" s="378" t="str">
        <f>IF(ISNA(VLOOKUP($A396,GA!$A$1:$D$834,3,0))," ",VLOOKUP($A396,GA!$A$1:$D$834,3,0))</f>
        <v>Payne</v>
      </c>
      <c r="Y396" s="379" t="str">
        <f>IF(ISNA(VLOOKUP($A396,Dormant_Councils!$A$1:$E$811,5,0)),"No",VLOOKUP($A396,Dormant_Councils!$A$1:$E$811,5,0))</f>
        <v>Dormant</v>
      </c>
      <c r="Z396" s="381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22" t="str">
        <f>Councils!C400</f>
        <v>062</v>
      </c>
      <c r="C397" s="322" t="str">
        <f>Councils!D400</f>
        <v>San Antonio</v>
      </c>
      <c r="D397" s="322" t="str">
        <f>IF(ISNA(VLOOKUP($V397,DD_Info!$A$1:$E$221,3,0)),0,VLOOKUP($V397,DD_Info!$A$1:$E$221,3,0))</f>
        <v>San Antonio</v>
      </c>
      <c r="E397" s="322">
        <f>Councils!E400</f>
        <v>26</v>
      </c>
      <c r="F397" s="322">
        <f>Councils!F400</f>
        <v>3</v>
      </c>
      <c r="G397" s="322">
        <f>Councils!G400</f>
        <v>0</v>
      </c>
      <c r="H397" s="322">
        <f>Councils!H400</f>
        <v>0</v>
      </c>
      <c r="I397" s="322">
        <f>Councils!I400</f>
        <v>0</v>
      </c>
      <c r="J397" s="322">
        <f>Councils!J400</f>
        <v>0</v>
      </c>
      <c r="K397" s="322">
        <f>Councils!K400</f>
        <v>0</v>
      </c>
      <c r="L397" s="322">
        <f>Councils!L400</f>
        <v>0</v>
      </c>
      <c r="M397" s="323">
        <f>Councils!M400</f>
        <v>0</v>
      </c>
      <c r="N397" s="322">
        <f>Councils!O400</f>
        <v>0</v>
      </c>
      <c r="O397" s="322">
        <f>Councils!P400</f>
        <v>0</v>
      </c>
      <c r="P397" s="322">
        <f>Councils!Q400</f>
        <v>0</v>
      </c>
      <c r="Q397" s="322">
        <f>Councils!R400</f>
        <v>0</v>
      </c>
      <c r="R397" s="322">
        <f>Councils!S400</f>
        <v>0</v>
      </c>
      <c r="S397" s="322">
        <f>Councils!T400</f>
        <v>0</v>
      </c>
      <c r="T397" s="322">
        <f>Councils!U400</f>
        <v>0</v>
      </c>
      <c r="U397" s="323">
        <f>Councils!V400</f>
        <v>0</v>
      </c>
      <c r="V397" s="376">
        <v>62</v>
      </c>
      <c r="W397" s="377">
        <f t="shared" si="6"/>
        <v>3</v>
      </c>
      <c r="X397" s="378" t="str">
        <f>IF(ISNA(VLOOKUP($A397,GA!$A$1:$D$834,3,0))," ",VLOOKUP($A397,GA!$A$1:$D$834,3,0))</f>
        <v>Dougherty</v>
      </c>
      <c r="Y397" s="379" t="str">
        <f>IF(ISNA(VLOOKUP($A397,Dormant_Councils!$A$1:$E$811,5,0)),"No",VLOOKUP($A397,Dormant_Councils!$A$1:$E$811,5,0))</f>
        <v>Dormant</v>
      </c>
      <c r="Z397" s="381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22" t="str">
        <f>Councils!C401</f>
        <v>234</v>
      </c>
      <c r="C398" s="322" t="str">
        <f>Councils!D401</f>
        <v>Laredo</v>
      </c>
      <c r="D398" s="322" t="str">
        <f>IF(ISNA(VLOOKUP($V398,DD_Info!$A$1:$E$221,3,0)),0,VLOOKUP($V398,DD_Info!$A$1:$E$221,3,0))</f>
        <v>Laredo</v>
      </c>
      <c r="E398" s="322">
        <f>Councils!E401</f>
        <v>139</v>
      </c>
      <c r="F398" s="322">
        <f>Councils!F401</f>
        <v>7</v>
      </c>
      <c r="G398" s="322">
        <f>Councils!G401</f>
        <v>0</v>
      </c>
      <c r="H398" s="322">
        <f>Councils!H401</f>
        <v>0</v>
      </c>
      <c r="I398" s="322">
        <f>Councils!I401</f>
        <v>0</v>
      </c>
      <c r="J398" s="322">
        <f>Councils!J401</f>
        <v>0</v>
      </c>
      <c r="K398" s="322">
        <f>Councils!K401</f>
        <v>0</v>
      </c>
      <c r="L398" s="322">
        <f>Councils!L401</f>
        <v>0</v>
      </c>
      <c r="M398" s="323">
        <f>Councils!M401</f>
        <v>0</v>
      </c>
      <c r="N398" s="322">
        <f>Councils!O401</f>
        <v>0</v>
      </c>
      <c r="O398" s="322">
        <f>Councils!P401</f>
        <v>0</v>
      </c>
      <c r="P398" s="322">
        <f>Councils!Q401</f>
        <v>0</v>
      </c>
      <c r="Q398" s="322">
        <f>Councils!R401</f>
        <v>0</v>
      </c>
      <c r="R398" s="322">
        <f>Councils!S401</f>
        <v>0</v>
      </c>
      <c r="S398" s="322">
        <f>Councils!T401</f>
        <v>0</v>
      </c>
      <c r="T398" s="322">
        <f>Councils!U401</f>
        <v>0</v>
      </c>
      <c r="U398" s="323">
        <f>Councils!V401</f>
        <v>0</v>
      </c>
      <c r="V398" s="376">
        <v>234</v>
      </c>
      <c r="W398" s="377">
        <f t="shared" si="6"/>
        <v>2</v>
      </c>
      <c r="X398" s="378" t="str">
        <f>IF(ISNA(VLOOKUP($A398,GA!$A$1:$D$834,3,0))," ",VLOOKUP($A398,GA!$A$1:$D$834,3,0))</f>
        <v>Carlin</v>
      </c>
      <c r="Y398" s="379" t="str">
        <f>IF(ISNA(VLOOKUP($A398,Dormant_Councils!$A$1:$E$811,5,0)),"No",VLOOKUP($A398,Dormant_Councils!$A$1:$E$811,5,0))</f>
        <v>Dormant</v>
      </c>
      <c r="Z398" s="381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22" t="str">
        <f>Councils!C402</f>
        <v>073</v>
      </c>
      <c r="C399" s="322" t="str">
        <f>Councils!D402</f>
        <v>Highlands</v>
      </c>
      <c r="D399" s="322" t="str">
        <f>IF(ISNA(VLOOKUP($V399,DD_Info!$A$1:$E$221,3,0)),0,VLOOKUP($V399,DD_Info!$A$1:$E$221,3,0))</f>
        <v>Galv/Hous</v>
      </c>
      <c r="E399" s="322">
        <f>Councils!E402</f>
        <v>42</v>
      </c>
      <c r="F399" s="322">
        <f>Councils!F402</f>
        <v>3</v>
      </c>
      <c r="G399" s="322">
        <f>Councils!G402</f>
        <v>0</v>
      </c>
      <c r="H399" s="322">
        <f>Councils!H402</f>
        <v>0</v>
      </c>
      <c r="I399" s="322">
        <f>Councils!I402</f>
        <v>0</v>
      </c>
      <c r="J399" s="322">
        <f>Councils!J402</f>
        <v>0</v>
      </c>
      <c r="K399" s="322">
        <f>Councils!K402</f>
        <v>0</v>
      </c>
      <c r="L399" s="322">
        <f>Councils!L402</f>
        <v>0</v>
      </c>
      <c r="M399" s="323">
        <f>Councils!M402</f>
        <v>0</v>
      </c>
      <c r="N399" s="322">
        <f>Councils!O402</f>
        <v>0</v>
      </c>
      <c r="O399" s="322">
        <f>Councils!P402</f>
        <v>0</v>
      </c>
      <c r="P399" s="322">
        <f>Councils!Q402</f>
        <v>0</v>
      </c>
      <c r="Q399" s="322">
        <f>Councils!R402</f>
        <v>0</v>
      </c>
      <c r="R399" s="322">
        <f>Councils!S402</f>
        <v>0</v>
      </c>
      <c r="S399" s="322">
        <f>Councils!T402</f>
        <v>1</v>
      </c>
      <c r="T399" s="322">
        <f>Councils!U402</f>
        <v>-1</v>
      </c>
      <c r="U399" s="323">
        <f>Councils!V402</f>
        <v>0</v>
      </c>
      <c r="V399" s="376">
        <v>73</v>
      </c>
      <c r="W399" s="377">
        <f t="shared" si="6"/>
        <v>3</v>
      </c>
      <c r="X399" s="378" t="str">
        <f>IF(ISNA(VLOOKUP($A399,GA!$A$1:$D$834,3,0))," ",VLOOKUP($A399,GA!$A$1:$D$834,3,0))</f>
        <v>Rangel</v>
      </c>
      <c r="Y399" s="379" t="str">
        <f>IF(ISNA(VLOOKUP($A399,Dormant_Councils!$A$1:$E$811,5,0)),"No",VLOOKUP($A399,Dormant_Councils!$A$1:$E$811,5,0))</f>
        <v>No</v>
      </c>
      <c r="Z399" s="381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22" t="str">
        <f>Councils!C403</f>
        <v>016</v>
      </c>
      <c r="C400" s="322" t="str">
        <f>Councils!D403</f>
        <v>Graham</v>
      </c>
      <c r="D400" s="322" t="str">
        <f>IF(ISNA(VLOOKUP($V400,DD_Info!$A$1:$E$221,3,0)),0,VLOOKUP($V400,DD_Info!$A$1:$E$221,3,0))</f>
        <v>Fort Worth</v>
      </c>
      <c r="E400" s="322">
        <f>Councils!E403</f>
        <v>81</v>
      </c>
      <c r="F400" s="322">
        <f>Councils!F403</f>
        <v>4</v>
      </c>
      <c r="G400" s="322">
        <f>Councils!G403</f>
        <v>0</v>
      </c>
      <c r="H400" s="322">
        <f>Councils!H403</f>
        <v>0</v>
      </c>
      <c r="I400" s="322">
        <f>Councils!I403</f>
        <v>0</v>
      </c>
      <c r="J400" s="322">
        <f>Councils!J403</f>
        <v>0</v>
      </c>
      <c r="K400" s="322">
        <f>Councils!K403</f>
        <v>0</v>
      </c>
      <c r="L400" s="322">
        <f>Councils!L403</f>
        <v>0</v>
      </c>
      <c r="M400" s="323">
        <f>Councils!M403</f>
        <v>0</v>
      </c>
      <c r="N400" s="322">
        <f>Councils!O403</f>
        <v>0</v>
      </c>
      <c r="O400" s="322">
        <f>Councils!P403</f>
        <v>0</v>
      </c>
      <c r="P400" s="322">
        <f>Councils!Q403</f>
        <v>0</v>
      </c>
      <c r="Q400" s="322">
        <f>Councils!R403</f>
        <v>0</v>
      </c>
      <c r="R400" s="322">
        <f>Councils!S403</f>
        <v>0</v>
      </c>
      <c r="S400" s="322">
        <f>Councils!T403</f>
        <v>0</v>
      </c>
      <c r="T400" s="322">
        <f>Councils!U403</f>
        <v>0</v>
      </c>
      <c r="U400" s="323">
        <f>Councils!V403</f>
        <v>0</v>
      </c>
      <c r="V400" s="376">
        <v>16</v>
      </c>
      <c r="W400" s="377">
        <f t="shared" si="6"/>
        <v>2</v>
      </c>
      <c r="X400" s="378" t="str">
        <f>IF(ISNA(VLOOKUP($A400,GA!$A$1:$D$834,3,0))," ",VLOOKUP($A400,GA!$A$1:$D$834,3,0))</f>
        <v>Stark</v>
      </c>
      <c r="Y400" s="379" t="str">
        <f>IF(ISNA(VLOOKUP($A400,Dormant_Councils!$A$1:$E$811,5,0)),"No",VLOOKUP($A400,Dormant_Councils!$A$1:$E$811,5,0))</f>
        <v>No</v>
      </c>
      <c r="Z400" s="381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22" t="str">
        <f>Councils!C404</f>
        <v>229</v>
      </c>
      <c r="C401" s="322" t="str">
        <f>Councils!D404</f>
        <v>St Lawrence</v>
      </c>
      <c r="D401" s="322" t="str">
        <f>IF(ISNA(VLOOKUP($V401,DD_Info!$A$1:$E$221,3,0)),0,VLOOKUP($V401,DD_Info!$A$1:$E$221,3,0))</f>
        <v>San Angelo</v>
      </c>
      <c r="E401" s="322">
        <f>Councils!E404</f>
        <v>126</v>
      </c>
      <c r="F401" s="322">
        <f>Councils!F404</f>
        <v>6</v>
      </c>
      <c r="G401" s="322">
        <f>Councils!G404</f>
        <v>0</v>
      </c>
      <c r="H401" s="322">
        <f>Councils!H404</f>
        <v>0</v>
      </c>
      <c r="I401" s="322">
        <f>Councils!I404</f>
        <v>0</v>
      </c>
      <c r="J401" s="322">
        <f>Councils!J404</f>
        <v>0</v>
      </c>
      <c r="K401" s="322">
        <f>Councils!K404</f>
        <v>0</v>
      </c>
      <c r="L401" s="322">
        <f>Councils!L404</f>
        <v>0</v>
      </c>
      <c r="M401" s="323">
        <f>Councils!M404</f>
        <v>0</v>
      </c>
      <c r="N401" s="322">
        <f>Councils!O404</f>
        <v>0</v>
      </c>
      <c r="O401" s="322">
        <f>Councils!P404</f>
        <v>0</v>
      </c>
      <c r="P401" s="322">
        <f>Councils!Q404</f>
        <v>0</v>
      </c>
      <c r="Q401" s="322">
        <f>Councils!R404</f>
        <v>0</v>
      </c>
      <c r="R401" s="322">
        <f>Councils!S404</f>
        <v>0</v>
      </c>
      <c r="S401" s="322">
        <f>Councils!T404</f>
        <v>0</v>
      </c>
      <c r="T401" s="322">
        <f>Councils!U404</f>
        <v>0</v>
      </c>
      <c r="U401" s="323">
        <f>Councils!V404</f>
        <v>0</v>
      </c>
      <c r="V401" s="376">
        <v>229</v>
      </c>
      <c r="W401" s="377">
        <f t="shared" si="6"/>
        <v>2</v>
      </c>
      <c r="X401" s="378" t="str">
        <f>IF(ISNA(VLOOKUP($A401,GA!$A$1:$D$834,3,0))," ",VLOOKUP($A401,GA!$A$1:$D$834,3,0))</f>
        <v>Payne</v>
      </c>
      <c r="Y401" s="379" t="str">
        <f>IF(ISNA(VLOOKUP($A401,Dormant_Councils!$A$1:$E$811,5,0)),"No",VLOOKUP($A401,Dormant_Councils!$A$1:$E$811,5,0))</f>
        <v>No</v>
      </c>
      <c r="Z401" s="381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22" t="str">
        <f>Councils!C405</f>
        <v>027</v>
      </c>
      <c r="C402" s="322" t="str">
        <f>Councils!D405</f>
        <v>Decatur</v>
      </c>
      <c r="D402" s="322" t="str">
        <f>IF(ISNA(VLOOKUP($V402,DD_Info!$A$1:$E$221,3,0)),0,VLOOKUP($V402,DD_Info!$A$1:$E$221,3,0))</f>
        <v>Fort Worth</v>
      </c>
      <c r="E402" s="322">
        <f>Councils!E405</f>
        <v>94</v>
      </c>
      <c r="F402" s="322">
        <f>Councils!F405</f>
        <v>5</v>
      </c>
      <c r="G402" s="322">
        <f>Councils!G405</f>
        <v>0</v>
      </c>
      <c r="H402" s="322">
        <f>Councils!H405</f>
        <v>0</v>
      </c>
      <c r="I402" s="322">
        <f>Councils!I405</f>
        <v>0</v>
      </c>
      <c r="J402" s="322">
        <f>Councils!J405</f>
        <v>6</v>
      </c>
      <c r="K402" s="322">
        <f>Councils!K405</f>
        <v>0</v>
      </c>
      <c r="L402" s="322">
        <f>Councils!L405</f>
        <v>6</v>
      </c>
      <c r="M402" s="323">
        <f>Councils!M405</f>
        <v>120</v>
      </c>
      <c r="N402" s="322">
        <f>Councils!O405</f>
        <v>0</v>
      </c>
      <c r="O402" s="322">
        <f>Councils!P405</f>
        <v>0</v>
      </c>
      <c r="P402" s="322">
        <f>Councils!Q405</f>
        <v>0</v>
      </c>
      <c r="Q402" s="322">
        <f>Councils!R405</f>
        <v>0</v>
      </c>
      <c r="R402" s="322">
        <f>Councils!S405</f>
        <v>2</v>
      </c>
      <c r="S402" s="322">
        <f>Councils!T405</f>
        <v>0</v>
      </c>
      <c r="T402" s="322">
        <f>Councils!U405</f>
        <v>2</v>
      </c>
      <c r="U402" s="323">
        <f>Councils!V405</f>
        <v>0</v>
      </c>
      <c r="V402" s="376">
        <v>27</v>
      </c>
      <c r="W402" s="377">
        <f t="shared" si="6"/>
        <v>2</v>
      </c>
      <c r="X402" s="378" t="str">
        <f>IF(ISNA(VLOOKUP($A402,GA!$A$1:$D$834,3,0))," ",VLOOKUP($A402,GA!$A$1:$D$834,3,0))</f>
        <v>Stark</v>
      </c>
      <c r="Y402" s="379" t="str">
        <f>IF(ISNA(VLOOKUP($A402,Dormant_Councils!$A$1:$E$811,5,0)),"No",VLOOKUP($A402,Dormant_Councils!$A$1:$E$811,5,0))</f>
        <v>No</v>
      </c>
      <c r="Z402" s="381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22" t="str">
        <f>Councils!C406</f>
        <v>238</v>
      </c>
      <c r="C403" s="322" t="str">
        <f>Councils!D406</f>
        <v>Zapata</v>
      </c>
      <c r="D403" s="322" t="str">
        <f>IF(ISNA(VLOOKUP($V403,DD_Info!$A$1:$E$221,3,0)),0,VLOOKUP($V403,DD_Info!$A$1:$E$221,3,0))</f>
        <v>Laredo</v>
      </c>
      <c r="E403" s="322">
        <f>Councils!E406</f>
        <v>73</v>
      </c>
      <c r="F403" s="322">
        <f>Councils!F406</f>
        <v>4</v>
      </c>
      <c r="G403" s="322">
        <f>Councils!G406</f>
        <v>0</v>
      </c>
      <c r="H403" s="322">
        <f>Councils!H406</f>
        <v>0</v>
      </c>
      <c r="I403" s="322">
        <f>Councils!I406</f>
        <v>0</v>
      </c>
      <c r="J403" s="322">
        <f>Councils!J406</f>
        <v>0</v>
      </c>
      <c r="K403" s="322">
        <f>Councils!K406</f>
        <v>0</v>
      </c>
      <c r="L403" s="322">
        <f>Councils!L406</f>
        <v>0</v>
      </c>
      <c r="M403" s="323">
        <f>Councils!M406</f>
        <v>0</v>
      </c>
      <c r="N403" s="322">
        <f>Councils!O406</f>
        <v>0</v>
      </c>
      <c r="O403" s="322">
        <f>Councils!P406</f>
        <v>0</v>
      </c>
      <c r="P403" s="322">
        <f>Councils!Q406</f>
        <v>0</v>
      </c>
      <c r="Q403" s="322">
        <f>Councils!R406</f>
        <v>0</v>
      </c>
      <c r="R403" s="322">
        <f>Councils!S406</f>
        <v>0</v>
      </c>
      <c r="S403" s="322">
        <f>Councils!T406</f>
        <v>0</v>
      </c>
      <c r="T403" s="322">
        <f>Councils!U406</f>
        <v>0</v>
      </c>
      <c r="U403" s="323">
        <f>Councils!V406</f>
        <v>0</v>
      </c>
      <c r="V403" s="376">
        <v>238</v>
      </c>
      <c r="W403" s="377">
        <f t="shared" si="6"/>
        <v>2</v>
      </c>
      <c r="X403" s="378" t="str">
        <f>IF(ISNA(VLOOKUP($A403,GA!$A$1:$D$834,3,0))," ",VLOOKUP($A403,GA!$A$1:$D$834,3,0))</f>
        <v>Carlin</v>
      </c>
      <c r="Y403" s="379" t="str">
        <f>IF(ISNA(VLOOKUP($A403,Dormant_Councils!$A$1:$E$811,5,0)),"No",VLOOKUP($A403,Dormant_Councils!$A$1:$E$811,5,0))</f>
        <v>Dormant</v>
      </c>
      <c r="Z403" s="381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22" t="str">
        <f>Councils!C407</f>
        <v>222</v>
      </c>
      <c r="C404" s="322" t="str">
        <f>Councils!D407</f>
        <v>Fort Stockton</v>
      </c>
      <c r="D404" s="322" t="str">
        <f>IF(ISNA(VLOOKUP($V404,DD_Info!$A$1:$E$221,3,0)),0,VLOOKUP($V404,DD_Info!$A$1:$E$221,3,0))</f>
        <v>San Angelo</v>
      </c>
      <c r="E404" s="322">
        <f>Councils!E407</f>
        <v>58</v>
      </c>
      <c r="F404" s="322">
        <f>Councils!F407</f>
        <v>3</v>
      </c>
      <c r="G404" s="322">
        <f>Councils!G407</f>
        <v>0</v>
      </c>
      <c r="H404" s="322">
        <f>Councils!H407</f>
        <v>0</v>
      </c>
      <c r="I404" s="322">
        <f>Councils!I407</f>
        <v>0</v>
      </c>
      <c r="J404" s="322">
        <f>Councils!J407</f>
        <v>6</v>
      </c>
      <c r="K404" s="322">
        <f>Councils!K407</f>
        <v>0</v>
      </c>
      <c r="L404" s="322">
        <f>Councils!L407</f>
        <v>6</v>
      </c>
      <c r="M404" s="323">
        <f>Councils!M407</f>
        <v>200</v>
      </c>
      <c r="N404" s="322">
        <f>Councils!O407</f>
        <v>0</v>
      </c>
      <c r="O404" s="322">
        <f>Councils!P407</f>
        <v>0</v>
      </c>
      <c r="P404" s="322">
        <f>Councils!Q407</f>
        <v>0</v>
      </c>
      <c r="Q404" s="322">
        <f>Councils!R407</f>
        <v>0</v>
      </c>
      <c r="R404" s="322">
        <f>Councils!S407</f>
        <v>0</v>
      </c>
      <c r="S404" s="322">
        <f>Councils!T407</f>
        <v>0</v>
      </c>
      <c r="T404" s="322">
        <f>Councils!U407</f>
        <v>0</v>
      </c>
      <c r="U404" s="323">
        <f>Councils!V407</f>
        <v>0</v>
      </c>
      <c r="V404" s="376">
        <v>222</v>
      </c>
      <c r="W404" s="377">
        <f t="shared" si="6"/>
        <v>3</v>
      </c>
      <c r="X404" s="378" t="str">
        <f>IF(ISNA(VLOOKUP($A404,GA!$A$1:$D$834,3,0))," ",VLOOKUP($A404,GA!$A$1:$D$834,3,0))</f>
        <v>Payne</v>
      </c>
      <c r="Y404" s="379" t="str">
        <f>IF(ISNA(VLOOKUP($A404,Dormant_Councils!$A$1:$E$811,5,0)),"No",VLOOKUP($A404,Dormant_Councils!$A$1:$E$811,5,0))</f>
        <v>No</v>
      </c>
      <c r="Z404" s="381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22" t="str">
        <f>Councils!C408</f>
        <v>046</v>
      </c>
      <c r="C405" s="322" t="str">
        <f>Councils!D408</f>
        <v>Converse</v>
      </c>
      <c r="D405" s="322" t="str">
        <f>IF(ISNA(VLOOKUP($V405,DD_Info!$A$1:$E$221,3,0)),0,VLOOKUP($V405,DD_Info!$A$1:$E$221,3,0))</f>
        <v>San Antonio</v>
      </c>
      <c r="E405" s="322">
        <f>Councils!E408</f>
        <v>203</v>
      </c>
      <c r="F405" s="322">
        <f>Councils!F408</f>
        <v>10</v>
      </c>
      <c r="G405" s="322">
        <f>Councils!G408</f>
        <v>0</v>
      </c>
      <c r="H405" s="322">
        <f>Councils!H408</f>
        <v>0</v>
      </c>
      <c r="I405" s="322">
        <f>Councils!I408</f>
        <v>0</v>
      </c>
      <c r="J405" s="322">
        <f>Councils!J408</f>
        <v>1</v>
      </c>
      <c r="K405" s="322">
        <f>Councils!K408</f>
        <v>0</v>
      </c>
      <c r="L405" s="322">
        <f>Councils!L408</f>
        <v>1</v>
      </c>
      <c r="M405" s="323">
        <f>Councils!M408</f>
        <v>10</v>
      </c>
      <c r="N405" s="322">
        <f>Councils!O408</f>
        <v>0</v>
      </c>
      <c r="O405" s="322">
        <f>Councils!P408</f>
        <v>0</v>
      </c>
      <c r="P405" s="322">
        <f>Councils!Q408</f>
        <v>0</v>
      </c>
      <c r="Q405" s="322">
        <f>Councils!R408</f>
        <v>0</v>
      </c>
      <c r="R405" s="322">
        <f>Councils!S408</f>
        <v>1</v>
      </c>
      <c r="S405" s="322">
        <f>Councils!T408</f>
        <v>0</v>
      </c>
      <c r="T405" s="322">
        <f>Councils!U408</f>
        <v>1</v>
      </c>
      <c r="U405" s="323">
        <f>Councils!V408</f>
        <v>0</v>
      </c>
      <c r="V405" s="376">
        <v>46</v>
      </c>
      <c r="W405" s="377">
        <f t="shared" si="6"/>
        <v>1</v>
      </c>
      <c r="X405" s="378" t="str">
        <f>IF(ISNA(VLOOKUP($A405,GA!$A$1:$D$834,3,0))," ",VLOOKUP($A405,GA!$A$1:$D$834,3,0))</f>
        <v>Dougherty</v>
      </c>
      <c r="Y405" s="379" t="str">
        <f>IF(ISNA(VLOOKUP($A405,Dormant_Councils!$A$1:$E$811,5,0)),"No",VLOOKUP($A405,Dormant_Councils!$A$1:$E$811,5,0))</f>
        <v>No</v>
      </c>
      <c r="Z405" s="381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22" t="str">
        <f>Councils!C409</f>
        <v>038</v>
      </c>
      <c r="C406" s="322" t="str">
        <f>Councils!D409</f>
        <v>San Antonio</v>
      </c>
      <c r="D406" s="322" t="str">
        <f>IF(ISNA(VLOOKUP($V406,DD_Info!$A$1:$E$221,3,0)),0,VLOOKUP($V406,DD_Info!$A$1:$E$221,3,0))</f>
        <v>San Antonio</v>
      </c>
      <c r="E406" s="322">
        <f>Councils!E409</f>
        <v>51</v>
      </c>
      <c r="F406" s="322">
        <f>Councils!F409</f>
        <v>3</v>
      </c>
      <c r="G406" s="322">
        <f>Councils!G409</f>
        <v>0</v>
      </c>
      <c r="H406" s="322">
        <f>Councils!H409</f>
        <v>0</v>
      </c>
      <c r="I406" s="322">
        <f>Councils!I409</f>
        <v>0</v>
      </c>
      <c r="J406" s="322">
        <f>Councils!J409</f>
        <v>0</v>
      </c>
      <c r="K406" s="322">
        <f>Councils!K409</f>
        <v>0</v>
      </c>
      <c r="L406" s="322">
        <f>Councils!L409</f>
        <v>0</v>
      </c>
      <c r="M406" s="323">
        <f>Councils!M409</f>
        <v>0</v>
      </c>
      <c r="N406" s="322">
        <f>Councils!O409</f>
        <v>0</v>
      </c>
      <c r="O406" s="322">
        <f>Councils!P409</f>
        <v>0</v>
      </c>
      <c r="P406" s="322">
        <f>Councils!Q409</f>
        <v>0</v>
      </c>
      <c r="Q406" s="322">
        <f>Councils!R409</f>
        <v>0</v>
      </c>
      <c r="R406" s="322">
        <f>Councils!S409</f>
        <v>0</v>
      </c>
      <c r="S406" s="322">
        <f>Councils!T409</f>
        <v>0</v>
      </c>
      <c r="T406" s="322">
        <f>Councils!U409</f>
        <v>0</v>
      </c>
      <c r="U406" s="323">
        <f>Councils!V409</f>
        <v>0</v>
      </c>
      <c r="V406" s="376">
        <v>38</v>
      </c>
      <c r="W406" s="377">
        <f t="shared" si="6"/>
        <v>3</v>
      </c>
      <c r="X406" s="378" t="str">
        <f>IF(ISNA(VLOOKUP($A406,GA!$A$1:$D$834,3,0))," ",VLOOKUP($A406,GA!$A$1:$D$834,3,0))</f>
        <v>Dougherty</v>
      </c>
      <c r="Y406" s="379" t="str">
        <f>IF(ISNA(VLOOKUP($A406,Dormant_Councils!$A$1:$E$811,5,0)),"No",VLOOKUP($A406,Dormant_Councils!$A$1:$E$811,5,0))</f>
        <v>No</v>
      </c>
      <c r="Z406" s="381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22" t="str">
        <f>Councils!C410</f>
        <v>066</v>
      </c>
      <c r="C407" s="322" t="str">
        <f>Councils!D410</f>
        <v>Clute</v>
      </c>
      <c r="D407" s="322" t="str">
        <f>IF(ISNA(VLOOKUP($V407,DD_Info!$A$1:$E$221,3,0)),0,VLOOKUP($V407,DD_Info!$A$1:$E$221,3,0))</f>
        <v>Galv/Hous</v>
      </c>
      <c r="E407" s="322">
        <f>Councils!E410</f>
        <v>91</v>
      </c>
      <c r="F407" s="322">
        <f>Councils!F410</f>
        <v>4</v>
      </c>
      <c r="G407" s="322">
        <f>Councils!G410</f>
        <v>0</v>
      </c>
      <c r="H407" s="322">
        <f>Councils!H410</f>
        <v>0</v>
      </c>
      <c r="I407" s="322">
        <f>Councils!I410</f>
        <v>0</v>
      </c>
      <c r="J407" s="322">
        <f>Councils!J410</f>
        <v>0</v>
      </c>
      <c r="K407" s="322">
        <f>Councils!K410</f>
        <v>0</v>
      </c>
      <c r="L407" s="322">
        <f>Councils!L410</f>
        <v>0</v>
      </c>
      <c r="M407" s="323">
        <f>Councils!M410</f>
        <v>0</v>
      </c>
      <c r="N407" s="322">
        <f>Councils!O410</f>
        <v>0</v>
      </c>
      <c r="O407" s="322">
        <f>Councils!P410</f>
        <v>0</v>
      </c>
      <c r="P407" s="322">
        <f>Councils!Q410</f>
        <v>0</v>
      </c>
      <c r="Q407" s="322">
        <f>Councils!R410</f>
        <v>0</v>
      </c>
      <c r="R407" s="322">
        <f>Councils!S410</f>
        <v>3</v>
      </c>
      <c r="S407" s="322">
        <f>Councils!T410</f>
        <v>0</v>
      </c>
      <c r="T407" s="322">
        <f>Councils!U410</f>
        <v>3</v>
      </c>
      <c r="U407" s="323">
        <f>Councils!V410</f>
        <v>0</v>
      </c>
      <c r="V407" s="376">
        <v>66</v>
      </c>
      <c r="W407" s="377">
        <f t="shared" si="6"/>
        <v>2</v>
      </c>
      <c r="X407" s="378" t="str">
        <f>IF(ISNA(VLOOKUP($A407,GA!$A$1:$D$834,3,0))," ",VLOOKUP($A407,GA!$A$1:$D$834,3,0))</f>
        <v>Supak</v>
      </c>
      <c r="Y407" s="379" t="str">
        <f>IF(ISNA(VLOOKUP($A407,Dormant_Councils!$A$1:$E$811,5,0)),"No",VLOOKUP($A407,Dormant_Councils!$A$1:$E$811,5,0))</f>
        <v>No</v>
      </c>
      <c r="Z407" s="381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22" t="str">
        <f>Councils!C411</f>
        <v>211</v>
      </c>
      <c r="C408" s="322" t="str">
        <f>Councils!D411</f>
        <v>Elsa</v>
      </c>
      <c r="D408" s="322" t="str">
        <f>IF(ISNA(VLOOKUP($V408,DD_Info!$A$1:$E$221,3,0)),0,VLOOKUP($V408,DD_Info!$A$1:$E$221,3,0))</f>
        <v>Brownsville</v>
      </c>
      <c r="E408" s="322">
        <f>Councils!E411</f>
        <v>52</v>
      </c>
      <c r="F408" s="322">
        <f>Councils!F411</f>
        <v>3</v>
      </c>
      <c r="G408" s="322">
        <f>Councils!G411</f>
        <v>0</v>
      </c>
      <c r="H408" s="322">
        <f>Councils!H411</f>
        <v>0</v>
      </c>
      <c r="I408" s="322">
        <f>Councils!I411</f>
        <v>0</v>
      </c>
      <c r="J408" s="322">
        <f>Councils!J411</f>
        <v>0</v>
      </c>
      <c r="K408" s="322">
        <f>Councils!K411</f>
        <v>0</v>
      </c>
      <c r="L408" s="322">
        <f>Councils!L411</f>
        <v>0</v>
      </c>
      <c r="M408" s="323">
        <f>Councils!M411</f>
        <v>0</v>
      </c>
      <c r="N408" s="322">
        <f>Councils!O411</f>
        <v>0</v>
      </c>
      <c r="O408" s="322">
        <f>Councils!P411</f>
        <v>0</v>
      </c>
      <c r="P408" s="322">
        <f>Councils!Q411</f>
        <v>0</v>
      </c>
      <c r="Q408" s="322">
        <f>Councils!R411</f>
        <v>0</v>
      </c>
      <c r="R408" s="322">
        <f>Councils!S411</f>
        <v>0</v>
      </c>
      <c r="S408" s="322">
        <f>Councils!T411</f>
        <v>0</v>
      </c>
      <c r="T408" s="322">
        <f>Councils!U411</f>
        <v>0</v>
      </c>
      <c r="U408" s="323">
        <f>Councils!V411</f>
        <v>0</v>
      </c>
      <c r="V408" s="376">
        <v>211</v>
      </c>
      <c r="W408" s="377">
        <f t="shared" si="6"/>
        <v>3</v>
      </c>
      <c r="X408" s="378" t="str">
        <f>IF(ISNA(VLOOKUP($A408,GA!$A$1:$D$834,3,0))," ",VLOOKUP($A408,GA!$A$1:$D$834,3,0))</f>
        <v>Carlin</v>
      </c>
      <c r="Y408" s="379" t="str">
        <f>IF(ISNA(VLOOKUP($A408,Dormant_Councils!$A$1:$E$811,5,0)),"No",VLOOKUP($A408,Dormant_Councils!$A$1:$E$811,5,0))</f>
        <v>No</v>
      </c>
      <c r="Z408" s="381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22" t="str">
        <f>Councils!C412</f>
        <v>Unassigned</v>
      </c>
      <c r="C409" s="322" t="str">
        <f>Councils!D412</f>
        <v>Marathon</v>
      </c>
      <c r="D409" s="322">
        <f>IF(ISNA(VLOOKUP($V409,DD_Info!$A$1:$E$221,3,0)),0,VLOOKUP($V409,DD_Info!$A$1:$E$221,3,0))</f>
        <v>0</v>
      </c>
      <c r="E409" s="322">
        <f>Councils!E412</f>
        <v>0</v>
      </c>
      <c r="F409" s="322">
        <f>Councils!F412</f>
        <v>0</v>
      </c>
      <c r="G409" s="322">
        <f>Councils!G412</f>
        <v>0</v>
      </c>
      <c r="H409" s="322">
        <f>Councils!H412</f>
        <v>0</v>
      </c>
      <c r="I409" s="322">
        <f>Councils!I412</f>
        <v>0</v>
      </c>
      <c r="J409" s="322">
        <f>Councils!J412</f>
        <v>0</v>
      </c>
      <c r="K409" s="322">
        <f>Councils!K412</f>
        <v>0</v>
      </c>
      <c r="L409" s="322">
        <f>Councils!L412</f>
        <v>0</v>
      </c>
      <c r="M409" s="323">
        <f>Councils!M412</f>
        <v>0</v>
      </c>
      <c r="N409" s="322">
        <f>Councils!O412</f>
        <v>0</v>
      </c>
      <c r="O409" s="322">
        <f>Councils!P412</f>
        <v>0</v>
      </c>
      <c r="P409" s="322">
        <f>Councils!Q412</f>
        <v>0</v>
      </c>
      <c r="Q409" s="322">
        <f>Councils!R412</f>
        <v>0</v>
      </c>
      <c r="R409" s="322">
        <f>Councils!S412</f>
        <v>0</v>
      </c>
      <c r="S409" s="322">
        <f>Councils!T412</f>
        <v>0</v>
      </c>
      <c r="T409" s="322">
        <f>Councils!U412</f>
        <v>0</v>
      </c>
      <c r="U409" s="323">
        <f>Councils!V412</f>
        <v>0</v>
      </c>
      <c r="V409" s="45" t="s">
        <v>93</v>
      </c>
      <c r="W409" s="377">
        <f t="shared" si="6"/>
        <v>3</v>
      </c>
      <c r="X409" s="378" t="str">
        <f>IF(ISNA(VLOOKUP($A409,GA!$A$1:$D$834,3,0))," ",VLOOKUP($A409,GA!$A$1:$D$834,3,0))</f>
        <v>Payne</v>
      </c>
      <c r="Y409" s="379" t="str">
        <f>IF(ISNA(VLOOKUP($A409,Dormant_Councils!$A$1:$E$811,5,0)),"No",VLOOKUP($A409,Dormant_Councils!$A$1:$E$811,5,0))</f>
        <v>No</v>
      </c>
      <c r="Z409" s="381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22" t="str">
        <f>Councils!C413</f>
        <v>047</v>
      </c>
      <c r="C410" s="322" t="str">
        <f>Councils!D413</f>
        <v>San Antonio</v>
      </c>
      <c r="D410" s="322" t="str">
        <f>IF(ISNA(VLOOKUP($V410,DD_Info!$A$1:$E$221,3,0)),0,VLOOKUP($V410,DD_Info!$A$1:$E$221,3,0))</f>
        <v>San Antonio</v>
      </c>
      <c r="E410" s="322">
        <f>Councils!E413</f>
        <v>36</v>
      </c>
      <c r="F410" s="322">
        <f>Councils!F413</f>
        <v>3</v>
      </c>
      <c r="G410" s="322">
        <f>Councils!G413</f>
        <v>0</v>
      </c>
      <c r="H410" s="322">
        <f>Councils!H413</f>
        <v>0</v>
      </c>
      <c r="I410" s="322">
        <f>Councils!I413</f>
        <v>0</v>
      </c>
      <c r="J410" s="322">
        <f>Councils!J413</f>
        <v>2</v>
      </c>
      <c r="K410" s="322">
        <f>Councils!K413</f>
        <v>0</v>
      </c>
      <c r="L410" s="322">
        <f>Councils!L413</f>
        <v>2</v>
      </c>
      <c r="M410" s="323">
        <f>Councils!M413</f>
        <v>66.67</v>
      </c>
      <c r="N410" s="322">
        <f>Councils!O413</f>
        <v>0</v>
      </c>
      <c r="O410" s="322">
        <f>Councils!P413</f>
        <v>0</v>
      </c>
      <c r="P410" s="322">
        <f>Councils!Q413</f>
        <v>0</v>
      </c>
      <c r="Q410" s="322">
        <f>Councils!R413</f>
        <v>0</v>
      </c>
      <c r="R410" s="322">
        <f>Councils!S413</f>
        <v>0</v>
      </c>
      <c r="S410" s="322">
        <f>Councils!T413</f>
        <v>0</v>
      </c>
      <c r="T410" s="322">
        <f>Councils!U413</f>
        <v>0</v>
      </c>
      <c r="U410" s="323">
        <f>Councils!V413</f>
        <v>0</v>
      </c>
      <c r="V410" s="376">
        <v>47</v>
      </c>
      <c r="W410" s="377">
        <f t="shared" si="6"/>
        <v>3</v>
      </c>
      <c r="X410" s="378" t="str">
        <f>IF(ISNA(VLOOKUP($A410,GA!$A$1:$D$834,3,0))," ",VLOOKUP($A410,GA!$A$1:$D$834,3,0))</f>
        <v>Dougherty</v>
      </c>
      <c r="Y410" s="379" t="str">
        <f>IF(ISNA(VLOOKUP($A410,Dormant_Councils!$A$1:$E$811,5,0)),"No",VLOOKUP($A410,Dormant_Councils!$A$1:$E$811,5,0))</f>
        <v>No</v>
      </c>
      <c r="Z410" s="381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22" t="str">
        <f>Councils!C414</f>
        <v>071</v>
      </c>
      <c r="C411" s="322" t="str">
        <f>Councils!D414</f>
        <v>Houston</v>
      </c>
      <c r="D411" s="322" t="str">
        <f>IF(ISNA(VLOOKUP($V411,DD_Info!$A$1:$E$221,3,0)),0,VLOOKUP($V411,DD_Info!$A$1:$E$221,3,0))</f>
        <v>Galv/Hous</v>
      </c>
      <c r="E411" s="322">
        <f>Councils!E414</f>
        <v>144</v>
      </c>
      <c r="F411" s="322">
        <f>Councils!F414</f>
        <v>7</v>
      </c>
      <c r="G411" s="322">
        <f>Councils!G414</f>
        <v>0</v>
      </c>
      <c r="H411" s="322">
        <f>Councils!H414</f>
        <v>0</v>
      </c>
      <c r="I411" s="322">
        <f>Councils!I414</f>
        <v>0</v>
      </c>
      <c r="J411" s="322">
        <f>Councils!J414</f>
        <v>5</v>
      </c>
      <c r="K411" s="322">
        <f>Councils!K414</f>
        <v>0</v>
      </c>
      <c r="L411" s="322">
        <f>Councils!L414</f>
        <v>5</v>
      </c>
      <c r="M411" s="323">
        <f>Councils!M414</f>
        <v>71.430000000000007</v>
      </c>
      <c r="N411" s="322">
        <f>Councils!O414</f>
        <v>0</v>
      </c>
      <c r="O411" s="322">
        <f>Councils!P414</f>
        <v>0</v>
      </c>
      <c r="P411" s="322">
        <f>Councils!Q414</f>
        <v>0</v>
      </c>
      <c r="Q411" s="322">
        <f>Councils!R414</f>
        <v>0</v>
      </c>
      <c r="R411" s="322">
        <f>Councils!S414</f>
        <v>2</v>
      </c>
      <c r="S411" s="322">
        <f>Councils!T414</f>
        <v>1</v>
      </c>
      <c r="T411" s="322">
        <f>Councils!U414</f>
        <v>1</v>
      </c>
      <c r="U411" s="323">
        <f>Councils!V414</f>
        <v>0</v>
      </c>
      <c r="V411" s="376">
        <v>71</v>
      </c>
      <c r="W411" s="377">
        <f t="shared" si="6"/>
        <v>1</v>
      </c>
      <c r="X411" s="378" t="str">
        <f>IF(ISNA(VLOOKUP($A411,GA!$A$1:$D$834,3,0))," ",VLOOKUP($A411,GA!$A$1:$D$834,3,0))</f>
        <v>Rangel</v>
      </c>
      <c r="Y411" s="379" t="str">
        <f>IF(ISNA(VLOOKUP($A411,Dormant_Councils!$A$1:$E$811,5,0)),"No",VLOOKUP($A411,Dormant_Councils!$A$1:$E$811,5,0))</f>
        <v>No</v>
      </c>
      <c r="Z411" s="381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22" t="str">
        <f>Councils!C415</f>
        <v>035</v>
      </c>
      <c r="C412" s="322" t="str">
        <f>Councils!D415</f>
        <v>San Antonio</v>
      </c>
      <c r="D412" s="322" t="str">
        <f>IF(ISNA(VLOOKUP($V412,DD_Info!$A$1:$E$221,3,0)),0,VLOOKUP($V412,DD_Info!$A$1:$E$221,3,0))</f>
        <v>San Antonio</v>
      </c>
      <c r="E412" s="322">
        <f>Councils!E415</f>
        <v>35</v>
      </c>
      <c r="F412" s="322">
        <f>Councils!F415</f>
        <v>3</v>
      </c>
      <c r="G412" s="322">
        <f>Councils!G415</f>
        <v>0</v>
      </c>
      <c r="H412" s="322">
        <f>Councils!H415</f>
        <v>0</v>
      </c>
      <c r="I412" s="322">
        <f>Councils!I415</f>
        <v>0</v>
      </c>
      <c r="J412" s="322">
        <f>Councils!J415</f>
        <v>0</v>
      </c>
      <c r="K412" s="322">
        <f>Councils!K415</f>
        <v>0</v>
      </c>
      <c r="L412" s="322">
        <f>Councils!L415</f>
        <v>0</v>
      </c>
      <c r="M412" s="323">
        <f>Councils!M415</f>
        <v>0</v>
      </c>
      <c r="N412" s="322">
        <f>Councils!O415</f>
        <v>0</v>
      </c>
      <c r="O412" s="322">
        <f>Councils!P415</f>
        <v>0</v>
      </c>
      <c r="P412" s="322">
        <f>Councils!Q415</f>
        <v>0</v>
      </c>
      <c r="Q412" s="322">
        <f>Councils!R415</f>
        <v>0</v>
      </c>
      <c r="R412" s="322">
        <f>Councils!S415</f>
        <v>0</v>
      </c>
      <c r="S412" s="322">
        <f>Councils!T415</f>
        <v>0</v>
      </c>
      <c r="T412" s="322">
        <f>Councils!U415</f>
        <v>0</v>
      </c>
      <c r="U412" s="323">
        <f>Councils!V415</f>
        <v>0</v>
      </c>
      <c r="V412" s="376">
        <v>35</v>
      </c>
      <c r="W412" s="377">
        <f t="shared" si="6"/>
        <v>3</v>
      </c>
      <c r="X412" s="378" t="str">
        <f>IF(ISNA(VLOOKUP($A412,GA!$A$1:$D$834,3,0))," ",VLOOKUP($A412,GA!$A$1:$D$834,3,0))</f>
        <v>Dougherty</v>
      </c>
      <c r="Y412" s="379" t="str">
        <f>IF(ISNA(VLOOKUP($A412,Dormant_Councils!$A$1:$E$811,5,0)),"No",VLOOKUP($A412,Dormant_Councils!$A$1:$E$811,5,0))</f>
        <v>Dormant</v>
      </c>
      <c r="Z412" s="381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22" t="str">
        <f>Councils!C416</f>
        <v>162</v>
      </c>
      <c r="C413" s="322" t="str">
        <f>Councils!D416</f>
        <v>Rosebud</v>
      </c>
      <c r="D413" s="322" t="str">
        <f>IF(ISNA(VLOOKUP($V413,DD_Info!$A$1:$E$221,3,0)),0,VLOOKUP($V413,DD_Info!$A$1:$E$221,3,0))</f>
        <v>Austin</v>
      </c>
      <c r="E413" s="322">
        <f>Councils!E416</f>
        <v>33</v>
      </c>
      <c r="F413" s="322">
        <f>Councils!F416</f>
        <v>3</v>
      </c>
      <c r="G413" s="322">
        <f>Councils!G416</f>
        <v>0</v>
      </c>
      <c r="H413" s="322">
        <f>Councils!H416</f>
        <v>0</v>
      </c>
      <c r="I413" s="322">
        <f>Councils!I416</f>
        <v>0</v>
      </c>
      <c r="J413" s="322">
        <f>Councils!J416</f>
        <v>0</v>
      </c>
      <c r="K413" s="322">
        <f>Councils!K416</f>
        <v>0</v>
      </c>
      <c r="L413" s="322">
        <f>Councils!L416</f>
        <v>0</v>
      </c>
      <c r="M413" s="323">
        <f>Councils!M416</f>
        <v>0</v>
      </c>
      <c r="N413" s="322">
        <f>Councils!O416</f>
        <v>0</v>
      </c>
      <c r="O413" s="322">
        <f>Councils!P416</f>
        <v>0</v>
      </c>
      <c r="P413" s="322">
        <f>Councils!Q416</f>
        <v>0</v>
      </c>
      <c r="Q413" s="322">
        <f>Councils!R416</f>
        <v>0</v>
      </c>
      <c r="R413" s="322">
        <f>Councils!S416</f>
        <v>0</v>
      </c>
      <c r="S413" s="322">
        <f>Councils!T416</f>
        <v>0</v>
      </c>
      <c r="T413" s="322">
        <f>Councils!U416</f>
        <v>0</v>
      </c>
      <c r="U413" s="323">
        <f>Councils!V416</f>
        <v>0</v>
      </c>
      <c r="V413" s="376">
        <v>144</v>
      </c>
      <c r="W413" s="377">
        <f t="shared" si="6"/>
        <v>3</v>
      </c>
      <c r="X413" s="378" t="str">
        <f>IF(ISNA(VLOOKUP($A413,GA!$A$1:$D$834,3,0))," ",VLOOKUP($A413,GA!$A$1:$D$834,3,0))</f>
        <v>Rangel</v>
      </c>
      <c r="Y413" s="379" t="str">
        <f>IF(ISNA(VLOOKUP($A413,Dormant_Councils!$A$1:$E$811,5,0)),"No",VLOOKUP($A413,Dormant_Councils!$A$1:$E$811,5,0))</f>
        <v>Dormant</v>
      </c>
      <c r="Z413" s="381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22" t="str">
        <f>Councils!C417</f>
        <v>017</v>
      </c>
      <c r="C414" s="322" t="str">
        <f>Councils!D417</f>
        <v>Granbury</v>
      </c>
      <c r="D414" s="322" t="str">
        <f>IF(ISNA(VLOOKUP($V414,DD_Info!$A$1:$E$221,3,0)),0,VLOOKUP($V414,DD_Info!$A$1:$E$221,3,0))</f>
        <v>Fort Worth</v>
      </c>
      <c r="E414" s="322">
        <f>Councils!E417</f>
        <v>190</v>
      </c>
      <c r="F414" s="322">
        <f>Councils!F417</f>
        <v>9</v>
      </c>
      <c r="G414" s="322">
        <f>Councils!G417</f>
        <v>0</v>
      </c>
      <c r="H414" s="322">
        <f>Councils!H417</f>
        <v>0</v>
      </c>
      <c r="I414" s="322">
        <f>Councils!I417</f>
        <v>0</v>
      </c>
      <c r="J414" s="322">
        <f>Councils!J417</f>
        <v>1</v>
      </c>
      <c r="K414" s="322">
        <f>Councils!K417</f>
        <v>0</v>
      </c>
      <c r="L414" s="322">
        <f>Councils!L417</f>
        <v>1</v>
      </c>
      <c r="M414" s="323">
        <f>Councils!M417</f>
        <v>11.11</v>
      </c>
      <c r="N414" s="322">
        <f>Councils!O417</f>
        <v>0</v>
      </c>
      <c r="O414" s="322">
        <f>Councils!P417</f>
        <v>0</v>
      </c>
      <c r="P414" s="322">
        <f>Councils!Q417</f>
        <v>1</v>
      </c>
      <c r="Q414" s="322">
        <f>Councils!R417</f>
        <v>-1</v>
      </c>
      <c r="R414" s="322">
        <f>Councils!S417</f>
        <v>1</v>
      </c>
      <c r="S414" s="322">
        <f>Councils!T417</f>
        <v>1</v>
      </c>
      <c r="T414" s="322">
        <f>Councils!U417</f>
        <v>0</v>
      </c>
      <c r="U414" s="323">
        <f>Councils!V417</f>
        <v>0</v>
      </c>
      <c r="V414" s="376">
        <v>17</v>
      </c>
      <c r="W414" s="377">
        <f t="shared" si="6"/>
        <v>1</v>
      </c>
      <c r="X414" s="378" t="str">
        <f>IF(ISNA(VLOOKUP($A414,GA!$A$1:$D$834,3,0))," ",VLOOKUP($A414,GA!$A$1:$D$834,3,0))</f>
        <v>Stark</v>
      </c>
      <c r="Y414" s="379" t="str">
        <f>IF(ISNA(VLOOKUP($A414,Dormant_Councils!$A$1:$E$811,5,0)),"No",VLOOKUP($A414,Dormant_Councils!$A$1:$E$811,5,0))</f>
        <v>No</v>
      </c>
      <c r="Z414" s="381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22" t="str">
        <f>Councils!C418</f>
        <v>085</v>
      </c>
      <c r="C415" s="322" t="str">
        <f>Councils!D418</f>
        <v>Katy</v>
      </c>
      <c r="D415" s="322" t="str">
        <f>IF(ISNA(VLOOKUP($V415,DD_Info!$A$1:$E$221,3,0)),0,VLOOKUP($V415,DD_Info!$A$1:$E$221,3,0))</f>
        <v>Galv/Hous</v>
      </c>
      <c r="E415" s="322">
        <f>Councils!E418</f>
        <v>306</v>
      </c>
      <c r="F415" s="322">
        <f>Councils!F418</f>
        <v>15</v>
      </c>
      <c r="G415" s="322">
        <f>Councils!G418</f>
        <v>0</v>
      </c>
      <c r="H415" s="322">
        <f>Councils!H418</f>
        <v>1</v>
      </c>
      <c r="I415" s="322">
        <f>Councils!I418</f>
        <v>-1</v>
      </c>
      <c r="J415" s="322">
        <f>Councils!J418</f>
        <v>1</v>
      </c>
      <c r="K415" s="322">
        <f>Councils!K418</f>
        <v>35</v>
      </c>
      <c r="L415" s="322">
        <f>Councils!L418</f>
        <v>-34</v>
      </c>
      <c r="M415" s="323">
        <f>Councils!M418</f>
        <v>0</v>
      </c>
      <c r="N415" s="322">
        <f>Councils!O418</f>
        <v>0</v>
      </c>
      <c r="O415" s="322">
        <f>Councils!P418</f>
        <v>0</v>
      </c>
      <c r="P415" s="322">
        <f>Councils!Q418</f>
        <v>0</v>
      </c>
      <c r="Q415" s="322">
        <f>Councils!R418</f>
        <v>0</v>
      </c>
      <c r="R415" s="322">
        <f>Councils!S418</f>
        <v>1</v>
      </c>
      <c r="S415" s="322">
        <f>Councils!T418</f>
        <v>7</v>
      </c>
      <c r="T415" s="322">
        <f>Councils!U418</f>
        <v>-6</v>
      </c>
      <c r="U415" s="323">
        <f>Councils!V418</f>
        <v>0</v>
      </c>
      <c r="V415" s="376">
        <v>85</v>
      </c>
      <c r="W415" s="377">
        <f t="shared" si="6"/>
        <v>1</v>
      </c>
      <c r="X415" s="378" t="str">
        <f>IF(ISNA(VLOOKUP($A415,GA!$A$1:$D$834,3,0))," ",VLOOKUP($A415,GA!$A$1:$D$834,3,0))</f>
        <v>Supak</v>
      </c>
      <c r="Y415" s="379" t="str">
        <f>IF(ISNA(VLOOKUP($A415,Dormant_Councils!$A$1:$E$811,5,0)),"No",VLOOKUP($A415,Dormant_Councils!$A$1:$E$811,5,0))</f>
        <v>No</v>
      </c>
      <c r="Z415" s="381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22" t="str">
        <f>Councils!C419</f>
        <v>041</v>
      </c>
      <c r="C416" s="322" t="str">
        <f>Councils!D419</f>
        <v>Fredericksburg</v>
      </c>
      <c r="D416" s="322" t="str">
        <f>IF(ISNA(VLOOKUP($V416,DD_Info!$A$1:$E$221,3,0)),0,VLOOKUP($V416,DD_Info!$A$1:$E$221,3,0))</f>
        <v>San Antonio</v>
      </c>
      <c r="E416" s="322">
        <f>Councils!E419</f>
        <v>234</v>
      </c>
      <c r="F416" s="322">
        <f>Councils!F419</f>
        <v>12</v>
      </c>
      <c r="G416" s="322">
        <f>Councils!G419</f>
        <v>0</v>
      </c>
      <c r="H416" s="322">
        <f>Councils!H419</f>
        <v>0</v>
      </c>
      <c r="I416" s="322">
        <f>Councils!I419</f>
        <v>0</v>
      </c>
      <c r="J416" s="322">
        <f>Councils!J419</f>
        <v>0</v>
      </c>
      <c r="K416" s="322">
        <f>Councils!K419</f>
        <v>0</v>
      </c>
      <c r="L416" s="322">
        <f>Councils!L419</f>
        <v>0</v>
      </c>
      <c r="M416" s="323">
        <f>Councils!M419</f>
        <v>0</v>
      </c>
      <c r="N416" s="322">
        <f>Councils!O419</f>
        <v>0</v>
      </c>
      <c r="O416" s="322">
        <f>Councils!P419</f>
        <v>0</v>
      </c>
      <c r="P416" s="322">
        <f>Councils!Q419</f>
        <v>0</v>
      </c>
      <c r="Q416" s="322">
        <f>Councils!R419</f>
        <v>0</v>
      </c>
      <c r="R416" s="322">
        <f>Councils!S419</f>
        <v>1</v>
      </c>
      <c r="S416" s="322">
        <f>Councils!T419</f>
        <v>0</v>
      </c>
      <c r="T416" s="322">
        <f>Councils!U419</f>
        <v>1</v>
      </c>
      <c r="U416" s="323">
        <f>Councils!V419</f>
        <v>0</v>
      </c>
      <c r="V416" s="376">
        <v>41</v>
      </c>
      <c r="W416" s="377">
        <f t="shared" si="6"/>
        <v>1</v>
      </c>
      <c r="X416" s="378" t="str">
        <f>IF(ISNA(VLOOKUP($A416,GA!$A$1:$D$834,3,0))," ",VLOOKUP($A416,GA!$A$1:$D$834,3,0))</f>
        <v>Dougherty</v>
      </c>
      <c r="Y416" s="379" t="str">
        <f>IF(ISNA(VLOOKUP($A416,Dormant_Councils!$A$1:$E$811,5,0)),"No",VLOOKUP($A416,Dormant_Councils!$A$1:$E$811,5,0))</f>
        <v>No</v>
      </c>
      <c r="Z416" s="381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22" t="str">
        <f>Councils!C420</f>
        <v>217</v>
      </c>
      <c r="C417" s="322" t="str">
        <f>Councils!D420</f>
        <v>Pharr</v>
      </c>
      <c r="D417" s="322" t="str">
        <f>IF(ISNA(VLOOKUP($V417,DD_Info!$A$1:$E$221,3,0)),0,VLOOKUP($V417,DD_Info!$A$1:$E$221,3,0))</f>
        <v>Brownsville</v>
      </c>
      <c r="E417" s="322">
        <f>Councils!E420</f>
        <v>52</v>
      </c>
      <c r="F417" s="322">
        <f>Councils!F420</f>
        <v>3</v>
      </c>
      <c r="G417" s="322">
        <f>Councils!G420</f>
        <v>0</v>
      </c>
      <c r="H417" s="322">
        <f>Councils!H420</f>
        <v>0</v>
      </c>
      <c r="I417" s="322">
        <f>Councils!I420</f>
        <v>0</v>
      </c>
      <c r="J417" s="322">
        <f>Councils!J420</f>
        <v>0</v>
      </c>
      <c r="K417" s="322">
        <f>Councils!K420</f>
        <v>0</v>
      </c>
      <c r="L417" s="322">
        <f>Councils!L420</f>
        <v>0</v>
      </c>
      <c r="M417" s="323">
        <f>Councils!M420</f>
        <v>0</v>
      </c>
      <c r="N417" s="322">
        <f>Councils!O420</f>
        <v>0</v>
      </c>
      <c r="O417" s="322">
        <f>Councils!P420</f>
        <v>0</v>
      </c>
      <c r="P417" s="322">
        <f>Councils!Q420</f>
        <v>0</v>
      </c>
      <c r="Q417" s="322">
        <f>Councils!R420</f>
        <v>0</v>
      </c>
      <c r="R417" s="322">
        <f>Councils!S420</f>
        <v>0</v>
      </c>
      <c r="S417" s="322">
        <f>Councils!T420</f>
        <v>0</v>
      </c>
      <c r="T417" s="322">
        <f>Councils!U420</f>
        <v>0</v>
      </c>
      <c r="U417" s="323">
        <f>Councils!V420</f>
        <v>0</v>
      </c>
      <c r="V417" s="376">
        <v>217</v>
      </c>
      <c r="W417" s="377">
        <f t="shared" si="6"/>
        <v>3</v>
      </c>
      <c r="X417" s="378" t="str">
        <f>IF(ISNA(VLOOKUP($A417,GA!$A$1:$D$834,3,0))," ",VLOOKUP($A417,GA!$A$1:$D$834,3,0))</f>
        <v>Carlin</v>
      </c>
      <c r="Y417" s="379" t="str">
        <f>IF(ISNA(VLOOKUP($A417,Dormant_Councils!$A$1:$E$811,5,0)),"No",VLOOKUP($A417,Dormant_Councils!$A$1:$E$811,5,0))</f>
        <v>No</v>
      </c>
      <c r="Z417" s="381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22" t="str">
        <f>Councils!C421</f>
        <v>092</v>
      </c>
      <c r="C418" s="322" t="str">
        <f>Councils!D421</f>
        <v>Huffman</v>
      </c>
      <c r="D418" s="322" t="str">
        <f>IF(ISNA(VLOOKUP($V418,DD_Info!$A$1:$E$221,3,0)),0,VLOOKUP($V418,DD_Info!$A$1:$E$221,3,0))</f>
        <v>Galv/Hous</v>
      </c>
      <c r="E418" s="322">
        <f>Councils!E421</f>
        <v>69</v>
      </c>
      <c r="F418" s="322">
        <f>Councils!F421</f>
        <v>3</v>
      </c>
      <c r="G418" s="322">
        <f>Councils!G421</f>
        <v>0</v>
      </c>
      <c r="H418" s="322">
        <f>Councils!H421</f>
        <v>0</v>
      </c>
      <c r="I418" s="322">
        <f>Councils!I421</f>
        <v>0</v>
      </c>
      <c r="J418" s="322">
        <f>Councils!J421</f>
        <v>1</v>
      </c>
      <c r="K418" s="322">
        <f>Councils!K421</f>
        <v>0</v>
      </c>
      <c r="L418" s="322">
        <f>Councils!L421</f>
        <v>1</v>
      </c>
      <c r="M418" s="323">
        <f>Councils!M421</f>
        <v>33.33</v>
      </c>
      <c r="N418" s="322">
        <f>Councils!O421</f>
        <v>0</v>
      </c>
      <c r="O418" s="322">
        <f>Councils!P421</f>
        <v>0</v>
      </c>
      <c r="P418" s="322">
        <f>Councils!Q421</f>
        <v>0</v>
      </c>
      <c r="Q418" s="322">
        <f>Councils!R421</f>
        <v>0</v>
      </c>
      <c r="R418" s="322">
        <f>Councils!S421</f>
        <v>0</v>
      </c>
      <c r="S418" s="322">
        <f>Councils!T421</f>
        <v>1</v>
      </c>
      <c r="T418" s="322">
        <f>Councils!U421</f>
        <v>-1</v>
      </c>
      <c r="U418" s="323">
        <f>Councils!V421</f>
        <v>0</v>
      </c>
      <c r="V418" s="376">
        <v>92</v>
      </c>
      <c r="W418" s="377">
        <f t="shared" si="6"/>
        <v>2</v>
      </c>
      <c r="X418" s="378" t="str">
        <f>IF(ISNA(VLOOKUP($A418,GA!$A$1:$D$834,3,0))," ",VLOOKUP($A418,GA!$A$1:$D$834,3,0))</f>
        <v>Rangel</v>
      </c>
      <c r="Y418" s="379" t="str">
        <f>IF(ISNA(VLOOKUP($A418,Dormant_Councils!$A$1:$E$811,5,0)),"No",VLOOKUP($A418,Dormant_Councils!$A$1:$E$811,5,0))</f>
        <v>No</v>
      </c>
      <c r="Z418" s="381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22" t="str">
        <f>Councils!C422</f>
        <v>156</v>
      </c>
      <c r="C419" s="322" t="str">
        <f>Councils!D422</f>
        <v>Austin</v>
      </c>
      <c r="D419" s="322" t="str">
        <f>IF(ISNA(VLOOKUP($V419,DD_Info!$A$1:$E$221,3,0)),0,VLOOKUP($V419,DD_Info!$A$1:$E$221,3,0))</f>
        <v>Austin</v>
      </c>
      <c r="E419" s="322">
        <f>Councils!E422</f>
        <v>108</v>
      </c>
      <c r="F419" s="322">
        <f>Councils!F422</f>
        <v>5</v>
      </c>
      <c r="G419" s="322">
        <f>Councils!G422</f>
        <v>0</v>
      </c>
      <c r="H419" s="322">
        <f>Councils!H422</f>
        <v>0</v>
      </c>
      <c r="I419" s="322">
        <f>Councils!I422</f>
        <v>0</v>
      </c>
      <c r="J419" s="322">
        <f>Councils!J422</f>
        <v>7</v>
      </c>
      <c r="K419" s="322">
        <f>Councils!K422</f>
        <v>0</v>
      </c>
      <c r="L419" s="322">
        <f>Councils!L422</f>
        <v>7</v>
      </c>
      <c r="M419" s="323">
        <f>Councils!M422</f>
        <v>140</v>
      </c>
      <c r="N419" s="322">
        <f>Councils!O422</f>
        <v>0</v>
      </c>
      <c r="O419" s="322">
        <f>Councils!P422</f>
        <v>0</v>
      </c>
      <c r="P419" s="322">
        <f>Councils!Q422</f>
        <v>0</v>
      </c>
      <c r="Q419" s="322">
        <f>Councils!R422</f>
        <v>0</v>
      </c>
      <c r="R419" s="322">
        <f>Councils!S422</f>
        <v>0</v>
      </c>
      <c r="S419" s="322">
        <f>Councils!T422</f>
        <v>0</v>
      </c>
      <c r="T419" s="322">
        <f>Councils!U422</f>
        <v>0</v>
      </c>
      <c r="U419" s="323">
        <f>Councils!V422</f>
        <v>0</v>
      </c>
      <c r="V419" s="376">
        <v>156</v>
      </c>
      <c r="W419" s="377">
        <f t="shared" si="6"/>
        <v>2</v>
      </c>
      <c r="X419" s="378" t="str">
        <f>IF(ISNA(VLOOKUP($A419,GA!$A$1:$D$834,3,0))," ",VLOOKUP($A419,GA!$A$1:$D$834,3,0))</f>
        <v>Rangel</v>
      </c>
      <c r="Y419" s="379" t="str">
        <f>IF(ISNA(VLOOKUP($A419,Dormant_Councils!$A$1:$E$811,5,0)),"No",VLOOKUP($A419,Dormant_Councils!$A$1:$E$811,5,0))</f>
        <v>No</v>
      </c>
      <c r="Z419" s="381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22" t="str">
        <f>Councils!C423</f>
        <v>069</v>
      </c>
      <c r="C420" s="322" t="str">
        <f>Councils!D423</f>
        <v>Danbury</v>
      </c>
      <c r="D420" s="322" t="str">
        <f>IF(ISNA(VLOOKUP($V420,DD_Info!$A$1:$E$221,3,0)),0,VLOOKUP($V420,DD_Info!$A$1:$E$221,3,0))</f>
        <v>Galv/Hous</v>
      </c>
      <c r="E420" s="322">
        <f>Councils!E423</f>
        <v>50</v>
      </c>
      <c r="F420" s="322">
        <f>Councils!F423</f>
        <v>3</v>
      </c>
      <c r="G420" s="322">
        <f>Councils!G423</f>
        <v>0</v>
      </c>
      <c r="H420" s="322">
        <f>Councils!H423</f>
        <v>0</v>
      </c>
      <c r="I420" s="322">
        <f>Councils!I423</f>
        <v>0</v>
      </c>
      <c r="J420" s="322">
        <f>Councils!J423</f>
        <v>1</v>
      </c>
      <c r="K420" s="322">
        <f>Councils!K423</f>
        <v>0</v>
      </c>
      <c r="L420" s="322">
        <f>Councils!L423</f>
        <v>1</v>
      </c>
      <c r="M420" s="323">
        <f>Councils!M423</f>
        <v>33.33</v>
      </c>
      <c r="N420" s="322">
        <f>Councils!O423</f>
        <v>0</v>
      </c>
      <c r="O420" s="322">
        <f>Councils!P423</f>
        <v>0</v>
      </c>
      <c r="P420" s="322">
        <f>Councils!Q423</f>
        <v>0</v>
      </c>
      <c r="Q420" s="322">
        <f>Councils!R423</f>
        <v>0</v>
      </c>
      <c r="R420" s="322">
        <f>Councils!S423</f>
        <v>1</v>
      </c>
      <c r="S420" s="322">
        <f>Councils!T423</f>
        <v>0</v>
      </c>
      <c r="T420" s="322">
        <f>Councils!U423</f>
        <v>1</v>
      </c>
      <c r="U420" s="323">
        <f>Councils!V423</f>
        <v>0</v>
      </c>
      <c r="V420" s="376">
        <v>69</v>
      </c>
      <c r="W420" s="377">
        <f t="shared" si="6"/>
        <v>3</v>
      </c>
      <c r="X420" s="378" t="str">
        <f>IF(ISNA(VLOOKUP($A420,GA!$A$1:$D$834,3,0))," ",VLOOKUP($A420,GA!$A$1:$D$834,3,0))</f>
        <v>Supak</v>
      </c>
      <c r="Y420" s="379" t="str">
        <f>IF(ISNA(VLOOKUP($A420,Dormant_Councils!$A$1:$E$811,5,0)),"No",VLOOKUP($A420,Dormant_Councils!$A$1:$E$811,5,0))</f>
        <v>No</v>
      </c>
      <c r="Z420" s="381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22" t="str">
        <f>Councils!C424</f>
        <v>032</v>
      </c>
      <c r="C421" s="322" t="str">
        <f>Councils!D424</f>
        <v>Fort Worth</v>
      </c>
      <c r="D421" s="322" t="str">
        <f>IF(ISNA(VLOOKUP($V421,DD_Info!$A$1:$E$221,3,0)),0,VLOOKUP($V421,DD_Info!$A$1:$E$221,3,0))</f>
        <v>Fort Worth</v>
      </c>
      <c r="E421" s="322">
        <f>Councils!E424</f>
        <v>234</v>
      </c>
      <c r="F421" s="322">
        <f>Councils!F424</f>
        <v>11</v>
      </c>
      <c r="G421" s="322">
        <f>Councils!G424</f>
        <v>0</v>
      </c>
      <c r="H421" s="322">
        <f>Councils!H424</f>
        <v>0</v>
      </c>
      <c r="I421" s="322">
        <f>Councils!I424</f>
        <v>0</v>
      </c>
      <c r="J421" s="322">
        <f>Councils!J424</f>
        <v>12</v>
      </c>
      <c r="K421" s="322">
        <f>Councils!K424</f>
        <v>1</v>
      </c>
      <c r="L421" s="322">
        <f>Councils!L424</f>
        <v>11</v>
      </c>
      <c r="M421" s="323">
        <f>Councils!M424</f>
        <v>100</v>
      </c>
      <c r="N421" s="322">
        <f>Councils!O424</f>
        <v>0</v>
      </c>
      <c r="O421" s="322">
        <f>Councils!P424</f>
        <v>0</v>
      </c>
      <c r="P421" s="322">
        <f>Councils!Q424</f>
        <v>1</v>
      </c>
      <c r="Q421" s="322">
        <f>Councils!R424</f>
        <v>-1</v>
      </c>
      <c r="R421" s="322">
        <f>Councils!S424</f>
        <v>5</v>
      </c>
      <c r="S421" s="322">
        <f>Councils!T424</f>
        <v>1</v>
      </c>
      <c r="T421" s="322">
        <f>Councils!U424</f>
        <v>4</v>
      </c>
      <c r="U421" s="323">
        <f>Councils!V424</f>
        <v>0</v>
      </c>
      <c r="V421" s="376">
        <v>32</v>
      </c>
      <c r="W421" s="377">
        <f t="shared" si="6"/>
        <v>1</v>
      </c>
      <c r="X421" s="378" t="str">
        <f>IF(ISNA(VLOOKUP($A421,GA!$A$1:$D$834,3,0))," ",VLOOKUP($A421,GA!$A$1:$D$834,3,0))</f>
        <v>Stark</v>
      </c>
      <c r="Y421" s="379" t="str">
        <f>IF(ISNA(VLOOKUP($A421,Dormant_Councils!$A$1:$E$811,5,0)),"No",VLOOKUP($A421,Dormant_Councils!$A$1:$E$811,5,0))</f>
        <v>No</v>
      </c>
      <c r="Z421" s="381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22" t="str">
        <f>Councils!C425</f>
        <v>024</v>
      </c>
      <c r="C422" s="322" t="str">
        <f>Councils!D425</f>
        <v>Lewisville</v>
      </c>
      <c r="D422" s="322" t="str">
        <f>IF(ISNA(VLOOKUP($V422,DD_Info!$A$1:$E$221,3,0)),0,VLOOKUP($V422,DD_Info!$A$1:$E$221,3,0))</f>
        <v>Fort Worth</v>
      </c>
      <c r="E422" s="322">
        <f>Councils!E425</f>
        <v>384</v>
      </c>
      <c r="F422" s="322">
        <f>Councils!F425</f>
        <v>18</v>
      </c>
      <c r="G422" s="322">
        <f>Councils!G425</f>
        <v>0</v>
      </c>
      <c r="H422" s="322">
        <f>Councils!H425</f>
        <v>0</v>
      </c>
      <c r="I422" s="322">
        <f>Councils!I425</f>
        <v>0</v>
      </c>
      <c r="J422" s="322">
        <f>Councils!J425</f>
        <v>1</v>
      </c>
      <c r="K422" s="322">
        <f>Councils!K425</f>
        <v>0</v>
      </c>
      <c r="L422" s="322">
        <f>Councils!L425</f>
        <v>1</v>
      </c>
      <c r="M422" s="323">
        <f>Councils!M425</f>
        <v>5.56</v>
      </c>
      <c r="N422" s="322">
        <f>Councils!O425</f>
        <v>0</v>
      </c>
      <c r="O422" s="322">
        <f>Councils!P425</f>
        <v>0</v>
      </c>
      <c r="P422" s="322">
        <f>Councils!Q425</f>
        <v>0</v>
      </c>
      <c r="Q422" s="322">
        <f>Councils!R425</f>
        <v>0</v>
      </c>
      <c r="R422" s="322">
        <f>Councils!S425</f>
        <v>3</v>
      </c>
      <c r="S422" s="322">
        <f>Councils!T425</f>
        <v>2</v>
      </c>
      <c r="T422" s="322">
        <f>Councils!U425</f>
        <v>1</v>
      </c>
      <c r="U422" s="323">
        <f>Councils!V425</f>
        <v>0</v>
      </c>
      <c r="V422" s="376">
        <v>24</v>
      </c>
      <c r="W422" s="377">
        <f t="shared" si="6"/>
        <v>1</v>
      </c>
      <c r="X422" s="378" t="str">
        <f>IF(ISNA(VLOOKUP($A422,GA!$A$1:$D$834,3,0))," ",VLOOKUP($A422,GA!$A$1:$D$834,3,0))</f>
        <v>Regan</v>
      </c>
      <c r="Y422" s="379" t="str">
        <f>IF(ISNA(VLOOKUP($A422,Dormant_Councils!$A$1:$E$811,5,0)),"No",VLOOKUP($A422,Dormant_Councils!$A$1:$E$811,5,0))</f>
        <v>No</v>
      </c>
      <c r="Z422" s="381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22" t="str">
        <f>Councils!C426</f>
        <v>059</v>
      </c>
      <c r="C423" s="322" t="str">
        <f>Councils!D426</f>
        <v>San Antonio</v>
      </c>
      <c r="D423" s="322" t="str">
        <f>IF(ISNA(VLOOKUP($V423,DD_Info!$A$1:$E$221,3,0)),0,VLOOKUP($V423,DD_Info!$A$1:$E$221,3,0))</f>
        <v>San Antonio</v>
      </c>
      <c r="E423" s="322">
        <f>Councils!E426</f>
        <v>170</v>
      </c>
      <c r="F423" s="322">
        <f>Councils!F426</f>
        <v>8</v>
      </c>
      <c r="G423" s="322">
        <f>Councils!G426</f>
        <v>0</v>
      </c>
      <c r="H423" s="322">
        <f>Councils!H426</f>
        <v>0</v>
      </c>
      <c r="I423" s="322">
        <f>Councils!I426</f>
        <v>0</v>
      </c>
      <c r="J423" s="322">
        <f>Councils!J426</f>
        <v>1</v>
      </c>
      <c r="K423" s="322">
        <f>Councils!K426</f>
        <v>1</v>
      </c>
      <c r="L423" s="322">
        <f>Councils!L426</f>
        <v>0</v>
      </c>
      <c r="M423" s="323">
        <f>Councils!M426</f>
        <v>0</v>
      </c>
      <c r="N423" s="322">
        <f>Councils!O426</f>
        <v>0</v>
      </c>
      <c r="O423" s="322">
        <f>Councils!P426</f>
        <v>0</v>
      </c>
      <c r="P423" s="322">
        <f>Councils!Q426</f>
        <v>0</v>
      </c>
      <c r="Q423" s="322">
        <f>Councils!R426</f>
        <v>0</v>
      </c>
      <c r="R423" s="322">
        <f>Councils!S426</f>
        <v>0</v>
      </c>
      <c r="S423" s="322">
        <f>Councils!T426</f>
        <v>1</v>
      </c>
      <c r="T423" s="322">
        <f>Councils!U426</f>
        <v>-1</v>
      </c>
      <c r="U423" s="323">
        <f>Councils!V426</f>
        <v>0</v>
      </c>
      <c r="V423" s="376">
        <v>59</v>
      </c>
      <c r="W423" s="377">
        <f t="shared" si="6"/>
        <v>1</v>
      </c>
      <c r="X423" s="378" t="str">
        <f>IF(ISNA(VLOOKUP($A423,GA!$A$1:$D$834,3,0))," ",VLOOKUP($A423,GA!$A$1:$D$834,3,0))</f>
        <v>Dougherty</v>
      </c>
      <c r="Y423" s="379" t="str">
        <f>IF(ISNA(VLOOKUP($A423,Dormant_Councils!$A$1:$E$811,5,0)),"No",VLOOKUP($A423,Dormant_Councils!$A$1:$E$811,5,0))</f>
        <v>No</v>
      </c>
      <c r="Z423" s="381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22" t="str">
        <f>Councils!C427</f>
        <v>114</v>
      </c>
      <c r="C424" s="322" t="str">
        <f>Councils!D427</f>
        <v>Mckinney</v>
      </c>
      <c r="D424" s="322" t="str">
        <f>IF(ISNA(VLOOKUP($V424,DD_Info!$A$1:$E$221,3,0)),0,VLOOKUP($V424,DD_Info!$A$1:$E$221,3,0))</f>
        <v>Dallas</v>
      </c>
      <c r="E424" s="322">
        <f>Councils!E427</f>
        <v>205</v>
      </c>
      <c r="F424" s="322">
        <f>Councils!F427</f>
        <v>10</v>
      </c>
      <c r="G424" s="322">
        <f>Councils!G427</f>
        <v>0</v>
      </c>
      <c r="H424" s="322">
        <f>Councils!H427</f>
        <v>0</v>
      </c>
      <c r="I424" s="322">
        <f>Councils!I427</f>
        <v>0</v>
      </c>
      <c r="J424" s="322">
        <f>Councils!J427</f>
        <v>1</v>
      </c>
      <c r="K424" s="322">
        <f>Councils!K427</f>
        <v>0</v>
      </c>
      <c r="L424" s="322">
        <f>Councils!L427</f>
        <v>1</v>
      </c>
      <c r="M424" s="323">
        <f>Councils!M427</f>
        <v>10</v>
      </c>
      <c r="N424" s="322">
        <f>Councils!O427</f>
        <v>0</v>
      </c>
      <c r="O424" s="322">
        <f>Councils!P427</f>
        <v>0</v>
      </c>
      <c r="P424" s="322">
        <f>Councils!Q427</f>
        <v>0</v>
      </c>
      <c r="Q424" s="322">
        <f>Councils!R427</f>
        <v>0</v>
      </c>
      <c r="R424" s="322">
        <f>Councils!S427</f>
        <v>0</v>
      </c>
      <c r="S424" s="322">
        <f>Councils!T427</f>
        <v>2</v>
      </c>
      <c r="T424" s="322">
        <f>Councils!U427</f>
        <v>-2</v>
      </c>
      <c r="U424" s="323">
        <f>Councils!V427</f>
        <v>0</v>
      </c>
      <c r="V424" s="376">
        <v>114</v>
      </c>
      <c r="W424" s="377">
        <f t="shared" si="6"/>
        <v>1</v>
      </c>
      <c r="X424" s="378" t="str">
        <f>IF(ISNA(VLOOKUP($A424,GA!$A$1:$D$834,3,0))," ",VLOOKUP($A424,GA!$A$1:$D$834,3,0))</f>
        <v>Regan</v>
      </c>
      <c r="Y424" s="379" t="str">
        <f>IF(ISNA(VLOOKUP($A424,Dormant_Councils!$A$1:$E$811,5,0)),"No",VLOOKUP($A424,Dormant_Councils!$A$1:$E$811,5,0))</f>
        <v>No</v>
      </c>
      <c r="Z424" s="381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22" t="str">
        <f>Councils!C428</f>
        <v>147</v>
      </c>
      <c r="C425" s="322" t="str">
        <f>Councils!D428</f>
        <v>Harker Heights</v>
      </c>
      <c r="D425" s="322" t="str">
        <f>IF(ISNA(VLOOKUP($V425,DD_Info!$A$1:$E$221,3,0)),0,VLOOKUP($V425,DD_Info!$A$1:$E$221,3,0))</f>
        <v>Austin</v>
      </c>
      <c r="E425" s="322">
        <f>Councils!E428</f>
        <v>313</v>
      </c>
      <c r="F425" s="322">
        <f>Councils!F428</f>
        <v>15</v>
      </c>
      <c r="G425" s="322">
        <f>Councils!G428</f>
        <v>0</v>
      </c>
      <c r="H425" s="322">
        <f>Councils!H428</f>
        <v>1</v>
      </c>
      <c r="I425" s="322">
        <f>Councils!I428</f>
        <v>-1</v>
      </c>
      <c r="J425" s="322">
        <f>Councils!J428</f>
        <v>1</v>
      </c>
      <c r="K425" s="322">
        <f>Councils!K428</f>
        <v>8</v>
      </c>
      <c r="L425" s="322">
        <f>Councils!L428</f>
        <v>-7</v>
      </c>
      <c r="M425" s="323">
        <f>Councils!M428</f>
        <v>0</v>
      </c>
      <c r="N425" s="322">
        <f>Councils!O428</f>
        <v>0</v>
      </c>
      <c r="O425" s="322">
        <f>Councils!P428</f>
        <v>0</v>
      </c>
      <c r="P425" s="322">
        <f>Councils!Q428</f>
        <v>1</v>
      </c>
      <c r="Q425" s="322">
        <f>Councils!R428</f>
        <v>-1</v>
      </c>
      <c r="R425" s="322">
        <f>Councils!S428</f>
        <v>0</v>
      </c>
      <c r="S425" s="322">
        <f>Councils!T428</f>
        <v>5</v>
      </c>
      <c r="T425" s="322">
        <f>Councils!U428</f>
        <v>-5</v>
      </c>
      <c r="U425" s="323">
        <f>Councils!V428</f>
        <v>0</v>
      </c>
      <c r="V425" s="376">
        <v>147</v>
      </c>
      <c r="W425" s="377">
        <f t="shared" si="6"/>
        <v>1</v>
      </c>
      <c r="X425" s="378" t="str">
        <f>IF(ISNA(VLOOKUP($A425,GA!$A$1:$D$834,3,0))," ",VLOOKUP($A425,GA!$A$1:$D$834,3,0))</f>
        <v>Rangel</v>
      </c>
      <c r="Y425" s="379" t="str">
        <f>IF(ISNA(VLOOKUP($A425,Dormant_Councils!$A$1:$E$811,5,0)),"No",VLOOKUP($A425,Dormant_Councils!$A$1:$E$811,5,0))</f>
        <v>No</v>
      </c>
      <c r="Z425" s="381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22" t="str">
        <f>Councils!C429</f>
        <v>043</v>
      </c>
      <c r="C426" s="322" t="str">
        <f>Councils!D429</f>
        <v>San Antonio</v>
      </c>
      <c r="D426" s="322" t="str">
        <f>IF(ISNA(VLOOKUP($V426,DD_Info!$A$1:$E$221,3,0)),0,VLOOKUP($V426,DD_Info!$A$1:$E$221,3,0))</f>
        <v>San Antonio</v>
      </c>
      <c r="E426" s="322">
        <f>Councils!E429</f>
        <v>486</v>
      </c>
      <c r="F426" s="322">
        <f>Councils!F429</f>
        <v>20</v>
      </c>
      <c r="G426" s="322">
        <f>Councils!G429</f>
        <v>0</v>
      </c>
      <c r="H426" s="322">
        <f>Councils!H429</f>
        <v>4</v>
      </c>
      <c r="I426" s="322">
        <f>Councils!I429</f>
        <v>-4</v>
      </c>
      <c r="J426" s="322">
        <f>Councils!J429</f>
        <v>12</v>
      </c>
      <c r="K426" s="322">
        <f>Councils!K429</f>
        <v>4</v>
      </c>
      <c r="L426" s="322">
        <f>Councils!L429</f>
        <v>8</v>
      </c>
      <c r="M426" s="323">
        <f>Councils!M429</f>
        <v>40</v>
      </c>
      <c r="N426" s="322">
        <f>Councils!O429</f>
        <v>0</v>
      </c>
      <c r="O426" s="322">
        <f>Councils!P429</f>
        <v>0</v>
      </c>
      <c r="P426" s="322">
        <f>Councils!Q429</f>
        <v>1</v>
      </c>
      <c r="Q426" s="322">
        <f>Councils!R429</f>
        <v>-1</v>
      </c>
      <c r="R426" s="322">
        <f>Councils!S429</f>
        <v>3</v>
      </c>
      <c r="S426" s="322">
        <f>Councils!T429</f>
        <v>1</v>
      </c>
      <c r="T426" s="322">
        <f>Councils!U429</f>
        <v>2</v>
      </c>
      <c r="U426" s="323">
        <f>Councils!V429</f>
        <v>0</v>
      </c>
      <c r="V426" s="376">
        <v>43</v>
      </c>
      <c r="W426" s="377">
        <f t="shared" si="6"/>
        <v>1</v>
      </c>
      <c r="X426" s="378" t="str">
        <f>IF(ISNA(VLOOKUP($A426,GA!$A$1:$D$834,3,0))," ",VLOOKUP($A426,GA!$A$1:$D$834,3,0))</f>
        <v>Dougherty</v>
      </c>
      <c r="Y426" s="379" t="str">
        <f>IF(ISNA(VLOOKUP($A426,Dormant_Councils!$A$1:$E$811,5,0)),"No",VLOOKUP($A426,Dormant_Councils!$A$1:$E$811,5,0))</f>
        <v>No</v>
      </c>
      <c r="Z426" s="381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22" t="str">
        <f>Councils!C430</f>
        <v>067</v>
      </c>
      <c r="C427" s="322" t="str">
        <f>Councils!D430</f>
        <v>Galveston</v>
      </c>
      <c r="D427" s="322" t="str">
        <f>IF(ISNA(VLOOKUP($V427,DD_Info!$A$1:$E$221,3,0)),0,VLOOKUP($V427,DD_Info!$A$1:$E$221,3,0))</f>
        <v>Galv/Hous</v>
      </c>
      <c r="E427" s="322">
        <f>Councils!E430</f>
        <v>184</v>
      </c>
      <c r="F427" s="322">
        <f>Councils!F430</f>
        <v>9</v>
      </c>
      <c r="G427" s="322">
        <f>Councils!G430</f>
        <v>0</v>
      </c>
      <c r="H427" s="322">
        <f>Councils!H430</f>
        <v>0</v>
      </c>
      <c r="I427" s="322">
        <f>Councils!I430</f>
        <v>0</v>
      </c>
      <c r="J427" s="322">
        <f>Councils!J430</f>
        <v>0</v>
      </c>
      <c r="K427" s="322">
        <f>Councils!K430</f>
        <v>0</v>
      </c>
      <c r="L427" s="322">
        <f>Councils!L430</f>
        <v>0</v>
      </c>
      <c r="M427" s="323">
        <f>Councils!M430</f>
        <v>0</v>
      </c>
      <c r="N427" s="322">
        <f>Councils!O430</f>
        <v>0</v>
      </c>
      <c r="O427" s="322">
        <f>Councils!P430</f>
        <v>0</v>
      </c>
      <c r="P427" s="322">
        <f>Councils!Q430</f>
        <v>0</v>
      </c>
      <c r="Q427" s="322">
        <f>Councils!R430</f>
        <v>0</v>
      </c>
      <c r="R427" s="322">
        <f>Councils!S430</f>
        <v>0</v>
      </c>
      <c r="S427" s="322">
        <f>Councils!T430</f>
        <v>0</v>
      </c>
      <c r="T427" s="322">
        <f>Councils!U430</f>
        <v>0</v>
      </c>
      <c r="U427" s="323">
        <f>Councils!V430</f>
        <v>0</v>
      </c>
      <c r="V427" s="376">
        <v>67</v>
      </c>
      <c r="W427" s="377">
        <f t="shared" si="6"/>
        <v>1</v>
      </c>
      <c r="X427" s="378" t="str">
        <f>IF(ISNA(VLOOKUP($A427,GA!$A$1:$D$834,3,0))," ",VLOOKUP($A427,GA!$A$1:$D$834,3,0))</f>
        <v>Rangel</v>
      </c>
      <c r="Y427" s="379" t="str">
        <f>IF(ISNA(VLOOKUP($A427,Dormant_Councils!$A$1:$E$811,5,0)),"No",VLOOKUP($A427,Dormant_Councils!$A$1:$E$811,5,0))</f>
        <v>No</v>
      </c>
      <c r="Z427" s="381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22" t="str">
        <f>Councils!C431</f>
        <v>212</v>
      </c>
      <c r="C428" s="322" t="str">
        <f>Councils!D431</f>
        <v>Escobares</v>
      </c>
      <c r="D428" s="322" t="str">
        <f>IF(ISNA(VLOOKUP($V428,DD_Info!$A$1:$E$221,3,0)),0,VLOOKUP($V428,DD_Info!$A$1:$E$221,3,0))</f>
        <v>Brownsville</v>
      </c>
      <c r="E428" s="322">
        <f>Councils!E431</f>
        <v>97</v>
      </c>
      <c r="F428" s="322">
        <f>Councils!F431</f>
        <v>5</v>
      </c>
      <c r="G428" s="322">
        <f>Councils!G431</f>
        <v>0</v>
      </c>
      <c r="H428" s="322">
        <f>Councils!H431</f>
        <v>0</v>
      </c>
      <c r="I428" s="322">
        <f>Councils!I431</f>
        <v>0</v>
      </c>
      <c r="J428" s="322">
        <f>Councils!J431</f>
        <v>0</v>
      </c>
      <c r="K428" s="322">
        <f>Councils!K431</f>
        <v>0</v>
      </c>
      <c r="L428" s="322">
        <f>Councils!L431</f>
        <v>0</v>
      </c>
      <c r="M428" s="323">
        <f>Councils!M431</f>
        <v>0</v>
      </c>
      <c r="N428" s="322">
        <f>Councils!O431</f>
        <v>0</v>
      </c>
      <c r="O428" s="322">
        <f>Councils!P431</f>
        <v>0</v>
      </c>
      <c r="P428" s="322">
        <f>Councils!Q431</f>
        <v>1</v>
      </c>
      <c r="Q428" s="322">
        <f>Councils!R431</f>
        <v>-1</v>
      </c>
      <c r="R428" s="322">
        <f>Councils!S431</f>
        <v>0</v>
      </c>
      <c r="S428" s="322">
        <f>Councils!T431</f>
        <v>1</v>
      </c>
      <c r="T428" s="322">
        <f>Councils!U431</f>
        <v>-1</v>
      </c>
      <c r="U428" s="323">
        <f>Councils!V431</f>
        <v>0</v>
      </c>
      <c r="V428" s="376">
        <v>212</v>
      </c>
      <c r="W428" s="377">
        <f t="shared" si="6"/>
        <v>2</v>
      </c>
      <c r="X428" s="378" t="str">
        <f>IF(ISNA(VLOOKUP($A428,GA!$A$1:$D$834,3,0))," ",VLOOKUP($A428,GA!$A$1:$D$834,3,0))</f>
        <v>Carlin</v>
      </c>
      <c r="Y428" s="379" t="str">
        <f>IF(ISNA(VLOOKUP($A428,Dormant_Councils!$A$1:$E$811,5,0)),"No",VLOOKUP($A428,Dormant_Councils!$A$1:$E$811,5,0))</f>
        <v>No</v>
      </c>
      <c r="Z428" s="381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22" t="str">
        <f>Councils!C432</f>
        <v>151</v>
      </c>
      <c r="C429" s="322" t="str">
        <f>Councils!D432</f>
        <v>Austin</v>
      </c>
      <c r="D429" s="322" t="str">
        <f>IF(ISNA(VLOOKUP($V429,DD_Info!$A$1:$E$221,3,0)),0,VLOOKUP($V429,DD_Info!$A$1:$E$221,3,0))</f>
        <v>Austin</v>
      </c>
      <c r="E429" s="322">
        <f>Councils!E432</f>
        <v>191</v>
      </c>
      <c r="F429" s="322">
        <f>Councils!F432</f>
        <v>9</v>
      </c>
      <c r="G429" s="322">
        <f>Councils!G432</f>
        <v>0</v>
      </c>
      <c r="H429" s="322">
        <f>Councils!H432</f>
        <v>0</v>
      </c>
      <c r="I429" s="322">
        <f>Councils!I432</f>
        <v>0</v>
      </c>
      <c r="J429" s="322">
        <f>Councils!J432</f>
        <v>4</v>
      </c>
      <c r="K429" s="322">
        <f>Councils!K432</f>
        <v>3</v>
      </c>
      <c r="L429" s="322">
        <f>Councils!L432</f>
        <v>1</v>
      </c>
      <c r="M429" s="323">
        <f>Councils!M432</f>
        <v>11.11</v>
      </c>
      <c r="N429" s="322">
        <f>Councils!O432</f>
        <v>0</v>
      </c>
      <c r="O429" s="322">
        <f>Councils!P432</f>
        <v>0</v>
      </c>
      <c r="P429" s="322">
        <f>Councils!Q432</f>
        <v>0</v>
      </c>
      <c r="Q429" s="322">
        <f>Councils!R432</f>
        <v>0</v>
      </c>
      <c r="R429" s="322">
        <f>Councils!S432</f>
        <v>1</v>
      </c>
      <c r="S429" s="322">
        <f>Councils!T432</f>
        <v>3</v>
      </c>
      <c r="T429" s="322">
        <f>Councils!U432</f>
        <v>-2</v>
      </c>
      <c r="U429" s="323">
        <f>Councils!V432</f>
        <v>0</v>
      </c>
      <c r="V429" s="376">
        <v>151</v>
      </c>
      <c r="W429" s="377">
        <f t="shared" si="6"/>
        <v>1</v>
      </c>
      <c r="X429" s="378" t="str">
        <f>IF(ISNA(VLOOKUP($A429,GA!$A$1:$D$834,3,0))," ",VLOOKUP($A429,GA!$A$1:$D$834,3,0))</f>
        <v>Britten</v>
      </c>
      <c r="Y429" s="379" t="str">
        <f>IF(ISNA(VLOOKUP($A429,Dormant_Councils!$A$1:$E$811,5,0)),"No",VLOOKUP($A429,Dormant_Councils!$A$1:$E$811,5,0))</f>
        <v>No</v>
      </c>
      <c r="Z429" s="381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22" t="str">
        <f>Councils!C433</f>
        <v>052</v>
      </c>
      <c r="C430" s="322" t="str">
        <f>Councils!D433</f>
        <v>San Antonio</v>
      </c>
      <c r="D430" s="322" t="str">
        <f>IF(ISNA(VLOOKUP($V430,DD_Info!$A$1:$E$221,3,0)),0,VLOOKUP($V430,DD_Info!$A$1:$E$221,3,0))</f>
        <v>San Antonio</v>
      </c>
      <c r="E430" s="322">
        <f>Councils!E433</f>
        <v>72</v>
      </c>
      <c r="F430" s="322">
        <f>Councils!F433</f>
        <v>4</v>
      </c>
      <c r="G430" s="322">
        <f>Councils!G433</f>
        <v>0</v>
      </c>
      <c r="H430" s="322">
        <f>Councils!H433</f>
        <v>0</v>
      </c>
      <c r="I430" s="322">
        <f>Councils!I433</f>
        <v>0</v>
      </c>
      <c r="J430" s="322">
        <f>Councils!J433</f>
        <v>2</v>
      </c>
      <c r="K430" s="322">
        <f>Councils!K433</f>
        <v>0</v>
      </c>
      <c r="L430" s="322">
        <f>Councils!L433</f>
        <v>2</v>
      </c>
      <c r="M430" s="323">
        <f>Councils!M433</f>
        <v>50</v>
      </c>
      <c r="N430" s="322">
        <f>Councils!O433</f>
        <v>0</v>
      </c>
      <c r="O430" s="322">
        <f>Councils!P433</f>
        <v>0</v>
      </c>
      <c r="P430" s="322">
        <f>Councils!Q433</f>
        <v>0</v>
      </c>
      <c r="Q430" s="322">
        <f>Councils!R433</f>
        <v>0</v>
      </c>
      <c r="R430" s="322">
        <f>Councils!S433</f>
        <v>1</v>
      </c>
      <c r="S430" s="322">
        <f>Councils!T433</f>
        <v>3</v>
      </c>
      <c r="T430" s="322">
        <f>Councils!U433</f>
        <v>-2</v>
      </c>
      <c r="U430" s="323">
        <f>Councils!V433</f>
        <v>0</v>
      </c>
      <c r="V430" s="376">
        <v>52</v>
      </c>
      <c r="W430" s="377">
        <f t="shared" si="6"/>
        <v>2</v>
      </c>
      <c r="X430" s="378" t="str">
        <f>IF(ISNA(VLOOKUP($A430,GA!$A$1:$D$834,3,0))," ",VLOOKUP($A430,GA!$A$1:$D$834,3,0))</f>
        <v>Dougherty</v>
      </c>
      <c r="Y430" s="379" t="str">
        <f>IF(ISNA(VLOOKUP($A430,Dormant_Councils!$A$1:$E$811,5,0)),"No",VLOOKUP($A430,Dormant_Councils!$A$1:$E$811,5,0))</f>
        <v>No</v>
      </c>
      <c r="Z430" s="381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22" t="str">
        <f>Councils!C434</f>
        <v>149</v>
      </c>
      <c r="C431" s="322" t="str">
        <f>Councils!D434</f>
        <v>Taylor</v>
      </c>
      <c r="D431" s="322" t="str">
        <f>IF(ISNA(VLOOKUP($V431,DD_Info!$A$1:$E$221,3,0)),0,VLOOKUP($V431,DD_Info!$A$1:$E$221,3,0))</f>
        <v>Austin</v>
      </c>
      <c r="E431" s="322">
        <f>Councils!E434</f>
        <v>75</v>
      </c>
      <c r="F431" s="322">
        <f>Councils!F434</f>
        <v>4</v>
      </c>
      <c r="G431" s="322">
        <f>Councils!G434</f>
        <v>0</v>
      </c>
      <c r="H431" s="322">
        <f>Councils!H434</f>
        <v>0</v>
      </c>
      <c r="I431" s="322">
        <f>Councils!I434</f>
        <v>0</v>
      </c>
      <c r="J431" s="322">
        <f>Councils!J434</f>
        <v>0</v>
      </c>
      <c r="K431" s="322">
        <f>Councils!K434</f>
        <v>0</v>
      </c>
      <c r="L431" s="322">
        <f>Councils!L434</f>
        <v>0</v>
      </c>
      <c r="M431" s="323">
        <f>Councils!M434</f>
        <v>0</v>
      </c>
      <c r="N431" s="322">
        <f>Councils!O434</f>
        <v>0</v>
      </c>
      <c r="O431" s="322">
        <f>Councils!P434</f>
        <v>0</v>
      </c>
      <c r="P431" s="322">
        <f>Councils!Q434</f>
        <v>0</v>
      </c>
      <c r="Q431" s="322">
        <f>Councils!R434</f>
        <v>0</v>
      </c>
      <c r="R431" s="322">
        <f>Councils!S434</f>
        <v>0</v>
      </c>
      <c r="S431" s="322">
        <f>Councils!T434</f>
        <v>0</v>
      </c>
      <c r="T431" s="322">
        <f>Councils!U434</f>
        <v>0</v>
      </c>
      <c r="U431" s="323">
        <f>Councils!V434</f>
        <v>0</v>
      </c>
      <c r="V431" s="376">
        <v>149</v>
      </c>
      <c r="W431" s="377">
        <f t="shared" si="6"/>
        <v>2</v>
      </c>
      <c r="X431" s="378" t="str">
        <f>IF(ISNA(VLOOKUP($A431,GA!$A$1:$D$834,3,0))," ",VLOOKUP($A431,GA!$A$1:$D$834,3,0))</f>
        <v>Rangel</v>
      </c>
      <c r="Y431" s="379" t="str">
        <f>IF(ISNA(VLOOKUP($A431,Dormant_Councils!$A$1:$E$811,5,0)),"No",VLOOKUP($A431,Dormant_Councils!$A$1:$E$811,5,0))</f>
        <v>No</v>
      </c>
      <c r="Z431" s="381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22" t="str">
        <f>Councils!C435</f>
        <v>206</v>
      </c>
      <c r="C432" s="322" t="str">
        <f>Councils!D435</f>
        <v>Brownsville</v>
      </c>
      <c r="D432" s="322" t="str">
        <f>IF(ISNA(VLOOKUP($V432,DD_Info!$A$1:$E$221,3,0)),0,VLOOKUP($V432,DD_Info!$A$1:$E$221,3,0))</f>
        <v>Brownsville</v>
      </c>
      <c r="E432" s="322">
        <f>Councils!E435</f>
        <v>24</v>
      </c>
      <c r="F432" s="322">
        <f>Councils!F435</f>
        <v>3</v>
      </c>
      <c r="G432" s="322">
        <f>Councils!G435</f>
        <v>0</v>
      </c>
      <c r="H432" s="322">
        <f>Councils!H435</f>
        <v>0</v>
      </c>
      <c r="I432" s="322">
        <f>Councils!I435</f>
        <v>0</v>
      </c>
      <c r="J432" s="322">
        <f>Councils!J435</f>
        <v>0</v>
      </c>
      <c r="K432" s="322">
        <f>Councils!K435</f>
        <v>0</v>
      </c>
      <c r="L432" s="322">
        <f>Councils!L435</f>
        <v>0</v>
      </c>
      <c r="M432" s="323">
        <f>Councils!M435</f>
        <v>0</v>
      </c>
      <c r="N432" s="322">
        <f>Councils!O435</f>
        <v>0</v>
      </c>
      <c r="O432" s="322">
        <f>Councils!P435</f>
        <v>0</v>
      </c>
      <c r="P432" s="322">
        <f>Councils!Q435</f>
        <v>0</v>
      </c>
      <c r="Q432" s="322">
        <f>Councils!R435</f>
        <v>0</v>
      </c>
      <c r="R432" s="322">
        <f>Councils!S435</f>
        <v>0</v>
      </c>
      <c r="S432" s="322">
        <f>Councils!T435</f>
        <v>0</v>
      </c>
      <c r="T432" s="322">
        <f>Councils!U435</f>
        <v>0</v>
      </c>
      <c r="U432" s="323">
        <f>Councils!V435</f>
        <v>0</v>
      </c>
      <c r="V432" s="376">
        <v>206</v>
      </c>
      <c r="W432" s="377">
        <f t="shared" si="6"/>
        <v>3</v>
      </c>
      <c r="X432" s="378" t="str">
        <f>IF(ISNA(VLOOKUP($A432,GA!$A$1:$D$834,3,0))," ",VLOOKUP($A432,GA!$A$1:$D$834,3,0))</f>
        <v>Carlin</v>
      </c>
      <c r="Y432" s="379" t="str">
        <f>IF(ISNA(VLOOKUP($A432,Dormant_Councils!$A$1:$E$811,5,0)),"No",VLOOKUP($A432,Dormant_Councils!$A$1:$E$811,5,0))</f>
        <v>Dormant</v>
      </c>
      <c r="Z432" s="381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22" t="str">
        <f>Councils!C436</f>
        <v>051</v>
      </c>
      <c r="C433" s="322" t="str">
        <f>Councils!D436</f>
        <v>San Antonio</v>
      </c>
      <c r="D433" s="322" t="str">
        <f>IF(ISNA(VLOOKUP($V433,DD_Info!$A$1:$E$221,3,0)),0,VLOOKUP($V433,DD_Info!$A$1:$E$221,3,0))</f>
        <v>San Antonio</v>
      </c>
      <c r="E433" s="322">
        <f>Councils!E436</f>
        <v>291</v>
      </c>
      <c r="F433" s="322">
        <f>Councils!F436</f>
        <v>14</v>
      </c>
      <c r="G433" s="322">
        <f>Councils!G436</f>
        <v>2</v>
      </c>
      <c r="H433" s="322">
        <f>Councils!H436</f>
        <v>0</v>
      </c>
      <c r="I433" s="322">
        <f>Councils!I436</f>
        <v>2</v>
      </c>
      <c r="J433" s="322">
        <f>Councils!J436</f>
        <v>9</v>
      </c>
      <c r="K433" s="322">
        <f>Councils!K436</f>
        <v>1</v>
      </c>
      <c r="L433" s="322">
        <f>Councils!L436</f>
        <v>8</v>
      </c>
      <c r="M433" s="323">
        <f>Councils!M436</f>
        <v>57.14</v>
      </c>
      <c r="N433" s="322">
        <f>Councils!O436</f>
        <v>0</v>
      </c>
      <c r="O433" s="322">
        <f>Councils!P436</f>
        <v>1</v>
      </c>
      <c r="P433" s="322">
        <f>Councils!Q436</f>
        <v>1</v>
      </c>
      <c r="Q433" s="322">
        <f>Councils!R436</f>
        <v>0</v>
      </c>
      <c r="R433" s="322">
        <f>Councils!S436</f>
        <v>4</v>
      </c>
      <c r="S433" s="322">
        <f>Councils!T436</f>
        <v>1</v>
      </c>
      <c r="T433" s="322">
        <f>Councils!U436</f>
        <v>3</v>
      </c>
      <c r="U433" s="323">
        <f>Councils!V436</f>
        <v>0</v>
      </c>
      <c r="V433" s="376">
        <v>51</v>
      </c>
      <c r="W433" s="377">
        <f t="shared" si="6"/>
        <v>1</v>
      </c>
      <c r="X433" s="378" t="str">
        <f>IF(ISNA(VLOOKUP($A433,GA!$A$1:$D$834,3,0))," ",VLOOKUP($A433,GA!$A$1:$D$834,3,0))</f>
        <v>Dougherty</v>
      </c>
      <c r="Y433" s="379" t="str">
        <f>IF(ISNA(VLOOKUP($A433,Dormant_Councils!$A$1:$E$811,5,0)),"No",VLOOKUP($A433,Dormant_Councils!$A$1:$E$811,5,0))</f>
        <v>No</v>
      </c>
      <c r="Z433" s="381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22" t="str">
        <f>Councils!C437</f>
        <v>012</v>
      </c>
      <c r="C434" s="322" t="str">
        <f>Councils!D437</f>
        <v>Presidio</v>
      </c>
      <c r="D434" s="322" t="str">
        <f>IF(ISNA(VLOOKUP($V434,DD_Info!$A$1:$E$221,3,0)),0,VLOOKUP($V434,DD_Info!$A$1:$E$221,3,0))</f>
        <v>El Paso</v>
      </c>
      <c r="E434" s="322">
        <f>Councils!E437</f>
        <v>41</v>
      </c>
      <c r="F434" s="322">
        <f>Councils!F437</f>
        <v>3</v>
      </c>
      <c r="G434" s="322">
        <f>Councils!G437</f>
        <v>0</v>
      </c>
      <c r="H434" s="322">
        <f>Councils!H437</f>
        <v>0</v>
      </c>
      <c r="I434" s="322">
        <f>Councils!I437</f>
        <v>0</v>
      </c>
      <c r="J434" s="322">
        <f>Councils!J437</f>
        <v>0</v>
      </c>
      <c r="K434" s="322">
        <f>Councils!K437</f>
        <v>0</v>
      </c>
      <c r="L434" s="322">
        <f>Councils!L437</f>
        <v>0</v>
      </c>
      <c r="M434" s="323">
        <f>Councils!M437</f>
        <v>0</v>
      </c>
      <c r="N434" s="322">
        <f>Councils!O437</f>
        <v>0</v>
      </c>
      <c r="O434" s="322">
        <f>Councils!P437</f>
        <v>0</v>
      </c>
      <c r="P434" s="322">
        <f>Councils!Q437</f>
        <v>0</v>
      </c>
      <c r="Q434" s="322">
        <f>Councils!R437</f>
        <v>0</v>
      </c>
      <c r="R434" s="322">
        <f>Councils!S437</f>
        <v>0</v>
      </c>
      <c r="S434" s="322">
        <f>Councils!T437</f>
        <v>0</v>
      </c>
      <c r="T434" s="322">
        <f>Councils!U437</f>
        <v>0</v>
      </c>
      <c r="U434" s="323">
        <f>Councils!V437</f>
        <v>0</v>
      </c>
      <c r="V434" s="376">
        <v>12</v>
      </c>
      <c r="W434" s="377">
        <f t="shared" si="6"/>
        <v>3</v>
      </c>
      <c r="X434" s="378" t="str">
        <f>IF(ISNA(VLOOKUP($A434,GA!$A$1:$D$834,3,0))," ",VLOOKUP($A434,GA!$A$1:$D$834,3,0))</f>
        <v>Payne</v>
      </c>
      <c r="Y434" s="379" t="str">
        <f>IF(ISNA(VLOOKUP($A434,Dormant_Councils!$A$1:$E$811,5,0)),"No",VLOOKUP($A434,Dormant_Councils!$A$1:$E$811,5,0))</f>
        <v>Dormant</v>
      </c>
      <c r="Z434" s="381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22" t="str">
        <f>Councils!C438</f>
        <v>155</v>
      </c>
      <c r="C435" s="322" t="str">
        <f>Councils!D438</f>
        <v>Austin</v>
      </c>
      <c r="D435" s="322" t="str">
        <f>IF(ISNA(VLOOKUP($V435,DD_Info!$A$1:$E$221,3,0)),0,VLOOKUP($V435,DD_Info!$A$1:$E$221,3,0))</f>
        <v>Austin</v>
      </c>
      <c r="E435" s="322">
        <f>Councils!E438</f>
        <v>153</v>
      </c>
      <c r="F435" s="322">
        <f>Councils!F438</f>
        <v>7</v>
      </c>
      <c r="G435" s="322">
        <f>Councils!G438</f>
        <v>0</v>
      </c>
      <c r="H435" s="322">
        <f>Councils!H438</f>
        <v>0</v>
      </c>
      <c r="I435" s="322">
        <f>Councils!I438</f>
        <v>0</v>
      </c>
      <c r="J435" s="322">
        <f>Councils!J438</f>
        <v>1</v>
      </c>
      <c r="K435" s="322">
        <f>Councils!K438</f>
        <v>0</v>
      </c>
      <c r="L435" s="322">
        <f>Councils!L438</f>
        <v>1</v>
      </c>
      <c r="M435" s="323">
        <f>Councils!M438</f>
        <v>14.29</v>
      </c>
      <c r="N435" s="322">
        <f>Councils!O438</f>
        <v>0</v>
      </c>
      <c r="O435" s="322">
        <f>Councils!P438</f>
        <v>0</v>
      </c>
      <c r="P435" s="322">
        <f>Councils!Q438</f>
        <v>0</v>
      </c>
      <c r="Q435" s="322">
        <f>Councils!R438</f>
        <v>0</v>
      </c>
      <c r="R435" s="322">
        <f>Councils!S438</f>
        <v>1</v>
      </c>
      <c r="S435" s="322">
        <f>Councils!T438</f>
        <v>0</v>
      </c>
      <c r="T435" s="322">
        <f>Councils!U438</f>
        <v>1</v>
      </c>
      <c r="U435" s="323">
        <f>Councils!V438</f>
        <v>0</v>
      </c>
      <c r="V435" s="376">
        <v>155</v>
      </c>
      <c r="W435" s="377">
        <f t="shared" si="6"/>
        <v>1</v>
      </c>
      <c r="X435" s="378" t="str">
        <f>IF(ISNA(VLOOKUP($A435,GA!$A$1:$D$834,3,0))," ",VLOOKUP($A435,GA!$A$1:$D$834,3,0))</f>
        <v>Britten</v>
      </c>
      <c r="Y435" s="379" t="str">
        <f>IF(ISNA(VLOOKUP($A435,Dormant_Councils!$A$1:$E$811,5,0)),"No",VLOOKUP($A435,Dormant_Councils!$A$1:$E$811,5,0))</f>
        <v>No</v>
      </c>
      <c r="Z435" s="381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22" t="str">
        <f>Councils!C439</f>
        <v>Unassigned</v>
      </c>
      <c r="C436" s="322" t="str">
        <f>Councils!D439</f>
        <v>San Antonio</v>
      </c>
      <c r="D436" s="322">
        <f>IF(ISNA(VLOOKUP($V436,DD_Info!$A$1:$E$221,3,0)),0,VLOOKUP($V436,DD_Info!$A$1:$E$221,3,0))</f>
        <v>0</v>
      </c>
      <c r="E436" s="322">
        <f>Councils!E439</f>
        <v>0</v>
      </c>
      <c r="F436" s="322">
        <f>Councils!F439</f>
        <v>0</v>
      </c>
      <c r="G436" s="322">
        <f>Councils!G439</f>
        <v>0</v>
      </c>
      <c r="H436" s="322">
        <f>Councils!H439</f>
        <v>0</v>
      </c>
      <c r="I436" s="322">
        <f>Councils!I439</f>
        <v>0</v>
      </c>
      <c r="J436" s="322">
        <f>Councils!J439</f>
        <v>0</v>
      </c>
      <c r="K436" s="322">
        <f>Councils!K439</f>
        <v>0</v>
      </c>
      <c r="L436" s="322">
        <f>Councils!L439</f>
        <v>0</v>
      </c>
      <c r="M436" s="323">
        <f>Councils!M439</f>
        <v>0</v>
      </c>
      <c r="N436" s="322">
        <f>Councils!O439</f>
        <v>0</v>
      </c>
      <c r="O436" s="322">
        <f>Councils!P439</f>
        <v>0</v>
      </c>
      <c r="P436" s="322">
        <f>Councils!Q439</f>
        <v>0</v>
      </c>
      <c r="Q436" s="322">
        <f>Councils!R439</f>
        <v>0</v>
      </c>
      <c r="R436" s="322">
        <f>Councils!S439</f>
        <v>0</v>
      </c>
      <c r="S436" s="322">
        <f>Councils!T439</f>
        <v>0</v>
      </c>
      <c r="T436" s="322">
        <f>Councils!U439</f>
        <v>0</v>
      </c>
      <c r="U436" s="323">
        <f>Councils!V439</f>
        <v>0</v>
      </c>
      <c r="V436" s="45" t="s">
        <v>93</v>
      </c>
      <c r="W436" s="377">
        <f t="shared" si="6"/>
        <v>3</v>
      </c>
      <c r="X436" s="378" t="str">
        <f>IF(ISNA(VLOOKUP($A436,GA!$A$1:$D$834,3,0))," ",VLOOKUP($A436,GA!$A$1:$D$834,3,0))</f>
        <v>Dougherty</v>
      </c>
      <c r="Y436" s="379" t="str">
        <f>IF(ISNA(VLOOKUP($A436,Dormant_Councils!$A$1:$E$811,5,0)),"No",VLOOKUP($A436,Dormant_Councils!$A$1:$E$811,5,0))</f>
        <v>No</v>
      </c>
      <c r="Z436" s="381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22" t="str">
        <f>Councils!C440</f>
        <v>157</v>
      </c>
      <c r="C437" s="322" t="str">
        <f>Councils!D440</f>
        <v>Austin</v>
      </c>
      <c r="D437" s="322" t="str">
        <f>IF(ISNA(VLOOKUP($V437,DD_Info!$A$1:$E$221,3,0)),0,VLOOKUP($V437,DD_Info!$A$1:$E$221,3,0))</f>
        <v>Austin</v>
      </c>
      <c r="E437" s="322">
        <f>Councils!E440</f>
        <v>107</v>
      </c>
      <c r="F437" s="322">
        <f>Councils!F440</f>
        <v>5</v>
      </c>
      <c r="G437" s="322">
        <f>Councils!G440</f>
        <v>0</v>
      </c>
      <c r="H437" s="322">
        <f>Councils!H440</f>
        <v>0</v>
      </c>
      <c r="I437" s="322">
        <f>Councils!I440</f>
        <v>0</v>
      </c>
      <c r="J437" s="322">
        <f>Councils!J440</f>
        <v>0</v>
      </c>
      <c r="K437" s="322">
        <f>Councils!K440</f>
        <v>0</v>
      </c>
      <c r="L437" s="322">
        <f>Councils!L440</f>
        <v>0</v>
      </c>
      <c r="M437" s="323">
        <f>Councils!M440</f>
        <v>0</v>
      </c>
      <c r="N437" s="322">
        <f>Councils!O440</f>
        <v>0</v>
      </c>
      <c r="O437" s="322">
        <f>Councils!P440</f>
        <v>0</v>
      </c>
      <c r="P437" s="322">
        <f>Councils!Q440</f>
        <v>1</v>
      </c>
      <c r="Q437" s="322">
        <f>Councils!R440</f>
        <v>-1</v>
      </c>
      <c r="R437" s="322">
        <f>Councils!S440</f>
        <v>0</v>
      </c>
      <c r="S437" s="322">
        <f>Councils!T440</f>
        <v>1</v>
      </c>
      <c r="T437" s="322">
        <f>Councils!U440</f>
        <v>-1</v>
      </c>
      <c r="U437" s="323">
        <f>Councils!V440</f>
        <v>0</v>
      </c>
      <c r="V437" s="376">
        <v>157</v>
      </c>
      <c r="W437" s="377">
        <f t="shared" si="6"/>
        <v>2</v>
      </c>
      <c r="X437" s="378" t="str">
        <f>IF(ISNA(VLOOKUP($A437,GA!$A$1:$D$834,3,0))," ",VLOOKUP($A437,GA!$A$1:$D$834,3,0))</f>
        <v>Britten</v>
      </c>
      <c r="Y437" s="379" t="str">
        <f>IF(ISNA(VLOOKUP($A437,Dormant_Councils!$A$1:$E$811,5,0)),"No",VLOOKUP($A437,Dormant_Councils!$A$1:$E$811,5,0))</f>
        <v>No</v>
      </c>
      <c r="Z437" s="381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22" t="str">
        <f>Councils!C441</f>
        <v>048</v>
      </c>
      <c r="C438" s="322" t="str">
        <f>Councils!D441</f>
        <v>San Antonio</v>
      </c>
      <c r="D438" s="322" t="str">
        <f>IF(ISNA(VLOOKUP($V438,DD_Info!$A$1:$E$221,3,0)),0,VLOOKUP($V438,DD_Info!$A$1:$E$221,3,0))</f>
        <v>San Antonio</v>
      </c>
      <c r="E438" s="322">
        <f>Councils!E441</f>
        <v>103</v>
      </c>
      <c r="F438" s="322">
        <f>Councils!F441</f>
        <v>5</v>
      </c>
      <c r="G438" s="322">
        <f>Councils!G441</f>
        <v>0</v>
      </c>
      <c r="H438" s="322">
        <f>Councils!H441</f>
        <v>0</v>
      </c>
      <c r="I438" s="322">
        <f>Councils!I441</f>
        <v>0</v>
      </c>
      <c r="J438" s="322">
        <f>Councils!J441</f>
        <v>1</v>
      </c>
      <c r="K438" s="322">
        <f>Councils!K441</f>
        <v>4</v>
      </c>
      <c r="L438" s="322">
        <f>Councils!L441</f>
        <v>-3</v>
      </c>
      <c r="M438" s="323">
        <f>Councils!M441</f>
        <v>0</v>
      </c>
      <c r="N438" s="322">
        <f>Councils!O441</f>
        <v>0</v>
      </c>
      <c r="O438" s="322">
        <f>Councils!P441</f>
        <v>0</v>
      </c>
      <c r="P438" s="322">
        <f>Councils!Q441</f>
        <v>0</v>
      </c>
      <c r="Q438" s="322">
        <f>Councils!R441</f>
        <v>0</v>
      </c>
      <c r="R438" s="322">
        <f>Councils!S441</f>
        <v>0</v>
      </c>
      <c r="S438" s="322">
        <f>Councils!T441</f>
        <v>2</v>
      </c>
      <c r="T438" s="322">
        <f>Councils!U441</f>
        <v>-2</v>
      </c>
      <c r="U438" s="323">
        <f>Councils!V441</f>
        <v>0</v>
      </c>
      <c r="V438" s="376">
        <v>48</v>
      </c>
      <c r="W438" s="377">
        <f t="shared" si="6"/>
        <v>2</v>
      </c>
      <c r="X438" s="378" t="str">
        <f>IF(ISNA(VLOOKUP($A438,GA!$A$1:$D$834,3,0))," ",VLOOKUP($A438,GA!$A$1:$D$834,3,0))</f>
        <v>Dougherty</v>
      </c>
      <c r="Y438" s="379" t="str">
        <f>IF(ISNA(VLOOKUP($A438,Dormant_Councils!$A$1:$E$811,5,0)),"No",VLOOKUP($A438,Dormant_Councils!$A$1:$E$811,5,0))</f>
        <v>No</v>
      </c>
      <c r="Z438" s="381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22" t="str">
        <f>Councils!C442</f>
        <v>163</v>
      </c>
      <c r="C439" s="322" t="str">
        <f>Councils!D442</f>
        <v>Cyclone-Marak</v>
      </c>
      <c r="D439" s="322" t="str">
        <f>IF(ISNA(VLOOKUP($V439,DD_Info!$A$1:$E$221,3,0)),0,VLOOKUP($V439,DD_Info!$A$1:$E$221,3,0))</f>
        <v>Austin</v>
      </c>
      <c r="E439" s="322">
        <f>Councils!E442</f>
        <v>107</v>
      </c>
      <c r="F439" s="322">
        <f>Councils!F442</f>
        <v>5</v>
      </c>
      <c r="G439" s="322">
        <f>Councils!G442</f>
        <v>0</v>
      </c>
      <c r="H439" s="322">
        <f>Councils!H442</f>
        <v>0</v>
      </c>
      <c r="I439" s="322">
        <f>Councils!I442</f>
        <v>0</v>
      </c>
      <c r="J439" s="322">
        <f>Councils!J442</f>
        <v>0</v>
      </c>
      <c r="K439" s="322">
        <f>Councils!K442</f>
        <v>1</v>
      </c>
      <c r="L439" s="322">
        <f>Councils!L442</f>
        <v>-1</v>
      </c>
      <c r="M439" s="323">
        <f>Councils!M442</f>
        <v>0</v>
      </c>
      <c r="N439" s="322">
        <f>Councils!O442</f>
        <v>0</v>
      </c>
      <c r="O439" s="322">
        <f>Councils!P442</f>
        <v>0</v>
      </c>
      <c r="P439" s="322">
        <f>Councils!Q442</f>
        <v>0</v>
      </c>
      <c r="Q439" s="322">
        <f>Councils!R442</f>
        <v>0</v>
      </c>
      <c r="R439" s="322">
        <f>Councils!S442</f>
        <v>0</v>
      </c>
      <c r="S439" s="322">
        <f>Councils!T442</f>
        <v>1</v>
      </c>
      <c r="T439" s="322">
        <f>Councils!U442</f>
        <v>-1</v>
      </c>
      <c r="U439" s="323">
        <f>Councils!V442</f>
        <v>0</v>
      </c>
      <c r="V439" s="376">
        <v>163</v>
      </c>
      <c r="W439" s="377">
        <f t="shared" si="6"/>
        <v>2</v>
      </c>
      <c r="X439" s="378" t="str">
        <f>IF(ISNA(VLOOKUP($A439,GA!$A$1:$D$834,3,0))," ",VLOOKUP($A439,GA!$A$1:$D$834,3,0))</f>
        <v>Rangel</v>
      </c>
      <c r="Y439" s="379" t="str">
        <f>IF(ISNA(VLOOKUP($A439,Dormant_Councils!$A$1:$E$811,5,0)),"No",VLOOKUP($A439,Dormant_Councils!$A$1:$E$811,5,0))</f>
        <v>No</v>
      </c>
      <c r="Z439" s="381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22" t="str">
        <f>Councils!C443</f>
        <v>049</v>
      </c>
      <c r="C440" s="322" t="str">
        <f>Councils!D443</f>
        <v>San Antonio</v>
      </c>
      <c r="D440" s="322" t="str">
        <f>IF(ISNA(VLOOKUP($V440,DD_Info!$A$1:$E$221,3,0)),0,VLOOKUP($V440,DD_Info!$A$1:$E$221,3,0))</f>
        <v>San Antonio</v>
      </c>
      <c r="E440" s="322">
        <f>Councils!E443</f>
        <v>91</v>
      </c>
      <c r="F440" s="322">
        <f>Councils!F443</f>
        <v>4</v>
      </c>
      <c r="G440" s="322">
        <f>Councils!G443</f>
        <v>0</v>
      </c>
      <c r="H440" s="322">
        <f>Councils!H443</f>
        <v>0</v>
      </c>
      <c r="I440" s="322">
        <f>Councils!I443</f>
        <v>0</v>
      </c>
      <c r="J440" s="322">
        <f>Councils!J443</f>
        <v>0</v>
      </c>
      <c r="K440" s="322">
        <f>Councils!K443</f>
        <v>0</v>
      </c>
      <c r="L440" s="322">
        <f>Councils!L443</f>
        <v>0</v>
      </c>
      <c r="M440" s="323">
        <f>Councils!M443</f>
        <v>0</v>
      </c>
      <c r="N440" s="322">
        <f>Councils!O443</f>
        <v>0</v>
      </c>
      <c r="O440" s="322">
        <f>Councils!P443</f>
        <v>0</v>
      </c>
      <c r="P440" s="322">
        <f>Councils!Q443</f>
        <v>0</v>
      </c>
      <c r="Q440" s="322">
        <f>Councils!R443</f>
        <v>0</v>
      </c>
      <c r="R440" s="322">
        <f>Councils!S443</f>
        <v>0</v>
      </c>
      <c r="S440" s="322">
        <f>Councils!T443</f>
        <v>0</v>
      </c>
      <c r="T440" s="322">
        <f>Councils!U443</f>
        <v>0</v>
      </c>
      <c r="U440" s="323">
        <f>Councils!V443</f>
        <v>0</v>
      </c>
      <c r="V440" s="376">
        <v>49</v>
      </c>
      <c r="W440" s="377">
        <f t="shared" si="6"/>
        <v>2</v>
      </c>
      <c r="X440" s="378" t="str">
        <f>IF(ISNA(VLOOKUP($A440,GA!$A$1:$D$834,3,0))," ",VLOOKUP($A440,GA!$A$1:$D$834,3,0))</f>
        <v>Dougherty</v>
      </c>
      <c r="Y440" s="379" t="str">
        <f>IF(ISNA(VLOOKUP($A440,Dormant_Councils!$A$1:$E$811,5,0)),"No",VLOOKUP($A440,Dormant_Councils!$A$1:$E$811,5,0))</f>
        <v>No</v>
      </c>
      <c r="Z440" s="381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22" t="str">
        <f>Councils!C444</f>
        <v>078</v>
      </c>
      <c r="C441" s="322" t="str">
        <f>Councils!D444</f>
        <v>Houston</v>
      </c>
      <c r="D441" s="322" t="str">
        <f>IF(ISNA(VLOOKUP($V441,DD_Info!$A$1:$E$221,3,0)),0,VLOOKUP($V441,DD_Info!$A$1:$E$221,3,0))</f>
        <v>Galv/Hous</v>
      </c>
      <c r="E441" s="322">
        <f>Councils!E444</f>
        <v>62</v>
      </c>
      <c r="F441" s="322">
        <f>Councils!F444</f>
        <v>3</v>
      </c>
      <c r="G441" s="322">
        <f>Councils!G444</f>
        <v>0</v>
      </c>
      <c r="H441" s="322">
        <f>Councils!H444</f>
        <v>0</v>
      </c>
      <c r="I441" s="322">
        <f>Councils!I444</f>
        <v>0</v>
      </c>
      <c r="J441" s="322">
        <f>Councils!J444</f>
        <v>0</v>
      </c>
      <c r="K441" s="322">
        <f>Councils!K444</f>
        <v>0</v>
      </c>
      <c r="L441" s="322">
        <f>Councils!L444</f>
        <v>0</v>
      </c>
      <c r="M441" s="323">
        <f>Councils!M444</f>
        <v>0</v>
      </c>
      <c r="N441" s="322">
        <f>Councils!O444</f>
        <v>0</v>
      </c>
      <c r="O441" s="322">
        <f>Councils!P444</f>
        <v>0</v>
      </c>
      <c r="P441" s="322">
        <f>Councils!Q444</f>
        <v>0</v>
      </c>
      <c r="Q441" s="322">
        <f>Councils!R444</f>
        <v>0</v>
      </c>
      <c r="R441" s="322">
        <f>Councils!S444</f>
        <v>0</v>
      </c>
      <c r="S441" s="322">
        <f>Councils!T444</f>
        <v>0</v>
      </c>
      <c r="T441" s="322">
        <f>Councils!U444</f>
        <v>0</v>
      </c>
      <c r="U441" s="323">
        <f>Councils!V444</f>
        <v>0</v>
      </c>
      <c r="V441" s="376">
        <v>78</v>
      </c>
      <c r="W441" s="377">
        <f t="shared" si="6"/>
        <v>3</v>
      </c>
      <c r="X441" s="378" t="str">
        <f>IF(ISNA(VLOOKUP($A441,GA!$A$1:$D$834,3,0))," ",VLOOKUP($A441,GA!$A$1:$D$834,3,0))</f>
        <v>Rangel</v>
      </c>
      <c r="Y441" s="379" t="str">
        <f>IF(ISNA(VLOOKUP($A441,Dormant_Councils!$A$1:$E$811,5,0)),"No",VLOOKUP($A441,Dormant_Councils!$A$1:$E$811,5,0))</f>
        <v>No</v>
      </c>
      <c r="Z441" s="381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22" t="str">
        <f>Councils!C445</f>
        <v>158</v>
      </c>
      <c r="C442" s="322" t="str">
        <f>Councils!D445</f>
        <v>Austin</v>
      </c>
      <c r="D442" s="322" t="str">
        <f>IF(ISNA(VLOOKUP($V442,DD_Info!$A$1:$E$221,3,0)),0,VLOOKUP($V442,DD_Info!$A$1:$E$221,3,0))</f>
        <v>Austin</v>
      </c>
      <c r="E442" s="322">
        <f>Councils!E445</f>
        <v>105</v>
      </c>
      <c r="F442" s="322">
        <f>Councils!F445</f>
        <v>5</v>
      </c>
      <c r="G442" s="322">
        <f>Councils!G445</f>
        <v>0</v>
      </c>
      <c r="H442" s="322">
        <f>Councils!H445</f>
        <v>0</v>
      </c>
      <c r="I442" s="322">
        <f>Councils!I445</f>
        <v>0</v>
      </c>
      <c r="J442" s="322">
        <f>Councils!J445</f>
        <v>0</v>
      </c>
      <c r="K442" s="322">
        <f>Councils!K445</f>
        <v>0</v>
      </c>
      <c r="L442" s="322">
        <f>Councils!L445</f>
        <v>0</v>
      </c>
      <c r="M442" s="323">
        <f>Councils!M445</f>
        <v>0</v>
      </c>
      <c r="N442" s="322">
        <f>Councils!O445</f>
        <v>0</v>
      </c>
      <c r="O442" s="322">
        <f>Councils!P445</f>
        <v>0</v>
      </c>
      <c r="P442" s="322">
        <f>Councils!Q445</f>
        <v>0</v>
      </c>
      <c r="Q442" s="322">
        <f>Councils!R445</f>
        <v>0</v>
      </c>
      <c r="R442" s="322">
        <f>Councils!S445</f>
        <v>0</v>
      </c>
      <c r="S442" s="322">
        <f>Councils!T445</f>
        <v>0</v>
      </c>
      <c r="T442" s="322">
        <f>Councils!U445</f>
        <v>0</v>
      </c>
      <c r="U442" s="323">
        <f>Councils!V445</f>
        <v>0</v>
      </c>
      <c r="V442" s="376">
        <v>158</v>
      </c>
      <c r="W442" s="377">
        <f t="shared" si="6"/>
        <v>2</v>
      </c>
      <c r="X442" s="378" t="str">
        <f>IF(ISNA(VLOOKUP($A442,GA!$A$1:$D$834,3,0))," ",VLOOKUP($A442,GA!$A$1:$D$834,3,0))</f>
        <v>Rangel</v>
      </c>
      <c r="Y442" s="379" t="str">
        <f>IF(ISNA(VLOOKUP($A442,Dormant_Councils!$A$1:$E$811,5,0)),"No",VLOOKUP($A442,Dormant_Councils!$A$1:$E$811,5,0))</f>
        <v>No</v>
      </c>
      <c r="Z442" s="381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22" t="str">
        <f>Councils!C446</f>
        <v>084</v>
      </c>
      <c r="C443" s="322" t="str">
        <f>Councils!D446</f>
        <v>Industry</v>
      </c>
      <c r="D443" s="322" t="str">
        <f>IF(ISNA(VLOOKUP($V443,DD_Info!$A$1:$E$221,3,0)),0,VLOOKUP($V443,DD_Info!$A$1:$E$221,3,0))</f>
        <v>Galv/Hous</v>
      </c>
      <c r="E443" s="322">
        <f>Councils!E446</f>
        <v>71</v>
      </c>
      <c r="F443" s="322">
        <f>Councils!F446</f>
        <v>3</v>
      </c>
      <c r="G443" s="322">
        <f>Councils!G446</f>
        <v>0</v>
      </c>
      <c r="H443" s="322">
        <f>Councils!H446</f>
        <v>0</v>
      </c>
      <c r="I443" s="322">
        <f>Councils!I446</f>
        <v>0</v>
      </c>
      <c r="J443" s="322">
        <f>Councils!J446</f>
        <v>0</v>
      </c>
      <c r="K443" s="322">
        <f>Councils!K446</f>
        <v>0</v>
      </c>
      <c r="L443" s="322">
        <f>Councils!L446</f>
        <v>0</v>
      </c>
      <c r="M443" s="323">
        <f>Councils!M446</f>
        <v>0</v>
      </c>
      <c r="N443" s="322">
        <f>Councils!O446</f>
        <v>0</v>
      </c>
      <c r="O443" s="322">
        <f>Councils!P446</f>
        <v>0</v>
      </c>
      <c r="P443" s="322">
        <f>Councils!Q446</f>
        <v>0</v>
      </c>
      <c r="Q443" s="322">
        <f>Councils!R446</f>
        <v>0</v>
      </c>
      <c r="R443" s="322">
        <f>Councils!S446</f>
        <v>0</v>
      </c>
      <c r="S443" s="322">
        <f>Councils!T446</f>
        <v>0</v>
      </c>
      <c r="T443" s="322">
        <f>Councils!U446</f>
        <v>0</v>
      </c>
      <c r="U443" s="323">
        <f>Councils!V446</f>
        <v>0</v>
      </c>
      <c r="V443" s="376">
        <v>84</v>
      </c>
      <c r="W443" s="377">
        <f t="shared" si="6"/>
        <v>2</v>
      </c>
      <c r="X443" s="378" t="str">
        <f>IF(ISNA(VLOOKUP($A443,GA!$A$1:$D$834,3,0))," ",VLOOKUP($A443,GA!$A$1:$D$834,3,0))</f>
        <v>Supak</v>
      </c>
      <c r="Y443" s="379" t="str">
        <f>IF(ISNA(VLOOKUP($A443,Dormant_Councils!$A$1:$E$811,5,0)),"No",VLOOKUP($A443,Dormant_Councils!$A$1:$E$811,5,0))</f>
        <v>No</v>
      </c>
      <c r="Z443" s="381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22" t="str">
        <f>Councils!C447</f>
        <v>040</v>
      </c>
      <c r="C444" s="322" t="str">
        <f>Councils!D447</f>
        <v>San Antonio</v>
      </c>
      <c r="D444" s="322" t="str">
        <f>IF(ISNA(VLOOKUP($V444,DD_Info!$A$1:$E$221,3,0)),0,VLOOKUP($V444,DD_Info!$A$1:$E$221,3,0))</f>
        <v>San Antonio</v>
      </c>
      <c r="E444" s="322">
        <f>Councils!E447</f>
        <v>178</v>
      </c>
      <c r="F444" s="322">
        <f>Councils!F447</f>
        <v>9</v>
      </c>
      <c r="G444" s="322">
        <f>Councils!G447</f>
        <v>0</v>
      </c>
      <c r="H444" s="322">
        <f>Councils!H447</f>
        <v>1</v>
      </c>
      <c r="I444" s="322">
        <f>Councils!I447</f>
        <v>-1</v>
      </c>
      <c r="J444" s="322">
        <f>Councils!J447</f>
        <v>3</v>
      </c>
      <c r="K444" s="322">
        <f>Councils!K447</f>
        <v>16</v>
      </c>
      <c r="L444" s="322">
        <f>Councils!L447</f>
        <v>-13</v>
      </c>
      <c r="M444" s="323">
        <f>Councils!M447</f>
        <v>0</v>
      </c>
      <c r="N444" s="322">
        <f>Councils!O447</f>
        <v>0</v>
      </c>
      <c r="O444" s="322">
        <f>Councils!P447</f>
        <v>0</v>
      </c>
      <c r="P444" s="322">
        <f>Councils!Q447</f>
        <v>0</v>
      </c>
      <c r="Q444" s="322">
        <f>Councils!R447</f>
        <v>0</v>
      </c>
      <c r="R444" s="322">
        <f>Councils!S447</f>
        <v>0</v>
      </c>
      <c r="S444" s="322">
        <f>Councils!T447</f>
        <v>6</v>
      </c>
      <c r="T444" s="322">
        <f>Councils!U447</f>
        <v>-6</v>
      </c>
      <c r="U444" s="323">
        <f>Councils!V447</f>
        <v>0</v>
      </c>
      <c r="V444" s="376">
        <v>40</v>
      </c>
      <c r="W444" s="377">
        <f t="shared" si="6"/>
        <v>1</v>
      </c>
      <c r="X444" s="378" t="str">
        <f>IF(ISNA(VLOOKUP($A444,GA!$A$1:$D$834,3,0))," ",VLOOKUP($A444,GA!$A$1:$D$834,3,0))</f>
        <v>Dougherty</v>
      </c>
      <c r="Y444" s="379" t="str">
        <f>IF(ISNA(VLOOKUP($A444,Dormant_Councils!$A$1:$E$811,5,0)),"No",VLOOKUP($A444,Dormant_Councils!$A$1:$E$811,5,0))</f>
        <v>No</v>
      </c>
      <c r="Z444" s="381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22" t="str">
        <f>Councils!C448</f>
        <v>108</v>
      </c>
      <c r="C445" s="322" t="str">
        <f>Councils!D448</f>
        <v>Coppell</v>
      </c>
      <c r="D445" s="322" t="str">
        <f>IF(ISNA(VLOOKUP($V445,DD_Info!$A$1:$E$221,3,0)),0,VLOOKUP($V445,DD_Info!$A$1:$E$221,3,0))</f>
        <v>Dallas</v>
      </c>
      <c r="E445" s="322">
        <f>Councils!E448</f>
        <v>359</v>
      </c>
      <c r="F445" s="322">
        <f>Councils!F448</f>
        <v>17</v>
      </c>
      <c r="G445" s="322">
        <f>Councils!G448</f>
        <v>0</v>
      </c>
      <c r="H445" s="322">
        <f>Councils!H448</f>
        <v>0</v>
      </c>
      <c r="I445" s="322">
        <f>Councils!I448</f>
        <v>0</v>
      </c>
      <c r="J445" s="322">
        <f>Councils!J448</f>
        <v>1</v>
      </c>
      <c r="K445" s="322">
        <f>Councils!K448</f>
        <v>1</v>
      </c>
      <c r="L445" s="322">
        <f>Councils!L448</f>
        <v>0</v>
      </c>
      <c r="M445" s="323">
        <f>Councils!M448</f>
        <v>0</v>
      </c>
      <c r="N445" s="322">
        <f>Councils!O448</f>
        <v>0</v>
      </c>
      <c r="O445" s="322">
        <f>Councils!P448</f>
        <v>0</v>
      </c>
      <c r="P445" s="322">
        <f>Councils!Q448</f>
        <v>0</v>
      </c>
      <c r="Q445" s="322">
        <f>Councils!R448</f>
        <v>0</v>
      </c>
      <c r="R445" s="322">
        <f>Councils!S448</f>
        <v>1</v>
      </c>
      <c r="S445" s="322">
        <f>Councils!T448</f>
        <v>1</v>
      </c>
      <c r="T445" s="322">
        <f>Councils!U448</f>
        <v>0</v>
      </c>
      <c r="U445" s="323">
        <f>Councils!V448</f>
        <v>0</v>
      </c>
      <c r="V445" s="376">
        <v>108</v>
      </c>
      <c r="W445" s="377">
        <f t="shared" si="6"/>
        <v>1</v>
      </c>
      <c r="X445" s="378" t="str">
        <f>IF(ISNA(VLOOKUP($A445,GA!$A$1:$D$834,3,0))," ",VLOOKUP($A445,GA!$A$1:$D$834,3,0))</f>
        <v>Regan</v>
      </c>
      <c r="Y445" s="379" t="str">
        <f>IF(ISNA(VLOOKUP($A445,Dormant_Councils!$A$1:$E$811,5,0)),"No",VLOOKUP($A445,Dormant_Councils!$A$1:$E$811,5,0))</f>
        <v>No</v>
      </c>
      <c r="Z445" s="381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22" t="str">
        <f>Councils!C449</f>
        <v>189</v>
      </c>
      <c r="C446" s="322" t="str">
        <f>Councils!D449</f>
        <v>Mentz</v>
      </c>
      <c r="D446" s="322" t="str">
        <f>IF(ISNA(VLOOKUP($V446,DD_Info!$A$1:$E$221,3,0)),0,VLOOKUP($V446,DD_Info!$A$1:$E$221,3,0))</f>
        <v>Victoria</v>
      </c>
      <c r="E446" s="322">
        <f>Councils!E449</f>
        <v>109</v>
      </c>
      <c r="F446" s="322">
        <f>Councils!F449</f>
        <v>5</v>
      </c>
      <c r="G446" s="322">
        <f>Councils!G449</f>
        <v>0</v>
      </c>
      <c r="H446" s="322">
        <f>Councils!H449</f>
        <v>0</v>
      </c>
      <c r="I446" s="322">
        <f>Councils!I449</f>
        <v>0</v>
      </c>
      <c r="J446" s="322">
        <f>Councils!J449</f>
        <v>0</v>
      </c>
      <c r="K446" s="322">
        <f>Councils!K449</f>
        <v>0</v>
      </c>
      <c r="L446" s="322">
        <f>Councils!L449</f>
        <v>0</v>
      </c>
      <c r="M446" s="323">
        <f>Councils!M449</f>
        <v>0</v>
      </c>
      <c r="N446" s="322">
        <f>Councils!O449</f>
        <v>0</v>
      </c>
      <c r="O446" s="322">
        <f>Councils!P449</f>
        <v>0</v>
      </c>
      <c r="P446" s="322">
        <f>Councils!Q449</f>
        <v>0</v>
      </c>
      <c r="Q446" s="322">
        <f>Councils!R449</f>
        <v>0</v>
      </c>
      <c r="R446" s="322">
        <f>Councils!S449</f>
        <v>0</v>
      </c>
      <c r="S446" s="322">
        <f>Councils!T449</f>
        <v>0</v>
      </c>
      <c r="T446" s="322">
        <f>Councils!U449</f>
        <v>0</v>
      </c>
      <c r="U446" s="323">
        <f>Councils!V449</f>
        <v>0</v>
      </c>
      <c r="V446" s="376">
        <v>189</v>
      </c>
      <c r="W446" s="377">
        <f t="shared" si="6"/>
        <v>2</v>
      </c>
      <c r="X446" s="378" t="str">
        <f>IF(ISNA(VLOOKUP($A446,GA!$A$1:$D$834,3,0))," ",VLOOKUP($A446,GA!$A$1:$D$834,3,0))</f>
        <v>Supak</v>
      </c>
      <c r="Y446" s="379" t="str">
        <f>IF(ISNA(VLOOKUP($A446,Dormant_Councils!$A$1:$E$811,5,0)),"No",VLOOKUP($A446,Dormant_Councils!$A$1:$E$811,5,0))</f>
        <v>No</v>
      </c>
      <c r="Z446" s="381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22" t="str">
        <f>Councils!C450</f>
        <v>011</v>
      </c>
      <c r="C447" s="322" t="str">
        <f>Councils!D450</f>
        <v>Monahans</v>
      </c>
      <c r="D447" s="322" t="str">
        <f>IF(ISNA(VLOOKUP($V447,DD_Info!$A$1:$E$221,3,0)),0,VLOOKUP($V447,DD_Info!$A$1:$E$221,3,0))</f>
        <v>El Paso</v>
      </c>
      <c r="E447" s="322">
        <f>Councils!E450</f>
        <v>61</v>
      </c>
      <c r="F447" s="322">
        <f>Councils!F450</f>
        <v>3</v>
      </c>
      <c r="G447" s="322">
        <f>Councils!G450</f>
        <v>0</v>
      </c>
      <c r="H447" s="322">
        <f>Councils!H450</f>
        <v>0</v>
      </c>
      <c r="I447" s="322">
        <f>Councils!I450</f>
        <v>0</v>
      </c>
      <c r="J447" s="322">
        <f>Councils!J450</f>
        <v>0</v>
      </c>
      <c r="K447" s="322">
        <f>Councils!K450</f>
        <v>0</v>
      </c>
      <c r="L447" s="322">
        <f>Councils!L450</f>
        <v>0</v>
      </c>
      <c r="M447" s="323">
        <f>Councils!M450</f>
        <v>0</v>
      </c>
      <c r="N447" s="322">
        <f>Councils!O450</f>
        <v>0</v>
      </c>
      <c r="O447" s="322">
        <f>Councils!P450</f>
        <v>0</v>
      </c>
      <c r="P447" s="322">
        <f>Councils!Q450</f>
        <v>0</v>
      </c>
      <c r="Q447" s="322">
        <f>Councils!R450</f>
        <v>0</v>
      </c>
      <c r="R447" s="322">
        <f>Councils!S450</f>
        <v>1</v>
      </c>
      <c r="S447" s="322">
        <f>Councils!T450</f>
        <v>0</v>
      </c>
      <c r="T447" s="322">
        <f>Councils!U450</f>
        <v>1</v>
      </c>
      <c r="U447" s="323">
        <f>Councils!V450</f>
        <v>0</v>
      </c>
      <c r="V447" s="376">
        <v>11</v>
      </c>
      <c r="W447" s="377">
        <f t="shared" si="6"/>
        <v>3</v>
      </c>
      <c r="X447" s="378" t="str">
        <f>IF(ISNA(VLOOKUP($A447,GA!$A$1:$D$834,3,0))," ",VLOOKUP($A447,GA!$A$1:$D$834,3,0))</f>
        <v>Payne</v>
      </c>
      <c r="Y447" s="379" t="str">
        <f>IF(ISNA(VLOOKUP($A447,Dormant_Councils!$A$1:$E$811,5,0)),"No",VLOOKUP($A447,Dormant_Councils!$A$1:$E$811,5,0))</f>
        <v>No</v>
      </c>
      <c r="Z447" s="381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22" t="str">
        <f>Councils!C451</f>
        <v>042</v>
      </c>
      <c r="C448" s="322" t="str">
        <f>Councils!D451</f>
        <v>Bandera</v>
      </c>
      <c r="D448" s="322" t="str">
        <f>IF(ISNA(VLOOKUP($V448,DD_Info!$A$1:$E$221,3,0)),0,VLOOKUP($V448,DD_Info!$A$1:$E$221,3,0))</f>
        <v>San Antonio</v>
      </c>
      <c r="E448" s="322">
        <f>Councils!E451</f>
        <v>138</v>
      </c>
      <c r="F448" s="322">
        <f>Councils!F451</f>
        <v>7</v>
      </c>
      <c r="G448" s="322">
        <f>Councils!G451</f>
        <v>2</v>
      </c>
      <c r="H448" s="322">
        <f>Councils!H451</f>
        <v>0</v>
      </c>
      <c r="I448" s="322">
        <f>Councils!I451</f>
        <v>2</v>
      </c>
      <c r="J448" s="322">
        <f>Councils!J451</f>
        <v>3</v>
      </c>
      <c r="K448" s="322">
        <f>Councils!K451</f>
        <v>0</v>
      </c>
      <c r="L448" s="322">
        <f>Councils!L451</f>
        <v>3</v>
      </c>
      <c r="M448" s="323">
        <f>Councils!M451</f>
        <v>42.86</v>
      </c>
      <c r="N448" s="322">
        <f>Councils!O451</f>
        <v>0</v>
      </c>
      <c r="O448" s="322">
        <f>Councils!P451</f>
        <v>0</v>
      </c>
      <c r="P448" s="322">
        <f>Councils!Q451</f>
        <v>0</v>
      </c>
      <c r="Q448" s="322">
        <f>Councils!R451</f>
        <v>0</v>
      </c>
      <c r="R448" s="322">
        <f>Councils!S451</f>
        <v>0</v>
      </c>
      <c r="S448" s="322">
        <f>Councils!T451</f>
        <v>0</v>
      </c>
      <c r="T448" s="322">
        <f>Councils!U451</f>
        <v>0</v>
      </c>
      <c r="U448" s="323">
        <f>Councils!V451</f>
        <v>0</v>
      </c>
      <c r="V448" s="376">
        <v>42</v>
      </c>
      <c r="W448" s="377">
        <f t="shared" si="6"/>
        <v>2</v>
      </c>
      <c r="X448" s="378" t="str">
        <f>IF(ISNA(VLOOKUP($A448,GA!$A$1:$D$834,3,0))," ",VLOOKUP($A448,GA!$A$1:$D$834,3,0))</f>
        <v>Dougherty</v>
      </c>
      <c r="Y448" s="379" t="str">
        <f>IF(ISNA(VLOOKUP($A448,Dormant_Councils!$A$1:$E$811,5,0)),"No",VLOOKUP($A448,Dormant_Councils!$A$1:$E$811,5,0))</f>
        <v>No</v>
      </c>
      <c r="Z448" s="381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22" t="str">
        <f>Councils!C452</f>
        <v>055</v>
      </c>
      <c r="C449" s="322" t="str">
        <f>Councils!D452</f>
        <v>San Antonio</v>
      </c>
      <c r="D449" s="322" t="str">
        <f>IF(ISNA(VLOOKUP($V449,DD_Info!$A$1:$E$221,3,0)),0,VLOOKUP($V449,DD_Info!$A$1:$E$221,3,0))</f>
        <v>San Antonio</v>
      </c>
      <c r="E449" s="322">
        <f>Councils!E452</f>
        <v>62</v>
      </c>
      <c r="F449" s="322">
        <f>Councils!F452</f>
        <v>3</v>
      </c>
      <c r="G449" s="322">
        <f>Councils!G452</f>
        <v>0</v>
      </c>
      <c r="H449" s="322">
        <f>Councils!H452</f>
        <v>0</v>
      </c>
      <c r="I449" s="322">
        <f>Councils!I452</f>
        <v>0</v>
      </c>
      <c r="J449" s="322">
        <f>Councils!J452</f>
        <v>0</v>
      </c>
      <c r="K449" s="322">
        <f>Councils!K452</f>
        <v>0</v>
      </c>
      <c r="L449" s="322">
        <f>Councils!L452</f>
        <v>0</v>
      </c>
      <c r="M449" s="323">
        <f>Councils!M452</f>
        <v>0</v>
      </c>
      <c r="N449" s="322">
        <f>Councils!O452</f>
        <v>0</v>
      </c>
      <c r="O449" s="322">
        <f>Councils!P452</f>
        <v>0</v>
      </c>
      <c r="P449" s="322">
        <f>Councils!Q452</f>
        <v>0</v>
      </c>
      <c r="Q449" s="322">
        <f>Councils!R452</f>
        <v>0</v>
      </c>
      <c r="R449" s="322">
        <f>Councils!S452</f>
        <v>1</v>
      </c>
      <c r="S449" s="322">
        <f>Councils!T452</f>
        <v>0</v>
      </c>
      <c r="T449" s="322">
        <f>Councils!U452</f>
        <v>1</v>
      </c>
      <c r="U449" s="323">
        <f>Councils!V452</f>
        <v>0</v>
      </c>
      <c r="V449" s="376">
        <v>55</v>
      </c>
      <c r="W449" s="377">
        <f t="shared" si="6"/>
        <v>3</v>
      </c>
      <c r="X449" s="378" t="str">
        <f>IF(ISNA(VLOOKUP($A449,GA!$A$1:$D$834,3,0))," ",VLOOKUP($A449,GA!$A$1:$D$834,3,0))</f>
        <v>Dougherty</v>
      </c>
      <c r="Y449" s="379" t="str">
        <f>IF(ISNA(VLOOKUP($A449,Dormant_Councils!$A$1:$E$811,5,0)),"No",VLOOKUP($A449,Dormant_Councils!$A$1:$E$811,5,0))</f>
        <v>No</v>
      </c>
      <c r="Z449" s="381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22" t="str">
        <f>Councils!C453</f>
        <v>161</v>
      </c>
      <c r="C450" s="322" t="str">
        <f>Councils!D453</f>
        <v>Gatesville</v>
      </c>
      <c r="D450" s="322" t="str">
        <f>IF(ISNA(VLOOKUP($V450,DD_Info!$A$1:$E$221,3,0)),0,VLOOKUP($V450,DD_Info!$A$1:$E$221,3,0))</f>
        <v>Austin</v>
      </c>
      <c r="E450" s="322">
        <f>Councils!E453</f>
        <v>26</v>
      </c>
      <c r="F450" s="322">
        <f>Councils!F453</f>
        <v>3</v>
      </c>
      <c r="G450" s="322">
        <f>Councils!G453</f>
        <v>0</v>
      </c>
      <c r="H450" s="322">
        <f>Councils!H453</f>
        <v>0</v>
      </c>
      <c r="I450" s="322">
        <f>Councils!I453</f>
        <v>0</v>
      </c>
      <c r="J450" s="322">
        <f>Councils!J453</f>
        <v>1</v>
      </c>
      <c r="K450" s="322">
        <f>Councils!K453</f>
        <v>0</v>
      </c>
      <c r="L450" s="322">
        <f>Councils!L453</f>
        <v>1</v>
      </c>
      <c r="M450" s="323">
        <f>Councils!M453</f>
        <v>33.33</v>
      </c>
      <c r="N450" s="322">
        <f>Councils!O453</f>
        <v>0</v>
      </c>
      <c r="O450" s="322">
        <f>Councils!P453</f>
        <v>0</v>
      </c>
      <c r="P450" s="322">
        <f>Councils!Q453</f>
        <v>0</v>
      </c>
      <c r="Q450" s="322">
        <f>Councils!R453</f>
        <v>0</v>
      </c>
      <c r="R450" s="322">
        <f>Councils!S453</f>
        <v>0</v>
      </c>
      <c r="S450" s="322">
        <f>Councils!T453</f>
        <v>0</v>
      </c>
      <c r="T450" s="322">
        <f>Councils!U453</f>
        <v>0</v>
      </c>
      <c r="U450" s="323">
        <f>Councils!V453</f>
        <v>0</v>
      </c>
      <c r="V450" s="376">
        <v>161</v>
      </c>
      <c r="W450" s="377">
        <f t="shared" si="6"/>
        <v>3</v>
      </c>
      <c r="X450" s="378" t="str">
        <f>IF(ISNA(VLOOKUP($A450,GA!$A$1:$D$834,3,0))," ",VLOOKUP($A450,GA!$A$1:$D$834,3,0))</f>
        <v>Britten</v>
      </c>
      <c r="Y450" s="379" t="str">
        <f>IF(ISNA(VLOOKUP($A450,Dormant_Councils!$A$1:$E$811,5,0)),"No",VLOOKUP($A450,Dormant_Councils!$A$1:$E$811,5,0))</f>
        <v>No</v>
      </c>
      <c r="Z450" s="381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22" t="str">
        <f>Councils!C454</f>
        <v>063</v>
      </c>
      <c r="C451" s="322" t="str">
        <f>Councils!D454</f>
        <v>San Antonio</v>
      </c>
      <c r="D451" s="322" t="str">
        <f>IF(ISNA(VLOOKUP($V451,DD_Info!$A$1:$E$221,3,0)),0,VLOOKUP($V451,DD_Info!$A$1:$E$221,3,0))</f>
        <v>San Antonio</v>
      </c>
      <c r="E451" s="322">
        <f>Councils!E454</f>
        <v>55</v>
      </c>
      <c r="F451" s="322">
        <f>Councils!F454</f>
        <v>3</v>
      </c>
      <c r="G451" s="322">
        <f>Councils!G454</f>
        <v>0</v>
      </c>
      <c r="H451" s="322">
        <f>Councils!H454</f>
        <v>0</v>
      </c>
      <c r="I451" s="322">
        <f>Councils!I454</f>
        <v>0</v>
      </c>
      <c r="J451" s="322">
        <f>Councils!J454</f>
        <v>0</v>
      </c>
      <c r="K451" s="322">
        <f>Councils!K454</f>
        <v>0</v>
      </c>
      <c r="L451" s="322">
        <f>Councils!L454</f>
        <v>0</v>
      </c>
      <c r="M451" s="323">
        <f>Councils!M454</f>
        <v>0</v>
      </c>
      <c r="N451" s="322">
        <f>Councils!O454</f>
        <v>0</v>
      </c>
      <c r="O451" s="322">
        <f>Councils!P454</f>
        <v>0</v>
      </c>
      <c r="P451" s="322">
        <f>Councils!Q454</f>
        <v>0</v>
      </c>
      <c r="Q451" s="322">
        <f>Councils!R454</f>
        <v>0</v>
      </c>
      <c r="R451" s="322">
        <f>Councils!S454</f>
        <v>0</v>
      </c>
      <c r="S451" s="322">
        <f>Councils!T454</f>
        <v>0</v>
      </c>
      <c r="T451" s="322">
        <f>Councils!U454</f>
        <v>0</v>
      </c>
      <c r="U451" s="323">
        <f>Councils!V454</f>
        <v>0</v>
      </c>
      <c r="V451" s="376">
        <v>63</v>
      </c>
      <c r="W451" s="377">
        <f t="shared" ref="W451:W514" si="7">_xlfn.IFS($E451&gt;=140,1,$E451&gt;65,2,$E451&lt;=65,3)</f>
        <v>3</v>
      </c>
      <c r="X451" s="378" t="str">
        <f>IF(ISNA(VLOOKUP($A451,GA!$A$1:$D$834,3,0))," ",VLOOKUP($A451,GA!$A$1:$D$834,3,0))</f>
        <v>Dougherty</v>
      </c>
      <c r="Y451" s="379" t="str">
        <f>IF(ISNA(VLOOKUP($A451,Dormant_Councils!$A$1:$E$811,5,0)),"No",VLOOKUP($A451,Dormant_Councils!$A$1:$E$811,5,0))</f>
        <v>Dormant</v>
      </c>
      <c r="Z451" s="381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22" t="str">
        <f>Councils!C455</f>
        <v>148</v>
      </c>
      <c r="C452" s="322" t="str">
        <f>Councils!D455</f>
        <v>Somerville</v>
      </c>
      <c r="D452" s="322" t="str">
        <f>IF(ISNA(VLOOKUP($V452,DD_Info!$A$1:$E$221,3,0)),0,VLOOKUP($V452,DD_Info!$A$1:$E$221,3,0))</f>
        <v>Austin</v>
      </c>
      <c r="E452" s="322">
        <f>Councils!E455</f>
        <v>49</v>
      </c>
      <c r="F452" s="322">
        <f>Councils!F455</f>
        <v>3</v>
      </c>
      <c r="G452" s="322">
        <f>Councils!G455</f>
        <v>0</v>
      </c>
      <c r="H452" s="322">
        <f>Councils!H455</f>
        <v>0</v>
      </c>
      <c r="I452" s="322">
        <f>Councils!I455</f>
        <v>0</v>
      </c>
      <c r="J452" s="322">
        <f>Councils!J455</f>
        <v>0</v>
      </c>
      <c r="K452" s="322">
        <f>Councils!K455</f>
        <v>0</v>
      </c>
      <c r="L452" s="322">
        <f>Councils!L455</f>
        <v>0</v>
      </c>
      <c r="M452" s="323">
        <f>Councils!M455</f>
        <v>0</v>
      </c>
      <c r="N452" s="322">
        <f>Councils!O455</f>
        <v>0</v>
      </c>
      <c r="O452" s="322">
        <f>Councils!P455</f>
        <v>0</v>
      </c>
      <c r="P452" s="322">
        <f>Councils!Q455</f>
        <v>0</v>
      </c>
      <c r="Q452" s="322">
        <f>Councils!R455</f>
        <v>0</v>
      </c>
      <c r="R452" s="322">
        <f>Councils!S455</f>
        <v>0</v>
      </c>
      <c r="S452" s="322">
        <f>Councils!T455</f>
        <v>0</v>
      </c>
      <c r="T452" s="322">
        <f>Councils!U455</f>
        <v>0</v>
      </c>
      <c r="U452" s="323">
        <f>Councils!V455</f>
        <v>0</v>
      </c>
      <c r="V452" s="376">
        <v>148</v>
      </c>
      <c r="W452" s="377">
        <f t="shared" si="7"/>
        <v>3</v>
      </c>
      <c r="X452" s="378" t="str">
        <f>IF(ISNA(VLOOKUP($A452,GA!$A$1:$D$834,3,0))," ",VLOOKUP($A452,GA!$A$1:$D$834,3,0))</f>
        <v>Rangel</v>
      </c>
      <c r="Y452" s="379" t="str">
        <f>IF(ISNA(VLOOKUP($A452,Dormant_Councils!$A$1:$E$811,5,0)),"No",VLOOKUP($A452,Dormant_Councils!$A$1:$E$811,5,0))</f>
        <v>Dormant</v>
      </c>
      <c r="Z452" s="381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22" t="str">
        <f>Councils!C456</f>
        <v>243</v>
      </c>
      <c r="C453" s="322" t="str">
        <f>Councils!D456</f>
        <v>Plainview</v>
      </c>
      <c r="D453" s="322" t="str">
        <f>IF(ISNA(VLOOKUP($V453,DD_Info!$A$1:$E$221,3,0)),0,VLOOKUP($V453,DD_Info!$A$1:$E$221,3,0))</f>
        <v>Lubbock</v>
      </c>
      <c r="E453" s="322">
        <f>Councils!E456</f>
        <v>92</v>
      </c>
      <c r="F453" s="322">
        <f>Councils!F456</f>
        <v>5</v>
      </c>
      <c r="G453" s="322">
        <f>Councils!G456</f>
        <v>0</v>
      </c>
      <c r="H453" s="322">
        <f>Councils!H456</f>
        <v>0</v>
      </c>
      <c r="I453" s="322">
        <f>Councils!I456</f>
        <v>0</v>
      </c>
      <c r="J453" s="322">
        <f>Councils!J456</f>
        <v>0</v>
      </c>
      <c r="K453" s="322">
        <f>Councils!K456</f>
        <v>0</v>
      </c>
      <c r="L453" s="322">
        <f>Councils!L456</f>
        <v>0</v>
      </c>
      <c r="M453" s="323">
        <f>Councils!M456</f>
        <v>0</v>
      </c>
      <c r="N453" s="322">
        <f>Councils!O456</f>
        <v>0</v>
      </c>
      <c r="O453" s="322">
        <f>Councils!P456</f>
        <v>0</v>
      </c>
      <c r="P453" s="322">
        <f>Councils!Q456</f>
        <v>0</v>
      </c>
      <c r="Q453" s="322">
        <f>Councils!R456</f>
        <v>0</v>
      </c>
      <c r="R453" s="322">
        <f>Councils!S456</f>
        <v>0</v>
      </c>
      <c r="S453" s="322">
        <f>Councils!T456</f>
        <v>0</v>
      </c>
      <c r="T453" s="322">
        <f>Councils!U456</f>
        <v>0</v>
      </c>
      <c r="U453" s="323">
        <f>Councils!V456</f>
        <v>0</v>
      </c>
      <c r="V453" s="376">
        <v>243</v>
      </c>
      <c r="W453" s="377">
        <f t="shared" si="7"/>
        <v>2</v>
      </c>
      <c r="X453" s="378" t="str">
        <f>IF(ISNA(VLOOKUP($A453,GA!$A$1:$D$834,3,0))," ",VLOOKUP($A453,GA!$A$1:$D$834,3,0))</f>
        <v>Payne</v>
      </c>
      <c r="Y453" s="379" t="str">
        <f>IF(ISNA(VLOOKUP($A453,Dormant_Councils!$A$1:$E$811,5,0)),"No",VLOOKUP($A453,Dormant_Councils!$A$1:$E$811,5,0))</f>
        <v>No</v>
      </c>
      <c r="Z453" s="381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22" t="str">
        <f>Councils!C457</f>
        <v>156</v>
      </c>
      <c r="C454" s="322" t="str">
        <f>Councils!D457</f>
        <v>Austin</v>
      </c>
      <c r="D454" s="322" t="str">
        <f>IF(ISNA(VLOOKUP($V454,DD_Info!$A$1:$E$221,3,0)),0,VLOOKUP($V454,DD_Info!$A$1:$E$221,3,0))</f>
        <v>Austin</v>
      </c>
      <c r="E454" s="322">
        <f>Councils!E457</f>
        <v>187</v>
      </c>
      <c r="F454" s="322">
        <f>Councils!F457</f>
        <v>9</v>
      </c>
      <c r="G454" s="322">
        <f>Councils!G457</f>
        <v>3</v>
      </c>
      <c r="H454" s="322">
        <f>Councils!H457</f>
        <v>0</v>
      </c>
      <c r="I454" s="322">
        <f>Councils!I457</f>
        <v>3</v>
      </c>
      <c r="J454" s="322">
        <f>Councils!J457</f>
        <v>6</v>
      </c>
      <c r="K454" s="322">
        <f>Councils!K457</f>
        <v>1</v>
      </c>
      <c r="L454" s="322">
        <f>Councils!L457</f>
        <v>5</v>
      </c>
      <c r="M454" s="323">
        <f>Councils!M457</f>
        <v>55.56</v>
      </c>
      <c r="N454" s="322">
        <f>Councils!O457</f>
        <v>0</v>
      </c>
      <c r="O454" s="322">
        <f>Councils!P457</f>
        <v>0</v>
      </c>
      <c r="P454" s="322">
        <f>Councils!Q457</f>
        <v>0</v>
      </c>
      <c r="Q454" s="322">
        <f>Councils!R457</f>
        <v>0</v>
      </c>
      <c r="R454" s="322">
        <f>Councils!S457</f>
        <v>0</v>
      </c>
      <c r="S454" s="322">
        <f>Councils!T457</f>
        <v>2</v>
      </c>
      <c r="T454" s="322">
        <f>Councils!U457</f>
        <v>-2</v>
      </c>
      <c r="U454" s="323">
        <f>Councils!V457</f>
        <v>0</v>
      </c>
      <c r="V454" s="376">
        <v>156</v>
      </c>
      <c r="W454" s="377">
        <f t="shared" si="7"/>
        <v>1</v>
      </c>
      <c r="X454" s="378" t="str">
        <f>IF(ISNA(VLOOKUP($A454,GA!$A$1:$D$834,3,0))," ",VLOOKUP($A454,GA!$A$1:$D$834,3,0))</f>
        <v>Britten</v>
      </c>
      <c r="Y454" s="379" t="str">
        <f>IF(ISNA(VLOOKUP($A454,Dormant_Councils!$A$1:$E$811,5,0)),"No",VLOOKUP($A454,Dormant_Councils!$A$1:$E$811,5,0))</f>
        <v>No</v>
      </c>
      <c r="Z454" s="381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22" t="str">
        <f>Councils!C458</f>
        <v>206</v>
      </c>
      <c r="C455" s="322" t="str">
        <f>Councils!D458</f>
        <v>Los Fresnos</v>
      </c>
      <c r="D455" s="322" t="str">
        <f>IF(ISNA(VLOOKUP($V455,DD_Info!$A$1:$E$221,3,0)),0,VLOOKUP($V455,DD_Info!$A$1:$E$221,3,0))</f>
        <v>Brownsville</v>
      </c>
      <c r="E455" s="322">
        <f>Councils!E458</f>
        <v>64</v>
      </c>
      <c r="F455" s="322">
        <f>Councils!F458</f>
        <v>3</v>
      </c>
      <c r="G455" s="322">
        <f>Councils!G458</f>
        <v>0</v>
      </c>
      <c r="H455" s="322">
        <f>Councils!H458</f>
        <v>0</v>
      </c>
      <c r="I455" s="322">
        <f>Councils!I458</f>
        <v>0</v>
      </c>
      <c r="J455" s="322">
        <f>Councils!J458</f>
        <v>0</v>
      </c>
      <c r="K455" s="322">
        <f>Councils!K458</f>
        <v>0</v>
      </c>
      <c r="L455" s="322">
        <f>Councils!L458</f>
        <v>0</v>
      </c>
      <c r="M455" s="323">
        <f>Councils!M458</f>
        <v>0</v>
      </c>
      <c r="N455" s="322">
        <f>Councils!O458</f>
        <v>0</v>
      </c>
      <c r="O455" s="322">
        <f>Councils!P458</f>
        <v>0</v>
      </c>
      <c r="P455" s="322">
        <f>Councils!Q458</f>
        <v>0</v>
      </c>
      <c r="Q455" s="322">
        <f>Councils!R458</f>
        <v>0</v>
      </c>
      <c r="R455" s="322">
        <f>Councils!S458</f>
        <v>0</v>
      </c>
      <c r="S455" s="322">
        <f>Councils!T458</f>
        <v>0</v>
      </c>
      <c r="T455" s="322">
        <f>Councils!U458</f>
        <v>0</v>
      </c>
      <c r="U455" s="323">
        <f>Councils!V458</f>
        <v>0</v>
      </c>
      <c r="V455" s="376">
        <v>206</v>
      </c>
      <c r="W455" s="377">
        <f t="shared" si="7"/>
        <v>3</v>
      </c>
      <c r="X455" s="378" t="str">
        <f>IF(ISNA(VLOOKUP($A455,GA!$A$1:$D$834,3,0))," ",VLOOKUP($A455,GA!$A$1:$D$834,3,0))</f>
        <v>Carlin</v>
      </c>
      <c r="Y455" s="379" t="str">
        <f>IF(ISNA(VLOOKUP($A455,Dormant_Councils!$A$1:$E$811,5,0)),"No",VLOOKUP($A455,Dormant_Councils!$A$1:$E$811,5,0))</f>
        <v>Dormant</v>
      </c>
      <c r="Z455" s="381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22" t="str">
        <f>Councils!C459</f>
        <v>150</v>
      </c>
      <c r="C456" s="322" t="str">
        <f>Councils!D459</f>
        <v>Pflugerville</v>
      </c>
      <c r="D456" s="322" t="str">
        <f>IF(ISNA(VLOOKUP($V456,DD_Info!$A$1:$E$221,3,0)),0,VLOOKUP($V456,DD_Info!$A$1:$E$221,3,0))</f>
        <v>Austin</v>
      </c>
      <c r="E456" s="322">
        <f>Councils!E459</f>
        <v>208</v>
      </c>
      <c r="F456" s="322">
        <f>Councils!F459</f>
        <v>10</v>
      </c>
      <c r="G456" s="322">
        <f>Councils!G459</f>
        <v>1</v>
      </c>
      <c r="H456" s="322">
        <f>Councils!H459</f>
        <v>0</v>
      </c>
      <c r="I456" s="322">
        <f>Councils!I459</f>
        <v>1</v>
      </c>
      <c r="J456" s="322">
        <f>Councils!J459</f>
        <v>5</v>
      </c>
      <c r="K456" s="322">
        <f>Councils!K459</f>
        <v>0</v>
      </c>
      <c r="L456" s="322">
        <f>Councils!L459</f>
        <v>5</v>
      </c>
      <c r="M456" s="323">
        <f>Councils!M459</f>
        <v>50</v>
      </c>
      <c r="N456" s="322">
        <f>Councils!O459</f>
        <v>0</v>
      </c>
      <c r="O456" s="322">
        <f>Councils!P459</f>
        <v>1</v>
      </c>
      <c r="P456" s="322">
        <f>Councils!Q459</f>
        <v>1</v>
      </c>
      <c r="Q456" s="322">
        <f>Councils!R459</f>
        <v>0</v>
      </c>
      <c r="R456" s="322">
        <f>Councils!S459</f>
        <v>2</v>
      </c>
      <c r="S456" s="322">
        <f>Councils!T459</f>
        <v>1</v>
      </c>
      <c r="T456" s="322">
        <f>Councils!U459</f>
        <v>1</v>
      </c>
      <c r="U456" s="323">
        <f>Councils!V459</f>
        <v>0</v>
      </c>
      <c r="V456" s="376">
        <v>150</v>
      </c>
      <c r="W456" s="377">
        <f t="shared" si="7"/>
        <v>1</v>
      </c>
      <c r="X456" s="378" t="str">
        <f>IF(ISNA(VLOOKUP($A456,GA!$A$1:$D$834,3,0))," ",VLOOKUP($A456,GA!$A$1:$D$834,3,0))</f>
        <v>Rangel</v>
      </c>
      <c r="Y456" s="379" t="str">
        <f>IF(ISNA(VLOOKUP($A456,Dormant_Councils!$A$1:$E$811,5,0)),"No",VLOOKUP($A456,Dormant_Councils!$A$1:$E$811,5,0))</f>
        <v>No</v>
      </c>
      <c r="Z456" s="381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22" t="str">
        <f>Councils!C460</f>
        <v>020</v>
      </c>
      <c r="C457" s="322" t="str">
        <f>Councils!D460</f>
        <v>Hillsboro</v>
      </c>
      <c r="D457" s="322" t="str">
        <f>IF(ISNA(VLOOKUP($V457,DD_Info!$A$1:$E$221,3,0)),0,VLOOKUP($V457,DD_Info!$A$1:$E$221,3,0))</f>
        <v>Fort Worth</v>
      </c>
      <c r="E457" s="322">
        <f>Councils!E460</f>
        <v>40</v>
      </c>
      <c r="F457" s="322">
        <f>Councils!F460</f>
        <v>3</v>
      </c>
      <c r="G457" s="322">
        <f>Councils!G460</f>
        <v>0</v>
      </c>
      <c r="H457" s="322">
        <f>Councils!H460</f>
        <v>0</v>
      </c>
      <c r="I457" s="322">
        <f>Councils!I460</f>
        <v>0</v>
      </c>
      <c r="J457" s="322">
        <f>Councils!J460</f>
        <v>0</v>
      </c>
      <c r="K457" s="322">
        <f>Councils!K460</f>
        <v>0</v>
      </c>
      <c r="L457" s="322">
        <f>Councils!L460</f>
        <v>0</v>
      </c>
      <c r="M457" s="323">
        <f>Councils!M460</f>
        <v>0</v>
      </c>
      <c r="N457" s="322">
        <f>Councils!O460</f>
        <v>0</v>
      </c>
      <c r="O457" s="322">
        <f>Councils!P460</f>
        <v>0</v>
      </c>
      <c r="P457" s="322">
        <f>Councils!Q460</f>
        <v>0</v>
      </c>
      <c r="Q457" s="322">
        <f>Councils!R460</f>
        <v>0</v>
      </c>
      <c r="R457" s="322">
        <f>Councils!S460</f>
        <v>0</v>
      </c>
      <c r="S457" s="322">
        <f>Councils!T460</f>
        <v>0</v>
      </c>
      <c r="T457" s="322">
        <f>Councils!U460</f>
        <v>0</v>
      </c>
      <c r="U457" s="323">
        <f>Councils!V460</f>
        <v>0</v>
      </c>
      <c r="V457" s="376">
        <v>20</v>
      </c>
      <c r="W457" s="377">
        <f t="shared" si="7"/>
        <v>3</v>
      </c>
      <c r="X457" s="378" t="str">
        <f>IF(ISNA(VLOOKUP($A457,GA!$A$1:$D$834,3,0))," ",VLOOKUP($A457,GA!$A$1:$D$834,3,0))</f>
        <v>Stark</v>
      </c>
      <c r="Y457" s="379" t="str">
        <f>IF(ISNA(VLOOKUP($A457,Dormant_Councils!$A$1:$E$811,5,0)),"No",VLOOKUP($A457,Dormant_Councils!$A$1:$E$811,5,0))</f>
        <v>No</v>
      </c>
      <c r="Z457" s="381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22" t="str">
        <f>Councils!C461</f>
        <v>214</v>
      </c>
      <c r="C458" s="322" t="str">
        <f>Councils!D461</f>
        <v>Alamo</v>
      </c>
      <c r="D458" s="322" t="str">
        <f>IF(ISNA(VLOOKUP($V458,DD_Info!$A$1:$E$221,3,0)),0,VLOOKUP($V458,DD_Info!$A$1:$E$221,3,0))</f>
        <v>Brownsville</v>
      </c>
      <c r="E458" s="322">
        <f>Councils!E461</f>
        <v>88</v>
      </c>
      <c r="F458" s="322">
        <f>Councils!F461</f>
        <v>4</v>
      </c>
      <c r="G458" s="322">
        <f>Councils!G461</f>
        <v>0</v>
      </c>
      <c r="H458" s="322">
        <f>Councils!H461</f>
        <v>0</v>
      </c>
      <c r="I458" s="322">
        <f>Councils!I461</f>
        <v>0</v>
      </c>
      <c r="J458" s="322">
        <f>Councils!J461</f>
        <v>2</v>
      </c>
      <c r="K458" s="322">
        <f>Councils!K461</f>
        <v>0</v>
      </c>
      <c r="L458" s="322">
        <f>Councils!L461</f>
        <v>2</v>
      </c>
      <c r="M458" s="323">
        <f>Councils!M461</f>
        <v>50</v>
      </c>
      <c r="N458" s="322">
        <f>Councils!O461</f>
        <v>0</v>
      </c>
      <c r="O458" s="322">
        <f>Councils!P461</f>
        <v>0</v>
      </c>
      <c r="P458" s="322">
        <f>Councils!Q461</f>
        <v>0</v>
      </c>
      <c r="Q458" s="322">
        <f>Councils!R461</f>
        <v>0</v>
      </c>
      <c r="R458" s="322">
        <f>Councils!S461</f>
        <v>1</v>
      </c>
      <c r="S458" s="322">
        <f>Councils!T461</f>
        <v>1</v>
      </c>
      <c r="T458" s="322">
        <f>Councils!U461</f>
        <v>0</v>
      </c>
      <c r="U458" s="323">
        <f>Councils!V461</f>
        <v>0</v>
      </c>
      <c r="V458" s="376">
        <v>214</v>
      </c>
      <c r="W458" s="377">
        <f t="shared" si="7"/>
        <v>2</v>
      </c>
      <c r="X458" s="378" t="str">
        <f>IF(ISNA(VLOOKUP($A458,GA!$A$1:$D$834,3,0))," ",VLOOKUP($A458,GA!$A$1:$D$834,3,0))</f>
        <v>Carlin</v>
      </c>
      <c r="Y458" s="379" t="str">
        <f>IF(ISNA(VLOOKUP($A458,Dormant_Councils!$A$1:$E$811,5,0)),"No",VLOOKUP($A458,Dormant_Councils!$A$1:$E$811,5,0))</f>
        <v>No</v>
      </c>
      <c r="Z458" s="381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22" t="str">
        <f>Councils!C462</f>
        <v>074</v>
      </c>
      <c r="C459" s="322" t="str">
        <f>Councils!D462</f>
        <v>Houston</v>
      </c>
      <c r="D459" s="322" t="str">
        <f>IF(ISNA(VLOOKUP($V459,DD_Info!$A$1:$E$221,3,0)),0,VLOOKUP($V459,DD_Info!$A$1:$E$221,3,0))</f>
        <v>Galv/Hous</v>
      </c>
      <c r="E459" s="322">
        <f>Councils!E462</f>
        <v>173</v>
      </c>
      <c r="F459" s="322">
        <f>Councils!F462</f>
        <v>9</v>
      </c>
      <c r="G459" s="322">
        <f>Councils!G462</f>
        <v>0</v>
      </c>
      <c r="H459" s="322">
        <f>Councils!H462</f>
        <v>0</v>
      </c>
      <c r="I459" s="322">
        <f>Councils!I462</f>
        <v>0</v>
      </c>
      <c r="J459" s="322">
        <f>Councils!J462</f>
        <v>0</v>
      </c>
      <c r="K459" s="322">
        <f>Councils!K462</f>
        <v>0</v>
      </c>
      <c r="L459" s="322">
        <f>Councils!L462</f>
        <v>0</v>
      </c>
      <c r="M459" s="323">
        <f>Councils!M462</f>
        <v>0</v>
      </c>
      <c r="N459" s="322">
        <f>Councils!O462</f>
        <v>0</v>
      </c>
      <c r="O459" s="322">
        <f>Councils!P462</f>
        <v>0</v>
      </c>
      <c r="P459" s="322">
        <f>Councils!Q462</f>
        <v>1</v>
      </c>
      <c r="Q459" s="322">
        <f>Councils!R462</f>
        <v>-1</v>
      </c>
      <c r="R459" s="322">
        <f>Councils!S462</f>
        <v>0</v>
      </c>
      <c r="S459" s="322">
        <f>Councils!T462</f>
        <v>1</v>
      </c>
      <c r="T459" s="322">
        <f>Councils!U462</f>
        <v>-1</v>
      </c>
      <c r="U459" s="323">
        <f>Councils!V462</f>
        <v>0</v>
      </c>
      <c r="V459" s="376">
        <v>74</v>
      </c>
      <c r="W459" s="377">
        <f t="shared" si="7"/>
        <v>1</v>
      </c>
      <c r="X459" s="378" t="str">
        <f>IF(ISNA(VLOOKUP($A459,GA!$A$1:$D$834,3,0))," ",VLOOKUP($A459,GA!$A$1:$D$834,3,0))</f>
        <v>Rangel</v>
      </c>
      <c r="Y459" s="379" t="str">
        <f>IF(ISNA(VLOOKUP($A459,Dormant_Councils!$A$1:$E$811,5,0)),"No",VLOOKUP($A459,Dormant_Councils!$A$1:$E$811,5,0))</f>
        <v>No</v>
      </c>
      <c r="Z459" s="381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22" t="str">
        <f>Councils!C463</f>
        <v>145</v>
      </c>
      <c r="C460" s="322" t="str">
        <f>Councils!D463</f>
        <v>Waco</v>
      </c>
      <c r="D460" s="322" t="str">
        <f>IF(ISNA(VLOOKUP($V460,DD_Info!$A$1:$E$221,3,0)),0,VLOOKUP($V460,DD_Info!$A$1:$E$221,3,0))</f>
        <v>Austin</v>
      </c>
      <c r="E460" s="322">
        <f>Councils!E463</f>
        <v>35</v>
      </c>
      <c r="F460" s="322">
        <f>Councils!F463</f>
        <v>3</v>
      </c>
      <c r="G460" s="322">
        <f>Councils!G463</f>
        <v>0</v>
      </c>
      <c r="H460" s="322">
        <f>Councils!H463</f>
        <v>0</v>
      </c>
      <c r="I460" s="322">
        <f>Councils!I463</f>
        <v>0</v>
      </c>
      <c r="J460" s="322">
        <f>Councils!J463</f>
        <v>0</v>
      </c>
      <c r="K460" s="322">
        <f>Councils!K463</f>
        <v>0</v>
      </c>
      <c r="L460" s="322">
        <f>Councils!L463</f>
        <v>0</v>
      </c>
      <c r="M460" s="323">
        <f>Councils!M463</f>
        <v>0</v>
      </c>
      <c r="N460" s="322">
        <f>Councils!O463</f>
        <v>0</v>
      </c>
      <c r="O460" s="322">
        <f>Councils!P463</f>
        <v>0</v>
      </c>
      <c r="P460" s="322">
        <f>Councils!Q463</f>
        <v>0</v>
      </c>
      <c r="Q460" s="322">
        <f>Councils!R463</f>
        <v>0</v>
      </c>
      <c r="R460" s="322">
        <f>Councils!S463</f>
        <v>0</v>
      </c>
      <c r="S460" s="322">
        <f>Councils!T463</f>
        <v>0</v>
      </c>
      <c r="T460" s="322">
        <f>Councils!U463</f>
        <v>0</v>
      </c>
      <c r="U460" s="323">
        <f>Councils!V463</f>
        <v>0</v>
      </c>
      <c r="V460" s="376">
        <v>145</v>
      </c>
      <c r="W460" s="377">
        <f t="shared" si="7"/>
        <v>3</v>
      </c>
      <c r="X460" s="378" t="str">
        <f>IF(ISNA(VLOOKUP($A460,GA!$A$1:$D$834,3,0))," ",VLOOKUP($A460,GA!$A$1:$D$834,3,0))</f>
        <v>Rangel</v>
      </c>
      <c r="Y460" s="379" t="str">
        <f>IF(ISNA(VLOOKUP($A460,Dormant_Councils!$A$1:$E$811,5,0)),"No",VLOOKUP($A460,Dormant_Councils!$A$1:$E$811,5,0))</f>
        <v>Dormant</v>
      </c>
      <c r="Z460" s="381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22" t="str">
        <f>Councils!C464</f>
        <v>068</v>
      </c>
      <c r="C461" s="322" t="str">
        <f>Councils!D464</f>
        <v>Hitchcock</v>
      </c>
      <c r="D461" s="322" t="str">
        <f>IF(ISNA(VLOOKUP($V461,DD_Info!$A$1:$E$221,3,0)),0,VLOOKUP($V461,DD_Info!$A$1:$E$221,3,0))</f>
        <v>Galv/Hous</v>
      </c>
      <c r="E461" s="322">
        <f>Councils!E464</f>
        <v>191</v>
      </c>
      <c r="F461" s="322">
        <f>Councils!F464</f>
        <v>9</v>
      </c>
      <c r="G461" s="322">
        <f>Councils!G464</f>
        <v>0</v>
      </c>
      <c r="H461" s="322">
        <f>Councils!H464</f>
        <v>2</v>
      </c>
      <c r="I461" s="322">
        <f>Councils!I464</f>
        <v>-2</v>
      </c>
      <c r="J461" s="322">
        <f>Councils!J464</f>
        <v>0</v>
      </c>
      <c r="K461" s="322">
        <f>Councils!K464</f>
        <v>2</v>
      </c>
      <c r="L461" s="322">
        <f>Councils!L464</f>
        <v>-2</v>
      </c>
      <c r="M461" s="323">
        <f>Councils!M464</f>
        <v>0</v>
      </c>
      <c r="N461" s="322">
        <f>Councils!O464</f>
        <v>0</v>
      </c>
      <c r="O461" s="322">
        <f>Councils!P464</f>
        <v>0</v>
      </c>
      <c r="P461" s="322">
        <f>Councils!Q464</f>
        <v>0</v>
      </c>
      <c r="Q461" s="322">
        <f>Councils!R464</f>
        <v>0</v>
      </c>
      <c r="R461" s="322">
        <f>Councils!S464</f>
        <v>0</v>
      </c>
      <c r="S461" s="322">
        <f>Councils!T464</f>
        <v>0</v>
      </c>
      <c r="T461" s="322">
        <f>Councils!U464</f>
        <v>0</v>
      </c>
      <c r="U461" s="323">
        <f>Councils!V464</f>
        <v>0</v>
      </c>
      <c r="V461" s="376">
        <v>68</v>
      </c>
      <c r="W461" s="377">
        <f t="shared" si="7"/>
        <v>1</v>
      </c>
      <c r="X461" s="378" t="str">
        <f>IF(ISNA(VLOOKUP($A461,GA!$A$1:$D$834,3,0))," ",VLOOKUP($A461,GA!$A$1:$D$834,3,0))</f>
        <v>Rangel</v>
      </c>
      <c r="Y461" s="379" t="str">
        <f>IF(ISNA(VLOOKUP($A461,Dormant_Councils!$A$1:$E$811,5,0)),"No",VLOOKUP($A461,Dormant_Councils!$A$1:$E$811,5,0))</f>
        <v>No</v>
      </c>
      <c r="Z461" s="381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22" t="str">
        <f>Councils!C465</f>
        <v>173</v>
      </c>
      <c r="C462" s="322" t="str">
        <f>Councils!D465</f>
        <v>Alice</v>
      </c>
      <c r="D462" s="322" t="str">
        <f>IF(ISNA(VLOOKUP($V462,DD_Info!$A$1:$E$221,3,0)),0,VLOOKUP($V462,DD_Info!$A$1:$E$221,3,0))</f>
        <v>Corpus Christi</v>
      </c>
      <c r="E462" s="322">
        <f>Councils!E465</f>
        <v>94</v>
      </c>
      <c r="F462" s="322">
        <f>Councils!F465</f>
        <v>5</v>
      </c>
      <c r="G462" s="322">
        <f>Councils!G465</f>
        <v>0</v>
      </c>
      <c r="H462" s="322">
        <f>Councils!H465</f>
        <v>0</v>
      </c>
      <c r="I462" s="322">
        <f>Councils!I465</f>
        <v>0</v>
      </c>
      <c r="J462" s="322">
        <f>Councils!J465</f>
        <v>0</v>
      </c>
      <c r="K462" s="322">
        <f>Councils!K465</f>
        <v>0</v>
      </c>
      <c r="L462" s="322">
        <f>Councils!L465</f>
        <v>0</v>
      </c>
      <c r="M462" s="323">
        <f>Councils!M465</f>
        <v>0</v>
      </c>
      <c r="N462" s="322">
        <f>Councils!O465</f>
        <v>0</v>
      </c>
      <c r="O462" s="322">
        <f>Councils!P465</f>
        <v>0</v>
      </c>
      <c r="P462" s="322">
        <f>Councils!Q465</f>
        <v>0</v>
      </c>
      <c r="Q462" s="322">
        <f>Councils!R465</f>
        <v>0</v>
      </c>
      <c r="R462" s="322">
        <f>Councils!S465</f>
        <v>0</v>
      </c>
      <c r="S462" s="322">
        <f>Councils!T465</f>
        <v>0</v>
      </c>
      <c r="T462" s="322">
        <f>Councils!U465</f>
        <v>0</v>
      </c>
      <c r="U462" s="323">
        <f>Councils!V465</f>
        <v>0</v>
      </c>
      <c r="V462" s="376">
        <v>173</v>
      </c>
      <c r="W462" s="377">
        <f t="shared" si="7"/>
        <v>2</v>
      </c>
      <c r="X462" s="378" t="str">
        <f>IF(ISNA(VLOOKUP($A462,GA!$A$1:$D$834,3,0))," ",VLOOKUP($A462,GA!$A$1:$D$834,3,0))</f>
        <v>Carlin</v>
      </c>
      <c r="Y462" s="379" t="str">
        <f>IF(ISNA(VLOOKUP($A462,Dormant_Councils!$A$1:$E$811,5,0)),"No",VLOOKUP($A462,Dormant_Councils!$A$1:$E$811,5,0))</f>
        <v>No</v>
      </c>
      <c r="Z462" s="381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22" t="str">
        <f>Councils!C466</f>
        <v>222</v>
      </c>
      <c r="C463" s="322" t="str">
        <f>Councils!D466</f>
        <v>Odessa</v>
      </c>
      <c r="D463" s="322" t="str">
        <f>IF(ISNA(VLOOKUP($V463,DD_Info!$A$1:$E$221,3,0)),0,VLOOKUP($V463,DD_Info!$A$1:$E$221,3,0))</f>
        <v>San Angelo</v>
      </c>
      <c r="E463" s="322">
        <f>Councils!E466</f>
        <v>58</v>
      </c>
      <c r="F463" s="322">
        <f>Councils!F466</f>
        <v>3</v>
      </c>
      <c r="G463" s="322">
        <f>Councils!G466</f>
        <v>1</v>
      </c>
      <c r="H463" s="322">
        <f>Councils!H466</f>
        <v>0</v>
      </c>
      <c r="I463" s="322">
        <f>Councils!I466</f>
        <v>1</v>
      </c>
      <c r="J463" s="322">
        <f>Councils!J466</f>
        <v>4</v>
      </c>
      <c r="K463" s="322">
        <f>Councils!K466</f>
        <v>0</v>
      </c>
      <c r="L463" s="322">
        <f>Councils!L466</f>
        <v>4</v>
      </c>
      <c r="M463" s="323">
        <f>Councils!M466</f>
        <v>133.33000000000001</v>
      </c>
      <c r="N463" s="322">
        <f>Councils!O466</f>
        <v>0</v>
      </c>
      <c r="O463" s="322">
        <f>Councils!P466</f>
        <v>0</v>
      </c>
      <c r="P463" s="322">
        <f>Councils!Q466</f>
        <v>0</v>
      </c>
      <c r="Q463" s="322">
        <f>Councils!R466</f>
        <v>0</v>
      </c>
      <c r="R463" s="322">
        <f>Councils!S466</f>
        <v>0</v>
      </c>
      <c r="S463" s="322">
        <f>Councils!T466</f>
        <v>0</v>
      </c>
      <c r="T463" s="322">
        <f>Councils!U466</f>
        <v>0</v>
      </c>
      <c r="U463" s="323">
        <f>Councils!V466</f>
        <v>0</v>
      </c>
      <c r="V463" s="376">
        <v>222</v>
      </c>
      <c r="W463" s="377">
        <f t="shared" si="7"/>
        <v>3</v>
      </c>
      <c r="X463" s="378" t="str">
        <f>IF(ISNA(VLOOKUP($A463,GA!$A$1:$D$834,3,0))," ",VLOOKUP($A463,GA!$A$1:$D$834,3,0))</f>
        <v>Payne</v>
      </c>
      <c r="Y463" s="379" t="str">
        <f>IF(ISNA(VLOOKUP($A463,Dormant_Councils!$A$1:$E$811,5,0)),"No",VLOOKUP($A463,Dormant_Councils!$A$1:$E$811,5,0))</f>
        <v>No</v>
      </c>
      <c r="Z463" s="381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22" t="str">
        <f>Councils!C467</f>
        <v>126</v>
      </c>
      <c r="C464" s="322" t="str">
        <f>Councils!D467</f>
        <v>Cleveland</v>
      </c>
      <c r="D464" s="322" t="str">
        <f>IF(ISNA(VLOOKUP($V464,DD_Info!$A$1:$E$221,3,0)),0,VLOOKUP($V464,DD_Info!$A$1:$E$221,3,0))</f>
        <v>Beaumont</v>
      </c>
      <c r="E464" s="322">
        <f>Councils!E467</f>
        <v>73</v>
      </c>
      <c r="F464" s="322">
        <f>Councils!F467</f>
        <v>4</v>
      </c>
      <c r="G464" s="322">
        <f>Councils!G467</f>
        <v>0</v>
      </c>
      <c r="H464" s="322">
        <f>Councils!H467</f>
        <v>0</v>
      </c>
      <c r="I464" s="322">
        <f>Councils!I467</f>
        <v>0</v>
      </c>
      <c r="J464" s="322">
        <f>Councils!J467</f>
        <v>0</v>
      </c>
      <c r="K464" s="322">
        <f>Councils!K467</f>
        <v>0</v>
      </c>
      <c r="L464" s="322">
        <f>Councils!L467</f>
        <v>0</v>
      </c>
      <c r="M464" s="323">
        <f>Councils!M467</f>
        <v>0</v>
      </c>
      <c r="N464" s="322">
        <f>Councils!O467</f>
        <v>0</v>
      </c>
      <c r="O464" s="322">
        <f>Councils!P467</f>
        <v>1</v>
      </c>
      <c r="P464" s="322">
        <f>Councils!Q467</f>
        <v>0</v>
      </c>
      <c r="Q464" s="322">
        <f>Councils!R467</f>
        <v>1</v>
      </c>
      <c r="R464" s="322">
        <f>Councils!S467</f>
        <v>1</v>
      </c>
      <c r="S464" s="322">
        <f>Councils!T467</f>
        <v>0</v>
      </c>
      <c r="T464" s="322">
        <f>Councils!U467</f>
        <v>1</v>
      </c>
      <c r="U464" s="323">
        <f>Councils!V467</f>
        <v>0</v>
      </c>
      <c r="V464" s="376">
        <v>126</v>
      </c>
      <c r="W464" s="377">
        <f t="shared" si="7"/>
        <v>2</v>
      </c>
      <c r="X464" s="378" t="str">
        <f>IF(ISNA(VLOOKUP($A464,GA!$A$1:$D$834,3,0))," ",VLOOKUP($A464,GA!$A$1:$D$834,3,0))</f>
        <v>Rangel</v>
      </c>
      <c r="Y464" s="379" t="str">
        <f>IF(ISNA(VLOOKUP($A464,Dormant_Councils!$A$1:$E$811,5,0)),"No",VLOOKUP($A464,Dormant_Councils!$A$1:$E$811,5,0))</f>
        <v>Dormant</v>
      </c>
      <c r="Z464" s="381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22" t="str">
        <f>Councils!C468</f>
        <v>236</v>
      </c>
      <c r="C465" s="322" t="str">
        <f>Councils!D468</f>
        <v>Laredo</v>
      </c>
      <c r="D465" s="322" t="str">
        <f>IF(ISNA(VLOOKUP($V465,DD_Info!$A$1:$E$221,3,0)),0,VLOOKUP($V465,DD_Info!$A$1:$E$221,3,0))</f>
        <v>Laredo</v>
      </c>
      <c r="E465" s="322">
        <f>Councils!E468</f>
        <v>116</v>
      </c>
      <c r="F465" s="322">
        <f>Councils!F468</f>
        <v>6</v>
      </c>
      <c r="G465" s="322">
        <f>Councils!G468</f>
        <v>0</v>
      </c>
      <c r="H465" s="322">
        <f>Councils!H468</f>
        <v>0</v>
      </c>
      <c r="I465" s="322">
        <f>Councils!I468</f>
        <v>0</v>
      </c>
      <c r="J465" s="322">
        <f>Councils!J468</f>
        <v>1</v>
      </c>
      <c r="K465" s="322">
        <f>Councils!K468</f>
        <v>0</v>
      </c>
      <c r="L465" s="322">
        <f>Councils!L468</f>
        <v>1</v>
      </c>
      <c r="M465" s="323">
        <f>Councils!M468</f>
        <v>16.670000000000002</v>
      </c>
      <c r="N465" s="322">
        <f>Councils!O468</f>
        <v>0</v>
      </c>
      <c r="O465" s="322">
        <f>Councils!P468</f>
        <v>0</v>
      </c>
      <c r="P465" s="322">
        <f>Councils!Q468</f>
        <v>0</v>
      </c>
      <c r="Q465" s="322">
        <f>Councils!R468</f>
        <v>0</v>
      </c>
      <c r="R465" s="322">
        <f>Councils!S468</f>
        <v>1</v>
      </c>
      <c r="S465" s="322">
        <f>Councils!T468</f>
        <v>0</v>
      </c>
      <c r="T465" s="322">
        <f>Councils!U468</f>
        <v>1</v>
      </c>
      <c r="U465" s="323">
        <f>Councils!V468</f>
        <v>0</v>
      </c>
      <c r="V465" s="376">
        <v>236</v>
      </c>
      <c r="W465" s="377">
        <f t="shared" si="7"/>
        <v>2</v>
      </c>
      <c r="X465" s="378" t="str">
        <f>IF(ISNA(VLOOKUP($A465,GA!$A$1:$D$834,3,0))," ",VLOOKUP($A465,GA!$A$1:$D$834,3,0))</f>
        <v>Carlin</v>
      </c>
      <c r="Y465" s="379" t="str">
        <f>IF(ISNA(VLOOKUP($A465,Dormant_Councils!$A$1:$E$811,5,0)),"No",VLOOKUP($A465,Dormant_Councils!$A$1:$E$811,5,0))</f>
        <v>No</v>
      </c>
      <c r="Z465" s="381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22" t="str">
        <f>Councils!C469</f>
        <v>003</v>
      </c>
      <c r="C466" s="322" t="str">
        <f>Councils!D469</f>
        <v>El Paso</v>
      </c>
      <c r="D466" s="322" t="str">
        <f>IF(ISNA(VLOOKUP($V466,DD_Info!$A$1:$E$221,3,0)),0,VLOOKUP($V466,DD_Info!$A$1:$E$221,3,0))</f>
        <v>El Paso</v>
      </c>
      <c r="E466" s="322">
        <f>Councils!E469</f>
        <v>326</v>
      </c>
      <c r="F466" s="322">
        <f>Councils!F469</f>
        <v>16</v>
      </c>
      <c r="G466" s="322">
        <f>Councils!G469</f>
        <v>1</v>
      </c>
      <c r="H466" s="322">
        <f>Councils!H469</f>
        <v>0</v>
      </c>
      <c r="I466" s="322">
        <f>Councils!I469</f>
        <v>1</v>
      </c>
      <c r="J466" s="322">
        <f>Councils!J469</f>
        <v>4</v>
      </c>
      <c r="K466" s="322">
        <f>Councils!K469</f>
        <v>0</v>
      </c>
      <c r="L466" s="322">
        <f>Councils!L469</f>
        <v>4</v>
      </c>
      <c r="M466" s="323">
        <f>Councils!M469</f>
        <v>25</v>
      </c>
      <c r="N466" s="322">
        <f>Councils!O469</f>
        <v>0</v>
      </c>
      <c r="O466" s="322">
        <f>Councils!P469</f>
        <v>0</v>
      </c>
      <c r="P466" s="322">
        <f>Councils!Q469</f>
        <v>0</v>
      </c>
      <c r="Q466" s="322">
        <f>Councils!R469</f>
        <v>0</v>
      </c>
      <c r="R466" s="322">
        <f>Councils!S469</f>
        <v>0</v>
      </c>
      <c r="S466" s="322">
        <f>Councils!T469</f>
        <v>1</v>
      </c>
      <c r="T466" s="322">
        <f>Councils!U469</f>
        <v>-1</v>
      </c>
      <c r="U466" s="323">
        <f>Councils!V469</f>
        <v>0</v>
      </c>
      <c r="V466" s="376">
        <v>3</v>
      </c>
      <c r="W466" s="377">
        <f t="shared" si="7"/>
        <v>1</v>
      </c>
      <c r="X466" s="378" t="str">
        <f>IF(ISNA(VLOOKUP($A466,GA!$A$1:$D$834,3,0))," ",VLOOKUP($A466,GA!$A$1:$D$834,3,0))</f>
        <v>Payne</v>
      </c>
      <c r="Y466" s="379" t="str">
        <f>IF(ISNA(VLOOKUP($A466,Dormant_Councils!$A$1:$E$811,5,0)),"No",VLOOKUP($A466,Dormant_Councils!$A$1:$E$811,5,0))</f>
        <v>No</v>
      </c>
      <c r="Z466" s="381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22" t="str">
        <f>Councils!C470</f>
        <v>157</v>
      </c>
      <c r="C467" s="322" t="str">
        <f>Councils!D470</f>
        <v>Austin</v>
      </c>
      <c r="D467" s="322" t="str">
        <f>IF(ISNA(VLOOKUP($V467,DD_Info!$A$1:$E$221,3,0)),0,VLOOKUP($V467,DD_Info!$A$1:$E$221,3,0))</f>
        <v>Austin</v>
      </c>
      <c r="E467" s="322">
        <f>Councils!E470</f>
        <v>62</v>
      </c>
      <c r="F467" s="322">
        <f>Councils!F470</f>
        <v>3</v>
      </c>
      <c r="G467" s="322">
        <f>Councils!G470</f>
        <v>0</v>
      </c>
      <c r="H467" s="322">
        <f>Councils!H470</f>
        <v>0</v>
      </c>
      <c r="I467" s="322">
        <f>Councils!I470</f>
        <v>0</v>
      </c>
      <c r="J467" s="322">
        <f>Councils!J470</f>
        <v>0</v>
      </c>
      <c r="K467" s="322">
        <f>Councils!K470</f>
        <v>0</v>
      </c>
      <c r="L467" s="322">
        <f>Councils!L470</f>
        <v>0</v>
      </c>
      <c r="M467" s="323">
        <f>Councils!M470</f>
        <v>0</v>
      </c>
      <c r="N467" s="322">
        <f>Councils!O470</f>
        <v>0</v>
      </c>
      <c r="O467" s="322">
        <f>Councils!P470</f>
        <v>0</v>
      </c>
      <c r="P467" s="322">
        <f>Councils!Q470</f>
        <v>1</v>
      </c>
      <c r="Q467" s="322">
        <f>Councils!R470</f>
        <v>-1</v>
      </c>
      <c r="R467" s="322">
        <f>Councils!S470</f>
        <v>0</v>
      </c>
      <c r="S467" s="322">
        <f>Councils!T470</f>
        <v>1</v>
      </c>
      <c r="T467" s="322">
        <f>Councils!U470</f>
        <v>-1</v>
      </c>
      <c r="U467" s="323">
        <f>Councils!V470</f>
        <v>0</v>
      </c>
      <c r="V467" s="376">
        <v>157</v>
      </c>
      <c r="W467" s="377">
        <f t="shared" si="7"/>
        <v>3</v>
      </c>
      <c r="X467" s="378" t="str">
        <f>IF(ISNA(VLOOKUP($A467,GA!$A$1:$D$834,3,0))," ",VLOOKUP($A467,GA!$A$1:$D$834,3,0))</f>
        <v>Rangel</v>
      </c>
      <c r="Y467" s="379" t="str">
        <f>IF(ISNA(VLOOKUP($A467,Dormant_Councils!$A$1:$E$811,5,0)),"No",VLOOKUP($A467,Dormant_Councils!$A$1:$E$811,5,0))</f>
        <v>No</v>
      </c>
      <c r="Z467" s="381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22" t="str">
        <f>Councils!C471</f>
        <v>057</v>
      </c>
      <c r="C468" s="322" t="str">
        <f>Councils!D471</f>
        <v>Poteet</v>
      </c>
      <c r="D468" s="322" t="str">
        <f>IF(ISNA(VLOOKUP($V468,DD_Info!$A$1:$E$221,3,0)),0,VLOOKUP($V468,DD_Info!$A$1:$E$221,3,0))</f>
        <v>San Antonio</v>
      </c>
      <c r="E468" s="322">
        <f>Councils!E471</f>
        <v>80</v>
      </c>
      <c r="F468" s="322">
        <f>Councils!F471</f>
        <v>4</v>
      </c>
      <c r="G468" s="322">
        <f>Councils!G471</f>
        <v>0</v>
      </c>
      <c r="H468" s="322">
        <f>Councils!H471</f>
        <v>0</v>
      </c>
      <c r="I468" s="322">
        <f>Councils!I471</f>
        <v>0</v>
      </c>
      <c r="J468" s="322">
        <f>Councils!J471</f>
        <v>0</v>
      </c>
      <c r="K468" s="322">
        <f>Councils!K471</f>
        <v>0</v>
      </c>
      <c r="L468" s="322">
        <f>Councils!L471</f>
        <v>0</v>
      </c>
      <c r="M468" s="323">
        <f>Councils!M471</f>
        <v>0</v>
      </c>
      <c r="N468" s="322">
        <f>Councils!O471</f>
        <v>0</v>
      </c>
      <c r="O468" s="322">
        <f>Councils!P471</f>
        <v>0</v>
      </c>
      <c r="P468" s="322">
        <f>Councils!Q471</f>
        <v>0</v>
      </c>
      <c r="Q468" s="322">
        <f>Councils!R471</f>
        <v>0</v>
      </c>
      <c r="R468" s="322">
        <f>Councils!S471</f>
        <v>1</v>
      </c>
      <c r="S468" s="322">
        <f>Councils!T471</f>
        <v>0</v>
      </c>
      <c r="T468" s="322">
        <f>Councils!U471</f>
        <v>1</v>
      </c>
      <c r="U468" s="323">
        <f>Councils!V471</f>
        <v>0</v>
      </c>
      <c r="V468" s="376">
        <v>57</v>
      </c>
      <c r="W468" s="377">
        <f t="shared" si="7"/>
        <v>2</v>
      </c>
      <c r="X468" s="378" t="str">
        <f>IF(ISNA(VLOOKUP($A468,GA!$A$1:$D$834,3,0))," ",VLOOKUP($A468,GA!$A$1:$D$834,3,0))</f>
        <v>Dougherty</v>
      </c>
      <c r="Y468" s="379" t="str">
        <f>IF(ISNA(VLOOKUP($A468,Dormant_Councils!$A$1:$E$811,5,0)),"No",VLOOKUP($A468,Dormant_Councils!$A$1:$E$811,5,0))</f>
        <v>No</v>
      </c>
      <c r="Z468" s="381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22" t="str">
        <f>Councils!C472</f>
        <v>034</v>
      </c>
      <c r="C469" s="322" t="str">
        <f>Councils!D472</f>
        <v>Stockdale</v>
      </c>
      <c r="D469" s="322" t="str">
        <f>IF(ISNA(VLOOKUP($V469,DD_Info!$A$1:$E$221,3,0)),0,VLOOKUP($V469,DD_Info!$A$1:$E$221,3,0))</f>
        <v>San Antonio</v>
      </c>
      <c r="E469" s="322">
        <f>Councils!E472</f>
        <v>11</v>
      </c>
      <c r="F469" s="322">
        <f>Councils!F472</f>
        <v>13</v>
      </c>
      <c r="G469" s="322">
        <f>Councils!G472</f>
        <v>0</v>
      </c>
      <c r="H469" s="322">
        <f>Councils!H472</f>
        <v>0</v>
      </c>
      <c r="I469" s="322">
        <f>Councils!I472</f>
        <v>0</v>
      </c>
      <c r="J469" s="322">
        <f>Councils!J472</f>
        <v>0</v>
      </c>
      <c r="K469" s="322">
        <f>Councils!K472</f>
        <v>0</v>
      </c>
      <c r="L469" s="322">
        <f>Councils!L472</f>
        <v>0</v>
      </c>
      <c r="M469" s="323">
        <f>Councils!M472</f>
        <v>0</v>
      </c>
      <c r="N469" s="322">
        <f>Councils!O472</f>
        <v>0</v>
      </c>
      <c r="O469" s="322">
        <f>Councils!P472</f>
        <v>0</v>
      </c>
      <c r="P469" s="322">
        <f>Councils!Q472</f>
        <v>0</v>
      </c>
      <c r="Q469" s="322">
        <f>Councils!R472</f>
        <v>0</v>
      </c>
      <c r="R469" s="322">
        <f>Councils!S472</f>
        <v>0</v>
      </c>
      <c r="S469" s="322">
        <f>Councils!T472</f>
        <v>0</v>
      </c>
      <c r="T469" s="322">
        <f>Councils!U472</f>
        <v>0</v>
      </c>
      <c r="U469" s="323">
        <f>Councils!V472</f>
        <v>0</v>
      </c>
      <c r="V469" s="376">
        <v>34</v>
      </c>
      <c r="W469" s="377">
        <f t="shared" si="7"/>
        <v>3</v>
      </c>
      <c r="X469" s="378" t="str">
        <f>IF(ISNA(VLOOKUP($A469,GA!$A$1:$D$834,3,0))," ",VLOOKUP($A469,GA!$A$1:$D$834,3,0))</f>
        <v>Dougherty</v>
      </c>
      <c r="Y469" s="379" t="str">
        <f>IF(ISNA(VLOOKUP($A469,Dormant_Councils!$A$1:$E$811,5,0)),"No",VLOOKUP($A469,Dormant_Councils!$A$1:$E$811,5,0))</f>
        <v>Dormant</v>
      </c>
      <c r="Z469" s="381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22" t="str">
        <f>Councils!C473</f>
        <v>055</v>
      </c>
      <c r="C470" s="322" t="str">
        <f>Councils!D473</f>
        <v>Losoya</v>
      </c>
      <c r="D470" s="322" t="str">
        <f>IF(ISNA(VLOOKUP($V470,DD_Info!$A$1:$E$221,3,0)),0,VLOOKUP($V470,DD_Info!$A$1:$E$221,3,0))</f>
        <v>San Antonio</v>
      </c>
      <c r="E470" s="322">
        <f>Councils!E473</f>
        <v>86</v>
      </c>
      <c r="F470" s="322">
        <f>Councils!F473</f>
        <v>4</v>
      </c>
      <c r="G470" s="322">
        <f>Councils!G473</f>
        <v>0</v>
      </c>
      <c r="H470" s="322">
        <f>Councils!H473</f>
        <v>0</v>
      </c>
      <c r="I470" s="322">
        <f>Councils!I473</f>
        <v>0</v>
      </c>
      <c r="J470" s="322">
        <f>Councils!J473</f>
        <v>0</v>
      </c>
      <c r="K470" s="322">
        <f>Councils!K473</f>
        <v>0</v>
      </c>
      <c r="L470" s="322">
        <f>Councils!L473</f>
        <v>0</v>
      </c>
      <c r="M470" s="323">
        <f>Councils!M473</f>
        <v>0</v>
      </c>
      <c r="N470" s="322">
        <f>Councils!O473</f>
        <v>0</v>
      </c>
      <c r="O470" s="322">
        <f>Councils!P473</f>
        <v>0</v>
      </c>
      <c r="P470" s="322">
        <f>Councils!Q473</f>
        <v>0</v>
      </c>
      <c r="Q470" s="322">
        <f>Councils!R473</f>
        <v>0</v>
      </c>
      <c r="R470" s="322">
        <f>Councils!S473</f>
        <v>0</v>
      </c>
      <c r="S470" s="322">
        <f>Councils!T473</f>
        <v>0</v>
      </c>
      <c r="T470" s="322">
        <f>Councils!U473</f>
        <v>0</v>
      </c>
      <c r="U470" s="323">
        <f>Councils!V473</f>
        <v>0</v>
      </c>
      <c r="V470" s="376">
        <v>55</v>
      </c>
      <c r="W470" s="377">
        <f t="shared" si="7"/>
        <v>2</v>
      </c>
      <c r="X470" s="378" t="str">
        <f>IF(ISNA(VLOOKUP($A470,GA!$A$1:$D$834,3,0))," ",VLOOKUP($A470,GA!$A$1:$D$834,3,0))</f>
        <v>Dougherty</v>
      </c>
      <c r="Y470" s="379" t="str">
        <f>IF(ISNA(VLOOKUP($A470,Dormant_Councils!$A$1:$E$811,5,0)),"No",VLOOKUP($A470,Dormant_Councils!$A$1:$E$811,5,0))</f>
        <v>No</v>
      </c>
      <c r="Z470" s="381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22" t="str">
        <f>Councils!C474</f>
        <v>151</v>
      </c>
      <c r="C471" s="322" t="str">
        <f>Councils!D474</f>
        <v>Lago Vista</v>
      </c>
      <c r="D471" s="322" t="str">
        <f>IF(ISNA(VLOOKUP($V471,DD_Info!$A$1:$E$221,3,0)),0,VLOOKUP($V471,DD_Info!$A$1:$E$221,3,0))</f>
        <v>Austin</v>
      </c>
      <c r="E471" s="322">
        <f>Councils!E474</f>
        <v>99</v>
      </c>
      <c r="F471" s="322">
        <f>Councils!F474</f>
        <v>5</v>
      </c>
      <c r="G471" s="322">
        <f>Councils!G474</f>
        <v>0</v>
      </c>
      <c r="H471" s="322">
        <f>Councils!H474</f>
        <v>0</v>
      </c>
      <c r="I471" s="322">
        <f>Councils!I474</f>
        <v>0</v>
      </c>
      <c r="J471" s="322">
        <f>Councils!J474</f>
        <v>3</v>
      </c>
      <c r="K471" s="322">
        <f>Councils!K474</f>
        <v>0</v>
      </c>
      <c r="L471" s="322">
        <f>Councils!L474</f>
        <v>3</v>
      </c>
      <c r="M471" s="323">
        <f>Councils!M474</f>
        <v>60</v>
      </c>
      <c r="N471" s="322">
        <f>Councils!O474</f>
        <v>0</v>
      </c>
      <c r="O471" s="322">
        <f>Councils!P474</f>
        <v>0</v>
      </c>
      <c r="P471" s="322">
        <f>Councils!Q474</f>
        <v>0</v>
      </c>
      <c r="Q471" s="322">
        <f>Councils!R474</f>
        <v>0</v>
      </c>
      <c r="R471" s="322">
        <f>Councils!S474</f>
        <v>0</v>
      </c>
      <c r="S471" s="322">
        <f>Councils!T474</f>
        <v>0</v>
      </c>
      <c r="T471" s="322">
        <f>Councils!U474</f>
        <v>0</v>
      </c>
      <c r="U471" s="323">
        <f>Councils!V474</f>
        <v>0</v>
      </c>
      <c r="V471" s="376">
        <v>151</v>
      </c>
      <c r="W471" s="377">
        <f t="shared" si="7"/>
        <v>2</v>
      </c>
      <c r="X471" s="378" t="str">
        <f>IF(ISNA(VLOOKUP($A471,GA!$A$1:$D$834,3,0))," ",VLOOKUP($A471,GA!$A$1:$D$834,3,0))</f>
        <v>Rangel</v>
      </c>
      <c r="Y471" s="379" t="str">
        <f>IF(ISNA(VLOOKUP($A471,Dormant_Councils!$A$1:$E$811,5,0)),"No",VLOOKUP($A471,Dormant_Councils!$A$1:$E$811,5,0))</f>
        <v>No</v>
      </c>
      <c r="Z471" s="381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22" t="str">
        <f>Councils!C475</f>
        <v>242</v>
      </c>
      <c r="C472" s="322" t="str">
        <f>Councils!D475</f>
        <v>Stamford</v>
      </c>
      <c r="D472" s="322" t="str">
        <f>IF(ISNA(VLOOKUP($V472,DD_Info!$A$1:$E$221,3,0)),0,VLOOKUP($V472,DD_Info!$A$1:$E$221,3,0))</f>
        <v>Lubbock</v>
      </c>
      <c r="E472" s="322">
        <f>Councils!E475</f>
        <v>49</v>
      </c>
      <c r="F472" s="322">
        <f>Councils!F475</f>
        <v>3</v>
      </c>
      <c r="G472" s="322">
        <f>Councils!G475</f>
        <v>0</v>
      </c>
      <c r="H472" s="322">
        <f>Councils!H475</f>
        <v>0</v>
      </c>
      <c r="I472" s="322">
        <f>Councils!I475</f>
        <v>0</v>
      </c>
      <c r="J472" s="322">
        <f>Councils!J475</f>
        <v>3</v>
      </c>
      <c r="K472" s="322">
        <f>Councils!K475</f>
        <v>0</v>
      </c>
      <c r="L472" s="322">
        <f>Councils!L475</f>
        <v>3</v>
      </c>
      <c r="M472" s="323">
        <f>Councils!M475</f>
        <v>100</v>
      </c>
      <c r="N472" s="322">
        <f>Councils!O475</f>
        <v>0</v>
      </c>
      <c r="O472" s="322">
        <f>Councils!P475</f>
        <v>0</v>
      </c>
      <c r="P472" s="322">
        <f>Councils!Q475</f>
        <v>0</v>
      </c>
      <c r="Q472" s="322">
        <f>Councils!R475</f>
        <v>0</v>
      </c>
      <c r="R472" s="322">
        <f>Councils!S475</f>
        <v>0</v>
      </c>
      <c r="S472" s="322">
        <f>Councils!T475</f>
        <v>1</v>
      </c>
      <c r="T472" s="322">
        <f>Councils!U475</f>
        <v>-1</v>
      </c>
      <c r="U472" s="323">
        <f>Councils!V475</f>
        <v>0</v>
      </c>
      <c r="V472" s="376">
        <v>242</v>
      </c>
      <c r="W472" s="377">
        <f t="shared" si="7"/>
        <v>3</v>
      </c>
      <c r="X472" s="378" t="str">
        <f>IF(ISNA(VLOOKUP($A472,GA!$A$1:$D$834,3,0))," ",VLOOKUP($A472,GA!$A$1:$D$834,3,0))</f>
        <v>Payne</v>
      </c>
      <c r="Y472" s="379" t="str">
        <f>IF(ISNA(VLOOKUP($A472,Dormant_Councils!$A$1:$E$811,5,0)),"No",VLOOKUP($A472,Dormant_Councils!$A$1:$E$811,5,0))</f>
        <v>No</v>
      </c>
      <c r="Z472" s="381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22" t="str">
        <f>Councils!C476</f>
        <v>011</v>
      </c>
      <c r="C473" s="322" t="str">
        <f>Councils!D476</f>
        <v>Kermit</v>
      </c>
      <c r="D473" s="322" t="str">
        <f>IF(ISNA(VLOOKUP($V473,DD_Info!$A$1:$E$221,3,0)),0,VLOOKUP($V473,DD_Info!$A$1:$E$221,3,0))</f>
        <v>El Paso</v>
      </c>
      <c r="E473" s="322">
        <f>Councils!E476</f>
        <v>43</v>
      </c>
      <c r="F473" s="322">
        <f>Councils!F476</f>
        <v>3</v>
      </c>
      <c r="G473" s="322">
        <f>Councils!G476</f>
        <v>0</v>
      </c>
      <c r="H473" s="322">
        <f>Councils!H476</f>
        <v>0</v>
      </c>
      <c r="I473" s="322">
        <f>Councils!I476</f>
        <v>0</v>
      </c>
      <c r="J473" s="322">
        <f>Councils!J476</f>
        <v>0</v>
      </c>
      <c r="K473" s="322">
        <f>Councils!K476</f>
        <v>0</v>
      </c>
      <c r="L473" s="322">
        <f>Councils!L476</f>
        <v>0</v>
      </c>
      <c r="M473" s="323">
        <f>Councils!M476</f>
        <v>0</v>
      </c>
      <c r="N473" s="322">
        <f>Councils!O476</f>
        <v>0</v>
      </c>
      <c r="O473" s="322">
        <f>Councils!P476</f>
        <v>0</v>
      </c>
      <c r="P473" s="322">
        <f>Councils!Q476</f>
        <v>0</v>
      </c>
      <c r="Q473" s="322">
        <f>Councils!R476</f>
        <v>0</v>
      </c>
      <c r="R473" s="322">
        <f>Councils!S476</f>
        <v>0</v>
      </c>
      <c r="S473" s="322">
        <f>Councils!T476</f>
        <v>0</v>
      </c>
      <c r="T473" s="322">
        <f>Councils!U476</f>
        <v>0</v>
      </c>
      <c r="U473" s="323">
        <f>Councils!V476</f>
        <v>0</v>
      </c>
      <c r="V473" s="376">
        <v>11</v>
      </c>
      <c r="W473" s="377">
        <f t="shared" si="7"/>
        <v>3</v>
      </c>
      <c r="X473" s="378" t="str">
        <f>IF(ISNA(VLOOKUP($A473,GA!$A$1:$D$834,3,0))," ",VLOOKUP($A473,GA!$A$1:$D$834,3,0))</f>
        <v>Payne</v>
      </c>
      <c r="Y473" s="379" t="str">
        <f>IF(ISNA(VLOOKUP($A473,Dormant_Councils!$A$1:$E$811,5,0)),"No",VLOOKUP($A473,Dormant_Councils!$A$1:$E$811,5,0))</f>
        <v>No</v>
      </c>
      <c r="Z473" s="381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22" t="str">
        <f>Councils!C477</f>
        <v>115</v>
      </c>
      <c r="C474" s="322" t="str">
        <f>Councils!D477</f>
        <v>Grand Praire</v>
      </c>
      <c r="D474" s="322" t="str">
        <f>IF(ISNA(VLOOKUP($V474,DD_Info!$A$1:$E$221,3,0)),0,VLOOKUP($V474,DD_Info!$A$1:$E$221,3,0))</f>
        <v>Dallas</v>
      </c>
      <c r="E474" s="322">
        <f>Councils!E477</f>
        <v>141</v>
      </c>
      <c r="F474" s="322">
        <f>Councils!F477</f>
        <v>7</v>
      </c>
      <c r="G474" s="322">
        <f>Councils!G477</f>
        <v>0</v>
      </c>
      <c r="H474" s="322">
        <f>Councils!H477</f>
        <v>0</v>
      </c>
      <c r="I474" s="322">
        <f>Councils!I477</f>
        <v>0</v>
      </c>
      <c r="J474" s="322">
        <f>Councils!J477</f>
        <v>9</v>
      </c>
      <c r="K474" s="322">
        <f>Councils!K477</f>
        <v>38</v>
      </c>
      <c r="L474" s="322">
        <f>Councils!L477</f>
        <v>-29</v>
      </c>
      <c r="M474" s="323">
        <f>Councils!M477</f>
        <v>0</v>
      </c>
      <c r="N474" s="322">
        <f>Councils!O477</f>
        <v>0</v>
      </c>
      <c r="O474" s="322">
        <f>Councils!P477</f>
        <v>0</v>
      </c>
      <c r="P474" s="322">
        <f>Councils!Q477</f>
        <v>0</v>
      </c>
      <c r="Q474" s="322">
        <f>Councils!R477</f>
        <v>0</v>
      </c>
      <c r="R474" s="322">
        <f>Councils!S477</f>
        <v>4</v>
      </c>
      <c r="S474" s="322">
        <f>Councils!T477</f>
        <v>9</v>
      </c>
      <c r="T474" s="322">
        <f>Councils!U477</f>
        <v>-5</v>
      </c>
      <c r="U474" s="323">
        <f>Councils!V477</f>
        <v>0</v>
      </c>
      <c r="V474" s="376">
        <v>115</v>
      </c>
      <c r="W474" s="377">
        <f t="shared" si="7"/>
        <v>1</v>
      </c>
      <c r="X474" s="378" t="str">
        <f>IF(ISNA(VLOOKUP($A474,GA!$A$1:$D$834,3,0))," ",VLOOKUP($A474,GA!$A$1:$D$834,3,0))</f>
        <v>Stark</v>
      </c>
      <c r="Y474" s="379" t="str">
        <f>IF(ISNA(VLOOKUP($A474,Dormant_Councils!$A$1:$E$811,5,0)),"No",VLOOKUP($A474,Dormant_Councils!$A$1:$E$811,5,0))</f>
        <v>No</v>
      </c>
      <c r="Z474" s="381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22" t="str">
        <f>Councils!C478</f>
        <v>131</v>
      </c>
      <c r="C475" s="322" t="str">
        <f>Councils!D478</f>
        <v>Athens</v>
      </c>
      <c r="D475" s="322" t="str">
        <f>IF(ISNA(VLOOKUP($V475,DD_Info!$A$1:$E$221,3,0)),0,VLOOKUP($V475,DD_Info!$A$1:$E$221,3,0))</f>
        <v>Tyler</v>
      </c>
      <c r="E475" s="322">
        <f>Councils!E478</f>
        <v>97</v>
      </c>
      <c r="F475" s="322">
        <f>Councils!F478</f>
        <v>5</v>
      </c>
      <c r="G475" s="322">
        <f>Councils!G478</f>
        <v>0</v>
      </c>
      <c r="H475" s="322">
        <f>Councils!H478</f>
        <v>0</v>
      </c>
      <c r="I475" s="322">
        <f>Councils!I478</f>
        <v>0</v>
      </c>
      <c r="J475" s="322">
        <f>Councils!J478</f>
        <v>1</v>
      </c>
      <c r="K475" s="322">
        <f>Councils!K478</f>
        <v>2</v>
      </c>
      <c r="L475" s="322">
        <f>Councils!L478</f>
        <v>-1</v>
      </c>
      <c r="M475" s="323">
        <f>Councils!M478</f>
        <v>0</v>
      </c>
      <c r="N475" s="322">
        <f>Councils!O478</f>
        <v>0</v>
      </c>
      <c r="O475" s="322">
        <f>Councils!P478</f>
        <v>0</v>
      </c>
      <c r="P475" s="322">
        <f>Councils!Q478</f>
        <v>0</v>
      </c>
      <c r="Q475" s="322">
        <f>Councils!R478</f>
        <v>0</v>
      </c>
      <c r="R475" s="322">
        <f>Councils!S478</f>
        <v>0</v>
      </c>
      <c r="S475" s="322">
        <f>Councils!T478</f>
        <v>0</v>
      </c>
      <c r="T475" s="322">
        <f>Councils!U478</f>
        <v>0</v>
      </c>
      <c r="U475" s="323">
        <f>Councils!V478</f>
        <v>0</v>
      </c>
      <c r="V475" s="376">
        <v>131</v>
      </c>
      <c r="W475" s="377">
        <f t="shared" si="7"/>
        <v>2</v>
      </c>
      <c r="X475" s="378" t="str">
        <f>IF(ISNA(VLOOKUP($A475,GA!$A$1:$D$834,3,0))," ",VLOOKUP($A475,GA!$A$1:$D$834,3,0))</f>
        <v>Regan</v>
      </c>
      <c r="Y475" s="379" t="str">
        <f>IF(ISNA(VLOOKUP($A475,Dormant_Councils!$A$1:$E$811,5,0)),"No",VLOOKUP($A475,Dormant_Councils!$A$1:$E$811,5,0))</f>
        <v>No</v>
      </c>
      <c r="Z475" s="381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22" t="str">
        <f>Councils!C479</f>
        <v>144</v>
      </c>
      <c r="C476" s="322" t="str">
        <f>Councils!D479</f>
        <v>Hearne</v>
      </c>
      <c r="D476" s="322" t="str">
        <f>IF(ISNA(VLOOKUP($V476,DD_Info!$A$1:$E$221,3,0)),0,VLOOKUP($V476,DD_Info!$A$1:$E$221,3,0))</f>
        <v>Austin</v>
      </c>
      <c r="E476" s="322">
        <f>Councils!E479</f>
        <v>66</v>
      </c>
      <c r="F476" s="322">
        <f>Councils!F479</f>
        <v>3</v>
      </c>
      <c r="G476" s="322">
        <f>Councils!G479</f>
        <v>2</v>
      </c>
      <c r="H476" s="322">
        <f>Councils!H479</f>
        <v>0</v>
      </c>
      <c r="I476" s="322">
        <f>Councils!I479</f>
        <v>2</v>
      </c>
      <c r="J476" s="322">
        <f>Councils!J479</f>
        <v>2</v>
      </c>
      <c r="K476" s="322">
        <f>Councils!K479</f>
        <v>0</v>
      </c>
      <c r="L476" s="322">
        <f>Councils!L479</f>
        <v>2</v>
      </c>
      <c r="M476" s="323">
        <f>Councils!M479</f>
        <v>66.67</v>
      </c>
      <c r="N476" s="322">
        <f>Councils!O479</f>
        <v>0</v>
      </c>
      <c r="O476" s="322">
        <f>Councils!P479</f>
        <v>0</v>
      </c>
      <c r="P476" s="322">
        <f>Councils!Q479</f>
        <v>0</v>
      </c>
      <c r="Q476" s="322">
        <f>Councils!R479</f>
        <v>0</v>
      </c>
      <c r="R476" s="322">
        <f>Councils!S479</f>
        <v>0</v>
      </c>
      <c r="S476" s="322">
        <f>Councils!T479</f>
        <v>0</v>
      </c>
      <c r="T476" s="322">
        <f>Councils!U479</f>
        <v>0</v>
      </c>
      <c r="U476" s="323">
        <f>Councils!V479</f>
        <v>0</v>
      </c>
      <c r="V476" s="376">
        <v>144</v>
      </c>
      <c r="W476" s="377">
        <f t="shared" si="7"/>
        <v>2</v>
      </c>
      <c r="X476" s="378" t="str">
        <f>IF(ISNA(VLOOKUP($A476,GA!$A$1:$D$834,3,0))," ",VLOOKUP($A476,GA!$A$1:$D$834,3,0))</f>
        <v>Rangel</v>
      </c>
      <c r="Y476" s="379" t="str">
        <f>IF(ISNA(VLOOKUP($A476,Dormant_Councils!$A$1:$E$811,5,0)),"No",VLOOKUP($A476,Dormant_Councils!$A$1:$E$811,5,0))</f>
        <v>No</v>
      </c>
      <c r="Z476" s="381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22" t="str">
        <f>Councils!C480</f>
        <v>072</v>
      </c>
      <c r="C477" s="322" t="str">
        <f>Councils!D480</f>
        <v>Pasadena</v>
      </c>
      <c r="D477" s="322" t="str">
        <f>IF(ISNA(VLOOKUP($V477,DD_Info!$A$1:$E$221,3,0)),0,VLOOKUP($V477,DD_Info!$A$1:$E$221,3,0))</f>
        <v>Galv/Hous</v>
      </c>
      <c r="E477" s="322">
        <f>Councils!E480</f>
        <v>87</v>
      </c>
      <c r="F477" s="322">
        <f>Councils!F480</f>
        <v>4</v>
      </c>
      <c r="G477" s="322">
        <f>Councils!G480</f>
        <v>0</v>
      </c>
      <c r="H477" s="322">
        <f>Councils!H480</f>
        <v>0</v>
      </c>
      <c r="I477" s="322">
        <f>Councils!I480</f>
        <v>0</v>
      </c>
      <c r="J477" s="322">
        <f>Councils!J480</f>
        <v>0</v>
      </c>
      <c r="K477" s="322">
        <f>Councils!K480</f>
        <v>0</v>
      </c>
      <c r="L477" s="322">
        <f>Councils!L480</f>
        <v>0</v>
      </c>
      <c r="M477" s="323">
        <f>Councils!M480</f>
        <v>0</v>
      </c>
      <c r="N477" s="322">
        <f>Councils!O480</f>
        <v>0</v>
      </c>
      <c r="O477" s="322">
        <f>Councils!P480</f>
        <v>0</v>
      </c>
      <c r="P477" s="322">
        <f>Councils!Q480</f>
        <v>1</v>
      </c>
      <c r="Q477" s="322">
        <f>Councils!R480</f>
        <v>-1</v>
      </c>
      <c r="R477" s="322">
        <f>Councils!S480</f>
        <v>0</v>
      </c>
      <c r="S477" s="322">
        <f>Councils!T480</f>
        <v>1</v>
      </c>
      <c r="T477" s="322">
        <f>Councils!U480</f>
        <v>-1</v>
      </c>
      <c r="U477" s="323">
        <f>Councils!V480</f>
        <v>0</v>
      </c>
      <c r="V477" s="376">
        <v>72</v>
      </c>
      <c r="W477" s="377">
        <f t="shared" si="7"/>
        <v>2</v>
      </c>
      <c r="X477" s="378" t="str">
        <f>IF(ISNA(VLOOKUP($A477,GA!$A$1:$D$834,3,0))," ",VLOOKUP($A477,GA!$A$1:$D$834,3,0))</f>
        <v>Rangel</v>
      </c>
      <c r="Y477" s="379" t="str">
        <f>IF(ISNA(VLOOKUP($A477,Dormant_Councils!$A$1:$E$811,5,0)),"No",VLOOKUP($A477,Dormant_Councils!$A$1:$E$811,5,0))</f>
        <v>No</v>
      </c>
      <c r="Z477" s="381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22" t="str">
        <f>Councils!C481</f>
        <v>Unassigned</v>
      </c>
      <c r="C478" s="322" t="str">
        <f>Councils!D481</f>
        <v>San Antonio</v>
      </c>
      <c r="D478" s="322">
        <f>IF(ISNA(VLOOKUP($V478,DD_Info!$A$1:$E$221,3,0)),0,VLOOKUP($V478,DD_Info!$A$1:$E$221,3,0))</f>
        <v>0</v>
      </c>
      <c r="E478" s="322">
        <f>Councils!E481</f>
        <v>0</v>
      </c>
      <c r="F478" s="322">
        <f>Councils!F481</f>
        <v>0</v>
      </c>
      <c r="G478" s="322">
        <f>Councils!G481</f>
        <v>0</v>
      </c>
      <c r="H478" s="322">
        <f>Councils!H481</f>
        <v>0</v>
      </c>
      <c r="I478" s="322">
        <f>Councils!I481</f>
        <v>0</v>
      </c>
      <c r="J478" s="322">
        <f>Councils!J481</f>
        <v>0</v>
      </c>
      <c r="K478" s="322">
        <f>Councils!K481</f>
        <v>0</v>
      </c>
      <c r="L478" s="322">
        <f>Councils!L481</f>
        <v>0</v>
      </c>
      <c r="M478" s="323">
        <f>Councils!M481</f>
        <v>0</v>
      </c>
      <c r="N478" s="322">
        <f>Councils!O481</f>
        <v>0</v>
      </c>
      <c r="O478" s="322">
        <f>Councils!P481</f>
        <v>0</v>
      </c>
      <c r="P478" s="322">
        <f>Councils!Q481</f>
        <v>0</v>
      </c>
      <c r="Q478" s="322">
        <f>Councils!R481</f>
        <v>0</v>
      </c>
      <c r="R478" s="322">
        <f>Councils!S481</f>
        <v>0</v>
      </c>
      <c r="S478" s="322">
        <f>Councils!T481</f>
        <v>0</v>
      </c>
      <c r="T478" s="322">
        <f>Councils!U481</f>
        <v>0</v>
      </c>
      <c r="U478" s="323">
        <f>Councils!V481</f>
        <v>0</v>
      </c>
      <c r="V478" s="45" t="s">
        <v>93</v>
      </c>
      <c r="W478" s="377">
        <f t="shared" si="7"/>
        <v>3</v>
      </c>
      <c r="X478" s="378" t="str">
        <f>IF(ISNA(VLOOKUP($A478,GA!$A$1:$D$834,3,0))," ",VLOOKUP($A478,GA!$A$1:$D$834,3,0))</f>
        <v>Dougherty</v>
      </c>
      <c r="Y478" s="379" t="str">
        <f>IF(ISNA(VLOOKUP($A478,Dormant_Councils!$A$1:$E$811,5,0)),"No",VLOOKUP($A478,Dormant_Councils!$A$1:$E$811,5,0))</f>
        <v>No</v>
      </c>
      <c r="Z478" s="381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22" t="str">
        <f>Councils!C482</f>
        <v>072</v>
      </c>
      <c r="C479" s="322" t="str">
        <f>Councils!D482</f>
        <v>Deer Park</v>
      </c>
      <c r="D479" s="322" t="str">
        <f>IF(ISNA(VLOOKUP($V479,DD_Info!$A$1:$E$221,3,0)),0,VLOOKUP($V479,DD_Info!$A$1:$E$221,3,0))</f>
        <v>Galv/Hous</v>
      </c>
      <c r="E479" s="322">
        <f>Councils!E482</f>
        <v>168</v>
      </c>
      <c r="F479" s="322">
        <f>Councils!F482</f>
        <v>8</v>
      </c>
      <c r="G479" s="322">
        <f>Councils!G482</f>
        <v>0</v>
      </c>
      <c r="H479" s="322">
        <f>Councils!H482</f>
        <v>0</v>
      </c>
      <c r="I479" s="322">
        <f>Councils!I482</f>
        <v>0</v>
      </c>
      <c r="J479" s="322">
        <f>Councils!J482</f>
        <v>0</v>
      </c>
      <c r="K479" s="322">
        <f>Councils!K482</f>
        <v>0</v>
      </c>
      <c r="L479" s="322">
        <f>Councils!L482</f>
        <v>0</v>
      </c>
      <c r="M479" s="323">
        <f>Councils!M482</f>
        <v>0</v>
      </c>
      <c r="N479" s="322">
        <f>Councils!O482</f>
        <v>0</v>
      </c>
      <c r="O479" s="322">
        <f>Councils!P482</f>
        <v>0</v>
      </c>
      <c r="P479" s="322">
        <f>Councils!Q482</f>
        <v>0</v>
      </c>
      <c r="Q479" s="322">
        <f>Councils!R482</f>
        <v>0</v>
      </c>
      <c r="R479" s="322">
        <f>Councils!S482</f>
        <v>0</v>
      </c>
      <c r="S479" s="322">
        <f>Councils!T482</f>
        <v>0</v>
      </c>
      <c r="T479" s="322">
        <f>Councils!U482</f>
        <v>0</v>
      </c>
      <c r="U479" s="323">
        <f>Councils!V482</f>
        <v>0</v>
      </c>
      <c r="V479" s="376">
        <v>72</v>
      </c>
      <c r="W479" s="377">
        <f t="shared" si="7"/>
        <v>1</v>
      </c>
      <c r="X479" s="378" t="str">
        <f>IF(ISNA(VLOOKUP($A479,GA!$A$1:$D$834,3,0))," ",VLOOKUP($A479,GA!$A$1:$D$834,3,0))</f>
        <v>Rangel</v>
      </c>
      <c r="Y479" s="379" t="str">
        <f>IF(ISNA(VLOOKUP($A479,Dormant_Councils!$A$1:$E$811,5,0)),"No",VLOOKUP($A479,Dormant_Councils!$A$1:$E$811,5,0))</f>
        <v>No</v>
      </c>
      <c r="Z479" s="381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22" t="str">
        <f>Councils!C483</f>
        <v>078</v>
      </c>
      <c r="C480" s="322" t="str">
        <f>Councils!D483</f>
        <v>Houston</v>
      </c>
      <c r="D480" s="322" t="str">
        <f>IF(ISNA(VLOOKUP($V480,DD_Info!$A$1:$E$221,3,0)),0,VLOOKUP($V480,DD_Info!$A$1:$E$221,3,0))</f>
        <v>Galv/Hous</v>
      </c>
      <c r="E480" s="322">
        <f>Councils!E483</f>
        <v>56</v>
      </c>
      <c r="F480" s="322">
        <f>Councils!F483</f>
        <v>3</v>
      </c>
      <c r="G480" s="322">
        <f>Councils!G483</f>
        <v>0</v>
      </c>
      <c r="H480" s="322">
        <f>Councils!H483</f>
        <v>0</v>
      </c>
      <c r="I480" s="322">
        <f>Councils!I483</f>
        <v>0</v>
      </c>
      <c r="J480" s="322">
        <f>Councils!J483</f>
        <v>0</v>
      </c>
      <c r="K480" s="322">
        <f>Councils!K483</f>
        <v>0</v>
      </c>
      <c r="L480" s="322">
        <f>Councils!L483</f>
        <v>0</v>
      </c>
      <c r="M480" s="323">
        <f>Councils!M483</f>
        <v>0</v>
      </c>
      <c r="N480" s="322">
        <f>Councils!O483</f>
        <v>0</v>
      </c>
      <c r="O480" s="322">
        <f>Councils!P483</f>
        <v>0</v>
      </c>
      <c r="P480" s="322">
        <f>Councils!Q483</f>
        <v>0</v>
      </c>
      <c r="Q480" s="322">
        <f>Councils!R483</f>
        <v>0</v>
      </c>
      <c r="R480" s="322">
        <f>Councils!S483</f>
        <v>0</v>
      </c>
      <c r="S480" s="322">
        <f>Councils!T483</f>
        <v>0</v>
      </c>
      <c r="T480" s="322">
        <f>Councils!U483</f>
        <v>0</v>
      </c>
      <c r="U480" s="323">
        <f>Councils!V483</f>
        <v>0</v>
      </c>
      <c r="V480" s="376">
        <v>78</v>
      </c>
      <c r="W480" s="377">
        <f t="shared" si="7"/>
        <v>3</v>
      </c>
      <c r="X480" s="378" t="str">
        <f>IF(ISNA(VLOOKUP($A480,GA!$A$1:$D$834,3,0))," ",VLOOKUP($A480,GA!$A$1:$D$834,3,0))</f>
        <v>Rangel</v>
      </c>
      <c r="Y480" s="379" t="str">
        <f>IF(ISNA(VLOOKUP($A480,Dormant_Councils!$A$1:$E$811,5,0)),"No",VLOOKUP($A480,Dormant_Councils!$A$1:$E$811,5,0))</f>
        <v>No</v>
      </c>
      <c r="Z480" s="381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22" t="str">
        <f>Councils!C484</f>
        <v>052</v>
      </c>
      <c r="C481" s="322" t="str">
        <f>Councils!D484</f>
        <v>Lacoste</v>
      </c>
      <c r="D481" s="322" t="str">
        <f>IF(ISNA(VLOOKUP($V481,DD_Info!$A$1:$E$221,3,0)),0,VLOOKUP($V481,DD_Info!$A$1:$E$221,3,0))</f>
        <v>San Antonio</v>
      </c>
      <c r="E481" s="322">
        <f>Councils!E484</f>
        <v>112</v>
      </c>
      <c r="F481" s="322">
        <f>Councils!F484</f>
        <v>6</v>
      </c>
      <c r="G481" s="322">
        <f>Councils!G484</f>
        <v>0</v>
      </c>
      <c r="H481" s="322">
        <f>Councils!H484</f>
        <v>0</v>
      </c>
      <c r="I481" s="322">
        <f>Councils!I484</f>
        <v>0</v>
      </c>
      <c r="J481" s="322">
        <f>Councils!J484</f>
        <v>0</v>
      </c>
      <c r="K481" s="322">
        <f>Councils!K484</f>
        <v>0</v>
      </c>
      <c r="L481" s="322">
        <f>Councils!L484</f>
        <v>0</v>
      </c>
      <c r="M481" s="323">
        <f>Councils!M484</f>
        <v>0</v>
      </c>
      <c r="N481" s="322">
        <f>Councils!O484</f>
        <v>0</v>
      </c>
      <c r="O481" s="322">
        <f>Councils!P484</f>
        <v>0</v>
      </c>
      <c r="P481" s="322">
        <f>Councils!Q484</f>
        <v>0</v>
      </c>
      <c r="Q481" s="322">
        <f>Councils!R484</f>
        <v>0</v>
      </c>
      <c r="R481" s="322">
        <f>Councils!S484</f>
        <v>0</v>
      </c>
      <c r="S481" s="322">
        <f>Councils!T484</f>
        <v>0</v>
      </c>
      <c r="T481" s="322">
        <f>Councils!U484</f>
        <v>0</v>
      </c>
      <c r="U481" s="323">
        <f>Councils!V484</f>
        <v>0</v>
      </c>
      <c r="V481" s="376">
        <v>52</v>
      </c>
      <c r="W481" s="377">
        <f t="shared" si="7"/>
        <v>2</v>
      </c>
      <c r="X481" s="378" t="str">
        <f>IF(ISNA(VLOOKUP($A481,GA!$A$1:$D$834,3,0))," ",VLOOKUP($A481,GA!$A$1:$D$834,3,0))</f>
        <v>Dougherty</v>
      </c>
      <c r="Y481" s="379" t="str">
        <f>IF(ISNA(VLOOKUP($A481,Dormant_Councils!$A$1:$E$811,5,0)),"No",VLOOKUP($A481,Dormant_Councils!$A$1:$E$811,5,0))</f>
        <v>No</v>
      </c>
      <c r="Z481" s="381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22" t="str">
        <f>Councils!C485</f>
        <v>219</v>
      </c>
      <c r="C482" s="322" t="str">
        <f>Councils!D485</f>
        <v>Edinburg</v>
      </c>
      <c r="D482" s="322" t="str">
        <f>IF(ISNA(VLOOKUP($V482,DD_Info!$A$1:$E$221,3,0)),0,VLOOKUP($V482,DD_Info!$A$1:$E$221,3,0))</f>
        <v>Brownsville</v>
      </c>
      <c r="E482" s="322">
        <f>Councils!E485</f>
        <v>22</v>
      </c>
      <c r="F482" s="322">
        <f>Councils!F485</f>
        <v>3</v>
      </c>
      <c r="G482" s="322">
        <f>Councils!G485</f>
        <v>0</v>
      </c>
      <c r="H482" s="322">
        <f>Councils!H485</f>
        <v>0</v>
      </c>
      <c r="I482" s="322">
        <f>Councils!I485</f>
        <v>0</v>
      </c>
      <c r="J482" s="322">
        <f>Councils!J485</f>
        <v>0</v>
      </c>
      <c r="K482" s="322">
        <f>Councils!K485</f>
        <v>0</v>
      </c>
      <c r="L482" s="322">
        <f>Councils!L485</f>
        <v>0</v>
      </c>
      <c r="M482" s="323">
        <f>Councils!M485</f>
        <v>0</v>
      </c>
      <c r="N482" s="322">
        <f>Councils!O485</f>
        <v>0</v>
      </c>
      <c r="O482" s="322">
        <f>Councils!P485</f>
        <v>0</v>
      </c>
      <c r="P482" s="322">
        <f>Councils!Q485</f>
        <v>0</v>
      </c>
      <c r="Q482" s="322">
        <f>Councils!R485</f>
        <v>0</v>
      </c>
      <c r="R482" s="322">
        <f>Councils!S485</f>
        <v>0</v>
      </c>
      <c r="S482" s="322">
        <f>Councils!T485</f>
        <v>0</v>
      </c>
      <c r="T482" s="322">
        <f>Councils!U485</f>
        <v>0</v>
      </c>
      <c r="U482" s="323">
        <f>Councils!V485</f>
        <v>0</v>
      </c>
      <c r="V482" s="376">
        <v>219</v>
      </c>
      <c r="W482" s="377">
        <f t="shared" si="7"/>
        <v>3</v>
      </c>
      <c r="X482" s="378" t="str">
        <f>IF(ISNA(VLOOKUP($A482,GA!$A$1:$D$834,3,0))," ",VLOOKUP($A482,GA!$A$1:$D$834,3,0))</f>
        <v>Carlin</v>
      </c>
      <c r="Y482" s="379" t="str">
        <f>IF(ISNA(VLOOKUP($A482,Dormant_Councils!$A$1:$E$811,5,0)),"No",VLOOKUP($A482,Dormant_Councils!$A$1:$E$811,5,0))</f>
        <v>Dormant</v>
      </c>
      <c r="Z482" s="381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22" t="str">
        <f>Councils!C486</f>
        <v>225</v>
      </c>
      <c r="C483" s="322" t="str">
        <f>Councils!D486</f>
        <v>Sonora</v>
      </c>
      <c r="D483" s="322" t="str">
        <f>IF(ISNA(VLOOKUP($V483,DD_Info!$A$1:$E$221,3,0)),0,VLOOKUP($V483,DD_Info!$A$1:$E$221,3,0))</f>
        <v>San Angelo</v>
      </c>
      <c r="E483" s="322">
        <f>Councils!E486</f>
        <v>90</v>
      </c>
      <c r="F483" s="322">
        <f>Councils!F486</f>
        <v>5</v>
      </c>
      <c r="G483" s="322">
        <f>Councils!G486</f>
        <v>0</v>
      </c>
      <c r="H483" s="322">
        <f>Councils!H486</f>
        <v>0</v>
      </c>
      <c r="I483" s="322">
        <f>Councils!I486</f>
        <v>0</v>
      </c>
      <c r="J483" s="322">
        <f>Councils!J486</f>
        <v>0</v>
      </c>
      <c r="K483" s="322">
        <f>Councils!K486</f>
        <v>0</v>
      </c>
      <c r="L483" s="322">
        <f>Councils!L486</f>
        <v>0</v>
      </c>
      <c r="M483" s="323">
        <f>Councils!M486</f>
        <v>0</v>
      </c>
      <c r="N483" s="322">
        <f>Councils!O486</f>
        <v>0</v>
      </c>
      <c r="O483" s="322">
        <f>Councils!P486</f>
        <v>0</v>
      </c>
      <c r="P483" s="322">
        <f>Councils!Q486</f>
        <v>0</v>
      </c>
      <c r="Q483" s="322">
        <f>Councils!R486</f>
        <v>0</v>
      </c>
      <c r="R483" s="322">
        <f>Councils!S486</f>
        <v>0</v>
      </c>
      <c r="S483" s="322">
        <f>Councils!T486</f>
        <v>0</v>
      </c>
      <c r="T483" s="322">
        <f>Councils!U486</f>
        <v>0</v>
      </c>
      <c r="U483" s="323">
        <f>Councils!V486</f>
        <v>0</v>
      </c>
      <c r="V483" s="376">
        <v>225</v>
      </c>
      <c r="W483" s="377">
        <f t="shared" si="7"/>
        <v>2</v>
      </c>
      <c r="X483" s="378" t="str">
        <f>IF(ISNA(VLOOKUP($A483,GA!$A$1:$D$834,3,0))," ",VLOOKUP($A483,GA!$A$1:$D$834,3,0))</f>
        <v>Payne</v>
      </c>
      <c r="Y483" s="379" t="str">
        <f>IF(ISNA(VLOOKUP($A483,Dormant_Councils!$A$1:$E$811,5,0)),"No",VLOOKUP($A483,Dormant_Councils!$A$1:$E$811,5,0))</f>
        <v>No</v>
      </c>
      <c r="Z483" s="381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22" t="str">
        <f>Councils!C487</f>
        <v>146</v>
      </c>
      <c r="C484" s="322" t="str">
        <f>Councils!D487</f>
        <v>College Station</v>
      </c>
      <c r="D484" s="322" t="str">
        <f>IF(ISNA(VLOOKUP($V484,DD_Info!$A$1:$E$221,3,0)),0,VLOOKUP($V484,DD_Info!$A$1:$E$221,3,0))</f>
        <v>Austin</v>
      </c>
      <c r="E484" s="322">
        <f>Councils!E487</f>
        <v>267</v>
      </c>
      <c r="F484" s="322">
        <f>Councils!F487</f>
        <v>13</v>
      </c>
      <c r="G484" s="322">
        <f>Councils!G487</f>
        <v>0</v>
      </c>
      <c r="H484" s="322">
        <f>Councils!H487</f>
        <v>0</v>
      </c>
      <c r="I484" s="322">
        <f>Councils!I487</f>
        <v>0</v>
      </c>
      <c r="J484" s="322">
        <f>Councils!J487</f>
        <v>33</v>
      </c>
      <c r="K484" s="322">
        <f>Councils!K487</f>
        <v>1</v>
      </c>
      <c r="L484" s="322">
        <f>Councils!L487</f>
        <v>32</v>
      </c>
      <c r="M484" s="323">
        <f>Councils!M487</f>
        <v>246.15</v>
      </c>
      <c r="N484" s="322">
        <f>Councils!O487</f>
        <v>0</v>
      </c>
      <c r="O484" s="322">
        <f>Councils!P487</f>
        <v>0</v>
      </c>
      <c r="P484" s="322">
        <f>Councils!Q487</f>
        <v>1</v>
      </c>
      <c r="Q484" s="322">
        <f>Councils!R487</f>
        <v>-1</v>
      </c>
      <c r="R484" s="322">
        <f>Councils!S487</f>
        <v>1</v>
      </c>
      <c r="S484" s="322">
        <f>Councils!T487</f>
        <v>2</v>
      </c>
      <c r="T484" s="322">
        <f>Councils!U487</f>
        <v>-1</v>
      </c>
      <c r="U484" s="323">
        <f>Councils!V487</f>
        <v>0</v>
      </c>
      <c r="V484" s="376">
        <v>146</v>
      </c>
      <c r="W484" s="377">
        <f t="shared" si="7"/>
        <v>1</v>
      </c>
      <c r="X484" s="378" t="str">
        <f>IF(ISNA(VLOOKUP($A484,GA!$A$1:$D$834,3,0))," ",VLOOKUP($A484,GA!$A$1:$D$834,3,0))</f>
        <v>Britten</v>
      </c>
      <c r="Y484" s="379" t="str">
        <f>IF(ISNA(VLOOKUP($A484,Dormant_Councils!$A$1:$E$811,5,0)),"No",VLOOKUP($A484,Dormant_Councils!$A$1:$E$811,5,0))</f>
        <v>No</v>
      </c>
      <c r="Z484" s="381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22" t="str">
        <f>Councils!C488</f>
        <v>105</v>
      </c>
      <c r="C485" s="322" t="str">
        <f>Councils!D488</f>
        <v>Rowlett</v>
      </c>
      <c r="D485" s="322" t="str">
        <f>IF(ISNA(VLOOKUP($V485,DD_Info!$A$1:$E$221,3,0)),0,VLOOKUP($V485,DD_Info!$A$1:$E$221,3,0))</f>
        <v>Dallas</v>
      </c>
      <c r="E485" s="322">
        <f>Councils!E488</f>
        <v>159</v>
      </c>
      <c r="F485" s="322">
        <f>Councils!F488</f>
        <v>8</v>
      </c>
      <c r="G485" s="322">
        <f>Councils!G488</f>
        <v>0</v>
      </c>
      <c r="H485" s="322">
        <f>Councils!H488</f>
        <v>0</v>
      </c>
      <c r="I485" s="322">
        <f>Councils!I488</f>
        <v>0</v>
      </c>
      <c r="J485" s="322">
        <f>Councils!J488</f>
        <v>1</v>
      </c>
      <c r="K485" s="322">
        <f>Councils!K488</f>
        <v>15</v>
      </c>
      <c r="L485" s="322">
        <f>Councils!L488</f>
        <v>-14</v>
      </c>
      <c r="M485" s="323">
        <f>Councils!M488</f>
        <v>0</v>
      </c>
      <c r="N485" s="322">
        <f>Councils!O488</f>
        <v>0</v>
      </c>
      <c r="O485" s="322">
        <f>Councils!P488</f>
        <v>1</v>
      </c>
      <c r="P485" s="322">
        <f>Councils!Q488</f>
        <v>0</v>
      </c>
      <c r="Q485" s="322">
        <f>Councils!R488</f>
        <v>1</v>
      </c>
      <c r="R485" s="322">
        <f>Councils!S488</f>
        <v>2</v>
      </c>
      <c r="S485" s="322">
        <f>Councils!T488</f>
        <v>2</v>
      </c>
      <c r="T485" s="322">
        <f>Councils!U488</f>
        <v>0</v>
      </c>
      <c r="U485" s="323">
        <f>Councils!V488</f>
        <v>0</v>
      </c>
      <c r="V485" s="376">
        <v>105</v>
      </c>
      <c r="W485" s="377">
        <f t="shared" si="7"/>
        <v>1</v>
      </c>
      <c r="X485" s="378" t="str">
        <f>IF(ISNA(VLOOKUP($A485,GA!$A$1:$D$834,3,0))," ",VLOOKUP($A485,GA!$A$1:$D$834,3,0))</f>
        <v>Regan</v>
      </c>
      <c r="Y485" s="379" t="str">
        <f>IF(ISNA(VLOOKUP($A485,Dormant_Councils!$A$1:$E$811,5,0)),"No",VLOOKUP($A485,Dormant_Councils!$A$1:$E$811,5,0))</f>
        <v>No</v>
      </c>
      <c r="Z485" s="381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22" t="str">
        <f>Councils!C489</f>
        <v>065</v>
      </c>
      <c r="C486" s="322" t="str">
        <f>Councils!D489</f>
        <v>Houston</v>
      </c>
      <c r="D486" s="322" t="str">
        <f>IF(ISNA(VLOOKUP($V486,DD_Info!$A$1:$E$221,3,0)),0,VLOOKUP($V486,DD_Info!$A$1:$E$221,3,0))</f>
        <v>Galv/Hous</v>
      </c>
      <c r="E486" s="322">
        <f>Councils!E489</f>
        <v>44</v>
      </c>
      <c r="F486" s="322">
        <f>Councils!F489</f>
        <v>3</v>
      </c>
      <c r="G486" s="322">
        <f>Councils!G489</f>
        <v>0</v>
      </c>
      <c r="H486" s="322">
        <f>Councils!H489</f>
        <v>0</v>
      </c>
      <c r="I486" s="322">
        <f>Councils!I489</f>
        <v>0</v>
      </c>
      <c r="J486" s="322">
        <f>Councils!J489</f>
        <v>0</v>
      </c>
      <c r="K486" s="322">
        <f>Councils!K489</f>
        <v>0</v>
      </c>
      <c r="L486" s="322">
        <f>Councils!L489</f>
        <v>0</v>
      </c>
      <c r="M486" s="323">
        <f>Councils!M489</f>
        <v>0</v>
      </c>
      <c r="N486" s="322">
        <f>Councils!O489</f>
        <v>0</v>
      </c>
      <c r="O486" s="322">
        <f>Councils!P489</f>
        <v>0</v>
      </c>
      <c r="P486" s="322">
        <f>Councils!Q489</f>
        <v>0</v>
      </c>
      <c r="Q486" s="322">
        <f>Councils!R489</f>
        <v>0</v>
      </c>
      <c r="R486" s="322">
        <f>Councils!S489</f>
        <v>0</v>
      </c>
      <c r="S486" s="322">
        <f>Councils!T489</f>
        <v>0</v>
      </c>
      <c r="T486" s="322">
        <f>Councils!U489</f>
        <v>0</v>
      </c>
      <c r="U486" s="323">
        <f>Councils!V489</f>
        <v>0</v>
      </c>
      <c r="V486" s="376">
        <v>65</v>
      </c>
      <c r="W486" s="377">
        <f t="shared" si="7"/>
        <v>3</v>
      </c>
      <c r="X486" s="378" t="str">
        <f>IF(ISNA(VLOOKUP($A486,GA!$A$1:$D$834,3,0))," ",VLOOKUP($A486,GA!$A$1:$D$834,3,0))</f>
        <v>Rangel</v>
      </c>
      <c r="Y486" s="379" t="str">
        <f>IF(ISNA(VLOOKUP($A486,Dormant_Councils!$A$1:$E$811,5,0)),"No",VLOOKUP($A486,Dormant_Councils!$A$1:$E$811,5,0))</f>
        <v>Dormant</v>
      </c>
      <c r="Z486" s="381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22" t="str">
        <f>Councils!C490</f>
        <v>157</v>
      </c>
      <c r="C487" s="322" t="str">
        <f>Councils!D490</f>
        <v>Austin</v>
      </c>
      <c r="D487" s="322" t="str">
        <f>IF(ISNA(VLOOKUP($V487,DD_Info!$A$1:$E$221,3,0)),0,VLOOKUP($V487,DD_Info!$A$1:$E$221,3,0))</f>
        <v>Austin</v>
      </c>
      <c r="E487" s="322">
        <f>Councils!E490</f>
        <v>66</v>
      </c>
      <c r="F487" s="322">
        <f>Councils!F490</f>
        <v>3</v>
      </c>
      <c r="G487" s="322">
        <f>Councils!G490</f>
        <v>0</v>
      </c>
      <c r="H487" s="322">
        <f>Councils!H490</f>
        <v>0</v>
      </c>
      <c r="I487" s="322">
        <f>Councils!I490</f>
        <v>0</v>
      </c>
      <c r="J487" s="322">
        <f>Councils!J490</f>
        <v>0</v>
      </c>
      <c r="K487" s="322">
        <f>Councils!K490</f>
        <v>0</v>
      </c>
      <c r="L487" s="322">
        <f>Councils!L490</f>
        <v>0</v>
      </c>
      <c r="M487" s="323">
        <f>Councils!M490</f>
        <v>0</v>
      </c>
      <c r="N487" s="322">
        <f>Councils!O490</f>
        <v>0</v>
      </c>
      <c r="O487" s="322">
        <f>Councils!P490</f>
        <v>0</v>
      </c>
      <c r="P487" s="322">
        <f>Councils!Q490</f>
        <v>0</v>
      </c>
      <c r="Q487" s="322">
        <f>Councils!R490</f>
        <v>0</v>
      </c>
      <c r="R487" s="322">
        <f>Councils!S490</f>
        <v>0</v>
      </c>
      <c r="S487" s="322">
        <f>Councils!T490</f>
        <v>0</v>
      </c>
      <c r="T487" s="322">
        <f>Councils!U490</f>
        <v>0</v>
      </c>
      <c r="U487" s="323">
        <f>Councils!V490</f>
        <v>0</v>
      </c>
      <c r="V487" s="376">
        <v>157</v>
      </c>
      <c r="W487" s="377">
        <f t="shared" si="7"/>
        <v>2</v>
      </c>
      <c r="X487" s="378" t="str">
        <f>IF(ISNA(VLOOKUP($A487,GA!$A$1:$D$834,3,0))," ",VLOOKUP($A487,GA!$A$1:$D$834,3,0))</f>
        <v>Rangel</v>
      </c>
      <c r="Y487" s="379" t="str">
        <f>IF(ISNA(VLOOKUP($A487,Dormant_Councils!$A$1:$E$811,5,0)),"No",VLOOKUP($A487,Dormant_Councils!$A$1:$E$811,5,0))</f>
        <v>No</v>
      </c>
      <c r="Z487" s="381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22" t="str">
        <f>Councils!C491</f>
        <v>136</v>
      </c>
      <c r="C488" s="322" t="str">
        <f>Councils!D491</f>
        <v>Atlanta</v>
      </c>
      <c r="D488" s="322" t="str">
        <f>IF(ISNA(VLOOKUP($V488,DD_Info!$A$1:$E$221,3,0)),0,VLOOKUP($V488,DD_Info!$A$1:$E$221,3,0))</f>
        <v>Tyler</v>
      </c>
      <c r="E488" s="322">
        <f>Councils!E491</f>
        <v>38</v>
      </c>
      <c r="F488" s="322">
        <f>Councils!F491</f>
        <v>3</v>
      </c>
      <c r="G488" s="322">
        <f>Councils!G491</f>
        <v>0</v>
      </c>
      <c r="H488" s="322">
        <f>Councils!H491</f>
        <v>0</v>
      </c>
      <c r="I488" s="322">
        <f>Councils!I491</f>
        <v>0</v>
      </c>
      <c r="J488" s="322">
        <f>Councils!J491</f>
        <v>0</v>
      </c>
      <c r="K488" s="322">
        <f>Councils!K491</f>
        <v>0</v>
      </c>
      <c r="L488" s="322">
        <f>Councils!L491</f>
        <v>0</v>
      </c>
      <c r="M488" s="323">
        <f>Councils!M491</f>
        <v>0</v>
      </c>
      <c r="N488" s="322">
        <f>Councils!O491</f>
        <v>0</v>
      </c>
      <c r="O488" s="322">
        <f>Councils!P491</f>
        <v>0</v>
      </c>
      <c r="P488" s="322">
        <f>Councils!Q491</f>
        <v>0</v>
      </c>
      <c r="Q488" s="322">
        <f>Councils!R491</f>
        <v>0</v>
      </c>
      <c r="R488" s="322">
        <f>Councils!S491</f>
        <v>0</v>
      </c>
      <c r="S488" s="322">
        <f>Councils!T491</f>
        <v>0</v>
      </c>
      <c r="T488" s="322">
        <f>Councils!U491</f>
        <v>0</v>
      </c>
      <c r="U488" s="323">
        <f>Councils!V491</f>
        <v>0</v>
      </c>
      <c r="V488" s="376">
        <v>136</v>
      </c>
      <c r="W488" s="377">
        <f t="shared" si="7"/>
        <v>3</v>
      </c>
      <c r="X488" s="378" t="str">
        <f>IF(ISNA(VLOOKUP($A488,GA!$A$1:$D$834,3,0))," ",VLOOKUP($A488,GA!$A$1:$D$834,3,0))</f>
        <v>Regan</v>
      </c>
      <c r="Y488" s="379" t="str">
        <f>IF(ISNA(VLOOKUP($A488,Dormant_Councils!$A$1:$E$811,5,0)),"No",VLOOKUP($A488,Dormant_Councils!$A$1:$E$811,5,0))</f>
        <v>No</v>
      </c>
      <c r="Z488" s="381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22" t="str">
        <f>Councils!C492</f>
        <v>167</v>
      </c>
      <c r="C489" s="322" t="str">
        <f>Councils!D492</f>
        <v>Corpus Christi</v>
      </c>
      <c r="D489" s="322" t="str">
        <f>IF(ISNA(VLOOKUP($V489,DD_Info!$A$1:$E$221,3,0)),0,VLOOKUP($V489,DD_Info!$A$1:$E$221,3,0))</f>
        <v>Corpus Christi</v>
      </c>
      <c r="E489" s="322">
        <f>Councils!E492</f>
        <v>97</v>
      </c>
      <c r="F489" s="322">
        <f>Councils!F492</f>
        <v>5</v>
      </c>
      <c r="G489" s="322">
        <f>Councils!G492</f>
        <v>0</v>
      </c>
      <c r="H489" s="322">
        <f>Councils!H492</f>
        <v>0</v>
      </c>
      <c r="I489" s="322">
        <f>Councils!I492</f>
        <v>0</v>
      </c>
      <c r="J489" s="322">
        <f>Councils!J492</f>
        <v>8</v>
      </c>
      <c r="K489" s="322">
        <f>Councils!K492</f>
        <v>0</v>
      </c>
      <c r="L489" s="322">
        <f>Councils!L492</f>
        <v>8</v>
      </c>
      <c r="M489" s="323">
        <f>Councils!M492</f>
        <v>160</v>
      </c>
      <c r="N489" s="322">
        <f>Councils!O492</f>
        <v>0</v>
      </c>
      <c r="O489" s="322">
        <f>Councils!P492</f>
        <v>0</v>
      </c>
      <c r="P489" s="322">
        <f>Councils!Q492</f>
        <v>0</v>
      </c>
      <c r="Q489" s="322">
        <f>Councils!R492</f>
        <v>0</v>
      </c>
      <c r="R489" s="322">
        <f>Councils!S492</f>
        <v>0</v>
      </c>
      <c r="S489" s="322">
        <f>Councils!T492</f>
        <v>0</v>
      </c>
      <c r="T489" s="322">
        <f>Councils!U492</f>
        <v>0</v>
      </c>
      <c r="U489" s="323">
        <f>Councils!V492</f>
        <v>0</v>
      </c>
      <c r="V489" s="376">
        <v>167</v>
      </c>
      <c r="W489" s="377">
        <f t="shared" si="7"/>
        <v>2</v>
      </c>
      <c r="X489" s="378" t="str">
        <f>IF(ISNA(VLOOKUP($A489,GA!$A$1:$D$834,3,0))," ",VLOOKUP($A489,GA!$A$1:$D$834,3,0))</f>
        <v>Carlin</v>
      </c>
      <c r="Y489" s="379" t="str">
        <f>IF(ISNA(VLOOKUP($A489,Dormant_Councils!$A$1:$E$811,5,0)),"No",VLOOKUP($A489,Dormant_Councils!$A$1:$E$811,5,0))</f>
        <v>No</v>
      </c>
      <c r="Z489" s="381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22" t="str">
        <f>Councils!C493</f>
        <v>231</v>
      </c>
      <c r="C490" s="322" t="str">
        <f>Councils!D493</f>
        <v>Eagle Pass</v>
      </c>
      <c r="D490" s="322" t="str">
        <f>IF(ISNA(VLOOKUP($V490,DD_Info!$A$1:$E$221,3,0)),0,VLOOKUP($V490,DD_Info!$A$1:$E$221,3,0))</f>
        <v>Laredo</v>
      </c>
      <c r="E490" s="322">
        <f>Councils!E493</f>
        <v>112</v>
      </c>
      <c r="F490" s="322">
        <f>Councils!F493</f>
        <v>6</v>
      </c>
      <c r="G490" s="322">
        <f>Councils!G493</f>
        <v>0</v>
      </c>
      <c r="H490" s="322">
        <f>Councils!H493</f>
        <v>0</v>
      </c>
      <c r="I490" s="322">
        <f>Councils!I493</f>
        <v>0</v>
      </c>
      <c r="J490" s="322">
        <f>Councils!J493</f>
        <v>7</v>
      </c>
      <c r="K490" s="322">
        <f>Councils!K493</f>
        <v>0</v>
      </c>
      <c r="L490" s="322">
        <f>Councils!L493</f>
        <v>7</v>
      </c>
      <c r="M490" s="323">
        <f>Councils!M493</f>
        <v>116.67</v>
      </c>
      <c r="N490" s="322">
        <f>Councils!O493</f>
        <v>0</v>
      </c>
      <c r="O490" s="322">
        <f>Councils!P493</f>
        <v>0</v>
      </c>
      <c r="P490" s="322">
        <f>Councils!Q493</f>
        <v>0</v>
      </c>
      <c r="Q490" s="322">
        <f>Councils!R493</f>
        <v>0</v>
      </c>
      <c r="R490" s="322">
        <f>Councils!S493</f>
        <v>0</v>
      </c>
      <c r="S490" s="322">
        <f>Councils!T493</f>
        <v>0</v>
      </c>
      <c r="T490" s="322">
        <f>Councils!U493</f>
        <v>0</v>
      </c>
      <c r="U490" s="323">
        <f>Councils!V493</f>
        <v>0</v>
      </c>
      <c r="V490" s="376">
        <v>231</v>
      </c>
      <c r="W490" s="377">
        <f t="shared" si="7"/>
        <v>2</v>
      </c>
      <c r="X490" s="378" t="str">
        <f>IF(ISNA(VLOOKUP($A490,GA!$A$1:$D$834,3,0))," ",VLOOKUP($A490,GA!$A$1:$D$834,3,0))</f>
        <v>Carlin</v>
      </c>
      <c r="Y490" s="379" t="str">
        <f>IF(ISNA(VLOOKUP($A490,Dormant_Councils!$A$1:$E$811,5,0)),"No",VLOOKUP($A490,Dormant_Councils!$A$1:$E$811,5,0))</f>
        <v>No</v>
      </c>
      <c r="Z490" s="381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22" t="str">
        <f>Councils!C494</f>
        <v>058</v>
      </c>
      <c r="C491" s="322" t="str">
        <f>Councils!D494</f>
        <v>San Antonio</v>
      </c>
      <c r="D491" s="322" t="str">
        <f>IF(ISNA(VLOOKUP($V491,DD_Info!$A$1:$E$221,3,0)),0,VLOOKUP($V491,DD_Info!$A$1:$E$221,3,0))</f>
        <v>San Antonio</v>
      </c>
      <c r="E491" s="322">
        <f>Councils!E494</f>
        <v>85</v>
      </c>
      <c r="F491" s="322">
        <f>Councils!F494</f>
        <v>4</v>
      </c>
      <c r="G491" s="322">
        <f>Councils!G494</f>
        <v>0</v>
      </c>
      <c r="H491" s="322">
        <f>Councils!H494</f>
        <v>0</v>
      </c>
      <c r="I491" s="322">
        <f>Councils!I494</f>
        <v>0</v>
      </c>
      <c r="J491" s="322">
        <f>Councils!J494</f>
        <v>1</v>
      </c>
      <c r="K491" s="322">
        <f>Councils!K494</f>
        <v>0</v>
      </c>
      <c r="L491" s="322">
        <f>Councils!L494</f>
        <v>1</v>
      </c>
      <c r="M491" s="323">
        <f>Councils!M494</f>
        <v>25</v>
      </c>
      <c r="N491" s="322">
        <f>Councils!O494</f>
        <v>0</v>
      </c>
      <c r="O491" s="322">
        <f>Councils!P494</f>
        <v>0</v>
      </c>
      <c r="P491" s="322">
        <f>Councils!Q494</f>
        <v>0</v>
      </c>
      <c r="Q491" s="322">
        <f>Councils!R494</f>
        <v>0</v>
      </c>
      <c r="R491" s="322">
        <f>Councils!S494</f>
        <v>1</v>
      </c>
      <c r="S491" s="322">
        <f>Councils!T494</f>
        <v>0</v>
      </c>
      <c r="T491" s="322">
        <f>Councils!U494</f>
        <v>1</v>
      </c>
      <c r="U491" s="323">
        <f>Councils!V494</f>
        <v>0</v>
      </c>
      <c r="V491" s="376">
        <v>58</v>
      </c>
      <c r="W491" s="377">
        <f t="shared" si="7"/>
        <v>2</v>
      </c>
      <c r="X491" s="378" t="str">
        <f>IF(ISNA(VLOOKUP($A491,GA!$A$1:$D$834,3,0))," ",VLOOKUP($A491,GA!$A$1:$D$834,3,0))</f>
        <v>Dougherty</v>
      </c>
      <c r="Y491" s="379" t="str">
        <f>IF(ISNA(VLOOKUP($A491,Dormant_Councils!$A$1:$E$811,5,0)),"No",VLOOKUP($A491,Dormant_Councils!$A$1:$E$811,5,0))</f>
        <v>No</v>
      </c>
      <c r="Z491" s="381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22" t="str">
        <f>Councils!C495</f>
        <v>090</v>
      </c>
      <c r="C492" s="322" t="str">
        <f>Councils!D495</f>
        <v>Houston</v>
      </c>
      <c r="D492" s="322" t="str">
        <f>IF(ISNA(VLOOKUP($V492,DD_Info!$A$1:$E$221,3,0)),0,VLOOKUP($V492,DD_Info!$A$1:$E$221,3,0))</f>
        <v>Galv/Hous</v>
      </c>
      <c r="E492" s="322">
        <f>Councils!E495</f>
        <v>212</v>
      </c>
      <c r="F492" s="322">
        <f>Councils!F495</f>
        <v>10</v>
      </c>
      <c r="G492" s="322">
        <f>Councils!G495</f>
        <v>0</v>
      </c>
      <c r="H492" s="322">
        <f>Councils!H495</f>
        <v>0</v>
      </c>
      <c r="I492" s="322">
        <f>Councils!I495</f>
        <v>0</v>
      </c>
      <c r="J492" s="322">
        <f>Councils!J495</f>
        <v>0</v>
      </c>
      <c r="K492" s="322">
        <f>Councils!K495</f>
        <v>0</v>
      </c>
      <c r="L492" s="322">
        <f>Councils!L495</f>
        <v>0</v>
      </c>
      <c r="M492" s="323">
        <f>Councils!M495</f>
        <v>0</v>
      </c>
      <c r="N492" s="322">
        <f>Councils!O495</f>
        <v>0</v>
      </c>
      <c r="O492" s="322">
        <f>Councils!P495</f>
        <v>0</v>
      </c>
      <c r="P492" s="322">
        <f>Councils!Q495</f>
        <v>0</v>
      </c>
      <c r="Q492" s="322">
        <f>Councils!R495</f>
        <v>0</v>
      </c>
      <c r="R492" s="322">
        <f>Councils!S495</f>
        <v>0</v>
      </c>
      <c r="S492" s="322">
        <f>Councils!T495</f>
        <v>2</v>
      </c>
      <c r="T492" s="322">
        <f>Councils!U495</f>
        <v>-2</v>
      </c>
      <c r="U492" s="323">
        <f>Councils!V495</f>
        <v>0</v>
      </c>
      <c r="V492" s="376">
        <v>90</v>
      </c>
      <c r="W492" s="377">
        <f t="shared" si="7"/>
        <v>1</v>
      </c>
      <c r="X492" s="378" t="str">
        <f>IF(ISNA(VLOOKUP($A492,GA!$A$1:$D$834,3,0))," ",VLOOKUP($A492,GA!$A$1:$D$834,3,0))</f>
        <v>Rangel</v>
      </c>
      <c r="Y492" s="379" t="str">
        <f>IF(ISNA(VLOOKUP($A492,Dormant_Councils!$A$1:$E$811,5,0)),"No",VLOOKUP($A492,Dormant_Councils!$A$1:$E$811,5,0))</f>
        <v>No</v>
      </c>
      <c r="Z492" s="381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22" t="str">
        <f>Councils!C496</f>
        <v>230</v>
      </c>
      <c r="C493" s="322" t="str">
        <f>Councils!D496</f>
        <v>Midland</v>
      </c>
      <c r="D493" s="322" t="str">
        <f>IF(ISNA(VLOOKUP($V493,DD_Info!$A$1:$E$221,3,0)),0,VLOOKUP($V493,DD_Info!$A$1:$E$221,3,0))</f>
        <v>San Angelo</v>
      </c>
      <c r="E493" s="322">
        <f>Councils!E496</f>
        <v>14</v>
      </c>
      <c r="F493" s="322">
        <f>Councils!F496</f>
        <v>11</v>
      </c>
      <c r="G493" s="322">
        <f>Councils!G496</f>
        <v>0</v>
      </c>
      <c r="H493" s="322">
        <f>Councils!H496</f>
        <v>0</v>
      </c>
      <c r="I493" s="322">
        <f>Councils!I496</f>
        <v>0</v>
      </c>
      <c r="J493" s="322">
        <f>Councils!J496</f>
        <v>0</v>
      </c>
      <c r="K493" s="322">
        <f>Councils!K496</f>
        <v>0</v>
      </c>
      <c r="L493" s="322">
        <f>Councils!L496</f>
        <v>0</v>
      </c>
      <c r="M493" s="323">
        <f>Councils!M496</f>
        <v>0</v>
      </c>
      <c r="N493" s="322">
        <f>Councils!O496</f>
        <v>0</v>
      </c>
      <c r="O493" s="322">
        <f>Councils!P496</f>
        <v>0</v>
      </c>
      <c r="P493" s="322">
        <f>Councils!Q496</f>
        <v>0</v>
      </c>
      <c r="Q493" s="322">
        <f>Councils!R496</f>
        <v>0</v>
      </c>
      <c r="R493" s="322">
        <f>Councils!S496</f>
        <v>0</v>
      </c>
      <c r="S493" s="322">
        <f>Councils!T496</f>
        <v>0</v>
      </c>
      <c r="T493" s="322">
        <f>Councils!U496</f>
        <v>0</v>
      </c>
      <c r="U493" s="323">
        <f>Councils!V496</f>
        <v>0</v>
      </c>
      <c r="V493" s="376">
        <v>230</v>
      </c>
      <c r="W493" s="377">
        <f t="shared" si="7"/>
        <v>3</v>
      </c>
      <c r="X493" s="378" t="str">
        <f>IF(ISNA(VLOOKUP($A493,GA!$A$1:$D$834,3,0))," ",VLOOKUP($A493,GA!$A$1:$D$834,3,0))</f>
        <v>Payne</v>
      </c>
      <c r="Y493" s="379" t="str">
        <f>IF(ISNA(VLOOKUP($A493,Dormant_Councils!$A$1:$E$811,5,0)),"No",VLOOKUP($A493,Dormant_Councils!$A$1:$E$811,5,0))</f>
        <v>Dormant</v>
      </c>
      <c r="Z493" s="381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22" t="str">
        <f>Councils!C497</f>
        <v>193</v>
      </c>
      <c r="C494" s="322" t="str">
        <f>Councils!D497</f>
        <v>Bloomington</v>
      </c>
      <c r="D494" s="322" t="str">
        <f>IF(ISNA(VLOOKUP($V494,DD_Info!$A$1:$E$221,3,0)),0,VLOOKUP($V494,DD_Info!$A$1:$E$221,3,0))</f>
        <v>Victoria</v>
      </c>
      <c r="E494" s="322">
        <f>Councils!E497</f>
        <v>62</v>
      </c>
      <c r="F494" s="322">
        <f>Councils!F497</f>
        <v>3</v>
      </c>
      <c r="G494" s="322">
        <f>Councils!G497</f>
        <v>0</v>
      </c>
      <c r="H494" s="322">
        <f>Councils!H497</f>
        <v>0</v>
      </c>
      <c r="I494" s="322">
        <f>Councils!I497</f>
        <v>0</v>
      </c>
      <c r="J494" s="322">
        <f>Councils!J497</f>
        <v>0</v>
      </c>
      <c r="K494" s="322">
        <f>Councils!K497</f>
        <v>0</v>
      </c>
      <c r="L494" s="322">
        <f>Councils!L497</f>
        <v>0</v>
      </c>
      <c r="M494" s="323">
        <f>Councils!M497</f>
        <v>0</v>
      </c>
      <c r="N494" s="322">
        <f>Councils!O497</f>
        <v>0</v>
      </c>
      <c r="O494" s="322">
        <f>Councils!P497</f>
        <v>0</v>
      </c>
      <c r="P494" s="322">
        <f>Councils!Q497</f>
        <v>0</v>
      </c>
      <c r="Q494" s="322">
        <f>Councils!R497</f>
        <v>0</v>
      </c>
      <c r="R494" s="322">
        <f>Councils!S497</f>
        <v>0</v>
      </c>
      <c r="S494" s="322">
        <f>Councils!T497</f>
        <v>0</v>
      </c>
      <c r="T494" s="322">
        <f>Councils!U497</f>
        <v>0</v>
      </c>
      <c r="U494" s="323">
        <f>Councils!V497</f>
        <v>0</v>
      </c>
      <c r="V494" s="376">
        <v>193</v>
      </c>
      <c r="W494" s="377">
        <f t="shared" si="7"/>
        <v>3</v>
      </c>
      <c r="X494" s="378" t="str">
        <f>IF(ISNA(VLOOKUP($A494,GA!$A$1:$D$834,3,0))," ",VLOOKUP($A494,GA!$A$1:$D$834,3,0))</f>
        <v>Supak</v>
      </c>
      <c r="Y494" s="379" t="str">
        <f>IF(ISNA(VLOOKUP($A494,Dormant_Councils!$A$1:$E$811,5,0)),"No",VLOOKUP($A494,Dormant_Councils!$A$1:$E$811,5,0))</f>
        <v>No</v>
      </c>
      <c r="Z494" s="381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22" t="str">
        <f>Councils!C498</f>
        <v>180</v>
      </c>
      <c r="C495" s="322" t="str">
        <f>Councils!D498</f>
        <v>Sinton</v>
      </c>
      <c r="D495" s="322" t="str">
        <f>IF(ISNA(VLOOKUP($V495,DD_Info!$A$1:$E$221,3,0)),0,VLOOKUP($V495,DD_Info!$A$1:$E$221,3,0))</f>
        <v>Corpus Christi</v>
      </c>
      <c r="E495" s="322">
        <f>Councils!E498</f>
        <v>56</v>
      </c>
      <c r="F495" s="322">
        <f>Councils!F498</f>
        <v>3</v>
      </c>
      <c r="G495" s="322">
        <f>Councils!G498</f>
        <v>0</v>
      </c>
      <c r="H495" s="322">
        <f>Councils!H498</f>
        <v>0</v>
      </c>
      <c r="I495" s="322">
        <f>Councils!I498</f>
        <v>0</v>
      </c>
      <c r="J495" s="322">
        <f>Councils!J498</f>
        <v>0</v>
      </c>
      <c r="K495" s="322">
        <f>Councils!K498</f>
        <v>0</v>
      </c>
      <c r="L495" s="322">
        <f>Councils!L498</f>
        <v>0</v>
      </c>
      <c r="M495" s="323">
        <f>Councils!M498</f>
        <v>0</v>
      </c>
      <c r="N495" s="322">
        <f>Councils!O498</f>
        <v>0</v>
      </c>
      <c r="O495" s="322">
        <f>Councils!P498</f>
        <v>0</v>
      </c>
      <c r="P495" s="322">
        <f>Councils!Q498</f>
        <v>0</v>
      </c>
      <c r="Q495" s="322">
        <f>Councils!R498</f>
        <v>0</v>
      </c>
      <c r="R495" s="322">
        <f>Councils!S498</f>
        <v>0</v>
      </c>
      <c r="S495" s="322">
        <f>Councils!T498</f>
        <v>0</v>
      </c>
      <c r="T495" s="322">
        <f>Councils!U498</f>
        <v>0</v>
      </c>
      <c r="U495" s="323">
        <f>Councils!V498</f>
        <v>0</v>
      </c>
      <c r="V495" s="376">
        <v>180</v>
      </c>
      <c r="W495" s="377">
        <f t="shared" si="7"/>
        <v>3</v>
      </c>
      <c r="X495" s="378" t="str">
        <f>IF(ISNA(VLOOKUP($A495,GA!$A$1:$D$834,3,0))," ",VLOOKUP($A495,GA!$A$1:$D$834,3,0))</f>
        <v>Carlin</v>
      </c>
      <c r="Y495" s="379" t="str">
        <f>IF(ISNA(VLOOKUP($A495,Dormant_Councils!$A$1:$E$811,5,0)),"No",VLOOKUP($A495,Dormant_Councils!$A$1:$E$811,5,0))</f>
        <v>Dormant</v>
      </c>
      <c r="Z495" s="381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22" t="str">
        <f>Councils!C499</f>
        <v>155</v>
      </c>
      <c r="C496" s="322" t="str">
        <f>Councils!D499</f>
        <v>Austin</v>
      </c>
      <c r="D496" s="322" t="str">
        <f>IF(ISNA(VLOOKUP($V496,DD_Info!$A$1:$E$221,3,0)),0,VLOOKUP($V496,DD_Info!$A$1:$E$221,3,0))</f>
        <v>Austin</v>
      </c>
      <c r="E496" s="322">
        <f>Councils!E499</f>
        <v>82</v>
      </c>
      <c r="F496" s="322">
        <f>Councils!F499</f>
        <v>4</v>
      </c>
      <c r="G496" s="322">
        <f>Councils!G499</f>
        <v>0</v>
      </c>
      <c r="H496" s="322">
        <f>Councils!H499</f>
        <v>0</v>
      </c>
      <c r="I496" s="322">
        <f>Councils!I499</f>
        <v>0</v>
      </c>
      <c r="J496" s="322">
        <f>Councils!J499</f>
        <v>1</v>
      </c>
      <c r="K496" s="322">
        <f>Councils!K499</f>
        <v>1</v>
      </c>
      <c r="L496" s="322">
        <f>Councils!L499</f>
        <v>0</v>
      </c>
      <c r="M496" s="323">
        <f>Councils!M499</f>
        <v>0</v>
      </c>
      <c r="N496" s="322">
        <f>Councils!O499</f>
        <v>0</v>
      </c>
      <c r="O496" s="322">
        <f>Councils!P499</f>
        <v>0</v>
      </c>
      <c r="P496" s="322">
        <f>Councils!Q499</f>
        <v>0</v>
      </c>
      <c r="Q496" s="322">
        <f>Councils!R499</f>
        <v>0</v>
      </c>
      <c r="R496" s="322">
        <f>Councils!S499</f>
        <v>0</v>
      </c>
      <c r="S496" s="322">
        <f>Councils!T499</f>
        <v>0</v>
      </c>
      <c r="T496" s="322">
        <f>Councils!U499</f>
        <v>0</v>
      </c>
      <c r="U496" s="323">
        <f>Councils!V499</f>
        <v>0</v>
      </c>
      <c r="V496" s="376">
        <v>155</v>
      </c>
      <c r="W496" s="377">
        <f t="shared" si="7"/>
        <v>2</v>
      </c>
      <c r="X496" s="378" t="str">
        <f>IF(ISNA(VLOOKUP($A496,GA!$A$1:$D$834,3,0))," ",VLOOKUP($A496,GA!$A$1:$D$834,3,0))</f>
        <v>Rangel</v>
      </c>
      <c r="Y496" s="379" t="str">
        <f>IF(ISNA(VLOOKUP($A496,Dormant_Councils!$A$1:$E$811,5,0)),"No",VLOOKUP($A496,Dormant_Councils!$A$1:$E$811,5,0))</f>
        <v>No</v>
      </c>
      <c r="Z496" s="381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22" t="str">
        <f>Councils!C500</f>
        <v>073</v>
      </c>
      <c r="C497" s="322" t="str">
        <f>Councils!D500</f>
        <v>Houston</v>
      </c>
      <c r="D497" s="322" t="str">
        <f>IF(ISNA(VLOOKUP($V497,DD_Info!$A$1:$E$221,3,0)),0,VLOOKUP($V497,DD_Info!$A$1:$E$221,3,0))</f>
        <v>Galv/Hous</v>
      </c>
      <c r="E497" s="322">
        <f>Councils!E500</f>
        <v>88</v>
      </c>
      <c r="F497" s="322">
        <f>Councils!F500</f>
        <v>4</v>
      </c>
      <c r="G497" s="322">
        <f>Councils!G500</f>
        <v>0</v>
      </c>
      <c r="H497" s="322">
        <f>Councils!H500</f>
        <v>0</v>
      </c>
      <c r="I497" s="322">
        <f>Councils!I500</f>
        <v>0</v>
      </c>
      <c r="J497" s="322">
        <f>Councils!J500</f>
        <v>0</v>
      </c>
      <c r="K497" s="322">
        <f>Councils!K500</f>
        <v>0</v>
      </c>
      <c r="L497" s="322">
        <f>Councils!L500</f>
        <v>0</v>
      </c>
      <c r="M497" s="323">
        <f>Councils!M500</f>
        <v>0</v>
      </c>
      <c r="N497" s="322">
        <f>Councils!O500</f>
        <v>0</v>
      </c>
      <c r="O497" s="322">
        <f>Councils!P500</f>
        <v>0</v>
      </c>
      <c r="P497" s="322">
        <f>Councils!Q500</f>
        <v>1</v>
      </c>
      <c r="Q497" s="322">
        <f>Councils!R500</f>
        <v>-1</v>
      </c>
      <c r="R497" s="322">
        <f>Councils!S500</f>
        <v>0</v>
      </c>
      <c r="S497" s="322">
        <f>Councils!T500</f>
        <v>1</v>
      </c>
      <c r="T497" s="322">
        <f>Councils!U500</f>
        <v>-1</v>
      </c>
      <c r="U497" s="323">
        <f>Councils!V500</f>
        <v>0</v>
      </c>
      <c r="V497" s="376">
        <v>73</v>
      </c>
      <c r="W497" s="377">
        <f t="shared" si="7"/>
        <v>2</v>
      </c>
      <c r="X497" s="378" t="str">
        <f>IF(ISNA(VLOOKUP($A497,GA!$A$1:$D$834,3,0))," ",VLOOKUP($A497,GA!$A$1:$D$834,3,0))</f>
        <v>Rangel</v>
      </c>
      <c r="Y497" s="379" t="str">
        <f>IF(ISNA(VLOOKUP($A497,Dormant_Councils!$A$1:$E$811,5,0)),"No",VLOOKUP($A497,Dormant_Councils!$A$1:$E$811,5,0))</f>
        <v>No</v>
      </c>
      <c r="Z497" s="381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22" t="str">
        <f>Councils!C501</f>
        <v>013</v>
      </c>
      <c r="C498" s="322" t="str">
        <f>Councils!D501</f>
        <v>El Paso</v>
      </c>
      <c r="D498" s="322" t="str">
        <f>IF(ISNA(VLOOKUP($V498,DD_Info!$A$1:$E$221,3,0)),0,VLOOKUP($V498,DD_Info!$A$1:$E$221,3,0))</f>
        <v>El Paso</v>
      </c>
      <c r="E498" s="322">
        <f>Councils!E501</f>
        <v>50</v>
      </c>
      <c r="F498" s="322">
        <f>Councils!F501</f>
        <v>3</v>
      </c>
      <c r="G498" s="322">
        <f>Councils!G501</f>
        <v>0</v>
      </c>
      <c r="H498" s="322">
        <f>Councils!H501</f>
        <v>0</v>
      </c>
      <c r="I498" s="322">
        <f>Councils!I501</f>
        <v>0</v>
      </c>
      <c r="J498" s="322">
        <f>Councils!J501</f>
        <v>0</v>
      </c>
      <c r="K498" s="322">
        <f>Councils!K501</f>
        <v>0</v>
      </c>
      <c r="L498" s="322">
        <f>Councils!L501</f>
        <v>0</v>
      </c>
      <c r="M498" s="323">
        <f>Councils!M501</f>
        <v>0</v>
      </c>
      <c r="N498" s="322">
        <f>Councils!O501</f>
        <v>0</v>
      </c>
      <c r="O498" s="322">
        <f>Councils!P501</f>
        <v>0</v>
      </c>
      <c r="P498" s="322">
        <f>Councils!Q501</f>
        <v>1</v>
      </c>
      <c r="Q498" s="322">
        <f>Councils!R501</f>
        <v>-1</v>
      </c>
      <c r="R498" s="322">
        <f>Councils!S501</f>
        <v>0</v>
      </c>
      <c r="S498" s="322">
        <f>Councils!T501</f>
        <v>1</v>
      </c>
      <c r="T498" s="322">
        <f>Councils!U501</f>
        <v>-1</v>
      </c>
      <c r="U498" s="323">
        <f>Councils!V501</f>
        <v>0</v>
      </c>
      <c r="V498" s="376">
        <v>13</v>
      </c>
      <c r="W498" s="377">
        <f t="shared" si="7"/>
        <v>3</v>
      </c>
      <c r="X498" s="378" t="str">
        <f>IF(ISNA(VLOOKUP($A498,GA!$A$1:$D$834,3,0))," ",VLOOKUP($A498,GA!$A$1:$D$834,3,0))</f>
        <v>Payne</v>
      </c>
      <c r="Y498" s="379" t="str">
        <f>IF(ISNA(VLOOKUP($A498,Dormant_Councils!$A$1:$E$811,5,0)),"No",VLOOKUP($A498,Dormant_Councils!$A$1:$E$811,5,0))</f>
        <v>No</v>
      </c>
      <c r="Z498" s="381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22" t="str">
        <f>Councils!C502</f>
        <v>134</v>
      </c>
      <c r="C499" s="322" t="str">
        <f>Councils!D502</f>
        <v>Nacogdoches</v>
      </c>
      <c r="D499" s="322" t="str">
        <f>IF(ISNA(VLOOKUP($V499,DD_Info!$A$1:$E$221,3,0)),0,VLOOKUP($V499,DD_Info!$A$1:$E$221,3,0))</f>
        <v>Tyler</v>
      </c>
      <c r="E499" s="322">
        <f>Councils!E502</f>
        <v>43</v>
      </c>
      <c r="F499" s="322">
        <f>Councils!F502</f>
        <v>3</v>
      </c>
      <c r="G499" s="322">
        <f>Councils!G502</f>
        <v>0</v>
      </c>
      <c r="H499" s="322">
        <f>Councils!H502</f>
        <v>0</v>
      </c>
      <c r="I499" s="322">
        <f>Councils!I502</f>
        <v>0</v>
      </c>
      <c r="J499" s="322">
        <f>Councils!J502</f>
        <v>8</v>
      </c>
      <c r="K499" s="322">
        <f>Councils!K502</f>
        <v>0</v>
      </c>
      <c r="L499" s="322">
        <f>Councils!L502</f>
        <v>8</v>
      </c>
      <c r="M499" s="323">
        <f>Councils!M502</f>
        <v>266.67</v>
      </c>
      <c r="N499" s="322">
        <f>Councils!O502</f>
        <v>0</v>
      </c>
      <c r="O499" s="322">
        <f>Councils!P502</f>
        <v>0</v>
      </c>
      <c r="P499" s="322">
        <f>Councils!Q502</f>
        <v>0</v>
      </c>
      <c r="Q499" s="322">
        <f>Councils!R502</f>
        <v>0</v>
      </c>
      <c r="R499" s="322">
        <f>Councils!S502</f>
        <v>1</v>
      </c>
      <c r="S499" s="322">
        <f>Councils!T502</f>
        <v>0</v>
      </c>
      <c r="T499" s="322">
        <f>Councils!U502</f>
        <v>1</v>
      </c>
      <c r="U499" s="323">
        <f>Councils!V502</f>
        <v>0</v>
      </c>
      <c r="V499" s="376">
        <v>134</v>
      </c>
      <c r="W499" s="377">
        <f t="shared" si="7"/>
        <v>3</v>
      </c>
      <c r="X499" s="378" t="str">
        <f>IF(ISNA(VLOOKUP($A499,GA!$A$1:$D$834,3,0))," ",VLOOKUP($A499,GA!$A$1:$D$834,3,0))</f>
        <v>Regan</v>
      </c>
      <c r="Y499" s="379" t="str">
        <f>IF(ISNA(VLOOKUP($A499,Dormant_Councils!$A$1:$E$811,5,0)),"No",VLOOKUP($A499,Dormant_Councils!$A$1:$E$811,5,0))</f>
        <v>No</v>
      </c>
      <c r="Z499" s="381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22" t="str">
        <f>Councils!C503</f>
        <v>017</v>
      </c>
      <c r="C500" s="322" t="str">
        <f>Councils!D503</f>
        <v>Stephenville</v>
      </c>
      <c r="D500" s="322" t="str">
        <f>IF(ISNA(VLOOKUP($V500,DD_Info!$A$1:$E$221,3,0)),0,VLOOKUP($V500,DD_Info!$A$1:$E$221,3,0))</f>
        <v>Fort Worth</v>
      </c>
      <c r="E500" s="322">
        <f>Councils!E503</f>
        <v>194</v>
      </c>
      <c r="F500" s="322">
        <f>Councils!F503</f>
        <v>9</v>
      </c>
      <c r="G500" s="322">
        <f>Councils!G503</f>
        <v>0</v>
      </c>
      <c r="H500" s="322">
        <f>Councils!H503</f>
        <v>0</v>
      </c>
      <c r="I500" s="322">
        <f>Councils!I503</f>
        <v>0</v>
      </c>
      <c r="J500" s="322">
        <f>Councils!J503</f>
        <v>0</v>
      </c>
      <c r="K500" s="322">
        <f>Councils!K503</f>
        <v>0</v>
      </c>
      <c r="L500" s="322">
        <f>Councils!L503</f>
        <v>0</v>
      </c>
      <c r="M500" s="323">
        <f>Councils!M503</f>
        <v>0</v>
      </c>
      <c r="N500" s="322">
        <f>Councils!O503</f>
        <v>0</v>
      </c>
      <c r="O500" s="322">
        <f>Councils!P503</f>
        <v>0</v>
      </c>
      <c r="P500" s="322">
        <f>Councils!Q503</f>
        <v>1</v>
      </c>
      <c r="Q500" s="322">
        <f>Councils!R503</f>
        <v>-1</v>
      </c>
      <c r="R500" s="322">
        <f>Councils!S503</f>
        <v>2</v>
      </c>
      <c r="S500" s="322">
        <f>Councils!T503</f>
        <v>1</v>
      </c>
      <c r="T500" s="322">
        <f>Councils!U503</f>
        <v>1</v>
      </c>
      <c r="U500" s="323">
        <f>Councils!V503</f>
        <v>0</v>
      </c>
      <c r="V500" s="376">
        <v>17</v>
      </c>
      <c r="W500" s="377">
        <f t="shared" si="7"/>
        <v>1</v>
      </c>
      <c r="X500" s="378" t="str">
        <f>IF(ISNA(VLOOKUP($A500,GA!$A$1:$D$834,3,0))," ",VLOOKUP($A500,GA!$A$1:$D$834,3,0))</f>
        <v>Stark</v>
      </c>
      <c r="Y500" s="379" t="str">
        <f>IF(ISNA(VLOOKUP($A500,Dormant_Councils!$A$1:$E$811,5,0)),"No",VLOOKUP($A500,Dormant_Councils!$A$1:$E$811,5,0))</f>
        <v>No</v>
      </c>
      <c r="Z500" s="381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22" t="str">
        <f>Councils!C504</f>
        <v>155</v>
      </c>
      <c r="C501" s="322" t="str">
        <f>Councils!D504</f>
        <v>Austin</v>
      </c>
      <c r="D501" s="322" t="str">
        <f>IF(ISNA(VLOOKUP($V501,DD_Info!$A$1:$E$221,3,0)),0,VLOOKUP($V501,DD_Info!$A$1:$E$221,3,0))</f>
        <v>Austin</v>
      </c>
      <c r="E501" s="322">
        <f>Councils!E504</f>
        <v>256</v>
      </c>
      <c r="F501" s="322">
        <f>Councils!F504</f>
        <v>13</v>
      </c>
      <c r="G501" s="322">
        <f>Councils!G504</f>
        <v>1</v>
      </c>
      <c r="H501" s="322">
        <f>Councils!H504</f>
        <v>0</v>
      </c>
      <c r="I501" s="322">
        <f>Councils!I504</f>
        <v>1</v>
      </c>
      <c r="J501" s="322">
        <f>Councils!J504</f>
        <v>1</v>
      </c>
      <c r="K501" s="322">
        <f>Councils!K504</f>
        <v>0</v>
      </c>
      <c r="L501" s="322">
        <f>Councils!L504</f>
        <v>1</v>
      </c>
      <c r="M501" s="323">
        <f>Councils!M504</f>
        <v>7.69</v>
      </c>
      <c r="N501" s="322">
        <f>Councils!O504</f>
        <v>0</v>
      </c>
      <c r="O501" s="322">
        <f>Councils!P504</f>
        <v>0</v>
      </c>
      <c r="P501" s="322">
        <f>Councils!Q504</f>
        <v>0</v>
      </c>
      <c r="Q501" s="322">
        <f>Councils!R504</f>
        <v>0</v>
      </c>
      <c r="R501" s="322">
        <f>Councils!S504</f>
        <v>1</v>
      </c>
      <c r="S501" s="322">
        <f>Councils!T504</f>
        <v>0</v>
      </c>
      <c r="T501" s="322">
        <f>Councils!U504</f>
        <v>1</v>
      </c>
      <c r="U501" s="323">
        <f>Councils!V504</f>
        <v>0</v>
      </c>
      <c r="V501" s="376">
        <v>155</v>
      </c>
      <c r="W501" s="377">
        <f t="shared" si="7"/>
        <v>1</v>
      </c>
      <c r="X501" s="378" t="str">
        <f>IF(ISNA(VLOOKUP($A501,GA!$A$1:$D$834,3,0))," ",VLOOKUP($A501,GA!$A$1:$D$834,3,0))</f>
        <v>Britten</v>
      </c>
      <c r="Y501" s="379" t="str">
        <f>IF(ISNA(VLOOKUP($A501,Dormant_Councils!$A$1:$E$811,5,0)),"No",VLOOKUP($A501,Dormant_Councils!$A$1:$E$811,5,0))</f>
        <v>No</v>
      </c>
      <c r="Z501" s="381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22" t="str">
        <f>Councils!C505</f>
        <v>091</v>
      </c>
      <c r="C502" s="322" t="str">
        <f>Councils!D505</f>
        <v>Spring</v>
      </c>
      <c r="D502" s="322" t="str">
        <f>IF(ISNA(VLOOKUP($V502,DD_Info!$A$1:$E$221,3,0)),0,VLOOKUP($V502,DD_Info!$A$1:$E$221,3,0))</f>
        <v>Galv/Hous</v>
      </c>
      <c r="E502" s="322">
        <f>Councils!E505</f>
        <v>527</v>
      </c>
      <c r="F502" s="322">
        <f>Councils!F505</f>
        <v>20</v>
      </c>
      <c r="G502" s="322">
        <f>Councils!G505</f>
        <v>0</v>
      </c>
      <c r="H502" s="322">
        <f>Councils!H505</f>
        <v>1</v>
      </c>
      <c r="I502" s="322">
        <f>Councils!I505</f>
        <v>-1</v>
      </c>
      <c r="J502" s="322">
        <f>Councils!J505</f>
        <v>4</v>
      </c>
      <c r="K502" s="322">
        <f>Councils!K505</f>
        <v>2</v>
      </c>
      <c r="L502" s="322">
        <f>Councils!L505</f>
        <v>2</v>
      </c>
      <c r="M502" s="323">
        <f>Councils!M505</f>
        <v>10</v>
      </c>
      <c r="N502" s="322">
        <f>Councils!O505</f>
        <v>0</v>
      </c>
      <c r="O502" s="322">
        <f>Councils!P505</f>
        <v>1</v>
      </c>
      <c r="P502" s="322">
        <f>Councils!Q505</f>
        <v>2</v>
      </c>
      <c r="Q502" s="322">
        <f>Councils!R505</f>
        <v>-1</v>
      </c>
      <c r="R502" s="322">
        <f>Councils!S505</f>
        <v>4</v>
      </c>
      <c r="S502" s="322">
        <f>Councils!T505</f>
        <v>9</v>
      </c>
      <c r="T502" s="322">
        <f>Councils!U505</f>
        <v>-5</v>
      </c>
      <c r="U502" s="323">
        <f>Councils!V505</f>
        <v>0</v>
      </c>
      <c r="V502" s="376">
        <v>91</v>
      </c>
      <c r="W502" s="377">
        <f t="shared" si="7"/>
        <v>1</v>
      </c>
      <c r="X502" s="378" t="str">
        <f>IF(ISNA(VLOOKUP($A502,GA!$A$1:$D$834,3,0))," ",VLOOKUP($A502,GA!$A$1:$D$834,3,0))</f>
        <v>Rangel</v>
      </c>
      <c r="Y502" s="379" t="str">
        <f>IF(ISNA(VLOOKUP($A502,Dormant_Councils!$A$1:$E$811,5,0)),"No",VLOOKUP($A502,Dormant_Councils!$A$1:$E$811,5,0))</f>
        <v>No</v>
      </c>
      <c r="Z502" s="381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22" t="str">
        <f>Councils!C506</f>
        <v>005</v>
      </c>
      <c r="C503" s="322" t="str">
        <f>Councils!D506</f>
        <v>El Paso</v>
      </c>
      <c r="D503" s="322" t="str">
        <f>IF(ISNA(VLOOKUP($V503,DD_Info!$A$1:$E$221,3,0)),0,VLOOKUP($V503,DD_Info!$A$1:$E$221,3,0))</f>
        <v>El Paso</v>
      </c>
      <c r="E503" s="322">
        <f>Councils!E506</f>
        <v>44</v>
      </c>
      <c r="F503" s="322">
        <f>Councils!F506</f>
        <v>3</v>
      </c>
      <c r="G503" s="322">
        <f>Councils!G506</f>
        <v>0</v>
      </c>
      <c r="H503" s="322">
        <f>Councils!H506</f>
        <v>0</v>
      </c>
      <c r="I503" s="322">
        <f>Councils!I506</f>
        <v>0</v>
      </c>
      <c r="J503" s="322">
        <f>Councils!J506</f>
        <v>0</v>
      </c>
      <c r="K503" s="322">
        <f>Councils!K506</f>
        <v>0</v>
      </c>
      <c r="L503" s="322">
        <f>Councils!L506</f>
        <v>0</v>
      </c>
      <c r="M503" s="323">
        <f>Councils!M506</f>
        <v>0</v>
      </c>
      <c r="N503" s="322">
        <f>Councils!O506</f>
        <v>0</v>
      </c>
      <c r="O503" s="322">
        <f>Councils!P506</f>
        <v>0</v>
      </c>
      <c r="P503" s="322">
        <f>Councils!Q506</f>
        <v>0</v>
      </c>
      <c r="Q503" s="322">
        <f>Councils!R506</f>
        <v>0</v>
      </c>
      <c r="R503" s="322">
        <f>Councils!S506</f>
        <v>0</v>
      </c>
      <c r="S503" s="322">
        <f>Councils!T506</f>
        <v>0</v>
      </c>
      <c r="T503" s="322">
        <f>Councils!U506</f>
        <v>0</v>
      </c>
      <c r="U503" s="323">
        <f>Councils!V506</f>
        <v>0</v>
      </c>
      <c r="V503" s="376">
        <v>5</v>
      </c>
      <c r="W503" s="377">
        <f t="shared" si="7"/>
        <v>3</v>
      </c>
      <c r="X503" s="378" t="str">
        <f>IF(ISNA(VLOOKUP($A503,GA!$A$1:$D$834,3,0))," ",VLOOKUP($A503,GA!$A$1:$D$834,3,0))</f>
        <v>Payne</v>
      </c>
      <c r="Y503" s="379" t="str">
        <f>IF(ISNA(VLOOKUP($A503,Dormant_Councils!$A$1:$E$811,5,0)),"No",VLOOKUP($A503,Dormant_Councils!$A$1:$E$811,5,0))</f>
        <v>Dormant</v>
      </c>
      <c r="Z503" s="381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22" t="str">
        <f>Councils!C507</f>
        <v>093</v>
      </c>
      <c r="C504" s="322" t="str">
        <f>Councils!D507</f>
        <v>Spring</v>
      </c>
      <c r="D504" s="322" t="str">
        <f>IF(ISNA(VLOOKUP($V504,DD_Info!$A$1:$E$221,3,0)),0,VLOOKUP($V504,DD_Info!$A$1:$E$221,3,0))</f>
        <v>Galv/Hous</v>
      </c>
      <c r="E504" s="322">
        <f>Councils!E507</f>
        <v>303</v>
      </c>
      <c r="F504" s="322">
        <f>Councils!F507</f>
        <v>14</v>
      </c>
      <c r="G504" s="322">
        <f>Councils!G507</f>
        <v>1</v>
      </c>
      <c r="H504" s="322">
        <f>Councils!H507</f>
        <v>0</v>
      </c>
      <c r="I504" s="322">
        <f>Councils!I507</f>
        <v>1</v>
      </c>
      <c r="J504" s="322">
        <f>Councils!J507</f>
        <v>2</v>
      </c>
      <c r="K504" s="322">
        <f>Councils!K507</f>
        <v>0</v>
      </c>
      <c r="L504" s="322">
        <f>Councils!L507</f>
        <v>2</v>
      </c>
      <c r="M504" s="323">
        <f>Councils!M507</f>
        <v>14.29</v>
      </c>
      <c r="N504" s="322">
        <f>Councils!O507</f>
        <v>0</v>
      </c>
      <c r="O504" s="322">
        <f>Councils!P507</f>
        <v>0</v>
      </c>
      <c r="P504" s="322">
        <f>Councils!Q507</f>
        <v>1</v>
      </c>
      <c r="Q504" s="322">
        <f>Councils!R507</f>
        <v>-1</v>
      </c>
      <c r="R504" s="322">
        <f>Councils!S507</f>
        <v>2</v>
      </c>
      <c r="S504" s="322">
        <f>Councils!T507</f>
        <v>2</v>
      </c>
      <c r="T504" s="322">
        <f>Councils!U507</f>
        <v>0</v>
      </c>
      <c r="U504" s="323">
        <f>Councils!V507</f>
        <v>0</v>
      </c>
      <c r="V504" s="376">
        <v>93</v>
      </c>
      <c r="W504" s="377">
        <f t="shared" si="7"/>
        <v>1</v>
      </c>
      <c r="X504" s="378" t="str">
        <f>IF(ISNA(VLOOKUP($A504,GA!$A$1:$D$834,3,0))," ",VLOOKUP($A504,GA!$A$1:$D$834,3,0))</f>
        <v>Rangel</v>
      </c>
      <c r="Y504" s="379" t="str">
        <f>IF(ISNA(VLOOKUP($A504,Dormant_Councils!$A$1:$E$811,5,0)),"No",VLOOKUP($A504,Dormant_Councils!$A$1:$E$811,5,0))</f>
        <v>No</v>
      </c>
      <c r="Z504" s="381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22" t="str">
        <f>Councils!C508</f>
        <v>134</v>
      </c>
      <c r="C505" s="322" t="str">
        <f>Councils!D508</f>
        <v>San Augustine</v>
      </c>
      <c r="D505" s="322" t="str">
        <f>IF(ISNA(VLOOKUP($V505,DD_Info!$A$1:$E$221,3,0)),0,VLOOKUP($V505,DD_Info!$A$1:$E$221,3,0))</f>
        <v>Tyler</v>
      </c>
      <c r="E505" s="322">
        <f>Councils!E508</f>
        <v>56</v>
      </c>
      <c r="F505" s="322">
        <f>Councils!F508</f>
        <v>3</v>
      </c>
      <c r="G505" s="322">
        <f>Councils!G508</f>
        <v>0</v>
      </c>
      <c r="H505" s="322">
        <f>Councils!H508</f>
        <v>0</v>
      </c>
      <c r="I505" s="322">
        <f>Councils!I508</f>
        <v>0</v>
      </c>
      <c r="J505" s="322">
        <f>Councils!J508</f>
        <v>0</v>
      </c>
      <c r="K505" s="322">
        <f>Councils!K508</f>
        <v>0</v>
      </c>
      <c r="L505" s="322">
        <f>Councils!L508</f>
        <v>0</v>
      </c>
      <c r="M505" s="323">
        <f>Councils!M508</f>
        <v>0</v>
      </c>
      <c r="N505" s="322">
        <f>Councils!O508</f>
        <v>0</v>
      </c>
      <c r="O505" s="322">
        <f>Councils!P508</f>
        <v>0</v>
      </c>
      <c r="P505" s="322">
        <f>Councils!Q508</f>
        <v>0</v>
      </c>
      <c r="Q505" s="322">
        <f>Councils!R508</f>
        <v>0</v>
      </c>
      <c r="R505" s="322">
        <f>Councils!S508</f>
        <v>0</v>
      </c>
      <c r="S505" s="322">
        <f>Councils!T508</f>
        <v>0</v>
      </c>
      <c r="T505" s="322">
        <f>Councils!U508</f>
        <v>0</v>
      </c>
      <c r="U505" s="323">
        <f>Councils!V508</f>
        <v>0</v>
      </c>
      <c r="V505" s="376">
        <v>134</v>
      </c>
      <c r="W505" s="377">
        <f t="shared" si="7"/>
        <v>3</v>
      </c>
      <c r="X505" s="378" t="str">
        <f>IF(ISNA(VLOOKUP($A505,GA!$A$1:$D$834,3,0))," ",VLOOKUP($A505,GA!$A$1:$D$834,3,0))</f>
        <v>Regan</v>
      </c>
      <c r="Y505" s="379" t="str">
        <f>IF(ISNA(VLOOKUP($A505,Dormant_Councils!$A$1:$E$811,5,0)),"No",VLOOKUP($A505,Dormant_Councils!$A$1:$E$811,5,0))</f>
        <v>No</v>
      </c>
      <c r="Z505" s="381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22" t="str">
        <f>Councils!C509</f>
        <v>101</v>
      </c>
      <c r="C506" s="322" t="str">
        <f>Councils!D509</f>
        <v>Bonham</v>
      </c>
      <c r="D506" s="322" t="str">
        <f>IF(ISNA(VLOOKUP($V506,DD_Info!$A$1:$E$221,3,0)),0,VLOOKUP($V506,DD_Info!$A$1:$E$221,3,0))</f>
        <v>Dallas</v>
      </c>
      <c r="E506" s="322">
        <f>Councils!E509</f>
        <v>85</v>
      </c>
      <c r="F506" s="322">
        <f>Councils!F509</f>
        <v>4</v>
      </c>
      <c r="G506" s="322">
        <f>Councils!G509</f>
        <v>0</v>
      </c>
      <c r="H506" s="322">
        <f>Councils!H509</f>
        <v>0</v>
      </c>
      <c r="I506" s="322">
        <f>Councils!I509</f>
        <v>0</v>
      </c>
      <c r="J506" s="322">
        <f>Councils!J509</f>
        <v>0</v>
      </c>
      <c r="K506" s="322">
        <f>Councils!K509</f>
        <v>0</v>
      </c>
      <c r="L506" s="322">
        <f>Councils!L509</f>
        <v>0</v>
      </c>
      <c r="M506" s="323">
        <f>Councils!M509</f>
        <v>0</v>
      </c>
      <c r="N506" s="322">
        <f>Councils!O509</f>
        <v>0</v>
      </c>
      <c r="O506" s="322">
        <f>Councils!P509</f>
        <v>0</v>
      </c>
      <c r="P506" s="322">
        <f>Councils!Q509</f>
        <v>0</v>
      </c>
      <c r="Q506" s="322">
        <f>Councils!R509</f>
        <v>0</v>
      </c>
      <c r="R506" s="322">
        <f>Councils!S509</f>
        <v>0</v>
      </c>
      <c r="S506" s="322">
        <f>Councils!T509</f>
        <v>1</v>
      </c>
      <c r="T506" s="322">
        <f>Councils!U509</f>
        <v>-1</v>
      </c>
      <c r="U506" s="323">
        <f>Councils!V509</f>
        <v>0</v>
      </c>
      <c r="V506" s="376">
        <v>101</v>
      </c>
      <c r="W506" s="377">
        <f t="shared" si="7"/>
        <v>2</v>
      </c>
      <c r="X506" s="378" t="str">
        <f>IF(ISNA(VLOOKUP($A506,GA!$A$1:$D$834,3,0))," ",VLOOKUP($A506,GA!$A$1:$D$834,3,0))</f>
        <v>Regan</v>
      </c>
      <c r="Y506" s="379" t="str">
        <f>IF(ISNA(VLOOKUP($A506,Dormant_Councils!$A$1:$E$811,5,0)),"No",VLOOKUP($A506,Dormant_Councils!$A$1:$E$811,5,0))</f>
        <v>No</v>
      </c>
      <c r="Z506" s="381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22" t="str">
        <f>Councils!C510</f>
        <v>215</v>
      </c>
      <c r="C507" s="322" t="str">
        <f>Councils!D510</f>
        <v>Mission</v>
      </c>
      <c r="D507" s="322" t="str">
        <f>IF(ISNA(VLOOKUP($V507,DD_Info!$A$1:$E$221,3,0)),0,VLOOKUP($V507,DD_Info!$A$1:$E$221,3,0))</f>
        <v>Brownsville</v>
      </c>
      <c r="E507" s="322">
        <f>Councils!E510</f>
        <v>45</v>
      </c>
      <c r="F507" s="322">
        <f>Councils!F510</f>
        <v>3</v>
      </c>
      <c r="G507" s="322">
        <f>Councils!G510</f>
        <v>0</v>
      </c>
      <c r="H507" s="322">
        <f>Councils!H510</f>
        <v>0</v>
      </c>
      <c r="I507" s="322">
        <f>Councils!I510</f>
        <v>0</v>
      </c>
      <c r="J507" s="322">
        <f>Councils!J510</f>
        <v>0</v>
      </c>
      <c r="K507" s="322">
        <f>Councils!K510</f>
        <v>0</v>
      </c>
      <c r="L507" s="322">
        <f>Councils!L510</f>
        <v>0</v>
      </c>
      <c r="M507" s="323">
        <f>Councils!M510</f>
        <v>0</v>
      </c>
      <c r="N507" s="322">
        <f>Councils!O510</f>
        <v>0</v>
      </c>
      <c r="O507" s="322">
        <f>Councils!P510</f>
        <v>0</v>
      </c>
      <c r="P507" s="322">
        <f>Councils!Q510</f>
        <v>0</v>
      </c>
      <c r="Q507" s="322">
        <f>Councils!R510</f>
        <v>0</v>
      </c>
      <c r="R507" s="322">
        <f>Councils!S510</f>
        <v>0</v>
      </c>
      <c r="S507" s="322">
        <f>Councils!T510</f>
        <v>0</v>
      </c>
      <c r="T507" s="322">
        <f>Councils!U510</f>
        <v>0</v>
      </c>
      <c r="U507" s="323">
        <f>Councils!V510</f>
        <v>0</v>
      </c>
      <c r="V507" s="376">
        <v>215</v>
      </c>
      <c r="W507" s="377">
        <f t="shared" si="7"/>
        <v>3</v>
      </c>
      <c r="X507" s="378" t="str">
        <f>IF(ISNA(VLOOKUP($A507,GA!$A$1:$D$834,3,0))," ",VLOOKUP($A507,GA!$A$1:$D$834,3,0))</f>
        <v>Carlin</v>
      </c>
      <c r="Y507" s="379" t="str">
        <f>IF(ISNA(VLOOKUP($A507,Dormant_Councils!$A$1:$E$811,5,0)),"No",VLOOKUP($A507,Dormant_Councils!$A$1:$E$811,5,0))</f>
        <v>No</v>
      </c>
      <c r="Z507" s="381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22" t="str">
        <f>Councils!C511</f>
        <v>026</v>
      </c>
      <c r="C508" s="322" t="str">
        <f>Councils!D511</f>
        <v>Ft Worth</v>
      </c>
      <c r="D508" s="322" t="str">
        <f>IF(ISNA(VLOOKUP($V508,DD_Info!$A$1:$E$221,3,0)),0,VLOOKUP($V508,DD_Info!$A$1:$E$221,3,0))</f>
        <v>Fort Worth</v>
      </c>
      <c r="E508" s="322">
        <f>Councils!E511</f>
        <v>209</v>
      </c>
      <c r="F508" s="322">
        <f>Councils!F511</f>
        <v>10</v>
      </c>
      <c r="G508" s="322">
        <f>Councils!G511</f>
        <v>0</v>
      </c>
      <c r="H508" s="322">
        <f>Councils!H511</f>
        <v>0</v>
      </c>
      <c r="I508" s="322">
        <f>Councils!I511</f>
        <v>0</v>
      </c>
      <c r="J508" s="322">
        <f>Councils!J511</f>
        <v>2</v>
      </c>
      <c r="K508" s="322">
        <f>Councils!K511</f>
        <v>0</v>
      </c>
      <c r="L508" s="322">
        <f>Councils!L511</f>
        <v>2</v>
      </c>
      <c r="M508" s="323">
        <f>Councils!M511</f>
        <v>20</v>
      </c>
      <c r="N508" s="322">
        <f>Councils!O511</f>
        <v>0</v>
      </c>
      <c r="O508" s="322">
        <f>Councils!P511</f>
        <v>0</v>
      </c>
      <c r="P508" s="322">
        <f>Councils!Q511</f>
        <v>0</v>
      </c>
      <c r="Q508" s="322">
        <f>Councils!R511</f>
        <v>0</v>
      </c>
      <c r="R508" s="322">
        <f>Councils!S511</f>
        <v>1</v>
      </c>
      <c r="S508" s="322">
        <f>Councils!T511</f>
        <v>2</v>
      </c>
      <c r="T508" s="322">
        <f>Councils!U511</f>
        <v>-1</v>
      </c>
      <c r="U508" s="323">
        <f>Councils!V511</f>
        <v>0</v>
      </c>
      <c r="V508" s="376">
        <v>26</v>
      </c>
      <c r="W508" s="377">
        <f t="shared" si="7"/>
        <v>1</v>
      </c>
      <c r="X508" s="378" t="str">
        <f>IF(ISNA(VLOOKUP($A508,GA!$A$1:$D$834,3,0))," ",VLOOKUP($A508,GA!$A$1:$D$834,3,0))</f>
        <v>Stark</v>
      </c>
      <c r="Y508" s="379" t="str">
        <f>IF(ISNA(VLOOKUP($A508,Dormant_Councils!$A$1:$E$811,5,0)),"No",VLOOKUP($A508,Dormant_Councils!$A$1:$E$811,5,0))</f>
        <v>No</v>
      </c>
      <c r="Z508" s="381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22" t="str">
        <f>Councils!C512</f>
        <v>170</v>
      </c>
      <c r="C509" s="322" t="str">
        <f>Councils!D512</f>
        <v>Corpus Christi</v>
      </c>
      <c r="D509" s="322" t="str">
        <f>IF(ISNA(VLOOKUP($V509,DD_Info!$A$1:$E$221,3,0)),0,VLOOKUP($V509,DD_Info!$A$1:$E$221,3,0))</f>
        <v>Corpus Christi</v>
      </c>
      <c r="E509" s="322">
        <f>Councils!E512</f>
        <v>61</v>
      </c>
      <c r="F509" s="322">
        <f>Councils!F512</f>
        <v>3</v>
      </c>
      <c r="G509" s="322">
        <f>Councils!G512</f>
        <v>0</v>
      </c>
      <c r="H509" s="322">
        <f>Councils!H512</f>
        <v>0</v>
      </c>
      <c r="I509" s="322">
        <f>Councils!I512</f>
        <v>0</v>
      </c>
      <c r="J509" s="322">
        <f>Councils!J512</f>
        <v>0</v>
      </c>
      <c r="K509" s="322">
        <f>Councils!K512</f>
        <v>0</v>
      </c>
      <c r="L509" s="322">
        <f>Councils!L512</f>
        <v>0</v>
      </c>
      <c r="M509" s="323">
        <f>Councils!M512</f>
        <v>0</v>
      </c>
      <c r="N509" s="322">
        <f>Councils!O512</f>
        <v>0</v>
      </c>
      <c r="O509" s="322">
        <f>Councils!P512</f>
        <v>0</v>
      </c>
      <c r="P509" s="322">
        <f>Councils!Q512</f>
        <v>1</v>
      </c>
      <c r="Q509" s="322">
        <f>Councils!R512</f>
        <v>-1</v>
      </c>
      <c r="R509" s="322">
        <f>Councils!S512</f>
        <v>0</v>
      </c>
      <c r="S509" s="322">
        <f>Councils!T512</f>
        <v>1</v>
      </c>
      <c r="T509" s="322">
        <f>Councils!U512</f>
        <v>-1</v>
      </c>
      <c r="U509" s="323">
        <f>Councils!V512</f>
        <v>0</v>
      </c>
      <c r="V509" s="376">
        <v>170</v>
      </c>
      <c r="W509" s="377">
        <f t="shared" si="7"/>
        <v>3</v>
      </c>
      <c r="X509" s="378" t="str">
        <f>IF(ISNA(VLOOKUP($A509,GA!$A$1:$D$834,3,0))," ",VLOOKUP($A509,GA!$A$1:$D$834,3,0))</f>
        <v>Carlin</v>
      </c>
      <c r="Y509" s="379" t="str">
        <f>IF(ISNA(VLOOKUP($A509,Dormant_Councils!$A$1:$E$811,5,0)),"No",VLOOKUP($A509,Dormant_Councils!$A$1:$E$811,5,0))</f>
        <v>No</v>
      </c>
      <c r="Z509" s="381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22" t="str">
        <f>Councils!C513</f>
        <v>234</v>
      </c>
      <c r="C510" s="322" t="str">
        <f>Councils!D513</f>
        <v>Laredo</v>
      </c>
      <c r="D510" s="322" t="str">
        <f>IF(ISNA(VLOOKUP($V510,DD_Info!$A$1:$E$221,3,0)),0,VLOOKUP($V510,DD_Info!$A$1:$E$221,3,0))</f>
        <v>Laredo</v>
      </c>
      <c r="E510" s="322">
        <f>Councils!E513</f>
        <v>99</v>
      </c>
      <c r="F510" s="322">
        <f>Councils!F513</f>
        <v>5</v>
      </c>
      <c r="G510" s="322">
        <f>Councils!G513</f>
        <v>0</v>
      </c>
      <c r="H510" s="322">
        <f>Councils!H513</f>
        <v>0</v>
      </c>
      <c r="I510" s="322">
        <f>Councils!I513</f>
        <v>0</v>
      </c>
      <c r="J510" s="322">
        <f>Councils!J513</f>
        <v>0</v>
      </c>
      <c r="K510" s="322">
        <f>Councils!K513</f>
        <v>0</v>
      </c>
      <c r="L510" s="322">
        <f>Councils!L513</f>
        <v>0</v>
      </c>
      <c r="M510" s="323">
        <f>Councils!M513</f>
        <v>0</v>
      </c>
      <c r="N510" s="322">
        <f>Councils!O513</f>
        <v>0</v>
      </c>
      <c r="O510" s="322">
        <f>Councils!P513</f>
        <v>0</v>
      </c>
      <c r="P510" s="322">
        <f>Councils!Q513</f>
        <v>0</v>
      </c>
      <c r="Q510" s="322">
        <f>Councils!R513</f>
        <v>0</v>
      </c>
      <c r="R510" s="322">
        <f>Councils!S513</f>
        <v>1</v>
      </c>
      <c r="S510" s="322">
        <f>Councils!T513</f>
        <v>0</v>
      </c>
      <c r="T510" s="322">
        <f>Councils!U513</f>
        <v>1</v>
      </c>
      <c r="U510" s="323">
        <f>Councils!V513</f>
        <v>0</v>
      </c>
      <c r="V510" s="376">
        <v>234</v>
      </c>
      <c r="W510" s="377">
        <f t="shared" si="7"/>
        <v>2</v>
      </c>
      <c r="X510" s="378" t="str">
        <f>IF(ISNA(VLOOKUP($A510,GA!$A$1:$D$834,3,0))," ",VLOOKUP($A510,GA!$A$1:$D$834,3,0))</f>
        <v>Carlin</v>
      </c>
      <c r="Y510" s="379" t="str">
        <f>IF(ISNA(VLOOKUP($A510,Dormant_Councils!$A$1:$E$811,5,0)),"No",VLOOKUP($A510,Dormant_Councils!$A$1:$E$811,5,0))</f>
        <v>No</v>
      </c>
      <c r="Z510" s="381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22" t="str">
        <f>Councils!C514</f>
        <v>042</v>
      </c>
      <c r="C511" s="322" t="str">
        <f>Councils!D514</f>
        <v>Boerne</v>
      </c>
      <c r="D511" s="322" t="str">
        <f>IF(ISNA(VLOOKUP($V511,DD_Info!$A$1:$E$221,3,0)),0,VLOOKUP($V511,DD_Info!$A$1:$E$221,3,0))</f>
        <v>San Antonio</v>
      </c>
      <c r="E511" s="322">
        <f>Councils!E514</f>
        <v>386</v>
      </c>
      <c r="F511" s="322">
        <f>Councils!F514</f>
        <v>19</v>
      </c>
      <c r="G511" s="322">
        <f>Councils!G514</f>
        <v>0</v>
      </c>
      <c r="H511" s="322">
        <f>Councils!H514</f>
        <v>3</v>
      </c>
      <c r="I511" s="322">
        <f>Councils!I514</f>
        <v>-3</v>
      </c>
      <c r="J511" s="322">
        <f>Councils!J514</f>
        <v>1</v>
      </c>
      <c r="K511" s="322">
        <f>Councils!K514</f>
        <v>23</v>
      </c>
      <c r="L511" s="322">
        <f>Councils!L514</f>
        <v>-22</v>
      </c>
      <c r="M511" s="323">
        <f>Councils!M514</f>
        <v>0</v>
      </c>
      <c r="N511" s="322">
        <f>Councils!O514</f>
        <v>0</v>
      </c>
      <c r="O511" s="322">
        <f>Councils!P514</f>
        <v>0</v>
      </c>
      <c r="P511" s="322">
        <f>Councils!Q514</f>
        <v>0</v>
      </c>
      <c r="Q511" s="322">
        <f>Councils!R514</f>
        <v>0</v>
      </c>
      <c r="R511" s="322">
        <f>Councils!S514</f>
        <v>5</v>
      </c>
      <c r="S511" s="322">
        <f>Councils!T514</f>
        <v>2</v>
      </c>
      <c r="T511" s="322">
        <f>Councils!U514</f>
        <v>3</v>
      </c>
      <c r="U511" s="323">
        <f>Councils!V514</f>
        <v>0</v>
      </c>
      <c r="V511" s="376">
        <v>42</v>
      </c>
      <c r="W511" s="377">
        <f t="shared" si="7"/>
        <v>1</v>
      </c>
      <c r="X511" s="378" t="str">
        <f>IF(ISNA(VLOOKUP($A511,GA!$A$1:$D$834,3,0))," ",VLOOKUP($A511,GA!$A$1:$D$834,3,0))</f>
        <v>Dougherty</v>
      </c>
      <c r="Y511" s="379" t="str">
        <f>IF(ISNA(VLOOKUP($A511,Dormant_Councils!$A$1:$E$811,5,0)),"No",VLOOKUP($A511,Dormant_Councils!$A$1:$E$811,5,0))</f>
        <v>No</v>
      </c>
      <c r="Z511" s="381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22" t="str">
        <f>Councils!C515</f>
        <v>070</v>
      </c>
      <c r="C512" s="322" t="str">
        <f>Councils!D515</f>
        <v>Houston</v>
      </c>
      <c r="D512" s="322" t="str">
        <f>IF(ISNA(VLOOKUP($V512,DD_Info!$A$1:$E$221,3,0)),0,VLOOKUP($V512,DD_Info!$A$1:$E$221,3,0))</f>
        <v>Galv/Hous</v>
      </c>
      <c r="E512" s="322">
        <f>Councils!E515</f>
        <v>133</v>
      </c>
      <c r="F512" s="322">
        <f>Councils!F515</f>
        <v>6</v>
      </c>
      <c r="G512" s="322">
        <f>Councils!G515</f>
        <v>0</v>
      </c>
      <c r="H512" s="322">
        <f>Councils!H515</f>
        <v>0</v>
      </c>
      <c r="I512" s="322">
        <f>Councils!I515</f>
        <v>0</v>
      </c>
      <c r="J512" s="322">
        <f>Councils!J515</f>
        <v>0</v>
      </c>
      <c r="K512" s="322">
        <f>Councils!K515</f>
        <v>0</v>
      </c>
      <c r="L512" s="322">
        <f>Councils!L515</f>
        <v>0</v>
      </c>
      <c r="M512" s="323">
        <f>Councils!M515</f>
        <v>0</v>
      </c>
      <c r="N512" s="322">
        <f>Councils!O515</f>
        <v>0</v>
      </c>
      <c r="O512" s="322">
        <f>Councils!P515</f>
        <v>0</v>
      </c>
      <c r="P512" s="322">
        <f>Councils!Q515</f>
        <v>0</v>
      </c>
      <c r="Q512" s="322">
        <f>Councils!R515</f>
        <v>0</v>
      </c>
      <c r="R512" s="322">
        <f>Councils!S515</f>
        <v>0</v>
      </c>
      <c r="S512" s="322">
        <f>Councils!T515</f>
        <v>1</v>
      </c>
      <c r="T512" s="322">
        <f>Councils!U515</f>
        <v>-1</v>
      </c>
      <c r="U512" s="323">
        <f>Councils!V515</f>
        <v>0</v>
      </c>
      <c r="V512" s="376">
        <v>70</v>
      </c>
      <c r="W512" s="377">
        <f t="shared" si="7"/>
        <v>2</v>
      </c>
      <c r="X512" s="378" t="str">
        <f>IF(ISNA(VLOOKUP($A512,GA!$A$1:$D$834,3,0))," ",VLOOKUP($A512,GA!$A$1:$D$834,3,0))</f>
        <v>Rangel</v>
      </c>
      <c r="Y512" s="379" t="str">
        <f>IF(ISNA(VLOOKUP($A512,Dormant_Councils!$A$1:$E$811,5,0)),"No",VLOOKUP($A512,Dormant_Councils!$A$1:$E$811,5,0))</f>
        <v>No</v>
      </c>
      <c r="Z512" s="381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22" t="str">
        <f>Councils!C516</f>
        <v>226</v>
      </c>
      <c r="C513" s="322" t="str">
        <f>Councils!D516</f>
        <v>Ballinger</v>
      </c>
      <c r="D513" s="322" t="str">
        <f>IF(ISNA(VLOOKUP($V513,DD_Info!$A$1:$E$221,3,0)),0,VLOOKUP($V513,DD_Info!$A$1:$E$221,3,0))</f>
        <v>San Angelo</v>
      </c>
      <c r="E513" s="322">
        <f>Councils!E516</f>
        <v>79</v>
      </c>
      <c r="F513" s="322">
        <f>Councils!F516</f>
        <v>4</v>
      </c>
      <c r="G513" s="322">
        <f>Councils!G516</f>
        <v>0</v>
      </c>
      <c r="H513" s="322">
        <f>Councils!H516</f>
        <v>0</v>
      </c>
      <c r="I513" s="322">
        <f>Councils!I516</f>
        <v>0</v>
      </c>
      <c r="J513" s="322">
        <f>Councils!J516</f>
        <v>0</v>
      </c>
      <c r="K513" s="322">
        <f>Councils!K516</f>
        <v>0</v>
      </c>
      <c r="L513" s="322">
        <f>Councils!L516</f>
        <v>0</v>
      </c>
      <c r="M513" s="323">
        <f>Councils!M516</f>
        <v>0</v>
      </c>
      <c r="N513" s="322">
        <f>Councils!O516</f>
        <v>0</v>
      </c>
      <c r="O513" s="322">
        <f>Councils!P516</f>
        <v>0</v>
      </c>
      <c r="P513" s="322">
        <f>Councils!Q516</f>
        <v>0</v>
      </c>
      <c r="Q513" s="322">
        <f>Councils!R516</f>
        <v>0</v>
      </c>
      <c r="R513" s="322">
        <f>Councils!S516</f>
        <v>0</v>
      </c>
      <c r="S513" s="322">
        <f>Councils!T516</f>
        <v>0</v>
      </c>
      <c r="T513" s="322">
        <f>Councils!U516</f>
        <v>0</v>
      </c>
      <c r="U513" s="323">
        <f>Councils!V516</f>
        <v>0</v>
      </c>
      <c r="V513" s="376">
        <v>226</v>
      </c>
      <c r="W513" s="377">
        <f t="shared" si="7"/>
        <v>2</v>
      </c>
      <c r="X513" s="378" t="str">
        <f>IF(ISNA(VLOOKUP($A513,GA!$A$1:$D$834,3,0))," ",VLOOKUP($A513,GA!$A$1:$D$834,3,0))</f>
        <v>Payne</v>
      </c>
      <c r="Y513" s="379" t="str">
        <f>IF(ISNA(VLOOKUP($A513,Dormant_Councils!$A$1:$E$811,5,0)),"No",VLOOKUP($A513,Dormant_Councils!$A$1:$E$811,5,0))</f>
        <v>No</v>
      </c>
      <c r="Z513" s="381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22" t="str">
        <f>Councils!C517</f>
        <v>080</v>
      </c>
      <c r="C514" s="322" t="str">
        <f>Councils!D517</f>
        <v>Houston</v>
      </c>
      <c r="D514" s="322" t="str">
        <f>IF(ISNA(VLOOKUP($V514,DD_Info!$A$1:$E$221,3,0)),0,VLOOKUP($V514,DD_Info!$A$1:$E$221,3,0))</f>
        <v>Galv/Hous</v>
      </c>
      <c r="E514" s="322">
        <f>Councils!E517</f>
        <v>148</v>
      </c>
      <c r="F514" s="322">
        <f>Councils!F517</f>
        <v>7</v>
      </c>
      <c r="G514" s="322">
        <f>Councils!G517</f>
        <v>0</v>
      </c>
      <c r="H514" s="322">
        <f>Councils!H517</f>
        <v>0</v>
      </c>
      <c r="I514" s="322">
        <f>Councils!I517</f>
        <v>0</v>
      </c>
      <c r="J514" s="322">
        <f>Councils!J517</f>
        <v>0</v>
      </c>
      <c r="K514" s="322">
        <f>Councils!K517</f>
        <v>0</v>
      </c>
      <c r="L514" s="322">
        <f>Councils!L517</f>
        <v>0</v>
      </c>
      <c r="M514" s="323">
        <f>Councils!M517</f>
        <v>0</v>
      </c>
      <c r="N514" s="322">
        <f>Councils!O517</f>
        <v>0</v>
      </c>
      <c r="O514" s="322">
        <f>Councils!P517</f>
        <v>0</v>
      </c>
      <c r="P514" s="322">
        <f>Councils!Q517</f>
        <v>0</v>
      </c>
      <c r="Q514" s="322">
        <f>Councils!R517</f>
        <v>0</v>
      </c>
      <c r="R514" s="322">
        <f>Councils!S517</f>
        <v>0</v>
      </c>
      <c r="S514" s="322">
        <f>Councils!T517</f>
        <v>0</v>
      </c>
      <c r="T514" s="322">
        <f>Councils!U517</f>
        <v>0</v>
      </c>
      <c r="U514" s="323">
        <f>Councils!V517</f>
        <v>0</v>
      </c>
      <c r="V514" s="376">
        <v>80</v>
      </c>
      <c r="W514" s="377">
        <f t="shared" si="7"/>
        <v>1</v>
      </c>
      <c r="X514" s="378" t="str">
        <f>IF(ISNA(VLOOKUP($A514,GA!$A$1:$D$834,3,0))," ",VLOOKUP($A514,GA!$A$1:$D$834,3,0))</f>
        <v>Supak</v>
      </c>
      <c r="Y514" s="379" t="str">
        <f>IF(ISNA(VLOOKUP($A514,Dormant_Councils!$A$1:$E$811,5,0)),"No",VLOOKUP($A514,Dormant_Councils!$A$1:$E$811,5,0))</f>
        <v>No</v>
      </c>
      <c r="Z514" s="381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22" t="str">
        <f>Councils!C518</f>
        <v>Unassigned</v>
      </c>
      <c r="C515" s="322" t="str">
        <f>Councils!D518</f>
        <v>El Paso</v>
      </c>
      <c r="D515" s="322">
        <f>IF(ISNA(VLOOKUP($V515,DD_Info!$A$1:$E$221,3,0)),0,VLOOKUP($V515,DD_Info!$A$1:$E$221,3,0))</f>
        <v>0</v>
      </c>
      <c r="E515" s="322">
        <f>Councils!E518</f>
        <v>54</v>
      </c>
      <c r="F515" s="322">
        <f>Councils!F518</f>
        <v>3</v>
      </c>
      <c r="G515" s="322">
        <f>Councils!G518</f>
        <v>0</v>
      </c>
      <c r="H515" s="322">
        <f>Councils!H518</f>
        <v>0</v>
      </c>
      <c r="I515" s="322">
        <f>Councils!I518</f>
        <v>0</v>
      </c>
      <c r="J515" s="322">
        <f>Councils!J518</f>
        <v>0</v>
      </c>
      <c r="K515" s="322">
        <f>Councils!K518</f>
        <v>0</v>
      </c>
      <c r="L515" s="322">
        <f>Councils!L518</f>
        <v>0</v>
      </c>
      <c r="M515" s="323">
        <f>Councils!M518</f>
        <v>0</v>
      </c>
      <c r="N515" s="322">
        <f>Councils!O518</f>
        <v>0</v>
      </c>
      <c r="O515" s="322">
        <f>Councils!P518</f>
        <v>0</v>
      </c>
      <c r="P515" s="322">
        <f>Councils!Q518</f>
        <v>0</v>
      </c>
      <c r="Q515" s="322">
        <f>Councils!R518</f>
        <v>0</v>
      </c>
      <c r="R515" s="322">
        <f>Councils!S518</f>
        <v>0</v>
      </c>
      <c r="S515" s="322">
        <f>Councils!T518</f>
        <v>0</v>
      </c>
      <c r="T515" s="322">
        <f>Councils!U518</f>
        <v>0</v>
      </c>
      <c r="U515" s="323">
        <f>Councils!V518</f>
        <v>0</v>
      </c>
      <c r="V515" s="45" t="s">
        <v>93</v>
      </c>
      <c r="W515" s="377">
        <f t="shared" ref="W515:W578" si="8">_xlfn.IFS($E515&gt;=140,1,$E515&gt;65,2,$E515&lt;=65,3)</f>
        <v>3</v>
      </c>
      <c r="X515" s="378" t="str">
        <f>IF(ISNA(VLOOKUP($A515,GA!$A$1:$D$834,3,0))," ",VLOOKUP($A515,GA!$A$1:$D$834,3,0))</f>
        <v>Payne</v>
      </c>
      <c r="Y515" s="379" t="str">
        <f>IF(ISNA(VLOOKUP($A515,Dormant_Councils!$A$1:$E$811,5,0)),"No",VLOOKUP($A515,Dormant_Councils!$A$1:$E$811,5,0))</f>
        <v>Dormant</v>
      </c>
      <c r="Z515" s="381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22" t="str">
        <f>Councils!C519</f>
        <v>022</v>
      </c>
      <c r="C516" s="322" t="str">
        <f>Councils!D519</f>
        <v>Wichita Falls</v>
      </c>
      <c r="D516" s="322" t="str">
        <f>IF(ISNA(VLOOKUP($V516,DD_Info!$A$1:$E$221,3,0)),0,VLOOKUP($V516,DD_Info!$A$1:$E$221,3,0))</f>
        <v>Fort Worth</v>
      </c>
      <c r="E516" s="322">
        <f>Councils!E519</f>
        <v>199</v>
      </c>
      <c r="F516" s="322">
        <f>Councils!F519</f>
        <v>9</v>
      </c>
      <c r="G516" s="322">
        <f>Councils!G519</f>
        <v>0</v>
      </c>
      <c r="H516" s="322">
        <f>Councils!H519</f>
        <v>0</v>
      </c>
      <c r="I516" s="322">
        <f>Councils!I519</f>
        <v>0</v>
      </c>
      <c r="J516" s="322">
        <f>Councils!J519</f>
        <v>0</v>
      </c>
      <c r="K516" s="322">
        <f>Councils!K519</f>
        <v>0</v>
      </c>
      <c r="L516" s="322">
        <f>Councils!L519</f>
        <v>0</v>
      </c>
      <c r="M516" s="323">
        <f>Councils!M519</f>
        <v>0</v>
      </c>
      <c r="N516" s="322">
        <f>Councils!O519</f>
        <v>0</v>
      </c>
      <c r="O516" s="322">
        <f>Councils!P519</f>
        <v>0</v>
      </c>
      <c r="P516" s="322">
        <f>Councils!Q519</f>
        <v>0</v>
      </c>
      <c r="Q516" s="322">
        <f>Councils!R519</f>
        <v>0</v>
      </c>
      <c r="R516" s="322">
        <f>Councils!S519</f>
        <v>0</v>
      </c>
      <c r="S516" s="322">
        <f>Councils!T519</f>
        <v>1</v>
      </c>
      <c r="T516" s="322">
        <f>Councils!U519</f>
        <v>-1</v>
      </c>
      <c r="U516" s="323">
        <f>Councils!V519</f>
        <v>0</v>
      </c>
      <c r="V516" s="376">
        <v>22</v>
      </c>
      <c r="W516" s="377">
        <f t="shared" si="8"/>
        <v>1</v>
      </c>
      <c r="X516" s="378" t="str">
        <f>IF(ISNA(VLOOKUP($A516,GA!$A$1:$D$834,3,0))," ",VLOOKUP($A516,GA!$A$1:$D$834,3,0))</f>
        <v>Stark</v>
      </c>
      <c r="Y516" s="379" t="str">
        <f>IF(ISNA(VLOOKUP($A516,Dormant_Councils!$A$1:$E$811,5,0)),"No",VLOOKUP($A516,Dormant_Councils!$A$1:$E$811,5,0))</f>
        <v>No</v>
      </c>
      <c r="Z516" s="381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22" t="str">
        <f>Councils!C520</f>
        <v>247</v>
      </c>
      <c r="C517" s="322" t="str">
        <f>Councils!D520</f>
        <v>Seminole</v>
      </c>
      <c r="D517" s="322" t="str">
        <f>IF(ISNA(VLOOKUP($V517,DD_Info!$A$1:$E$221,3,0)),0,VLOOKUP($V517,DD_Info!$A$1:$E$221,3,0))</f>
        <v>Lubbock</v>
      </c>
      <c r="E517" s="322">
        <f>Councils!E520</f>
        <v>44</v>
      </c>
      <c r="F517" s="322">
        <f>Councils!F520</f>
        <v>3</v>
      </c>
      <c r="G517" s="322">
        <f>Councils!G520</f>
        <v>0</v>
      </c>
      <c r="H517" s="322">
        <f>Councils!H520</f>
        <v>0</v>
      </c>
      <c r="I517" s="322">
        <f>Councils!I520</f>
        <v>0</v>
      </c>
      <c r="J517" s="322">
        <f>Councils!J520</f>
        <v>0</v>
      </c>
      <c r="K517" s="322">
        <f>Councils!K520</f>
        <v>0</v>
      </c>
      <c r="L517" s="322">
        <f>Councils!L520</f>
        <v>0</v>
      </c>
      <c r="M517" s="323">
        <f>Councils!M520</f>
        <v>0</v>
      </c>
      <c r="N517" s="322">
        <f>Councils!O520</f>
        <v>0</v>
      </c>
      <c r="O517" s="322">
        <f>Councils!P520</f>
        <v>0</v>
      </c>
      <c r="P517" s="322">
        <f>Councils!Q520</f>
        <v>0</v>
      </c>
      <c r="Q517" s="322">
        <f>Councils!R520</f>
        <v>0</v>
      </c>
      <c r="R517" s="322">
        <f>Councils!S520</f>
        <v>0</v>
      </c>
      <c r="S517" s="322">
        <f>Councils!T520</f>
        <v>1</v>
      </c>
      <c r="T517" s="322">
        <f>Councils!U520</f>
        <v>-1</v>
      </c>
      <c r="U517" s="323">
        <f>Councils!V520</f>
        <v>0</v>
      </c>
      <c r="V517" s="376">
        <v>247</v>
      </c>
      <c r="W517" s="377">
        <f t="shared" si="8"/>
        <v>3</v>
      </c>
      <c r="X517" s="378" t="str">
        <f>IF(ISNA(VLOOKUP($A517,GA!$A$1:$D$834,3,0))," ",VLOOKUP($A517,GA!$A$1:$D$834,3,0))</f>
        <v>Payne</v>
      </c>
      <c r="Y517" s="379" t="str">
        <f>IF(ISNA(VLOOKUP($A517,Dormant_Councils!$A$1:$E$811,5,0)),"No",VLOOKUP($A517,Dormant_Councils!$A$1:$E$811,5,0))</f>
        <v>No</v>
      </c>
      <c r="Z517" s="381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22" t="str">
        <f>Councils!C521</f>
        <v>142</v>
      </c>
      <c r="C518" s="322" t="str">
        <f>Councils!D521</f>
        <v>Waco</v>
      </c>
      <c r="D518" s="322" t="str">
        <f>IF(ISNA(VLOOKUP($V518,DD_Info!$A$1:$E$221,3,0)),0,VLOOKUP($V518,DD_Info!$A$1:$E$221,3,0))</f>
        <v>Austin</v>
      </c>
      <c r="E518" s="322">
        <f>Councils!E521</f>
        <v>92</v>
      </c>
      <c r="F518" s="322">
        <f>Councils!F521</f>
        <v>5</v>
      </c>
      <c r="G518" s="322">
        <f>Councils!G521</f>
        <v>0</v>
      </c>
      <c r="H518" s="322">
        <f>Councils!H521</f>
        <v>0</v>
      </c>
      <c r="I518" s="322">
        <f>Councils!I521</f>
        <v>0</v>
      </c>
      <c r="J518" s="322">
        <f>Councils!J521</f>
        <v>0</v>
      </c>
      <c r="K518" s="322">
        <f>Councils!K521</f>
        <v>0</v>
      </c>
      <c r="L518" s="322">
        <f>Councils!L521</f>
        <v>0</v>
      </c>
      <c r="M518" s="323">
        <f>Councils!M521</f>
        <v>0</v>
      </c>
      <c r="N518" s="322">
        <f>Councils!O521</f>
        <v>0</v>
      </c>
      <c r="O518" s="322">
        <f>Councils!P521</f>
        <v>0</v>
      </c>
      <c r="P518" s="322">
        <f>Councils!Q521</f>
        <v>0</v>
      </c>
      <c r="Q518" s="322">
        <f>Councils!R521</f>
        <v>0</v>
      </c>
      <c r="R518" s="322">
        <f>Councils!S521</f>
        <v>2</v>
      </c>
      <c r="S518" s="322">
        <f>Councils!T521</f>
        <v>1</v>
      </c>
      <c r="T518" s="322">
        <f>Councils!U521</f>
        <v>1</v>
      </c>
      <c r="U518" s="323">
        <f>Councils!V521</f>
        <v>0</v>
      </c>
      <c r="V518" s="376">
        <v>142</v>
      </c>
      <c r="W518" s="377">
        <f t="shared" si="8"/>
        <v>2</v>
      </c>
      <c r="X518" s="378" t="str">
        <f>IF(ISNA(VLOOKUP($A518,GA!$A$1:$D$834,3,0))," ",VLOOKUP($A518,GA!$A$1:$D$834,3,0))</f>
        <v>Rangel</v>
      </c>
      <c r="Y518" s="379" t="str">
        <f>IF(ISNA(VLOOKUP($A518,Dormant_Councils!$A$1:$E$811,5,0)),"No",VLOOKUP($A518,Dormant_Councils!$A$1:$E$811,5,0))</f>
        <v>No</v>
      </c>
      <c r="Z518" s="381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22" t="str">
        <f>Councils!C522</f>
        <v>083</v>
      </c>
      <c r="C519" s="322" t="str">
        <f>Councils!D522</f>
        <v>Houston</v>
      </c>
      <c r="D519" s="322" t="str">
        <f>IF(ISNA(VLOOKUP($V519,DD_Info!$A$1:$E$221,3,0)),0,VLOOKUP($V519,DD_Info!$A$1:$E$221,3,0))</f>
        <v>Galv/Hous</v>
      </c>
      <c r="E519" s="322">
        <f>Councils!E522</f>
        <v>89</v>
      </c>
      <c r="F519" s="322">
        <f>Councils!F522</f>
        <v>4</v>
      </c>
      <c r="G519" s="322">
        <f>Councils!G522</f>
        <v>0</v>
      </c>
      <c r="H519" s="322">
        <f>Councils!H522</f>
        <v>0</v>
      </c>
      <c r="I519" s="322">
        <f>Councils!I522</f>
        <v>0</v>
      </c>
      <c r="J519" s="322">
        <f>Councils!J522</f>
        <v>0</v>
      </c>
      <c r="K519" s="322">
        <f>Councils!K522</f>
        <v>0</v>
      </c>
      <c r="L519" s="322">
        <f>Councils!L522</f>
        <v>0</v>
      </c>
      <c r="M519" s="323">
        <f>Councils!M522</f>
        <v>0</v>
      </c>
      <c r="N519" s="322">
        <f>Councils!O522</f>
        <v>0</v>
      </c>
      <c r="O519" s="322">
        <f>Councils!P522</f>
        <v>0</v>
      </c>
      <c r="P519" s="322">
        <f>Councils!Q522</f>
        <v>1</v>
      </c>
      <c r="Q519" s="322">
        <f>Councils!R522</f>
        <v>-1</v>
      </c>
      <c r="R519" s="322">
        <f>Councils!S522</f>
        <v>0</v>
      </c>
      <c r="S519" s="322">
        <f>Councils!T522</f>
        <v>1</v>
      </c>
      <c r="T519" s="322">
        <f>Councils!U522</f>
        <v>-1</v>
      </c>
      <c r="U519" s="323">
        <f>Councils!V522</f>
        <v>0</v>
      </c>
      <c r="V519" s="376">
        <v>83</v>
      </c>
      <c r="W519" s="377">
        <f t="shared" si="8"/>
        <v>2</v>
      </c>
      <c r="X519" s="378" t="str">
        <f>IF(ISNA(VLOOKUP($A519,GA!$A$1:$D$834,3,0))," ",VLOOKUP($A519,GA!$A$1:$D$834,3,0))</f>
        <v>Rangel</v>
      </c>
      <c r="Y519" s="379" t="str">
        <f>IF(ISNA(VLOOKUP($A519,Dormant_Councils!$A$1:$E$811,5,0)),"No",VLOOKUP($A519,Dormant_Councils!$A$1:$E$811,5,0))</f>
        <v>No</v>
      </c>
      <c r="Z519" s="381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22" t="str">
        <f>Councils!C523</f>
        <v>133</v>
      </c>
      <c r="C520" s="322" t="str">
        <f>Councils!D523</f>
        <v>Carthage</v>
      </c>
      <c r="D520" s="322" t="str">
        <f>IF(ISNA(VLOOKUP($V520,DD_Info!$A$1:$E$221,3,0)),0,VLOOKUP($V520,DD_Info!$A$1:$E$221,3,0))</f>
        <v>Tyler</v>
      </c>
      <c r="E520" s="322">
        <f>Councils!E523</f>
        <v>76</v>
      </c>
      <c r="F520" s="322">
        <f>Councils!F523</f>
        <v>4</v>
      </c>
      <c r="G520" s="322">
        <f>Councils!G523</f>
        <v>0</v>
      </c>
      <c r="H520" s="322">
        <f>Councils!H523</f>
        <v>0</v>
      </c>
      <c r="I520" s="322">
        <f>Councils!I523</f>
        <v>0</v>
      </c>
      <c r="J520" s="322">
        <f>Councils!J523</f>
        <v>0</v>
      </c>
      <c r="K520" s="322">
        <f>Councils!K523</f>
        <v>0</v>
      </c>
      <c r="L520" s="322">
        <f>Councils!L523</f>
        <v>0</v>
      </c>
      <c r="M520" s="323">
        <f>Councils!M523</f>
        <v>0</v>
      </c>
      <c r="N520" s="322">
        <f>Councils!O523</f>
        <v>0</v>
      </c>
      <c r="O520" s="322">
        <f>Councils!P523</f>
        <v>0</v>
      </c>
      <c r="P520" s="322">
        <f>Councils!Q523</f>
        <v>0</v>
      </c>
      <c r="Q520" s="322">
        <f>Councils!R523</f>
        <v>0</v>
      </c>
      <c r="R520" s="322">
        <f>Councils!S523</f>
        <v>0</v>
      </c>
      <c r="S520" s="322">
        <f>Councils!T523</f>
        <v>0</v>
      </c>
      <c r="T520" s="322">
        <f>Councils!U523</f>
        <v>0</v>
      </c>
      <c r="U520" s="323">
        <f>Councils!V523</f>
        <v>0</v>
      </c>
      <c r="V520" s="376">
        <v>133</v>
      </c>
      <c r="W520" s="377">
        <f t="shared" si="8"/>
        <v>2</v>
      </c>
      <c r="X520" s="378" t="str">
        <f>IF(ISNA(VLOOKUP($A520,GA!$A$1:$D$834,3,0))," ",VLOOKUP($A520,GA!$A$1:$D$834,3,0))</f>
        <v>Regan</v>
      </c>
      <c r="Y520" s="379" t="str">
        <f>IF(ISNA(VLOOKUP($A520,Dormant_Councils!$A$1:$E$811,5,0)),"No",VLOOKUP($A520,Dormant_Councils!$A$1:$E$811,5,0))</f>
        <v>No</v>
      </c>
      <c r="Z520" s="381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22" t="str">
        <f>Councils!C524</f>
        <v>208</v>
      </c>
      <c r="C521" s="322" t="str">
        <f>Councils!D524</f>
        <v>Harlingen</v>
      </c>
      <c r="D521" s="322" t="str">
        <f>IF(ISNA(VLOOKUP($V521,DD_Info!$A$1:$E$221,3,0)),0,VLOOKUP($V521,DD_Info!$A$1:$E$221,3,0))</f>
        <v>Brownsville</v>
      </c>
      <c r="E521" s="322">
        <f>Councils!E524</f>
        <v>116</v>
      </c>
      <c r="F521" s="322">
        <f>Councils!F524</f>
        <v>5</v>
      </c>
      <c r="G521" s="322">
        <f>Councils!G524</f>
        <v>0</v>
      </c>
      <c r="H521" s="322">
        <f>Councils!H524</f>
        <v>0</v>
      </c>
      <c r="I521" s="322">
        <f>Councils!I524</f>
        <v>0</v>
      </c>
      <c r="J521" s="322">
        <f>Councils!J524</f>
        <v>2</v>
      </c>
      <c r="K521" s="322">
        <f>Councils!K524</f>
        <v>0</v>
      </c>
      <c r="L521" s="322">
        <f>Councils!L524</f>
        <v>2</v>
      </c>
      <c r="M521" s="323">
        <f>Councils!M524</f>
        <v>40</v>
      </c>
      <c r="N521" s="322">
        <f>Councils!O524</f>
        <v>0</v>
      </c>
      <c r="O521" s="322">
        <f>Councils!P524</f>
        <v>0</v>
      </c>
      <c r="P521" s="322">
        <f>Councils!Q524</f>
        <v>0</v>
      </c>
      <c r="Q521" s="322">
        <f>Councils!R524</f>
        <v>0</v>
      </c>
      <c r="R521" s="322">
        <f>Councils!S524</f>
        <v>2</v>
      </c>
      <c r="S521" s="322">
        <f>Councils!T524</f>
        <v>0</v>
      </c>
      <c r="T521" s="322">
        <f>Councils!U524</f>
        <v>2</v>
      </c>
      <c r="U521" s="323">
        <f>Councils!V524</f>
        <v>0</v>
      </c>
      <c r="V521" s="376">
        <v>208</v>
      </c>
      <c r="W521" s="377">
        <f t="shared" si="8"/>
        <v>2</v>
      </c>
      <c r="X521" s="378" t="str">
        <f>IF(ISNA(VLOOKUP($A521,GA!$A$1:$D$834,3,0))," ",VLOOKUP($A521,GA!$A$1:$D$834,3,0))</f>
        <v>Carlin</v>
      </c>
      <c r="Y521" s="379" t="str">
        <f>IF(ISNA(VLOOKUP($A521,Dormant_Councils!$A$1:$E$811,5,0)),"No",VLOOKUP($A521,Dormant_Councils!$A$1:$E$811,5,0))</f>
        <v>No</v>
      </c>
      <c r="Z521" s="381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22" t="str">
        <f>Councils!C525</f>
        <v>133</v>
      </c>
      <c r="C522" s="322" t="str">
        <f>Councils!D525</f>
        <v>Longview</v>
      </c>
      <c r="D522" s="322" t="str">
        <f>IF(ISNA(VLOOKUP($V522,DD_Info!$A$1:$E$221,3,0)),0,VLOOKUP($V522,DD_Info!$A$1:$E$221,3,0))</f>
        <v>Tyler</v>
      </c>
      <c r="E522" s="322">
        <f>Councils!E525</f>
        <v>175</v>
      </c>
      <c r="F522" s="322">
        <f>Councils!F525</f>
        <v>8</v>
      </c>
      <c r="G522" s="322">
        <f>Councils!G525</f>
        <v>0</v>
      </c>
      <c r="H522" s="322">
        <f>Councils!H525</f>
        <v>1</v>
      </c>
      <c r="I522" s="322">
        <f>Councils!I525</f>
        <v>-1</v>
      </c>
      <c r="J522" s="322">
        <f>Councils!J525</f>
        <v>3</v>
      </c>
      <c r="K522" s="322">
        <f>Councils!K525</f>
        <v>1</v>
      </c>
      <c r="L522" s="322">
        <f>Councils!L525</f>
        <v>2</v>
      </c>
      <c r="M522" s="323">
        <f>Councils!M525</f>
        <v>25</v>
      </c>
      <c r="N522" s="322">
        <f>Councils!O525</f>
        <v>0</v>
      </c>
      <c r="O522" s="322">
        <f>Councils!P525</f>
        <v>0</v>
      </c>
      <c r="P522" s="322">
        <f>Councils!Q525</f>
        <v>1</v>
      </c>
      <c r="Q522" s="322">
        <f>Councils!R525</f>
        <v>-1</v>
      </c>
      <c r="R522" s="322">
        <f>Councils!S525</f>
        <v>1</v>
      </c>
      <c r="S522" s="322">
        <f>Councils!T525</f>
        <v>1</v>
      </c>
      <c r="T522" s="322">
        <f>Councils!U525</f>
        <v>0</v>
      </c>
      <c r="U522" s="323">
        <f>Councils!V525</f>
        <v>0</v>
      </c>
      <c r="V522" s="376">
        <v>133</v>
      </c>
      <c r="W522" s="377">
        <f t="shared" si="8"/>
        <v>1</v>
      </c>
      <c r="X522" s="378" t="str">
        <f>IF(ISNA(VLOOKUP($A522,GA!$A$1:$D$834,3,0))," ",VLOOKUP($A522,GA!$A$1:$D$834,3,0))</f>
        <v>Regan</v>
      </c>
      <c r="Y522" s="379" t="str">
        <f>IF(ISNA(VLOOKUP($A522,Dormant_Councils!$A$1:$E$811,5,0)),"No",VLOOKUP($A522,Dormant_Councils!$A$1:$E$811,5,0))</f>
        <v>No</v>
      </c>
      <c r="Z522" s="381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22" t="str">
        <f>Councils!C526</f>
        <v>174</v>
      </c>
      <c r="C523" s="322" t="str">
        <f>Councils!D526</f>
        <v>Corpus Christi</v>
      </c>
      <c r="D523" s="322" t="str">
        <f>IF(ISNA(VLOOKUP($V523,DD_Info!$A$1:$E$221,3,0)),0,VLOOKUP($V523,DD_Info!$A$1:$E$221,3,0))</f>
        <v>Corpus Christi</v>
      </c>
      <c r="E523" s="322">
        <f>Councils!E526</f>
        <v>133</v>
      </c>
      <c r="F523" s="322">
        <f>Councils!F526</f>
        <v>7</v>
      </c>
      <c r="G523" s="322">
        <f>Councils!G526</f>
        <v>0</v>
      </c>
      <c r="H523" s="322">
        <f>Councils!H526</f>
        <v>0</v>
      </c>
      <c r="I523" s="322">
        <f>Councils!I526</f>
        <v>0</v>
      </c>
      <c r="J523" s="322">
        <f>Councils!J526</f>
        <v>3</v>
      </c>
      <c r="K523" s="322">
        <f>Councils!K526</f>
        <v>0</v>
      </c>
      <c r="L523" s="322">
        <f>Councils!L526</f>
        <v>3</v>
      </c>
      <c r="M523" s="323">
        <f>Councils!M526</f>
        <v>42.86</v>
      </c>
      <c r="N523" s="322">
        <f>Councils!O526</f>
        <v>0</v>
      </c>
      <c r="O523" s="322">
        <f>Councils!P526</f>
        <v>0</v>
      </c>
      <c r="P523" s="322">
        <f>Councils!Q526</f>
        <v>0</v>
      </c>
      <c r="Q523" s="322">
        <f>Councils!R526</f>
        <v>0</v>
      </c>
      <c r="R523" s="322">
        <f>Councils!S526</f>
        <v>0</v>
      </c>
      <c r="S523" s="322">
        <f>Councils!T526</f>
        <v>1</v>
      </c>
      <c r="T523" s="322">
        <f>Councils!U526</f>
        <v>-1</v>
      </c>
      <c r="U523" s="323">
        <f>Councils!V526</f>
        <v>0</v>
      </c>
      <c r="V523" s="376">
        <v>174</v>
      </c>
      <c r="W523" s="377">
        <f t="shared" si="8"/>
        <v>2</v>
      </c>
      <c r="X523" s="378" t="str">
        <f>IF(ISNA(VLOOKUP($A523,GA!$A$1:$D$834,3,0))," ",VLOOKUP($A523,GA!$A$1:$D$834,3,0))</f>
        <v>Carlin</v>
      </c>
      <c r="Y523" s="379" t="str">
        <f>IF(ISNA(VLOOKUP($A523,Dormant_Councils!$A$1:$E$811,5,0)),"No",VLOOKUP($A523,Dormant_Councils!$A$1:$E$811,5,0))</f>
        <v>No</v>
      </c>
      <c r="Z523" s="381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22" t="str">
        <f>Councils!C527</f>
        <v>179</v>
      </c>
      <c r="C524" s="322" t="str">
        <f>Councils!D527</f>
        <v>Three Rivers</v>
      </c>
      <c r="D524" s="322" t="str">
        <f>IF(ISNA(VLOOKUP($V524,DD_Info!$A$1:$E$221,3,0)),0,VLOOKUP($V524,DD_Info!$A$1:$E$221,3,0))</f>
        <v>Corpus Christi</v>
      </c>
      <c r="E524" s="322">
        <f>Councils!E527</f>
        <v>51</v>
      </c>
      <c r="F524" s="322">
        <f>Councils!F527</f>
        <v>3</v>
      </c>
      <c r="G524" s="322">
        <f>Councils!G527</f>
        <v>0</v>
      </c>
      <c r="H524" s="322">
        <f>Councils!H527</f>
        <v>0</v>
      </c>
      <c r="I524" s="322">
        <f>Councils!I527</f>
        <v>0</v>
      </c>
      <c r="J524" s="322">
        <f>Councils!J527</f>
        <v>0</v>
      </c>
      <c r="K524" s="322">
        <f>Councils!K527</f>
        <v>0</v>
      </c>
      <c r="L524" s="322">
        <f>Councils!L527</f>
        <v>0</v>
      </c>
      <c r="M524" s="323">
        <f>Councils!M527</f>
        <v>0</v>
      </c>
      <c r="N524" s="322">
        <f>Councils!O527</f>
        <v>0</v>
      </c>
      <c r="O524" s="322">
        <f>Councils!P527</f>
        <v>0</v>
      </c>
      <c r="P524" s="322">
        <f>Councils!Q527</f>
        <v>0</v>
      </c>
      <c r="Q524" s="322">
        <f>Councils!R527</f>
        <v>0</v>
      </c>
      <c r="R524" s="322">
        <f>Councils!S527</f>
        <v>0</v>
      </c>
      <c r="S524" s="322">
        <f>Councils!T527</f>
        <v>0</v>
      </c>
      <c r="T524" s="322">
        <f>Councils!U527</f>
        <v>0</v>
      </c>
      <c r="U524" s="323">
        <f>Councils!V527</f>
        <v>0</v>
      </c>
      <c r="V524" s="376">
        <v>179</v>
      </c>
      <c r="W524" s="377">
        <f t="shared" si="8"/>
        <v>3</v>
      </c>
      <c r="X524" s="378" t="str">
        <f>IF(ISNA(VLOOKUP($A524,GA!$A$1:$D$834,3,0))," ",VLOOKUP($A524,GA!$A$1:$D$834,3,0))</f>
        <v>Carlin</v>
      </c>
      <c r="Y524" s="379" t="str">
        <f>IF(ISNA(VLOOKUP($A524,Dormant_Councils!$A$1:$E$811,5,0)),"No",VLOOKUP($A524,Dormant_Councils!$A$1:$E$811,5,0))</f>
        <v>Dormant</v>
      </c>
      <c r="Z524" s="381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22" t="str">
        <f>Councils!C528</f>
        <v>121</v>
      </c>
      <c r="C525" s="322" t="str">
        <f>Councils!D528</f>
        <v>Sour Lake</v>
      </c>
      <c r="D525" s="322" t="str">
        <f>IF(ISNA(VLOOKUP($V525,DD_Info!$A$1:$E$221,3,0)),0,VLOOKUP($V525,DD_Info!$A$1:$E$221,3,0))</f>
        <v>Beaumont</v>
      </c>
      <c r="E525" s="322">
        <f>Councils!E528</f>
        <v>51</v>
      </c>
      <c r="F525" s="322">
        <f>Councils!F528</f>
        <v>3</v>
      </c>
      <c r="G525" s="322">
        <f>Councils!G528</f>
        <v>0</v>
      </c>
      <c r="H525" s="322">
        <f>Councils!H528</f>
        <v>0</v>
      </c>
      <c r="I525" s="322">
        <f>Councils!I528</f>
        <v>0</v>
      </c>
      <c r="J525" s="322">
        <f>Councils!J528</f>
        <v>0</v>
      </c>
      <c r="K525" s="322">
        <f>Councils!K528</f>
        <v>1</v>
      </c>
      <c r="L525" s="322">
        <f>Councils!L528</f>
        <v>-1</v>
      </c>
      <c r="M525" s="323">
        <f>Councils!M528</f>
        <v>0</v>
      </c>
      <c r="N525" s="322">
        <f>Councils!O528</f>
        <v>0</v>
      </c>
      <c r="O525" s="322">
        <f>Councils!P528</f>
        <v>0</v>
      </c>
      <c r="P525" s="322">
        <f>Councils!Q528</f>
        <v>0</v>
      </c>
      <c r="Q525" s="322">
        <f>Councils!R528</f>
        <v>0</v>
      </c>
      <c r="R525" s="322">
        <f>Councils!S528</f>
        <v>0</v>
      </c>
      <c r="S525" s="322">
        <f>Councils!T528</f>
        <v>1</v>
      </c>
      <c r="T525" s="322">
        <f>Councils!U528</f>
        <v>-1</v>
      </c>
      <c r="U525" s="323">
        <f>Councils!V528</f>
        <v>0</v>
      </c>
      <c r="V525" s="376">
        <v>121</v>
      </c>
      <c r="W525" s="377">
        <f t="shared" si="8"/>
        <v>3</v>
      </c>
      <c r="X525" s="378" t="str">
        <f>IF(ISNA(VLOOKUP($A525,GA!$A$1:$D$834,3,0))," ",VLOOKUP($A525,GA!$A$1:$D$834,3,0))</f>
        <v>Rangel</v>
      </c>
      <c r="Y525" s="379" t="str">
        <f>IF(ISNA(VLOOKUP($A525,Dormant_Councils!$A$1:$E$811,5,0)),"No",VLOOKUP($A525,Dormant_Councils!$A$1:$E$811,5,0))</f>
        <v>No</v>
      </c>
      <c r="Z525" s="381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22" t="str">
        <f>Councils!C529</f>
        <v>106</v>
      </c>
      <c r="C526" s="322" t="str">
        <f>Councils!D529</f>
        <v>Dallas</v>
      </c>
      <c r="D526" s="322" t="str">
        <f>IF(ISNA(VLOOKUP($V526,DD_Info!$A$1:$E$221,3,0)),0,VLOOKUP($V526,DD_Info!$A$1:$E$221,3,0))</f>
        <v>Dallas</v>
      </c>
      <c r="E526" s="322">
        <f>Councils!E529</f>
        <v>138</v>
      </c>
      <c r="F526" s="322">
        <f>Councils!F529</f>
        <v>7</v>
      </c>
      <c r="G526" s="322">
        <f>Councils!G529</f>
        <v>0</v>
      </c>
      <c r="H526" s="322">
        <f>Councils!H529</f>
        <v>0</v>
      </c>
      <c r="I526" s="322">
        <f>Councils!I529</f>
        <v>0</v>
      </c>
      <c r="J526" s="322">
        <f>Councils!J529</f>
        <v>1</v>
      </c>
      <c r="K526" s="322">
        <f>Councils!K529</f>
        <v>0</v>
      </c>
      <c r="L526" s="322">
        <f>Councils!L529</f>
        <v>1</v>
      </c>
      <c r="M526" s="323">
        <f>Councils!M529</f>
        <v>14.29</v>
      </c>
      <c r="N526" s="322">
        <f>Councils!O529</f>
        <v>0</v>
      </c>
      <c r="O526" s="322">
        <f>Councils!P529</f>
        <v>0</v>
      </c>
      <c r="P526" s="322">
        <f>Councils!Q529</f>
        <v>0</v>
      </c>
      <c r="Q526" s="322">
        <f>Councils!R529</f>
        <v>0</v>
      </c>
      <c r="R526" s="322">
        <f>Councils!S529</f>
        <v>0</v>
      </c>
      <c r="S526" s="322">
        <f>Councils!T529</f>
        <v>0</v>
      </c>
      <c r="T526" s="322">
        <f>Councils!U529</f>
        <v>0</v>
      </c>
      <c r="U526" s="323">
        <f>Councils!V529</f>
        <v>0</v>
      </c>
      <c r="V526" s="376">
        <v>106</v>
      </c>
      <c r="W526" s="377">
        <f t="shared" si="8"/>
        <v>2</v>
      </c>
      <c r="X526" s="378" t="str">
        <f>IF(ISNA(VLOOKUP($A526,GA!$A$1:$D$834,3,0))," ",VLOOKUP($A526,GA!$A$1:$D$834,3,0))</f>
        <v>Regan</v>
      </c>
      <c r="Y526" s="379" t="str">
        <f>IF(ISNA(VLOOKUP($A526,Dormant_Councils!$A$1:$E$811,5,0)),"No",VLOOKUP($A526,Dormant_Councils!$A$1:$E$811,5,0))</f>
        <v>No</v>
      </c>
      <c r="Z526" s="381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22" t="str">
        <f>Councils!C530</f>
        <v>141</v>
      </c>
      <c r="C527" s="322" t="str">
        <f>Councils!D530</f>
        <v>Abbott</v>
      </c>
      <c r="D527" s="322" t="str">
        <f>IF(ISNA(VLOOKUP($V527,DD_Info!$A$1:$E$221,3,0)),0,VLOOKUP($V527,DD_Info!$A$1:$E$221,3,0))</f>
        <v>Austin</v>
      </c>
      <c r="E527" s="322">
        <f>Councils!E530</f>
        <v>85</v>
      </c>
      <c r="F527" s="322">
        <f>Councils!F530</f>
        <v>4</v>
      </c>
      <c r="G527" s="322">
        <f>Councils!G530</f>
        <v>0</v>
      </c>
      <c r="H527" s="322">
        <f>Councils!H530</f>
        <v>0</v>
      </c>
      <c r="I527" s="322">
        <f>Councils!I530</f>
        <v>0</v>
      </c>
      <c r="J527" s="322">
        <f>Councils!J530</f>
        <v>0</v>
      </c>
      <c r="K527" s="322">
        <f>Councils!K530</f>
        <v>0</v>
      </c>
      <c r="L527" s="322">
        <f>Councils!L530</f>
        <v>0</v>
      </c>
      <c r="M527" s="323">
        <f>Councils!M530</f>
        <v>0</v>
      </c>
      <c r="N527" s="322">
        <f>Councils!O530</f>
        <v>0</v>
      </c>
      <c r="O527" s="322">
        <f>Councils!P530</f>
        <v>0</v>
      </c>
      <c r="P527" s="322">
        <f>Councils!Q530</f>
        <v>0</v>
      </c>
      <c r="Q527" s="322">
        <f>Councils!R530</f>
        <v>0</v>
      </c>
      <c r="R527" s="322">
        <f>Councils!S530</f>
        <v>0</v>
      </c>
      <c r="S527" s="322">
        <f>Councils!T530</f>
        <v>0</v>
      </c>
      <c r="T527" s="322">
        <f>Councils!U530</f>
        <v>0</v>
      </c>
      <c r="U527" s="323">
        <f>Councils!V530</f>
        <v>0</v>
      </c>
      <c r="V527" s="376">
        <v>141</v>
      </c>
      <c r="W527" s="377">
        <f t="shared" si="8"/>
        <v>2</v>
      </c>
      <c r="X527" s="378" t="str">
        <f>IF(ISNA(VLOOKUP($A527,GA!$A$1:$D$834,3,0))," ",VLOOKUP($A527,GA!$A$1:$D$834,3,0))</f>
        <v>Stark</v>
      </c>
      <c r="Y527" s="379" t="str">
        <f>IF(ISNA(VLOOKUP($A527,Dormant_Councils!$A$1:$E$811,5,0)),"No",VLOOKUP($A527,Dormant_Councils!$A$1:$E$811,5,0))</f>
        <v>No</v>
      </c>
      <c r="Z527" s="381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22" t="str">
        <f>Councils!C531</f>
        <v>169</v>
      </c>
      <c r="C528" s="322" t="str">
        <f>Councils!D531</f>
        <v>Corpus Christi</v>
      </c>
      <c r="D528" s="322" t="str">
        <f>IF(ISNA(VLOOKUP($V528,DD_Info!$A$1:$E$221,3,0)),0,VLOOKUP($V528,DD_Info!$A$1:$E$221,3,0))</f>
        <v>Corpus Christi</v>
      </c>
      <c r="E528" s="322">
        <f>Councils!E531</f>
        <v>125</v>
      </c>
      <c r="F528" s="322">
        <f>Councils!F531</f>
        <v>5</v>
      </c>
      <c r="G528" s="322">
        <f>Councils!G531</f>
        <v>0</v>
      </c>
      <c r="H528" s="322">
        <f>Councils!H531</f>
        <v>0</v>
      </c>
      <c r="I528" s="322">
        <f>Councils!I531</f>
        <v>0</v>
      </c>
      <c r="J528" s="322">
        <f>Councils!J531</f>
        <v>1</v>
      </c>
      <c r="K528" s="322">
        <f>Councils!K531</f>
        <v>0</v>
      </c>
      <c r="L528" s="322">
        <f>Councils!L531</f>
        <v>1</v>
      </c>
      <c r="M528" s="323">
        <f>Councils!M531</f>
        <v>20</v>
      </c>
      <c r="N528" s="322">
        <f>Councils!O531</f>
        <v>0</v>
      </c>
      <c r="O528" s="322">
        <f>Councils!P531</f>
        <v>0</v>
      </c>
      <c r="P528" s="322">
        <f>Councils!Q531</f>
        <v>1</v>
      </c>
      <c r="Q528" s="322">
        <f>Councils!R531</f>
        <v>-1</v>
      </c>
      <c r="R528" s="322">
        <f>Councils!S531</f>
        <v>0</v>
      </c>
      <c r="S528" s="322">
        <f>Councils!T531</f>
        <v>1</v>
      </c>
      <c r="T528" s="322">
        <f>Councils!U531</f>
        <v>-1</v>
      </c>
      <c r="U528" s="323">
        <f>Councils!V531</f>
        <v>0</v>
      </c>
      <c r="V528" s="376">
        <v>169</v>
      </c>
      <c r="W528" s="377">
        <f t="shared" si="8"/>
        <v>2</v>
      </c>
      <c r="X528" s="378" t="str">
        <f>IF(ISNA(VLOOKUP($A528,GA!$A$1:$D$834,3,0))," ",VLOOKUP($A528,GA!$A$1:$D$834,3,0))</f>
        <v>Carlin</v>
      </c>
      <c r="Y528" s="379" t="str">
        <f>IF(ISNA(VLOOKUP($A528,Dormant_Councils!$A$1:$E$811,5,0)),"No",VLOOKUP($A528,Dormant_Councils!$A$1:$E$811,5,0))</f>
        <v>No</v>
      </c>
      <c r="Z528" s="381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22" t="str">
        <f>Councils!C532</f>
        <v>148</v>
      </c>
      <c r="C529" s="322" t="str">
        <f>Councils!D532</f>
        <v>Chappell Hill</v>
      </c>
      <c r="D529" s="322" t="str">
        <f>IF(ISNA(VLOOKUP($V529,DD_Info!$A$1:$E$221,3,0)),0,VLOOKUP($V529,DD_Info!$A$1:$E$221,3,0))</f>
        <v>Austin</v>
      </c>
      <c r="E529" s="322">
        <f>Councils!E532</f>
        <v>75</v>
      </c>
      <c r="F529" s="322">
        <f>Councils!F532</f>
        <v>4</v>
      </c>
      <c r="G529" s="322">
        <f>Councils!G532</f>
        <v>0</v>
      </c>
      <c r="H529" s="322">
        <f>Councils!H532</f>
        <v>0</v>
      </c>
      <c r="I529" s="322">
        <f>Councils!I532</f>
        <v>0</v>
      </c>
      <c r="J529" s="322">
        <f>Councils!J532</f>
        <v>0</v>
      </c>
      <c r="K529" s="322">
        <f>Councils!K532</f>
        <v>0</v>
      </c>
      <c r="L529" s="322">
        <f>Councils!L532</f>
        <v>0</v>
      </c>
      <c r="M529" s="323">
        <f>Councils!M532</f>
        <v>0</v>
      </c>
      <c r="N529" s="322">
        <f>Councils!O532</f>
        <v>0</v>
      </c>
      <c r="O529" s="322">
        <f>Councils!P532</f>
        <v>0</v>
      </c>
      <c r="P529" s="322">
        <f>Councils!Q532</f>
        <v>0</v>
      </c>
      <c r="Q529" s="322">
        <f>Councils!R532</f>
        <v>0</v>
      </c>
      <c r="R529" s="322">
        <f>Councils!S532</f>
        <v>0</v>
      </c>
      <c r="S529" s="322">
        <f>Councils!T532</f>
        <v>0</v>
      </c>
      <c r="T529" s="322">
        <f>Councils!U532</f>
        <v>0</v>
      </c>
      <c r="U529" s="323">
        <f>Councils!V532</f>
        <v>0</v>
      </c>
      <c r="V529" s="376">
        <v>148</v>
      </c>
      <c r="W529" s="377">
        <f t="shared" si="8"/>
        <v>2</v>
      </c>
      <c r="X529" s="378" t="str">
        <f>IF(ISNA(VLOOKUP($A529,GA!$A$1:$D$834,3,0))," ",VLOOKUP($A529,GA!$A$1:$D$834,3,0))</f>
        <v>Supak</v>
      </c>
      <c r="Y529" s="379" t="str">
        <f>IF(ISNA(VLOOKUP($A529,Dormant_Councils!$A$1:$E$811,5,0)),"No",VLOOKUP($A529,Dormant_Councils!$A$1:$E$811,5,0))</f>
        <v>No</v>
      </c>
      <c r="Z529" s="381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22" t="str">
        <f>Councils!C533</f>
        <v>225</v>
      </c>
      <c r="C530" s="322" t="str">
        <f>Councils!D533</f>
        <v>Eldorado</v>
      </c>
      <c r="D530" s="322" t="str">
        <f>IF(ISNA(VLOOKUP($V530,DD_Info!$A$1:$E$221,3,0)),0,VLOOKUP($V530,DD_Info!$A$1:$E$221,3,0))</f>
        <v>San Angelo</v>
      </c>
      <c r="E530" s="322">
        <f>Councils!E533</f>
        <v>41</v>
      </c>
      <c r="F530" s="322">
        <f>Councils!F533</f>
        <v>3</v>
      </c>
      <c r="G530" s="322">
        <f>Councils!G533</f>
        <v>0</v>
      </c>
      <c r="H530" s="322">
        <f>Councils!H533</f>
        <v>0</v>
      </c>
      <c r="I530" s="322">
        <f>Councils!I533</f>
        <v>0</v>
      </c>
      <c r="J530" s="322">
        <f>Councils!J533</f>
        <v>0</v>
      </c>
      <c r="K530" s="322">
        <f>Councils!K533</f>
        <v>0</v>
      </c>
      <c r="L530" s="322">
        <f>Councils!L533</f>
        <v>0</v>
      </c>
      <c r="M530" s="323">
        <f>Councils!M533</f>
        <v>0</v>
      </c>
      <c r="N530" s="322">
        <f>Councils!O533</f>
        <v>0</v>
      </c>
      <c r="O530" s="322">
        <f>Councils!P533</f>
        <v>0</v>
      </c>
      <c r="P530" s="322">
        <f>Councils!Q533</f>
        <v>0</v>
      </c>
      <c r="Q530" s="322">
        <f>Councils!R533</f>
        <v>0</v>
      </c>
      <c r="R530" s="322">
        <f>Councils!S533</f>
        <v>0</v>
      </c>
      <c r="S530" s="322">
        <f>Councils!T533</f>
        <v>0</v>
      </c>
      <c r="T530" s="322">
        <f>Councils!U533</f>
        <v>0</v>
      </c>
      <c r="U530" s="323">
        <f>Councils!V533</f>
        <v>0</v>
      </c>
      <c r="V530" s="376">
        <v>225</v>
      </c>
      <c r="W530" s="377">
        <f t="shared" si="8"/>
        <v>3</v>
      </c>
      <c r="X530" s="378" t="str">
        <f>IF(ISNA(VLOOKUP($A530,GA!$A$1:$D$834,3,0))," ",VLOOKUP($A530,GA!$A$1:$D$834,3,0))</f>
        <v>Payne</v>
      </c>
      <c r="Y530" s="379" t="str">
        <f>IF(ISNA(VLOOKUP($A530,Dormant_Councils!$A$1:$E$811,5,0)),"No",VLOOKUP($A530,Dormant_Councils!$A$1:$E$811,5,0))</f>
        <v>Dormant</v>
      </c>
      <c r="Z530" s="381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22" t="str">
        <f>Councils!C534</f>
        <v>114</v>
      </c>
      <c r="C531" s="322" t="str">
        <f>Councils!D534</f>
        <v>Allen</v>
      </c>
      <c r="D531" s="322" t="str">
        <f>IF(ISNA(VLOOKUP($V531,DD_Info!$A$1:$E$221,3,0)),0,VLOOKUP($V531,DD_Info!$A$1:$E$221,3,0))</f>
        <v>Dallas</v>
      </c>
      <c r="E531" s="322">
        <f>Councils!E534</f>
        <v>478</v>
      </c>
      <c r="F531" s="322">
        <f>Councils!F534</f>
        <v>20</v>
      </c>
      <c r="G531" s="322">
        <f>Councils!G534</f>
        <v>3</v>
      </c>
      <c r="H531" s="322">
        <f>Councils!H534</f>
        <v>5</v>
      </c>
      <c r="I531" s="322">
        <f>Councils!I534</f>
        <v>-2</v>
      </c>
      <c r="J531" s="322">
        <f>Councils!J534</f>
        <v>6</v>
      </c>
      <c r="K531" s="322">
        <f>Councils!K534</f>
        <v>5</v>
      </c>
      <c r="L531" s="322">
        <f>Councils!L534</f>
        <v>1</v>
      </c>
      <c r="M531" s="323">
        <f>Councils!M534</f>
        <v>5</v>
      </c>
      <c r="N531" s="322">
        <f>Councils!O534</f>
        <v>0</v>
      </c>
      <c r="O531" s="322">
        <f>Councils!P534</f>
        <v>0</v>
      </c>
      <c r="P531" s="322">
        <f>Councils!Q534</f>
        <v>2</v>
      </c>
      <c r="Q531" s="322">
        <f>Councils!R534</f>
        <v>-2</v>
      </c>
      <c r="R531" s="322">
        <f>Councils!S534</f>
        <v>0</v>
      </c>
      <c r="S531" s="322">
        <f>Councils!T534</f>
        <v>4</v>
      </c>
      <c r="T531" s="322">
        <f>Councils!U534</f>
        <v>-4</v>
      </c>
      <c r="U531" s="323">
        <f>Councils!V534</f>
        <v>0</v>
      </c>
      <c r="V531" s="376">
        <v>114</v>
      </c>
      <c r="W531" s="377">
        <f t="shared" si="8"/>
        <v>1</v>
      </c>
      <c r="X531" s="378" t="str">
        <f>IF(ISNA(VLOOKUP($A531,GA!$A$1:$D$834,3,0))," ",VLOOKUP($A531,GA!$A$1:$D$834,3,0))</f>
        <v>Regan</v>
      </c>
      <c r="Y531" s="379" t="str">
        <f>IF(ISNA(VLOOKUP($A531,Dormant_Councils!$A$1:$E$811,5,0)),"No",VLOOKUP($A531,Dormant_Councils!$A$1:$E$811,5,0))</f>
        <v>No</v>
      </c>
      <c r="Z531" s="381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22" t="str">
        <f>Councils!C535</f>
        <v>050</v>
      </c>
      <c r="C532" s="322" t="str">
        <f>Councils!D535</f>
        <v>San Antonio</v>
      </c>
      <c r="D532" s="322" t="str">
        <f>IF(ISNA(VLOOKUP($V532,DD_Info!$A$1:$E$221,3,0)),0,VLOOKUP($V532,DD_Info!$A$1:$E$221,3,0))</f>
        <v>San Antonio</v>
      </c>
      <c r="E532" s="322">
        <f>Councils!E535</f>
        <v>35</v>
      </c>
      <c r="F532" s="322">
        <f>Councils!F535</f>
        <v>3</v>
      </c>
      <c r="G532" s="322">
        <f>Councils!G535</f>
        <v>0</v>
      </c>
      <c r="H532" s="322">
        <f>Councils!H535</f>
        <v>0</v>
      </c>
      <c r="I532" s="322">
        <f>Councils!I535</f>
        <v>0</v>
      </c>
      <c r="J532" s="322">
        <f>Councils!J535</f>
        <v>0</v>
      </c>
      <c r="K532" s="322">
        <f>Councils!K535</f>
        <v>0</v>
      </c>
      <c r="L532" s="322">
        <f>Councils!L535</f>
        <v>0</v>
      </c>
      <c r="M532" s="323">
        <f>Councils!M535</f>
        <v>0</v>
      </c>
      <c r="N532" s="322">
        <f>Councils!O535</f>
        <v>0</v>
      </c>
      <c r="O532" s="322">
        <f>Councils!P535</f>
        <v>0</v>
      </c>
      <c r="P532" s="322">
        <f>Councils!Q535</f>
        <v>0</v>
      </c>
      <c r="Q532" s="322">
        <f>Councils!R535</f>
        <v>0</v>
      </c>
      <c r="R532" s="322">
        <f>Councils!S535</f>
        <v>0</v>
      </c>
      <c r="S532" s="322">
        <f>Councils!T535</f>
        <v>0</v>
      </c>
      <c r="T532" s="322">
        <f>Councils!U535</f>
        <v>0</v>
      </c>
      <c r="U532" s="323">
        <f>Councils!V535</f>
        <v>0</v>
      </c>
      <c r="V532" s="376">
        <v>50</v>
      </c>
      <c r="W532" s="377">
        <f t="shared" si="8"/>
        <v>3</v>
      </c>
      <c r="X532" s="378" t="str">
        <f>IF(ISNA(VLOOKUP($A532,GA!$A$1:$D$834,3,0))," ",VLOOKUP($A532,GA!$A$1:$D$834,3,0))</f>
        <v>Dougherty</v>
      </c>
      <c r="Y532" s="379" t="str">
        <f>IF(ISNA(VLOOKUP($A532,Dormant_Councils!$A$1:$E$811,5,0)),"No",VLOOKUP($A532,Dormant_Councils!$A$1:$E$811,5,0))</f>
        <v>No</v>
      </c>
      <c r="Z532" s="381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22" t="str">
        <f>Councils!C536</f>
        <v>050</v>
      </c>
      <c r="C533" s="322" t="str">
        <f>Councils!D536</f>
        <v>San Antonio</v>
      </c>
      <c r="D533" s="322" t="str">
        <f>IF(ISNA(VLOOKUP($V533,DD_Info!$A$1:$E$221,3,0)),0,VLOOKUP($V533,DD_Info!$A$1:$E$221,3,0))</f>
        <v>San Antonio</v>
      </c>
      <c r="E533" s="322">
        <f>Councils!E536</f>
        <v>58</v>
      </c>
      <c r="F533" s="322">
        <f>Councils!F536</f>
        <v>3</v>
      </c>
      <c r="G533" s="322">
        <f>Councils!G536</f>
        <v>0</v>
      </c>
      <c r="H533" s="322">
        <f>Councils!H536</f>
        <v>0</v>
      </c>
      <c r="I533" s="322">
        <f>Councils!I536</f>
        <v>0</v>
      </c>
      <c r="J533" s="322">
        <f>Councils!J536</f>
        <v>0</v>
      </c>
      <c r="K533" s="322">
        <f>Councils!K536</f>
        <v>0</v>
      </c>
      <c r="L533" s="322">
        <f>Councils!L536</f>
        <v>0</v>
      </c>
      <c r="M533" s="323">
        <f>Councils!M536</f>
        <v>0</v>
      </c>
      <c r="N533" s="322">
        <f>Councils!O536</f>
        <v>0</v>
      </c>
      <c r="O533" s="322">
        <f>Councils!P536</f>
        <v>0</v>
      </c>
      <c r="P533" s="322">
        <f>Councils!Q536</f>
        <v>0</v>
      </c>
      <c r="Q533" s="322">
        <f>Councils!R536</f>
        <v>0</v>
      </c>
      <c r="R533" s="322">
        <f>Councils!S536</f>
        <v>0</v>
      </c>
      <c r="S533" s="322">
        <f>Councils!T536</f>
        <v>0</v>
      </c>
      <c r="T533" s="322">
        <f>Councils!U536</f>
        <v>0</v>
      </c>
      <c r="U533" s="323">
        <f>Councils!V536</f>
        <v>0</v>
      </c>
      <c r="V533" s="376">
        <v>50</v>
      </c>
      <c r="W533" s="377">
        <f t="shared" si="8"/>
        <v>3</v>
      </c>
      <c r="X533" s="378" t="str">
        <f>IF(ISNA(VLOOKUP($A533,GA!$A$1:$D$834,3,0))," ",VLOOKUP($A533,GA!$A$1:$D$834,3,0))</f>
        <v>Dougherty</v>
      </c>
      <c r="Y533" s="379" t="str">
        <f>IF(ISNA(VLOOKUP($A533,Dormant_Councils!$A$1:$E$811,5,0)),"No",VLOOKUP($A533,Dormant_Councils!$A$1:$E$811,5,0))</f>
        <v>No</v>
      </c>
      <c r="Z533" s="381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22" t="str">
        <f>Councils!C537</f>
        <v>079</v>
      </c>
      <c r="C534" s="322" t="str">
        <f>Councils!D537</f>
        <v>Sugar Land</v>
      </c>
      <c r="D534" s="322" t="str">
        <f>IF(ISNA(VLOOKUP($V534,DD_Info!$A$1:$E$221,3,0)),0,VLOOKUP($V534,DD_Info!$A$1:$E$221,3,0))</f>
        <v>Galv/Hous</v>
      </c>
      <c r="E534" s="322">
        <f>Councils!E537</f>
        <v>434</v>
      </c>
      <c r="F534" s="322">
        <f>Councils!F537</f>
        <v>20</v>
      </c>
      <c r="G534" s="322">
        <f>Councils!G537</f>
        <v>0</v>
      </c>
      <c r="H534" s="322">
        <f>Councils!H537</f>
        <v>1</v>
      </c>
      <c r="I534" s="322">
        <f>Councils!I537</f>
        <v>-1</v>
      </c>
      <c r="J534" s="322">
        <f>Councils!J537</f>
        <v>6</v>
      </c>
      <c r="K534" s="322">
        <f>Councils!K537</f>
        <v>17</v>
      </c>
      <c r="L534" s="322">
        <f>Councils!L537</f>
        <v>-11</v>
      </c>
      <c r="M534" s="323">
        <f>Councils!M537</f>
        <v>0</v>
      </c>
      <c r="N534" s="322">
        <f>Councils!O537</f>
        <v>0</v>
      </c>
      <c r="O534" s="322">
        <f>Councils!P537</f>
        <v>0</v>
      </c>
      <c r="P534" s="322">
        <f>Councils!Q537</f>
        <v>0</v>
      </c>
      <c r="Q534" s="322">
        <f>Councils!R537</f>
        <v>0</v>
      </c>
      <c r="R534" s="322">
        <f>Councils!S537</f>
        <v>6</v>
      </c>
      <c r="S534" s="322">
        <f>Councils!T537</f>
        <v>1</v>
      </c>
      <c r="T534" s="322">
        <f>Councils!U537</f>
        <v>5</v>
      </c>
      <c r="U534" s="323">
        <f>Councils!V537</f>
        <v>0</v>
      </c>
      <c r="V534" s="376">
        <v>79</v>
      </c>
      <c r="W534" s="377">
        <f t="shared" si="8"/>
        <v>1</v>
      </c>
      <c r="X534" s="378" t="str">
        <f>IF(ISNA(VLOOKUP($A534,GA!$A$1:$D$834,3,0))," ",VLOOKUP($A534,GA!$A$1:$D$834,3,0))</f>
        <v>Supak</v>
      </c>
      <c r="Y534" s="379" t="str">
        <f>IF(ISNA(VLOOKUP($A534,Dormant_Councils!$A$1:$E$811,5,0)),"No",VLOOKUP($A534,Dormant_Councils!$A$1:$E$811,5,0))</f>
        <v>No</v>
      </c>
      <c r="Z534" s="381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22" t="str">
        <f>Councils!C538</f>
        <v>012</v>
      </c>
      <c r="C535" s="322" t="str">
        <f>Councils!D538</f>
        <v>Van Horn</v>
      </c>
      <c r="D535" s="322" t="str">
        <f>IF(ISNA(VLOOKUP($V535,DD_Info!$A$1:$E$221,3,0)),0,VLOOKUP($V535,DD_Info!$A$1:$E$221,3,0))</f>
        <v>El Paso</v>
      </c>
      <c r="E535" s="322">
        <f>Councils!E538</f>
        <v>62</v>
      </c>
      <c r="F535" s="322">
        <f>Councils!F538</f>
        <v>3</v>
      </c>
      <c r="G535" s="322">
        <f>Councils!G538</f>
        <v>0</v>
      </c>
      <c r="H535" s="322">
        <f>Councils!H538</f>
        <v>0</v>
      </c>
      <c r="I535" s="322">
        <f>Councils!I538</f>
        <v>0</v>
      </c>
      <c r="J535" s="322">
        <f>Councils!J538</f>
        <v>0</v>
      </c>
      <c r="K535" s="322">
        <f>Councils!K538</f>
        <v>0</v>
      </c>
      <c r="L535" s="322">
        <f>Councils!L538</f>
        <v>0</v>
      </c>
      <c r="M535" s="323">
        <f>Councils!M538</f>
        <v>0</v>
      </c>
      <c r="N535" s="322">
        <f>Councils!O538</f>
        <v>0</v>
      </c>
      <c r="O535" s="322">
        <f>Councils!P538</f>
        <v>0</v>
      </c>
      <c r="P535" s="322">
        <f>Councils!Q538</f>
        <v>0</v>
      </c>
      <c r="Q535" s="322">
        <f>Councils!R538</f>
        <v>0</v>
      </c>
      <c r="R535" s="322">
        <f>Councils!S538</f>
        <v>0</v>
      </c>
      <c r="S535" s="322">
        <f>Councils!T538</f>
        <v>0</v>
      </c>
      <c r="T535" s="322">
        <f>Councils!U538</f>
        <v>0</v>
      </c>
      <c r="U535" s="323">
        <f>Councils!V538</f>
        <v>0</v>
      </c>
      <c r="V535" s="376">
        <v>12</v>
      </c>
      <c r="W535" s="377">
        <f t="shared" si="8"/>
        <v>3</v>
      </c>
      <c r="X535" s="378" t="str">
        <f>IF(ISNA(VLOOKUP($A535,GA!$A$1:$D$834,3,0))," ",VLOOKUP($A535,GA!$A$1:$D$834,3,0))</f>
        <v>Payne</v>
      </c>
      <c r="Y535" s="379" t="str">
        <f>IF(ISNA(VLOOKUP($A535,Dormant_Councils!$A$1:$E$811,5,0)),"No",VLOOKUP($A535,Dormant_Councils!$A$1:$E$811,5,0))</f>
        <v>No</v>
      </c>
      <c r="Z535" s="381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22" t="str">
        <f>Councils!C539</f>
        <v>186</v>
      </c>
      <c r="C536" s="322" t="str">
        <f>Councils!D539</f>
        <v>Inez</v>
      </c>
      <c r="D536" s="322" t="str">
        <f>IF(ISNA(VLOOKUP($V536,DD_Info!$A$1:$E$221,3,0)),0,VLOOKUP($V536,DD_Info!$A$1:$E$221,3,0))</f>
        <v>Victoria</v>
      </c>
      <c r="E536" s="322">
        <f>Councils!E539</f>
        <v>62</v>
      </c>
      <c r="F536" s="322">
        <f>Councils!F539</f>
        <v>3</v>
      </c>
      <c r="G536" s="322">
        <f>Councils!G539</f>
        <v>0</v>
      </c>
      <c r="H536" s="322">
        <f>Councils!H539</f>
        <v>0</v>
      </c>
      <c r="I536" s="322">
        <f>Councils!I539</f>
        <v>0</v>
      </c>
      <c r="J536" s="322">
        <f>Councils!J539</f>
        <v>0</v>
      </c>
      <c r="K536" s="322">
        <f>Councils!K539</f>
        <v>0</v>
      </c>
      <c r="L536" s="322">
        <f>Councils!L539</f>
        <v>0</v>
      </c>
      <c r="M536" s="323">
        <f>Councils!M539</f>
        <v>0</v>
      </c>
      <c r="N536" s="322">
        <f>Councils!O539</f>
        <v>0</v>
      </c>
      <c r="O536" s="322">
        <f>Councils!P539</f>
        <v>0</v>
      </c>
      <c r="P536" s="322">
        <f>Councils!Q539</f>
        <v>0</v>
      </c>
      <c r="Q536" s="322">
        <f>Councils!R539</f>
        <v>0</v>
      </c>
      <c r="R536" s="322">
        <f>Councils!S539</f>
        <v>0</v>
      </c>
      <c r="S536" s="322">
        <f>Councils!T539</f>
        <v>0</v>
      </c>
      <c r="T536" s="322">
        <f>Councils!U539</f>
        <v>0</v>
      </c>
      <c r="U536" s="323">
        <f>Councils!V539</f>
        <v>0</v>
      </c>
      <c r="V536" s="376">
        <v>186</v>
      </c>
      <c r="W536" s="377">
        <f t="shared" si="8"/>
        <v>3</v>
      </c>
      <c r="X536" s="378" t="str">
        <f>IF(ISNA(VLOOKUP($A536,GA!$A$1:$D$834,3,0))," ",VLOOKUP($A536,GA!$A$1:$D$834,3,0))</f>
        <v>Supak</v>
      </c>
      <c r="Y536" s="379" t="str">
        <f>IF(ISNA(VLOOKUP($A536,Dormant_Councils!$A$1:$E$811,5,0)),"No",VLOOKUP($A536,Dormant_Councils!$A$1:$E$811,5,0))</f>
        <v>No</v>
      </c>
      <c r="Z536" s="381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22" t="str">
        <f>Councils!C540</f>
        <v>245</v>
      </c>
      <c r="C537" s="322" t="str">
        <f>Councils!D540</f>
        <v>Odonnell</v>
      </c>
      <c r="D537" s="322" t="str">
        <f>IF(ISNA(VLOOKUP($V537,DD_Info!$A$1:$E$221,3,0)),0,VLOOKUP($V537,DD_Info!$A$1:$E$221,3,0))</f>
        <v>Lubbock</v>
      </c>
      <c r="E537" s="322">
        <f>Councils!E540</f>
        <v>26</v>
      </c>
      <c r="F537" s="322">
        <f>Councils!F540</f>
        <v>3</v>
      </c>
      <c r="G537" s="322">
        <f>Councils!G540</f>
        <v>0</v>
      </c>
      <c r="H537" s="322">
        <f>Councils!H540</f>
        <v>0</v>
      </c>
      <c r="I537" s="322">
        <f>Councils!I540</f>
        <v>0</v>
      </c>
      <c r="J537" s="322">
        <f>Councils!J540</f>
        <v>1</v>
      </c>
      <c r="K537" s="322">
        <f>Councils!K540</f>
        <v>0</v>
      </c>
      <c r="L537" s="322">
        <f>Councils!L540</f>
        <v>1</v>
      </c>
      <c r="M537" s="323">
        <f>Councils!M540</f>
        <v>33.33</v>
      </c>
      <c r="N537" s="322">
        <f>Councils!O540</f>
        <v>0</v>
      </c>
      <c r="O537" s="322">
        <f>Councils!P540</f>
        <v>0</v>
      </c>
      <c r="P537" s="322">
        <f>Councils!Q540</f>
        <v>0</v>
      </c>
      <c r="Q537" s="322">
        <f>Councils!R540</f>
        <v>0</v>
      </c>
      <c r="R537" s="322">
        <f>Councils!S540</f>
        <v>0</v>
      </c>
      <c r="S537" s="322">
        <f>Councils!T540</f>
        <v>0</v>
      </c>
      <c r="T537" s="322">
        <f>Councils!U540</f>
        <v>0</v>
      </c>
      <c r="U537" s="323">
        <f>Councils!V540</f>
        <v>0</v>
      </c>
      <c r="V537" s="376">
        <v>245</v>
      </c>
      <c r="W537" s="377">
        <f t="shared" si="8"/>
        <v>3</v>
      </c>
      <c r="X537" s="378" t="str">
        <f>IF(ISNA(VLOOKUP($A537,GA!$A$1:$D$834,3,0))," ",VLOOKUP($A537,GA!$A$1:$D$834,3,0))</f>
        <v>Payne</v>
      </c>
      <c r="Y537" s="379" t="str">
        <f>IF(ISNA(VLOOKUP($A537,Dormant_Councils!$A$1:$E$811,5,0)),"No",VLOOKUP($A537,Dormant_Councils!$A$1:$E$811,5,0))</f>
        <v>No</v>
      </c>
      <c r="Z537" s="381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22" t="str">
        <f>Councils!C541</f>
        <v>105</v>
      </c>
      <c r="C538" s="322" t="str">
        <f>Councils!D541</f>
        <v>Dallas</v>
      </c>
      <c r="D538" s="322" t="str">
        <f>IF(ISNA(VLOOKUP($V538,DD_Info!$A$1:$E$221,3,0)),0,VLOOKUP($V538,DD_Info!$A$1:$E$221,3,0))</f>
        <v>Dallas</v>
      </c>
      <c r="E538" s="322">
        <f>Councils!E541</f>
        <v>60</v>
      </c>
      <c r="F538" s="322">
        <f>Councils!F541</f>
        <v>3</v>
      </c>
      <c r="G538" s="322">
        <f>Councils!G541</f>
        <v>0</v>
      </c>
      <c r="H538" s="322">
        <f>Councils!H541</f>
        <v>0</v>
      </c>
      <c r="I538" s="322">
        <f>Councils!I541</f>
        <v>0</v>
      </c>
      <c r="J538" s="322">
        <f>Councils!J541</f>
        <v>0</v>
      </c>
      <c r="K538" s="322">
        <f>Councils!K541</f>
        <v>0</v>
      </c>
      <c r="L538" s="322">
        <f>Councils!L541</f>
        <v>0</v>
      </c>
      <c r="M538" s="323">
        <f>Councils!M541</f>
        <v>0</v>
      </c>
      <c r="N538" s="322">
        <f>Councils!O541</f>
        <v>0</v>
      </c>
      <c r="O538" s="322">
        <f>Councils!P541</f>
        <v>0</v>
      </c>
      <c r="P538" s="322">
        <f>Councils!Q541</f>
        <v>0</v>
      </c>
      <c r="Q538" s="322">
        <f>Councils!R541</f>
        <v>0</v>
      </c>
      <c r="R538" s="322">
        <f>Councils!S541</f>
        <v>2</v>
      </c>
      <c r="S538" s="322">
        <f>Councils!T541</f>
        <v>0</v>
      </c>
      <c r="T538" s="322">
        <f>Councils!U541</f>
        <v>2</v>
      </c>
      <c r="U538" s="323">
        <f>Councils!V541</f>
        <v>0</v>
      </c>
      <c r="V538" s="376">
        <v>105</v>
      </c>
      <c r="W538" s="377">
        <f t="shared" si="8"/>
        <v>3</v>
      </c>
      <c r="X538" s="378" t="str">
        <f>IF(ISNA(VLOOKUP($A538,GA!$A$1:$D$834,3,0))," ",VLOOKUP($A538,GA!$A$1:$D$834,3,0))</f>
        <v>Regan</v>
      </c>
      <c r="Y538" s="379" t="str">
        <f>IF(ISNA(VLOOKUP($A538,Dormant_Councils!$A$1:$E$811,5,0)),"No",VLOOKUP($A538,Dormant_Councils!$A$1:$E$811,5,0))</f>
        <v>No</v>
      </c>
      <c r="Z538" s="381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22" t="str">
        <f>Councils!C542</f>
        <v>171</v>
      </c>
      <c r="C539" s="322" t="str">
        <f>Councils!D542</f>
        <v>Aransas Pass</v>
      </c>
      <c r="D539" s="322" t="str">
        <f>IF(ISNA(VLOOKUP($V539,DD_Info!$A$1:$E$221,3,0)),0,VLOOKUP($V539,DD_Info!$A$1:$E$221,3,0))</f>
        <v>Corpus Christi</v>
      </c>
      <c r="E539" s="322">
        <f>Councils!E542</f>
        <v>68</v>
      </c>
      <c r="F539" s="322">
        <f>Councils!F542</f>
        <v>3</v>
      </c>
      <c r="G539" s="322">
        <f>Councils!G542</f>
        <v>0</v>
      </c>
      <c r="H539" s="322">
        <f>Councils!H542</f>
        <v>0</v>
      </c>
      <c r="I539" s="322">
        <f>Councils!I542</f>
        <v>0</v>
      </c>
      <c r="J539" s="322">
        <f>Councils!J542</f>
        <v>0</v>
      </c>
      <c r="K539" s="322">
        <f>Councils!K542</f>
        <v>0</v>
      </c>
      <c r="L539" s="322">
        <f>Councils!L542</f>
        <v>0</v>
      </c>
      <c r="M539" s="323">
        <f>Councils!M542</f>
        <v>0</v>
      </c>
      <c r="N539" s="322">
        <f>Councils!O542</f>
        <v>0</v>
      </c>
      <c r="O539" s="322">
        <f>Councils!P542</f>
        <v>0</v>
      </c>
      <c r="P539" s="322">
        <f>Councils!Q542</f>
        <v>0</v>
      </c>
      <c r="Q539" s="322">
        <f>Councils!R542</f>
        <v>0</v>
      </c>
      <c r="R539" s="322">
        <f>Councils!S542</f>
        <v>0</v>
      </c>
      <c r="S539" s="322">
        <f>Councils!T542</f>
        <v>0</v>
      </c>
      <c r="T539" s="322">
        <f>Councils!U542</f>
        <v>0</v>
      </c>
      <c r="U539" s="323">
        <f>Councils!V542</f>
        <v>0</v>
      </c>
      <c r="V539" s="376">
        <v>171</v>
      </c>
      <c r="W539" s="377">
        <f t="shared" si="8"/>
        <v>2</v>
      </c>
      <c r="X539" s="378" t="str">
        <f>IF(ISNA(VLOOKUP($A539,GA!$A$1:$D$834,3,0))," ",VLOOKUP($A539,GA!$A$1:$D$834,3,0))</f>
        <v>Carlin</v>
      </c>
      <c r="Y539" s="379" t="str">
        <f>IF(ISNA(VLOOKUP($A539,Dormant_Councils!$A$1:$E$811,5,0)),"No",VLOOKUP($A539,Dormant_Councils!$A$1:$E$811,5,0))</f>
        <v>Dormant</v>
      </c>
      <c r="Z539" s="381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22" t="str">
        <f>Councils!C543</f>
        <v>026</v>
      </c>
      <c r="C540" s="322" t="str">
        <f>Councils!D543</f>
        <v>Fort Worth</v>
      </c>
      <c r="D540" s="322" t="str">
        <f>IF(ISNA(VLOOKUP($V540,DD_Info!$A$1:$E$221,3,0)),0,VLOOKUP($V540,DD_Info!$A$1:$E$221,3,0))</f>
        <v>Fort Worth</v>
      </c>
      <c r="E540" s="322">
        <f>Councils!E543</f>
        <v>140</v>
      </c>
      <c r="F540" s="322">
        <f>Councils!F543</f>
        <v>7</v>
      </c>
      <c r="G540" s="322">
        <f>Councils!G543</f>
        <v>0</v>
      </c>
      <c r="H540" s="322">
        <f>Councils!H543</f>
        <v>0</v>
      </c>
      <c r="I540" s="322">
        <f>Councils!I543</f>
        <v>0</v>
      </c>
      <c r="J540" s="322">
        <f>Councils!J543</f>
        <v>0</v>
      </c>
      <c r="K540" s="322">
        <f>Councils!K543</f>
        <v>0</v>
      </c>
      <c r="L540" s="322">
        <f>Councils!L543</f>
        <v>0</v>
      </c>
      <c r="M540" s="323">
        <f>Councils!M543</f>
        <v>0</v>
      </c>
      <c r="N540" s="322">
        <f>Councils!O543</f>
        <v>0</v>
      </c>
      <c r="O540" s="322">
        <f>Councils!P543</f>
        <v>0</v>
      </c>
      <c r="P540" s="322">
        <f>Councils!Q543</f>
        <v>0</v>
      </c>
      <c r="Q540" s="322">
        <f>Councils!R543</f>
        <v>0</v>
      </c>
      <c r="R540" s="322">
        <f>Councils!S543</f>
        <v>1</v>
      </c>
      <c r="S540" s="322">
        <f>Councils!T543</f>
        <v>0</v>
      </c>
      <c r="T540" s="322">
        <f>Councils!U543</f>
        <v>1</v>
      </c>
      <c r="U540" s="323">
        <f>Councils!V543</f>
        <v>0</v>
      </c>
      <c r="V540" s="376">
        <v>26</v>
      </c>
      <c r="W540" s="377">
        <f t="shared" si="8"/>
        <v>1</v>
      </c>
      <c r="X540" s="378" t="str">
        <f>IF(ISNA(VLOOKUP($A540,GA!$A$1:$D$834,3,0))," ",VLOOKUP($A540,GA!$A$1:$D$834,3,0))</f>
        <v>Stark</v>
      </c>
      <c r="Y540" s="379" t="str">
        <f>IF(ISNA(VLOOKUP($A540,Dormant_Councils!$A$1:$E$811,5,0)),"No",VLOOKUP($A540,Dormant_Councils!$A$1:$E$811,5,0))</f>
        <v>No</v>
      </c>
      <c r="Z540" s="381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22" t="str">
        <f>Councils!C544</f>
        <v>077</v>
      </c>
      <c r="C541" s="322" t="str">
        <f>Councils!D544</f>
        <v>Houston</v>
      </c>
      <c r="D541" s="322" t="str">
        <f>IF(ISNA(VLOOKUP($V541,DD_Info!$A$1:$E$221,3,0)),0,VLOOKUP($V541,DD_Info!$A$1:$E$221,3,0))</f>
        <v>Galv/Hous</v>
      </c>
      <c r="E541" s="322">
        <f>Councils!E544</f>
        <v>88</v>
      </c>
      <c r="F541" s="322">
        <f>Councils!F544</f>
        <v>4</v>
      </c>
      <c r="G541" s="322">
        <f>Councils!G544</f>
        <v>0</v>
      </c>
      <c r="H541" s="322">
        <f>Councils!H544</f>
        <v>0</v>
      </c>
      <c r="I541" s="322">
        <f>Councils!I544</f>
        <v>0</v>
      </c>
      <c r="J541" s="322">
        <f>Councils!J544</f>
        <v>1</v>
      </c>
      <c r="K541" s="322">
        <f>Councils!K544</f>
        <v>0</v>
      </c>
      <c r="L541" s="322">
        <f>Councils!L544</f>
        <v>1</v>
      </c>
      <c r="M541" s="323">
        <f>Councils!M544</f>
        <v>25</v>
      </c>
      <c r="N541" s="322">
        <f>Councils!O544</f>
        <v>0</v>
      </c>
      <c r="O541" s="322">
        <f>Councils!P544</f>
        <v>0</v>
      </c>
      <c r="P541" s="322">
        <f>Councils!Q544</f>
        <v>0</v>
      </c>
      <c r="Q541" s="322">
        <f>Councils!R544</f>
        <v>0</v>
      </c>
      <c r="R541" s="322">
        <f>Councils!S544</f>
        <v>2</v>
      </c>
      <c r="S541" s="322">
        <f>Councils!T544</f>
        <v>1</v>
      </c>
      <c r="T541" s="322">
        <f>Councils!U544</f>
        <v>1</v>
      </c>
      <c r="U541" s="323">
        <f>Councils!V544</f>
        <v>0</v>
      </c>
      <c r="V541" s="376">
        <v>77</v>
      </c>
      <c r="W541" s="377">
        <f t="shared" si="8"/>
        <v>2</v>
      </c>
      <c r="X541" s="378" t="str">
        <f>IF(ISNA(VLOOKUP($A541,GA!$A$1:$D$834,3,0))," ",VLOOKUP($A541,GA!$A$1:$D$834,3,0))</f>
        <v>Rangel</v>
      </c>
      <c r="Y541" s="379" t="str">
        <f>IF(ISNA(VLOOKUP($A541,Dormant_Councils!$A$1:$E$811,5,0)),"No",VLOOKUP($A541,Dormant_Councils!$A$1:$E$811,5,0))</f>
        <v>No</v>
      </c>
      <c r="Z541" s="381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22" t="str">
        <f>Councils!C545</f>
        <v>135</v>
      </c>
      <c r="C542" s="322" t="str">
        <f>Councils!D545</f>
        <v>Henderson</v>
      </c>
      <c r="D542" s="322" t="str">
        <f>IF(ISNA(VLOOKUP($V542,DD_Info!$A$1:$E$221,3,0)),0,VLOOKUP($V542,DD_Info!$A$1:$E$221,3,0))</f>
        <v>Tyler</v>
      </c>
      <c r="E542" s="322">
        <f>Councils!E545</f>
        <v>46</v>
      </c>
      <c r="F542" s="322">
        <f>Councils!F545</f>
        <v>3</v>
      </c>
      <c r="G542" s="322">
        <f>Councils!G545</f>
        <v>0</v>
      </c>
      <c r="H542" s="322">
        <f>Councils!H545</f>
        <v>0</v>
      </c>
      <c r="I542" s="322">
        <f>Councils!I545</f>
        <v>0</v>
      </c>
      <c r="J542" s="322">
        <f>Councils!J545</f>
        <v>0</v>
      </c>
      <c r="K542" s="322">
        <f>Councils!K545</f>
        <v>1</v>
      </c>
      <c r="L542" s="322">
        <f>Councils!L545</f>
        <v>-1</v>
      </c>
      <c r="M542" s="323">
        <f>Councils!M545</f>
        <v>0</v>
      </c>
      <c r="N542" s="322">
        <f>Councils!O545</f>
        <v>0</v>
      </c>
      <c r="O542" s="322">
        <f>Councils!P545</f>
        <v>0</v>
      </c>
      <c r="P542" s="322">
        <f>Councils!Q545</f>
        <v>0</v>
      </c>
      <c r="Q542" s="322">
        <f>Councils!R545</f>
        <v>0</v>
      </c>
      <c r="R542" s="322">
        <f>Councils!S545</f>
        <v>0</v>
      </c>
      <c r="S542" s="322">
        <f>Councils!T545</f>
        <v>1</v>
      </c>
      <c r="T542" s="322">
        <f>Councils!U545</f>
        <v>-1</v>
      </c>
      <c r="U542" s="323">
        <f>Councils!V545</f>
        <v>0</v>
      </c>
      <c r="V542" s="376">
        <v>135</v>
      </c>
      <c r="W542" s="377">
        <f t="shared" si="8"/>
        <v>3</v>
      </c>
      <c r="X542" s="378" t="str">
        <f>IF(ISNA(VLOOKUP($A542,GA!$A$1:$D$834,3,0))," ",VLOOKUP($A542,GA!$A$1:$D$834,3,0))</f>
        <v>Regan</v>
      </c>
      <c r="Y542" s="379" t="str">
        <f>IF(ISNA(VLOOKUP($A542,Dormant_Councils!$A$1:$E$811,5,0)),"No",VLOOKUP($A542,Dormant_Councils!$A$1:$E$811,5,0))</f>
        <v>No</v>
      </c>
      <c r="Z542" s="381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22" t="str">
        <f>Councils!C546</f>
        <v>093</v>
      </c>
      <c r="C543" s="322" t="str">
        <f>Councils!D546</f>
        <v>Tomball</v>
      </c>
      <c r="D543" s="322" t="str">
        <f>IF(ISNA(VLOOKUP($V543,DD_Info!$A$1:$E$221,3,0)),0,VLOOKUP($V543,DD_Info!$A$1:$E$221,3,0))</f>
        <v>Galv/Hous</v>
      </c>
      <c r="E543" s="322">
        <f>Councils!E546</f>
        <v>222</v>
      </c>
      <c r="F543" s="322">
        <f>Councils!F546</f>
        <v>11</v>
      </c>
      <c r="G543" s="322">
        <f>Councils!G546</f>
        <v>0</v>
      </c>
      <c r="H543" s="322">
        <f>Councils!H546</f>
        <v>1</v>
      </c>
      <c r="I543" s="322">
        <f>Councils!I546</f>
        <v>-1</v>
      </c>
      <c r="J543" s="322">
        <f>Councils!J546</f>
        <v>0</v>
      </c>
      <c r="K543" s="322">
        <f>Councils!K546</f>
        <v>1</v>
      </c>
      <c r="L543" s="322">
        <f>Councils!L546</f>
        <v>-1</v>
      </c>
      <c r="M543" s="323">
        <f>Councils!M546</f>
        <v>0</v>
      </c>
      <c r="N543" s="322">
        <f>Councils!O546</f>
        <v>0</v>
      </c>
      <c r="O543" s="322">
        <f>Councils!P546</f>
        <v>1</v>
      </c>
      <c r="P543" s="322">
        <f>Councils!Q546</f>
        <v>0</v>
      </c>
      <c r="Q543" s="322">
        <f>Councils!R546</f>
        <v>1</v>
      </c>
      <c r="R543" s="322">
        <f>Councils!S546</f>
        <v>2</v>
      </c>
      <c r="S543" s="322">
        <f>Councils!T546</f>
        <v>0</v>
      </c>
      <c r="T543" s="322">
        <f>Councils!U546</f>
        <v>2</v>
      </c>
      <c r="U543" s="323">
        <f>Councils!V546</f>
        <v>0</v>
      </c>
      <c r="V543" s="376">
        <v>93</v>
      </c>
      <c r="W543" s="377">
        <f t="shared" si="8"/>
        <v>1</v>
      </c>
      <c r="X543" s="378" t="str">
        <f>IF(ISNA(VLOOKUP($A543,GA!$A$1:$D$834,3,0))," ",VLOOKUP($A543,GA!$A$1:$D$834,3,0))</f>
        <v>Rangel</v>
      </c>
      <c r="Y543" s="379" t="str">
        <f>IF(ISNA(VLOOKUP($A543,Dormant_Councils!$A$1:$E$811,5,0)),"No",VLOOKUP($A543,Dormant_Councils!$A$1:$E$811,5,0))</f>
        <v>No</v>
      </c>
      <c r="Z543" s="381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22" t="str">
        <f>Councils!C547</f>
        <v>141</v>
      </c>
      <c r="C544" s="322" t="str">
        <f>Councils!D547</f>
        <v>Mexia</v>
      </c>
      <c r="D544" s="322" t="str">
        <f>IF(ISNA(VLOOKUP($V544,DD_Info!$A$1:$E$221,3,0)),0,VLOOKUP($V544,DD_Info!$A$1:$E$221,3,0))</f>
        <v>Austin</v>
      </c>
      <c r="E544" s="322">
        <f>Councils!E547</f>
        <v>47</v>
      </c>
      <c r="F544" s="322">
        <f>Councils!F547</f>
        <v>3</v>
      </c>
      <c r="G544" s="322">
        <f>Councils!G547</f>
        <v>0</v>
      </c>
      <c r="H544" s="322">
        <f>Councils!H547</f>
        <v>0</v>
      </c>
      <c r="I544" s="322">
        <f>Councils!I547</f>
        <v>0</v>
      </c>
      <c r="J544" s="322">
        <f>Councils!J547</f>
        <v>0</v>
      </c>
      <c r="K544" s="322">
        <f>Councils!K547</f>
        <v>0</v>
      </c>
      <c r="L544" s="322">
        <f>Councils!L547</f>
        <v>0</v>
      </c>
      <c r="M544" s="323">
        <f>Councils!M547</f>
        <v>0</v>
      </c>
      <c r="N544" s="322">
        <f>Councils!O547</f>
        <v>0</v>
      </c>
      <c r="O544" s="322">
        <f>Councils!P547</f>
        <v>0</v>
      </c>
      <c r="P544" s="322">
        <f>Councils!Q547</f>
        <v>0</v>
      </c>
      <c r="Q544" s="322">
        <f>Councils!R547</f>
        <v>0</v>
      </c>
      <c r="R544" s="322">
        <f>Councils!S547</f>
        <v>0</v>
      </c>
      <c r="S544" s="322">
        <f>Councils!T547</f>
        <v>0</v>
      </c>
      <c r="T544" s="322">
        <f>Councils!U547</f>
        <v>0</v>
      </c>
      <c r="U544" s="323">
        <f>Councils!V547</f>
        <v>0</v>
      </c>
      <c r="V544" s="376">
        <v>141</v>
      </c>
      <c r="W544" s="377">
        <f t="shared" si="8"/>
        <v>3</v>
      </c>
      <c r="X544" s="378" t="str">
        <f>IF(ISNA(VLOOKUP($A544,GA!$A$1:$D$834,3,0))," ",VLOOKUP($A544,GA!$A$1:$D$834,3,0))</f>
        <v>Rangel</v>
      </c>
      <c r="Y544" s="379" t="str">
        <f>IF(ISNA(VLOOKUP($A544,Dormant_Councils!$A$1:$E$811,5,0)),"No",VLOOKUP($A544,Dormant_Councils!$A$1:$E$811,5,0))</f>
        <v>No</v>
      </c>
      <c r="Z544" s="381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22" t="str">
        <f>Councils!C548</f>
        <v>135</v>
      </c>
      <c r="C545" s="322" t="str">
        <f>Councils!D548</f>
        <v>Jacksonville</v>
      </c>
      <c r="D545" s="322" t="str">
        <f>IF(ISNA(VLOOKUP($V545,DD_Info!$A$1:$E$221,3,0)),0,VLOOKUP($V545,DD_Info!$A$1:$E$221,3,0))</f>
        <v>Tyler</v>
      </c>
      <c r="E545" s="322">
        <f>Councils!E548</f>
        <v>74</v>
      </c>
      <c r="F545" s="322">
        <f>Councils!F548</f>
        <v>4</v>
      </c>
      <c r="G545" s="322">
        <f>Councils!G548</f>
        <v>0</v>
      </c>
      <c r="H545" s="322">
        <f>Councils!H548</f>
        <v>3</v>
      </c>
      <c r="I545" s="322">
        <f>Councils!I548</f>
        <v>-3</v>
      </c>
      <c r="J545" s="322">
        <f>Councils!J548</f>
        <v>0</v>
      </c>
      <c r="K545" s="322">
        <f>Councils!K548</f>
        <v>21</v>
      </c>
      <c r="L545" s="322">
        <f>Councils!L548</f>
        <v>-21</v>
      </c>
      <c r="M545" s="323">
        <f>Councils!M548</f>
        <v>0</v>
      </c>
      <c r="N545" s="322">
        <f>Councils!O548</f>
        <v>0</v>
      </c>
      <c r="O545" s="322">
        <f>Councils!P548</f>
        <v>0</v>
      </c>
      <c r="P545" s="322">
        <f>Councils!Q548</f>
        <v>1</v>
      </c>
      <c r="Q545" s="322">
        <f>Councils!R548</f>
        <v>-1</v>
      </c>
      <c r="R545" s="322">
        <f>Councils!S548</f>
        <v>0</v>
      </c>
      <c r="S545" s="322">
        <f>Councils!T548</f>
        <v>2</v>
      </c>
      <c r="T545" s="322">
        <f>Councils!U548</f>
        <v>-2</v>
      </c>
      <c r="U545" s="323">
        <f>Councils!V548</f>
        <v>0</v>
      </c>
      <c r="V545" s="376">
        <v>135</v>
      </c>
      <c r="W545" s="377">
        <f t="shared" si="8"/>
        <v>2</v>
      </c>
      <c r="X545" s="378" t="str">
        <f>IF(ISNA(VLOOKUP($A545,GA!$A$1:$D$834,3,0))," ",VLOOKUP($A545,GA!$A$1:$D$834,3,0))</f>
        <v>Regan</v>
      </c>
      <c r="Y545" s="379" t="str">
        <f>IF(ISNA(VLOOKUP($A545,Dormant_Councils!$A$1:$E$811,5,0)),"No",VLOOKUP($A545,Dormant_Councils!$A$1:$E$811,5,0))</f>
        <v>No</v>
      </c>
      <c r="Z545" s="381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22" t="str">
        <f>Councils!C549</f>
        <v>179</v>
      </c>
      <c r="C546" s="322" t="str">
        <f>Councils!D549</f>
        <v>Corpus Christi</v>
      </c>
      <c r="D546" s="322" t="str">
        <f>IF(ISNA(VLOOKUP($V546,DD_Info!$A$1:$E$221,3,0)),0,VLOOKUP($V546,DD_Info!$A$1:$E$221,3,0))</f>
        <v>Corpus Christi</v>
      </c>
      <c r="E546" s="322">
        <f>Councils!E549</f>
        <v>58</v>
      </c>
      <c r="F546" s="322">
        <f>Councils!F549</f>
        <v>3</v>
      </c>
      <c r="G546" s="322">
        <f>Councils!G549</f>
        <v>0</v>
      </c>
      <c r="H546" s="322">
        <f>Councils!H549</f>
        <v>0</v>
      </c>
      <c r="I546" s="322">
        <f>Councils!I549</f>
        <v>0</v>
      </c>
      <c r="J546" s="322">
        <f>Councils!J549</f>
        <v>0</v>
      </c>
      <c r="K546" s="322">
        <f>Councils!K549</f>
        <v>0</v>
      </c>
      <c r="L546" s="322">
        <f>Councils!L549</f>
        <v>0</v>
      </c>
      <c r="M546" s="323">
        <f>Councils!M549</f>
        <v>0</v>
      </c>
      <c r="N546" s="322">
        <f>Councils!O549</f>
        <v>0</v>
      </c>
      <c r="O546" s="322">
        <f>Councils!P549</f>
        <v>0</v>
      </c>
      <c r="P546" s="322">
        <f>Councils!Q549</f>
        <v>0</v>
      </c>
      <c r="Q546" s="322">
        <f>Councils!R549</f>
        <v>0</v>
      </c>
      <c r="R546" s="322">
        <f>Councils!S549</f>
        <v>0</v>
      </c>
      <c r="S546" s="322">
        <f>Councils!T549</f>
        <v>0</v>
      </c>
      <c r="T546" s="322">
        <f>Councils!U549</f>
        <v>0</v>
      </c>
      <c r="U546" s="323">
        <f>Councils!V549</f>
        <v>0</v>
      </c>
      <c r="V546" s="376">
        <v>179</v>
      </c>
      <c r="W546" s="377">
        <f t="shared" si="8"/>
        <v>3</v>
      </c>
      <c r="X546" s="378" t="str">
        <f>IF(ISNA(VLOOKUP($A546,GA!$A$1:$D$834,3,0))," ",VLOOKUP($A546,GA!$A$1:$D$834,3,0))</f>
        <v>Carlin</v>
      </c>
      <c r="Y546" s="379" t="str">
        <f>IF(ISNA(VLOOKUP($A546,Dormant_Councils!$A$1:$E$811,5,0)),"No",VLOOKUP($A546,Dormant_Councils!$A$1:$E$811,5,0))</f>
        <v>No</v>
      </c>
      <c r="Z546" s="381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22" t="str">
        <f>Councils!C550</f>
        <v>175</v>
      </c>
      <c r="C547" s="322" t="str">
        <f>Councils!D550</f>
        <v>Ingleside</v>
      </c>
      <c r="D547" s="322" t="str">
        <f>IF(ISNA(VLOOKUP($V547,DD_Info!$A$1:$E$221,3,0)),0,VLOOKUP($V547,DD_Info!$A$1:$E$221,3,0))</f>
        <v>Corpus Christi</v>
      </c>
      <c r="E547" s="322">
        <f>Councils!E550</f>
        <v>78</v>
      </c>
      <c r="F547" s="322">
        <f>Councils!F550</f>
        <v>4</v>
      </c>
      <c r="G547" s="322">
        <f>Councils!G550</f>
        <v>0</v>
      </c>
      <c r="H547" s="322">
        <f>Councils!H550</f>
        <v>1</v>
      </c>
      <c r="I547" s="322">
        <f>Councils!I550</f>
        <v>-1</v>
      </c>
      <c r="J547" s="322">
        <f>Councils!J550</f>
        <v>0</v>
      </c>
      <c r="K547" s="322">
        <f>Councils!K550</f>
        <v>1</v>
      </c>
      <c r="L547" s="322">
        <f>Councils!L550</f>
        <v>-1</v>
      </c>
      <c r="M547" s="323">
        <f>Councils!M550</f>
        <v>0</v>
      </c>
      <c r="N547" s="322">
        <f>Councils!O550</f>
        <v>0</v>
      </c>
      <c r="O547" s="322">
        <f>Councils!P550</f>
        <v>0</v>
      </c>
      <c r="P547" s="322">
        <f>Councils!Q550</f>
        <v>0</v>
      </c>
      <c r="Q547" s="322">
        <f>Councils!R550</f>
        <v>0</v>
      </c>
      <c r="R547" s="322">
        <f>Councils!S550</f>
        <v>0</v>
      </c>
      <c r="S547" s="322">
        <f>Councils!T550</f>
        <v>1</v>
      </c>
      <c r="T547" s="322">
        <f>Councils!U550</f>
        <v>-1</v>
      </c>
      <c r="U547" s="323">
        <f>Councils!V550</f>
        <v>0</v>
      </c>
      <c r="V547" s="376">
        <v>175</v>
      </c>
      <c r="W547" s="377">
        <f t="shared" si="8"/>
        <v>2</v>
      </c>
      <c r="X547" s="378" t="str">
        <f>IF(ISNA(VLOOKUP($A547,GA!$A$1:$D$834,3,0))," ",VLOOKUP($A547,GA!$A$1:$D$834,3,0))</f>
        <v>Carlin</v>
      </c>
      <c r="Y547" s="379" t="str">
        <f>IF(ISNA(VLOOKUP($A547,Dormant_Councils!$A$1:$E$811,5,0)),"No",VLOOKUP($A547,Dormant_Councils!$A$1:$E$811,5,0))</f>
        <v>No</v>
      </c>
      <c r="Z547" s="381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22" t="str">
        <f>Councils!C551</f>
        <v>059</v>
      </c>
      <c r="C548" s="322" t="str">
        <f>Councils!D551</f>
        <v>San Antonio</v>
      </c>
      <c r="D548" s="322" t="str">
        <f>IF(ISNA(VLOOKUP($V548,DD_Info!$A$1:$E$221,3,0)),0,VLOOKUP($V548,DD_Info!$A$1:$E$221,3,0))</f>
        <v>San Antonio</v>
      </c>
      <c r="E548" s="322">
        <f>Councils!E551</f>
        <v>146</v>
      </c>
      <c r="F548" s="322">
        <f>Councils!F551</f>
        <v>7</v>
      </c>
      <c r="G548" s="322">
        <f>Councils!G551</f>
        <v>0</v>
      </c>
      <c r="H548" s="322">
        <f>Councils!H551</f>
        <v>0</v>
      </c>
      <c r="I548" s="322">
        <f>Councils!I551</f>
        <v>0</v>
      </c>
      <c r="J548" s="322">
        <f>Councils!J551</f>
        <v>0</v>
      </c>
      <c r="K548" s="322">
        <f>Councils!K551</f>
        <v>0</v>
      </c>
      <c r="L548" s="322">
        <f>Councils!L551</f>
        <v>0</v>
      </c>
      <c r="M548" s="323">
        <f>Councils!M551</f>
        <v>0</v>
      </c>
      <c r="N548" s="322">
        <f>Councils!O551</f>
        <v>0</v>
      </c>
      <c r="O548" s="322">
        <f>Councils!P551</f>
        <v>0</v>
      </c>
      <c r="P548" s="322">
        <f>Councils!Q551</f>
        <v>0</v>
      </c>
      <c r="Q548" s="322">
        <f>Councils!R551</f>
        <v>0</v>
      </c>
      <c r="R548" s="322">
        <f>Councils!S551</f>
        <v>0</v>
      </c>
      <c r="S548" s="322">
        <f>Councils!T551</f>
        <v>0</v>
      </c>
      <c r="T548" s="322">
        <f>Councils!U551</f>
        <v>0</v>
      </c>
      <c r="U548" s="323">
        <f>Councils!V551</f>
        <v>0</v>
      </c>
      <c r="V548" s="376">
        <v>59</v>
      </c>
      <c r="W548" s="377">
        <f t="shared" si="8"/>
        <v>1</v>
      </c>
      <c r="X548" s="378" t="str">
        <f>IF(ISNA(VLOOKUP($A548,GA!$A$1:$D$834,3,0))," ",VLOOKUP($A548,GA!$A$1:$D$834,3,0))</f>
        <v>Dougherty</v>
      </c>
      <c r="Y548" s="379" t="str">
        <f>IF(ISNA(VLOOKUP($A548,Dormant_Councils!$A$1:$E$811,5,0)),"No",VLOOKUP($A548,Dormant_Councils!$A$1:$E$811,5,0))</f>
        <v>No</v>
      </c>
      <c r="Z548" s="381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22" t="str">
        <f>Councils!C552</f>
        <v>039</v>
      </c>
      <c r="C549" s="322" t="str">
        <f>Councils!D552</f>
        <v>San Antonio</v>
      </c>
      <c r="D549" s="322" t="str">
        <f>IF(ISNA(VLOOKUP($V549,DD_Info!$A$1:$E$221,3,0)),0,VLOOKUP($V549,DD_Info!$A$1:$E$221,3,0))</f>
        <v>San Antonio</v>
      </c>
      <c r="E549" s="322">
        <f>Councils!E552</f>
        <v>171</v>
      </c>
      <c r="F549" s="322">
        <f>Councils!F552</f>
        <v>8</v>
      </c>
      <c r="G549" s="322">
        <f>Councils!G552</f>
        <v>0</v>
      </c>
      <c r="H549" s="322">
        <f>Councils!H552</f>
        <v>0</v>
      </c>
      <c r="I549" s="322">
        <f>Councils!I552</f>
        <v>0</v>
      </c>
      <c r="J549" s="322">
        <f>Councils!J552</f>
        <v>0</v>
      </c>
      <c r="K549" s="322">
        <f>Councils!K552</f>
        <v>0</v>
      </c>
      <c r="L549" s="322">
        <f>Councils!L552</f>
        <v>0</v>
      </c>
      <c r="M549" s="323">
        <f>Councils!M552</f>
        <v>0</v>
      </c>
      <c r="N549" s="322">
        <f>Councils!O552</f>
        <v>0</v>
      </c>
      <c r="O549" s="322">
        <f>Councils!P552</f>
        <v>0</v>
      </c>
      <c r="P549" s="322">
        <f>Councils!Q552</f>
        <v>0</v>
      </c>
      <c r="Q549" s="322">
        <f>Councils!R552</f>
        <v>0</v>
      </c>
      <c r="R549" s="322">
        <f>Councils!S552</f>
        <v>0</v>
      </c>
      <c r="S549" s="322">
        <f>Councils!T552</f>
        <v>1</v>
      </c>
      <c r="T549" s="322">
        <f>Councils!U552</f>
        <v>-1</v>
      </c>
      <c r="U549" s="323">
        <f>Councils!V552</f>
        <v>0</v>
      </c>
      <c r="V549" s="376">
        <v>39</v>
      </c>
      <c r="W549" s="377">
        <f t="shared" si="8"/>
        <v>1</v>
      </c>
      <c r="X549" s="378" t="str">
        <f>IF(ISNA(VLOOKUP($A549,GA!$A$1:$D$834,3,0))," ",VLOOKUP($A549,GA!$A$1:$D$834,3,0))</f>
        <v>Dougherty</v>
      </c>
      <c r="Y549" s="379" t="str">
        <f>IF(ISNA(VLOOKUP($A549,Dormant_Councils!$A$1:$E$811,5,0)),"No",VLOOKUP($A549,Dormant_Councils!$A$1:$E$811,5,0))</f>
        <v>No</v>
      </c>
      <c r="Z549" s="381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22" t="str">
        <f>Councils!C553</f>
        <v>006</v>
      </c>
      <c r="C550" s="322" t="str">
        <f>Councils!D553</f>
        <v>El Paso</v>
      </c>
      <c r="D550" s="322" t="str">
        <f>IF(ISNA(VLOOKUP($V550,DD_Info!$A$1:$E$221,3,0)),0,VLOOKUP($V550,DD_Info!$A$1:$E$221,3,0))</f>
        <v>El Paso</v>
      </c>
      <c r="E550" s="322">
        <f>Councils!E553</f>
        <v>36</v>
      </c>
      <c r="F550" s="322">
        <f>Councils!F553</f>
        <v>3</v>
      </c>
      <c r="G550" s="322">
        <f>Councils!G553</f>
        <v>0</v>
      </c>
      <c r="H550" s="322">
        <f>Councils!H553</f>
        <v>0</v>
      </c>
      <c r="I550" s="322">
        <f>Councils!I553</f>
        <v>0</v>
      </c>
      <c r="J550" s="322">
        <f>Councils!J553</f>
        <v>2</v>
      </c>
      <c r="K550" s="322">
        <f>Councils!K553</f>
        <v>5</v>
      </c>
      <c r="L550" s="322">
        <f>Councils!L553</f>
        <v>-3</v>
      </c>
      <c r="M550" s="323">
        <f>Councils!M553</f>
        <v>0</v>
      </c>
      <c r="N550" s="322">
        <f>Councils!O553</f>
        <v>0</v>
      </c>
      <c r="O550" s="322">
        <f>Councils!P553</f>
        <v>0</v>
      </c>
      <c r="P550" s="322">
        <f>Councils!Q553</f>
        <v>0</v>
      </c>
      <c r="Q550" s="322">
        <f>Councils!R553</f>
        <v>0</v>
      </c>
      <c r="R550" s="322">
        <f>Councils!S553</f>
        <v>0</v>
      </c>
      <c r="S550" s="322">
        <f>Councils!T553</f>
        <v>0</v>
      </c>
      <c r="T550" s="322">
        <f>Councils!U553</f>
        <v>0</v>
      </c>
      <c r="U550" s="323">
        <f>Councils!V553</f>
        <v>0</v>
      </c>
      <c r="V550" s="376">
        <v>6</v>
      </c>
      <c r="W550" s="377">
        <f t="shared" si="8"/>
        <v>3</v>
      </c>
      <c r="X550" s="378" t="str">
        <f>IF(ISNA(VLOOKUP($A550,GA!$A$1:$D$834,3,0))," ",VLOOKUP($A550,GA!$A$1:$D$834,3,0))</f>
        <v>Payne</v>
      </c>
      <c r="Y550" s="379" t="str">
        <f>IF(ISNA(VLOOKUP($A550,Dormant_Councils!$A$1:$E$811,5,0)),"No",VLOOKUP($A550,Dormant_Councils!$A$1:$E$811,5,0))</f>
        <v>No</v>
      </c>
      <c r="Z550" s="381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22" t="str">
        <f>Councils!C554</f>
        <v>237</v>
      </c>
      <c r="C551" s="322" t="str">
        <f>Councils!D554</f>
        <v>Laredo</v>
      </c>
      <c r="D551" s="322" t="str">
        <f>IF(ISNA(VLOOKUP($V551,DD_Info!$A$1:$E$221,3,0)),0,VLOOKUP($V551,DD_Info!$A$1:$E$221,3,0))</f>
        <v>Laredo</v>
      </c>
      <c r="E551" s="322">
        <f>Councils!E554</f>
        <v>132</v>
      </c>
      <c r="F551" s="322">
        <f>Councils!F554</f>
        <v>7</v>
      </c>
      <c r="G551" s="322">
        <f>Councils!G554</f>
        <v>0</v>
      </c>
      <c r="H551" s="322">
        <f>Councils!H554</f>
        <v>0</v>
      </c>
      <c r="I551" s="322">
        <f>Councils!I554</f>
        <v>0</v>
      </c>
      <c r="J551" s="322">
        <f>Councils!J554</f>
        <v>0</v>
      </c>
      <c r="K551" s="322">
        <f>Councils!K554</f>
        <v>0</v>
      </c>
      <c r="L551" s="322">
        <f>Councils!L554</f>
        <v>0</v>
      </c>
      <c r="M551" s="323">
        <f>Councils!M554</f>
        <v>0</v>
      </c>
      <c r="N551" s="322">
        <f>Councils!O554</f>
        <v>0</v>
      </c>
      <c r="O551" s="322">
        <f>Councils!P554</f>
        <v>0</v>
      </c>
      <c r="P551" s="322">
        <f>Councils!Q554</f>
        <v>0</v>
      </c>
      <c r="Q551" s="322">
        <f>Councils!R554</f>
        <v>0</v>
      </c>
      <c r="R551" s="322">
        <f>Councils!S554</f>
        <v>0</v>
      </c>
      <c r="S551" s="322">
        <f>Councils!T554</f>
        <v>1</v>
      </c>
      <c r="T551" s="322">
        <f>Councils!U554</f>
        <v>-1</v>
      </c>
      <c r="U551" s="323">
        <f>Councils!V554</f>
        <v>0</v>
      </c>
      <c r="V551" s="376">
        <v>237</v>
      </c>
      <c r="W551" s="377">
        <f t="shared" si="8"/>
        <v>2</v>
      </c>
      <c r="X551" s="378" t="str">
        <f>IF(ISNA(VLOOKUP($A551,GA!$A$1:$D$834,3,0))," ",VLOOKUP($A551,GA!$A$1:$D$834,3,0))</f>
        <v>Carlin</v>
      </c>
      <c r="Y551" s="379" t="str">
        <f>IF(ISNA(VLOOKUP($A551,Dormant_Councils!$A$1:$E$811,5,0)),"No",VLOOKUP($A551,Dormant_Councils!$A$1:$E$811,5,0))</f>
        <v>Dormant</v>
      </c>
      <c r="Z551" s="381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22" t="str">
        <f>Councils!C555</f>
        <v>016</v>
      </c>
      <c r="C552" s="322" t="str">
        <f>Councils!D555</f>
        <v>Albany/Breckenridge</v>
      </c>
      <c r="D552" s="322" t="str">
        <f>IF(ISNA(VLOOKUP($V552,DD_Info!$A$1:$E$221,3,0)),0,VLOOKUP($V552,DD_Info!$A$1:$E$221,3,0))</f>
        <v>Fort Worth</v>
      </c>
      <c r="E552" s="322">
        <f>Councils!E555</f>
        <v>30</v>
      </c>
      <c r="F552" s="322">
        <f>Councils!F555</f>
        <v>3</v>
      </c>
      <c r="G552" s="322">
        <f>Councils!G555</f>
        <v>0</v>
      </c>
      <c r="H552" s="322">
        <f>Councils!H555</f>
        <v>0</v>
      </c>
      <c r="I552" s="322">
        <f>Councils!I555</f>
        <v>0</v>
      </c>
      <c r="J552" s="322">
        <f>Councils!J555</f>
        <v>0</v>
      </c>
      <c r="K552" s="322">
        <f>Councils!K555</f>
        <v>0</v>
      </c>
      <c r="L552" s="322">
        <f>Councils!L555</f>
        <v>0</v>
      </c>
      <c r="M552" s="323">
        <f>Councils!M555</f>
        <v>0</v>
      </c>
      <c r="N552" s="322">
        <f>Councils!O555</f>
        <v>0</v>
      </c>
      <c r="O552" s="322">
        <f>Councils!P555</f>
        <v>0</v>
      </c>
      <c r="P552" s="322">
        <f>Councils!Q555</f>
        <v>0</v>
      </c>
      <c r="Q552" s="322">
        <f>Councils!R555</f>
        <v>0</v>
      </c>
      <c r="R552" s="322">
        <f>Councils!S555</f>
        <v>0</v>
      </c>
      <c r="S552" s="322">
        <f>Councils!T555</f>
        <v>0</v>
      </c>
      <c r="T552" s="322">
        <f>Councils!U555</f>
        <v>0</v>
      </c>
      <c r="U552" s="323">
        <f>Councils!V555</f>
        <v>0</v>
      </c>
      <c r="V552" s="376">
        <v>16</v>
      </c>
      <c r="W552" s="377">
        <f t="shared" si="8"/>
        <v>3</v>
      </c>
      <c r="X552" s="378" t="str">
        <f>IF(ISNA(VLOOKUP($A552,GA!$A$1:$D$834,3,0))," ",VLOOKUP($A552,GA!$A$1:$D$834,3,0))</f>
        <v>Stark</v>
      </c>
      <c r="Y552" s="379" t="str">
        <f>IF(ISNA(VLOOKUP($A552,Dormant_Councils!$A$1:$E$811,5,0)),"No",VLOOKUP($A552,Dormant_Councils!$A$1:$E$811,5,0))</f>
        <v>No</v>
      </c>
      <c r="Z552" s="381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22" t="str">
        <f>Councils!C556</f>
        <v>065</v>
      </c>
      <c r="C553" s="322" t="str">
        <f>Councils!D556</f>
        <v>Galena Park</v>
      </c>
      <c r="D553" s="322" t="str">
        <f>IF(ISNA(VLOOKUP($V553,DD_Info!$A$1:$E$221,3,0)),0,VLOOKUP($V553,DD_Info!$A$1:$E$221,3,0))</f>
        <v>Galv/Hous</v>
      </c>
      <c r="E553" s="322">
        <f>Councils!E556</f>
        <v>47</v>
      </c>
      <c r="F553" s="322">
        <f>Councils!F556</f>
        <v>3</v>
      </c>
      <c r="G553" s="322">
        <f>Councils!G556</f>
        <v>0</v>
      </c>
      <c r="H553" s="322">
        <f>Councils!H556</f>
        <v>0</v>
      </c>
      <c r="I553" s="322">
        <f>Councils!I556</f>
        <v>0</v>
      </c>
      <c r="J553" s="322">
        <f>Councils!J556</f>
        <v>0</v>
      </c>
      <c r="K553" s="322">
        <f>Councils!K556</f>
        <v>0</v>
      </c>
      <c r="L553" s="322">
        <f>Councils!L556</f>
        <v>0</v>
      </c>
      <c r="M553" s="323">
        <f>Councils!M556</f>
        <v>0</v>
      </c>
      <c r="N553" s="322">
        <f>Councils!O556</f>
        <v>0</v>
      </c>
      <c r="O553" s="322">
        <f>Councils!P556</f>
        <v>0</v>
      </c>
      <c r="P553" s="322">
        <f>Councils!Q556</f>
        <v>1</v>
      </c>
      <c r="Q553" s="322">
        <f>Councils!R556</f>
        <v>-1</v>
      </c>
      <c r="R553" s="322">
        <f>Councils!S556</f>
        <v>0</v>
      </c>
      <c r="S553" s="322">
        <f>Councils!T556</f>
        <v>1</v>
      </c>
      <c r="T553" s="322">
        <f>Councils!U556</f>
        <v>-1</v>
      </c>
      <c r="U553" s="323">
        <f>Councils!V556</f>
        <v>0</v>
      </c>
      <c r="V553" s="376">
        <v>65</v>
      </c>
      <c r="W553" s="377">
        <f t="shared" si="8"/>
        <v>3</v>
      </c>
      <c r="X553" s="378" t="str">
        <f>IF(ISNA(VLOOKUP($A553,GA!$A$1:$D$834,3,0))," ",VLOOKUP($A553,GA!$A$1:$D$834,3,0))</f>
        <v>Rangel</v>
      </c>
      <c r="Y553" s="379" t="str">
        <f>IF(ISNA(VLOOKUP($A553,Dormant_Councils!$A$1:$E$811,5,0)),"No",VLOOKUP($A553,Dormant_Councils!$A$1:$E$811,5,0))</f>
        <v>Dormant</v>
      </c>
      <c r="Z553" s="381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22" t="str">
        <f>Councils!C557</f>
        <v>179</v>
      </c>
      <c r="C554" s="322" t="str">
        <f>Councils!D557</f>
        <v>Mathis</v>
      </c>
      <c r="D554" s="322" t="str">
        <f>IF(ISNA(VLOOKUP($V554,DD_Info!$A$1:$E$221,3,0)),0,VLOOKUP($V554,DD_Info!$A$1:$E$221,3,0))</f>
        <v>Corpus Christi</v>
      </c>
      <c r="E554" s="322">
        <f>Councils!E557</f>
        <v>82</v>
      </c>
      <c r="F554" s="322">
        <f>Councils!F557</f>
        <v>4</v>
      </c>
      <c r="G554" s="322">
        <f>Councils!G557</f>
        <v>0</v>
      </c>
      <c r="H554" s="322">
        <f>Councils!H557</f>
        <v>0</v>
      </c>
      <c r="I554" s="322">
        <f>Councils!I557</f>
        <v>0</v>
      </c>
      <c r="J554" s="322">
        <f>Councils!J557</f>
        <v>0</v>
      </c>
      <c r="K554" s="322">
        <f>Councils!K557</f>
        <v>0</v>
      </c>
      <c r="L554" s="322">
        <f>Councils!L557</f>
        <v>0</v>
      </c>
      <c r="M554" s="323">
        <f>Councils!M557</f>
        <v>0</v>
      </c>
      <c r="N554" s="322">
        <f>Councils!O557</f>
        <v>0</v>
      </c>
      <c r="O554" s="322">
        <f>Councils!P557</f>
        <v>0</v>
      </c>
      <c r="P554" s="322">
        <f>Councils!Q557</f>
        <v>0</v>
      </c>
      <c r="Q554" s="322">
        <f>Councils!R557</f>
        <v>0</v>
      </c>
      <c r="R554" s="322">
        <f>Councils!S557</f>
        <v>0</v>
      </c>
      <c r="S554" s="322">
        <f>Councils!T557</f>
        <v>0</v>
      </c>
      <c r="T554" s="322">
        <f>Councils!U557</f>
        <v>0</v>
      </c>
      <c r="U554" s="323">
        <f>Councils!V557</f>
        <v>0</v>
      </c>
      <c r="V554" s="376">
        <v>179</v>
      </c>
      <c r="W554" s="377">
        <f t="shared" si="8"/>
        <v>2</v>
      </c>
      <c r="X554" s="378" t="str">
        <f>IF(ISNA(VLOOKUP($A554,GA!$A$1:$D$834,3,0))," ",VLOOKUP($A554,GA!$A$1:$D$834,3,0))</f>
        <v>Carlin</v>
      </c>
      <c r="Y554" s="379" t="str">
        <f>IF(ISNA(VLOOKUP($A554,Dormant_Councils!$A$1:$E$811,5,0)),"No",VLOOKUP($A554,Dormant_Councils!$A$1:$E$811,5,0))</f>
        <v>No</v>
      </c>
      <c r="Z554" s="381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22" t="str">
        <f>Councils!C558</f>
        <v>158</v>
      </c>
      <c r="C555" s="322" t="str">
        <f>Councils!D558</f>
        <v>Dripping Springs</v>
      </c>
      <c r="D555" s="322" t="str">
        <f>IF(ISNA(VLOOKUP($V555,DD_Info!$A$1:$E$221,3,0)),0,VLOOKUP($V555,DD_Info!$A$1:$E$221,3,0))</f>
        <v>Austin</v>
      </c>
      <c r="E555" s="322">
        <f>Councils!E558</f>
        <v>194</v>
      </c>
      <c r="F555" s="322">
        <f>Councils!F558</f>
        <v>10</v>
      </c>
      <c r="G555" s="322">
        <f>Councils!G558</f>
        <v>0</v>
      </c>
      <c r="H555" s="322">
        <f>Councils!H558</f>
        <v>0</v>
      </c>
      <c r="I555" s="322">
        <f>Councils!I558</f>
        <v>0</v>
      </c>
      <c r="J555" s="322">
        <f>Councils!J558</f>
        <v>0</v>
      </c>
      <c r="K555" s="322">
        <f>Councils!K558</f>
        <v>0</v>
      </c>
      <c r="L555" s="322">
        <f>Councils!L558</f>
        <v>0</v>
      </c>
      <c r="M555" s="323">
        <f>Councils!M558</f>
        <v>0</v>
      </c>
      <c r="N555" s="322">
        <f>Councils!O558</f>
        <v>0</v>
      </c>
      <c r="O555" s="322">
        <f>Councils!P558</f>
        <v>0</v>
      </c>
      <c r="P555" s="322">
        <f>Councils!Q558</f>
        <v>0</v>
      </c>
      <c r="Q555" s="322">
        <f>Councils!R558</f>
        <v>0</v>
      </c>
      <c r="R555" s="322">
        <f>Councils!S558</f>
        <v>0</v>
      </c>
      <c r="S555" s="322">
        <f>Councils!T558</f>
        <v>0</v>
      </c>
      <c r="T555" s="322">
        <f>Councils!U558</f>
        <v>0</v>
      </c>
      <c r="U555" s="323">
        <f>Councils!V558</f>
        <v>0</v>
      </c>
      <c r="V555" s="376">
        <v>158</v>
      </c>
      <c r="W555" s="377">
        <f t="shared" si="8"/>
        <v>1</v>
      </c>
      <c r="X555" s="378" t="str">
        <f>IF(ISNA(VLOOKUP($A555,GA!$A$1:$D$834,3,0))," ",VLOOKUP($A555,GA!$A$1:$D$834,3,0))</f>
        <v>Rangel</v>
      </c>
      <c r="Y555" s="379" t="str">
        <f>IF(ISNA(VLOOKUP($A555,Dormant_Councils!$A$1:$E$811,5,0)),"No",VLOOKUP($A555,Dormant_Councils!$A$1:$E$811,5,0))</f>
        <v>No</v>
      </c>
      <c r="Z555" s="381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22" t="str">
        <f>Councils!C559</f>
        <v>106</v>
      </c>
      <c r="C556" s="322" t="str">
        <f>Councils!D559</f>
        <v>Plano</v>
      </c>
      <c r="D556" s="322" t="str">
        <f>IF(ISNA(VLOOKUP($V556,DD_Info!$A$1:$E$221,3,0)),0,VLOOKUP($V556,DD_Info!$A$1:$E$221,3,0))</f>
        <v>Dallas</v>
      </c>
      <c r="E556" s="322">
        <f>Councils!E559</f>
        <v>251</v>
      </c>
      <c r="F556" s="322">
        <f>Councils!F559</f>
        <v>12</v>
      </c>
      <c r="G556" s="322">
        <f>Councils!G559</f>
        <v>0</v>
      </c>
      <c r="H556" s="322">
        <f>Councils!H559</f>
        <v>0</v>
      </c>
      <c r="I556" s="322">
        <f>Councils!I559</f>
        <v>0</v>
      </c>
      <c r="J556" s="322">
        <f>Councils!J559</f>
        <v>2</v>
      </c>
      <c r="K556" s="322">
        <f>Councils!K559</f>
        <v>0</v>
      </c>
      <c r="L556" s="322">
        <f>Councils!L559</f>
        <v>2</v>
      </c>
      <c r="M556" s="323">
        <f>Councils!M559</f>
        <v>16.670000000000002</v>
      </c>
      <c r="N556" s="322">
        <f>Councils!O559</f>
        <v>0</v>
      </c>
      <c r="O556" s="322">
        <f>Councils!P559</f>
        <v>0</v>
      </c>
      <c r="P556" s="322">
        <f>Councils!Q559</f>
        <v>0</v>
      </c>
      <c r="Q556" s="322">
        <f>Councils!R559</f>
        <v>0</v>
      </c>
      <c r="R556" s="322">
        <f>Councils!S559</f>
        <v>3</v>
      </c>
      <c r="S556" s="322">
        <f>Councils!T559</f>
        <v>0</v>
      </c>
      <c r="T556" s="322">
        <f>Councils!U559</f>
        <v>3</v>
      </c>
      <c r="U556" s="323">
        <f>Councils!V559</f>
        <v>0</v>
      </c>
      <c r="V556" s="376">
        <v>106</v>
      </c>
      <c r="W556" s="377">
        <f t="shared" si="8"/>
        <v>1</v>
      </c>
      <c r="X556" s="378" t="str">
        <f>IF(ISNA(VLOOKUP($A556,GA!$A$1:$D$834,3,0))," ",VLOOKUP($A556,GA!$A$1:$D$834,3,0))</f>
        <v>Regan</v>
      </c>
      <c r="Y556" s="379" t="str">
        <f>IF(ISNA(VLOOKUP($A556,Dormant_Councils!$A$1:$E$811,5,0)),"No",VLOOKUP($A556,Dormant_Councils!$A$1:$E$811,5,0))</f>
        <v>No</v>
      </c>
      <c r="Z556" s="381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22" t="str">
        <f>Councils!C560</f>
        <v>107</v>
      </c>
      <c r="C557" s="322" t="str">
        <f>Councils!D560</f>
        <v>Kaufman</v>
      </c>
      <c r="D557" s="322" t="str">
        <f>IF(ISNA(VLOOKUP($V557,DD_Info!$A$1:$E$221,3,0)),0,VLOOKUP($V557,DD_Info!$A$1:$E$221,3,0))</f>
        <v>Dallas</v>
      </c>
      <c r="E557" s="322">
        <f>Councils!E560</f>
        <v>93</v>
      </c>
      <c r="F557" s="322">
        <f>Councils!F560</f>
        <v>5</v>
      </c>
      <c r="G557" s="322">
        <f>Councils!G560</f>
        <v>0</v>
      </c>
      <c r="H557" s="322">
        <f>Councils!H560</f>
        <v>0</v>
      </c>
      <c r="I557" s="322">
        <f>Councils!I560</f>
        <v>0</v>
      </c>
      <c r="J557" s="322">
        <f>Councils!J560</f>
        <v>2</v>
      </c>
      <c r="K557" s="322">
        <f>Councils!K560</f>
        <v>0</v>
      </c>
      <c r="L557" s="322">
        <f>Councils!L560</f>
        <v>2</v>
      </c>
      <c r="M557" s="323">
        <f>Councils!M560</f>
        <v>40</v>
      </c>
      <c r="N557" s="322">
        <f>Councils!O560</f>
        <v>0</v>
      </c>
      <c r="O557" s="322">
        <f>Councils!P560</f>
        <v>0</v>
      </c>
      <c r="P557" s="322">
        <f>Councils!Q560</f>
        <v>0</v>
      </c>
      <c r="Q557" s="322">
        <f>Councils!R560</f>
        <v>0</v>
      </c>
      <c r="R557" s="322">
        <f>Councils!S560</f>
        <v>1</v>
      </c>
      <c r="S557" s="322">
        <f>Councils!T560</f>
        <v>0</v>
      </c>
      <c r="T557" s="322">
        <f>Councils!U560</f>
        <v>1</v>
      </c>
      <c r="U557" s="323">
        <f>Councils!V560</f>
        <v>0</v>
      </c>
      <c r="V557" s="376">
        <v>107</v>
      </c>
      <c r="W557" s="377">
        <f t="shared" si="8"/>
        <v>2</v>
      </c>
      <c r="X557" s="378" t="str">
        <f>IF(ISNA(VLOOKUP($A557,GA!$A$1:$D$834,3,0))," ",VLOOKUP($A557,GA!$A$1:$D$834,3,0))</f>
        <v>Regan</v>
      </c>
      <c r="Y557" s="379" t="str">
        <f>IF(ISNA(VLOOKUP($A557,Dormant_Councils!$A$1:$E$811,5,0)),"No",VLOOKUP($A557,Dormant_Councils!$A$1:$E$811,5,0))</f>
        <v>No</v>
      </c>
      <c r="Z557" s="381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22" t="str">
        <f>Councils!C561</f>
        <v>146</v>
      </c>
      <c r="C558" s="322" t="str">
        <f>Councils!D561</f>
        <v>Bryan</v>
      </c>
      <c r="D558" s="322" t="str">
        <f>IF(ISNA(VLOOKUP($V558,DD_Info!$A$1:$E$221,3,0)),0,VLOOKUP($V558,DD_Info!$A$1:$E$221,3,0))</f>
        <v>Austin</v>
      </c>
      <c r="E558" s="322">
        <f>Councils!E561</f>
        <v>280</v>
      </c>
      <c r="F558" s="322">
        <f>Councils!F561</f>
        <v>14</v>
      </c>
      <c r="G558" s="322">
        <f>Councils!G561</f>
        <v>0</v>
      </c>
      <c r="H558" s="322">
        <f>Councils!H561</f>
        <v>0</v>
      </c>
      <c r="I558" s="322">
        <f>Councils!I561</f>
        <v>0</v>
      </c>
      <c r="J558" s="322">
        <f>Councils!J561</f>
        <v>3</v>
      </c>
      <c r="K558" s="322">
        <f>Councils!K561</f>
        <v>2</v>
      </c>
      <c r="L558" s="322">
        <f>Councils!L561</f>
        <v>1</v>
      </c>
      <c r="M558" s="323">
        <f>Councils!M561</f>
        <v>7.14</v>
      </c>
      <c r="N558" s="322">
        <f>Councils!O561</f>
        <v>0</v>
      </c>
      <c r="O558" s="322">
        <f>Councils!P561</f>
        <v>0</v>
      </c>
      <c r="P558" s="322">
        <f>Councils!Q561</f>
        <v>0</v>
      </c>
      <c r="Q558" s="322">
        <f>Councils!R561</f>
        <v>0</v>
      </c>
      <c r="R558" s="322">
        <f>Councils!S561</f>
        <v>2</v>
      </c>
      <c r="S558" s="322">
        <f>Councils!T561</f>
        <v>2</v>
      </c>
      <c r="T558" s="322">
        <f>Councils!U561</f>
        <v>0</v>
      </c>
      <c r="U558" s="323">
        <f>Councils!V561</f>
        <v>0</v>
      </c>
      <c r="V558" s="376">
        <v>146</v>
      </c>
      <c r="W558" s="377">
        <f t="shared" si="8"/>
        <v>1</v>
      </c>
      <c r="X558" s="378" t="str">
        <f>IF(ISNA(VLOOKUP($A558,GA!$A$1:$D$834,3,0))," ",VLOOKUP($A558,GA!$A$1:$D$834,3,0))</f>
        <v>Rangel</v>
      </c>
      <c r="Y558" s="379" t="str">
        <f>IF(ISNA(VLOOKUP($A558,Dormant_Councils!$A$1:$E$811,5,0)),"No",VLOOKUP($A558,Dormant_Councils!$A$1:$E$811,5,0))</f>
        <v>No</v>
      </c>
      <c r="Z558" s="381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22" t="str">
        <f>Councils!C562</f>
        <v>116</v>
      </c>
      <c r="C559" s="322" t="str">
        <f>Councils!D562</f>
        <v>Irving</v>
      </c>
      <c r="D559" s="322" t="str">
        <f>IF(ISNA(VLOOKUP($V559,DD_Info!$A$1:$E$221,3,0)),0,VLOOKUP($V559,DD_Info!$A$1:$E$221,3,0))</f>
        <v>Dallas</v>
      </c>
      <c r="E559" s="322">
        <f>Councils!E562</f>
        <v>22</v>
      </c>
      <c r="F559" s="322">
        <f>Councils!F562</f>
        <v>3</v>
      </c>
      <c r="G559" s="322">
        <f>Councils!G562</f>
        <v>0</v>
      </c>
      <c r="H559" s="322">
        <f>Councils!H562</f>
        <v>0</v>
      </c>
      <c r="I559" s="322">
        <f>Councils!I562</f>
        <v>0</v>
      </c>
      <c r="J559" s="322">
        <f>Councils!J562</f>
        <v>0</v>
      </c>
      <c r="K559" s="322">
        <f>Councils!K562</f>
        <v>0</v>
      </c>
      <c r="L559" s="322">
        <f>Councils!L562</f>
        <v>0</v>
      </c>
      <c r="M559" s="323">
        <f>Councils!M562</f>
        <v>0</v>
      </c>
      <c r="N559" s="322">
        <f>Councils!O562</f>
        <v>0</v>
      </c>
      <c r="O559" s="322">
        <f>Councils!P562</f>
        <v>0</v>
      </c>
      <c r="P559" s="322">
        <f>Councils!Q562</f>
        <v>0</v>
      </c>
      <c r="Q559" s="322">
        <f>Councils!R562</f>
        <v>0</v>
      </c>
      <c r="R559" s="322">
        <f>Councils!S562</f>
        <v>0</v>
      </c>
      <c r="S559" s="322">
        <f>Councils!T562</f>
        <v>0</v>
      </c>
      <c r="T559" s="322">
        <f>Councils!U562</f>
        <v>0</v>
      </c>
      <c r="U559" s="323">
        <f>Councils!V562</f>
        <v>0</v>
      </c>
      <c r="V559" s="376">
        <v>116</v>
      </c>
      <c r="W559" s="377">
        <f t="shared" si="8"/>
        <v>3</v>
      </c>
      <c r="X559" s="378" t="str">
        <f>IF(ISNA(VLOOKUP($A559,GA!$A$1:$D$834,3,0))," ",VLOOKUP($A559,GA!$A$1:$D$834,3,0))</f>
        <v>Regan</v>
      </c>
      <c r="Y559" s="379" t="str">
        <f>IF(ISNA(VLOOKUP($A559,Dormant_Councils!$A$1:$E$811,5,0)),"No",VLOOKUP($A559,Dormant_Councils!$A$1:$E$811,5,0))</f>
        <v>Dormant</v>
      </c>
      <c r="Z559" s="381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22" t="str">
        <f>Councils!C563</f>
        <v>243</v>
      </c>
      <c r="C560" s="322" t="str">
        <f>Councils!D563</f>
        <v>Lubbock</v>
      </c>
      <c r="D560" s="322" t="str">
        <f>IF(ISNA(VLOOKUP($V560,DD_Info!$A$1:$E$221,3,0)),0,VLOOKUP($V560,DD_Info!$A$1:$E$221,3,0))</f>
        <v>Lubbock</v>
      </c>
      <c r="E560" s="322">
        <f>Councils!E563</f>
        <v>149</v>
      </c>
      <c r="F560" s="322">
        <f>Councils!F563</f>
        <v>7</v>
      </c>
      <c r="G560" s="322">
        <f>Councils!G563</f>
        <v>0</v>
      </c>
      <c r="H560" s="322">
        <f>Councils!H563</f>
        <v>0</v>
      </c>
      <c r="I560" s="322">
        <f>Councils!I563</f>
        <v>0</v>
      </c>
      <c r="J560" s="322">
        <f>Councils!J563</f>
        <v>0</v>
      </c>
      <c r="K560" s="322">
        <f>Councils!K563</f>
        <v>1</v>
      </c>
      <c r="L560" s="322">
        <f>Councils!L563</f>
        <v>-1</v>
      </c>
      <c r="M560" s="323">
        <f>Councils!M563</f>
        <v>0</v>
      </c>
      <c r="N560" s="322">
        <f>Councils!O563</f>
        <v>0</v>
      </c>
      <c r="O560" s="322">
        <f>Councils!P563</f>
        <v>0</v>
      </c>
      <c r="P560" s="322">
        <f>Councils!Q563</f>
        <v>1</v>
      </c>
      <c r="Q560" s="322">
        <f>Councils!R563</f>
        <v>-1</v>
      </c>
      <c r="R560" s="322">
        <f>Councils!S563</f>
        <v>0</v>
      </c>
      <c r="S560" s="322">
        <f>Councils!T563</f>
        <v>1</v>
      </c>
      <c r="T560" s="322">
        <f>Councils!U563</f>
        <v>-1</v>
      </c>
      <c r="U560" s="323">
        <f>Councils!V563</f>
        <v>0</v>
      </c>
      <c r="V560" s="376">
        <v>243</v>
      </c>
      <c r="W560" s="377">
        <f t="shared" si="8"/>
        <v>1</v>
      </c>
      <c r="X560" s="378" t="str">
        <f>IF(ISNA(VLOOKUP($A560,GA!$A$1:$D$834,3,0))," ",VLOOKUP($A560,GA!$A$1:$D$834,3,0))</f>
        <v>Payne</v>
      </c>
      <c r="Y560" s="379" t="str">
        <f>IF(ISNA(VLOOKUP($A560,Dormant_Councils!$A$1:$E$811,5,0)),"No",VLOOKUP($A560,Dormant_Councils!$A$1:$E$811,5,0))</f>
        <v>No</v>
      </c>
      <c r="Z560" s="381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22" t="str">
        <f>Councils!C564</f>
        <v>209</v>
      </c>
      <c r="C561" s="322" t="str">
        <f>Councils!D564</f>
        <v>Alton</v>
      </c>
      <c r="D561" s="322" t="str">
        <f>IF(ISNA(VLOOKUP($V561,DD_Info!$A$1:$E$221,3,0)),0,VLOOKUP($V561,DD_Info!$A$1:$E$221,3,0))</f>
        <v>Brownsville</v>
      </c>
      <c r="E561" s="322">
        <f>Councils!E564</f>
        <v>54</v>
      </c>
      <c r="F561" s="322">
        <f>Councils!F564</f>
        <v>3</v>
      </c>
      <c r="G561" s="322">
        <f>Councils!G564</f>
        <v>0</v>
      </c>
      <c r="H561" s="322">
        <f>Councils!H564</f>
        <v>0</v>
      </c>
      <c r="I561" s="322">
        <f>Councils!I564</f>
        <v>0</v>
      </c>
      <c r="J561" s="322">
        <f>Councils!J564</f>
        <v>0</v>
      </c>
      <c r="K561" s="322">
        <f>Councils!K564</f>
        <v>0</v>
      </c>
      <c r="L561" s="322">
        <f>Councils!L564</f>
        <v>0</v>
      </c>
      <c r="M561" s="323">
        <f>Councils!M564</f>
        <v>0</v>
      </c>
      <c r="N561" s="322">
        <f>Councils!O564</f>
        <v>0</v>
      </c>
      <c r="O561" s="322">
        <f>Councils!P564</f>
        <v>0</v>
      </c>
      <c r="P561" s="322">
        <f>Councils!Q564</f>
        <v>0</v>
      </c>
      <c r="Q561" s="322">
        <f>Councils!R564</f>
        <v>0</v>
      </c>
      <c r="R561" s="322">
        <f>Councils!S564</f>
        <v>0</v>
      </c>
      <c r="S561" s="322">
        <f>Councils!T564</f>
        <v>0</v>
      </c>
      <c r="T561" s="322">
        <f>Councils!U564</f>
        <v>0</v>
      </c>
      <c r="U561" s="323">
        <f>Councils!V564</f>
        <v>0</v>
      </c>
      <c r="V561" s="376">
        <v>209</v>
      </c>
      <c r="W561" s="377">
        <f t="shared" si="8"/>
        <v>3</v>
      </c>
      <c r="X561" s="378" t="str">
        <f>IF(ISNA(VLOOKUP($A561,GA!$A$1:$D$834,3,0))," ",VLOOKUP($A561,GA!$A$1:$D$834,3,0))</f>
        <v>Carlin</v>
      </c>
      <c r="Y561" s="379" t="str">
        <f>IF(ISNA(VLOOKUP($A561,Dormant_Councils!$A$1:$E$811,5,0)),"No",VLOOKUP($A561,Dormant_Councils!$A$1:$E$811,5,0))</f>
        <v>No</v>
      </c>
      <c r="Z561" s="381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22" t="str">
        <f>Councils!C565</f>
        <v>103</v>
      </c>
      <c r="C562" s="322" t="str">
        <f>Councils!D565</f>
        <v>Garland</v>
      </c>
      <c r="D562" s="322" t="str">
        <f>IF(ISNA(VLOOKUP($V562,DD_Info!$A$1:$E$221,3,0)),0,VLOOKUP($V562,DD_Info!$A$1:$E$221,3,0))</f>
        <v>Dallas</v>
      </c>
      <c r="E562" s="322">
        <f>Councils!E565</f>
        <v>269</v>
      </c>
      <c r="F562" s="322">
        <f>Councils!F565</f>
        <v>13</v>
      </c>
      <c r="G562" s="322">
        <f>Councils!G565</f>
        <v>0</v>
      </c>
      <c r="H562" s="322">
        <f>Councils!H565</f>
        <v>0</v>
      </c>
      <c r="I562" s="322">
        <f>Councils!I565</f>
        <v>0</v>
      </c>
      <c r="J562" s="322">
        <f>Councils!J565</f>
        <v>2</v>
      </c>
      <c r="K562" s="322">
        <f>Councils!K565</f>
        <v>6</v>
      </c>
      <c r="L562" s="322">
        <f>Councils!L565</f>
        <v>-4</v>
      </c>
      <c r="M562" s="323">
        <f>Councils!M565</f>
        <v>0</v>
      </c>
      <c r="N562" s="322">
        <f>Councils!O565</f>
        <v>0</v>
      </c>
      <c r="O562" s="322">
        <f>Councils!P565</f>
        <v>0</v>
      </c>
      <c r="P562" s="322">
        <f>Councils!Q565</f>
        <v>1</v>
      </c>
      <c r="Q562" s="322">
        <f>Councils!R565</f>
        <v>-1</v>
      </c>
      <c r="R562" s="322">
        <f>Councils!S565</f>
        <v>3</v>
      </c>
      <c r="S562" s="322">
        <f>Councils!T565</f>
        <v>3</v>
      </c>
      <c r="T562" s="322">
        <f>Councils!U565</f>
        <v>0</v>
      </c>
      <c r="U562" s="323">
        <f>Councils!V565</f>
        <v>0</v>
      </c>
      <c r="V562" s="376">
        <v>103</v>
      </c>
      <c r="W562" s="377">
        <f t="shared" si="8"/>
        <v>1</v>
      </c>
      <c r="X562" s="378" t="str">
        <f>IF(ISNA(VLOOKUP($A562,GA!$A$1:$D$834,3,0))," ",VLOOKUP($A562,GA!$A$1:$D$834,3,0))</f>
        <v>Regan</v>
      </c>
      <c r="Y562" s="379" t="str">
        <f>IF(ISNA(VLOOKUP($A562,Dormant_Councils!$A$1:$E$811,5,0)),"No",VLOOKUP($A562,Dormant_Councils!$A$1:$E$811,5,0))</f>
        <v>No</v>
      </c>
      <c r="Z562" s="381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22" t="str">
        <f>Councils!C566</f>
        <v>010</v>
      </c>
      <c r="C563" s="322" t="str">
        <f>Councils!D566</f>
        <v>El Paso</v>
      </c>
      <c r="D563" s="322" t="str">
        <f>IF(ISNA(VLOOKUP($V563,DD_Info!$A$1:$E$221,3,0)),0,VLOOKUP($V563,DD_Info!$A$1:$E$221,3,0))</f>
        <v>El Paso</v>
      </c>
      <c r="E563" s="322">
        <f>Councils!E566</f>
        <v>68</v>
      </c>
      <c r="F563" s="322">
        <f>Councils!F566</f>
        <v>3</v>
      </c>
      <c r="G563" s="322">
        <f>Councils!G566</f>
        <v>0</v>
      </c>
      <c r="H563" s="322">
        <f>Councils!H566</f>
        <v>0</v>
      </c>
      <c r="I563" s="322">
        <f>Councils!I566</f>
        <v>0</v>
      </c>
      <c r="J563" s="322">
        <f>Councils!J566</f>
        <v>0</v>
      </c>
      <c r="K563" s="322">
        <f>Councils!K566</f>
        <v>2</v>
      </c>
      <c r="L563" s="322">
        <f>Councils!L566</f>
        <v>-2</v>
      </c>
      <c r="M563" s="323">
        <f>Councils!M566</f>
        <v>0</v>
      </c>
      <c r="N563" s="322">
        <f>Councils!O566</f>
        <v>0</v>
      </c>
      <c r="O563" s="322">
        <f>Councils!P566</f>
        <v>0</v>
      </c>
      <c r="P563" s="322">
        <f>Councils!Q566</f>
        <v>1</v>
      </c>
      <c r="Q563" s="322">
        <f>Councils!R566</f>
        <v>-1</v>
      </c>
      <c r="R563" s="322">
        <f>Councils!S566</f>
        <v>0</v>
      </c>
      <c r="S563" s="322">
        <f>Councils!T566</f>
        <v>1</v>
      </c>
      <c r="T563" s="322">
        <f>Councils!U566</f>
        <v>-1</v>
      </c>
      <c r="U563" s="323">
        <f>Councils!V566</f>
        <v>0</v>
      </c>
      <c r="V563" s="376">
        <v>10</v>
      </c>
      <c r="W563" s="377">
        <f t="shared" si="8"/>
        <v>2</v>
      </c>
      <c r="X563" s="378" t="str">
        <f>IF(ISNA(VLOOKUP($A563,GA!$A$1:$D$834,3,0))," ",VLOOKUP($A563,GA!$A$1:$D$834,3,0))</f>
        <v>Payne</v>
      </c>
      <c r="Y563" s="379" t="str">
        <f>IF(ISNA(VLOOKUP($A563,Dormant_Councils!$A$1:$E$811,5,0)),"No",VLOOKUP($A563,Dormant_Councils!$A$1:$E$811,5,0))</f>
        <v>No</v>
      </c>
      <c r="Z563" s="381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22" t="str">
        <f>Councils!C567</f>
        <v>135</v>
      </c>
      <c r="C564" s="322" t="str">
        <f>Councils!D567</f>
        <v>Whitehouse</v>
      </c>
      <c r="D564" s="322" t="str">
        <f>IF(ISNA(VLOOKUP($V564,DD_Info!$A$1:$E$221,3,0)),0,VLOOKUP($V564,DD_Info!$A$1:$E$221,3,0))</f>
        <v>Tyler</v>
      </c>
      <c r="E564" s="322">
        <f>Councils!E567</f>
        <v>53</v>
      </c>
      <c r="F564" s="322">
        <f>Councils!F567</f>
        <v>3</v>
      </c>
      <c r="G564" s="322">
        <f>Councils!G567</f>
        <v>0</v>
      </c>
      <c r="H564" s="322">
        <f>Councils!H567</f>
        <v>0</v>
      </c>
      <c r="I564" s="322">
        <f>Councils!I567</f>
        <v>0</v>
      </c>
      <c r="J564" s="322">
        <f>Councils!J567</f>
        <v>0</v>
      </c>
      <c r="K564" s="322">
        <f>Councils!K567</f>
        <v>0</v>
      </c>
      <c r="L564" s="322">
        <f>Councils!L567</f>
        <v>0</v>
      </c>
      <c r="M564" s="323">
        <f>Councils!M567</f>
        <v>0</v>
      </c>
      <c r="N564" s="322">
        <f>Councils!O567</f>
        <v>0</v>
      </c>
      <c r="O564" s="322">
        <f>Councils!P567</f>
        <v>0</v>
      </c>
      <c r="P564" s="322">
        <f>Councils!Q567</f>
        <v>0</v>
      </c>
      <c r="Q564" s="322">
        <f>Councils!R567</f>
        <v>0</v>
      </c>
      <c r="R564" s="322">
        <f>Councils!S567</f>
        <v>1</v>
      </c>
      <c r="S564" s="322">
        <f>Councils!T567</f>
        <v>0</v>
      </c>
      <c r="T564" s="322">
        <f>Councils!U567</f>
        <v>1</v>
      </c>
      <c r="U564" s="323">
        <f>Councils!V567</f>
        <v>0</v>
      </c>
      <c r="V564" s="376">
        <v>135</v>
      </c>
      <c r="W564" s="377">
        <f t="shared" si="8"/>
        <v>3</v>
      </c>
      <c r="X564" s="378" t="str">
        <f>IF(ISNA(VLOOKUP($A564,GA!$A$1:$D$834,3,0))," ",VLOOKUP($A564,GA!$A$1:$D$834,3,0))</f>
        <v>Regan</v>
      </c>
      <c r="Y564" s="379" t="str">
        <f>IF(ISNA(VLOOKUP($A564,Dormant_Councils!$A$1:$E$811,5,0)),"No",VLOOKUP($A564,Dormant_Councils!$A$1:$E$811,5,0))</f>
        <v>No</v>
      </c>
      <c r="Z564" s="381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22" t="str">
        <f>Councils!C568</f>
        <v>095</v>
      </c>
      <c r="C565" s="322" t="str">
        <f>Councils!D568</f>
        <v>Magnolia</v>
      </c>
      <c r="D565" s="322" t="str">
        <f>IF(ISNA(VLOOKUP($V565,DD_Info!$A$1:$E$221,3,0)),0,VLOOKUP($V565,DD_Info!$A$1:$E$221,3,0))</f>
        <v>Galv/Hous</v>
      </c>
      <c r="E565" s="322">
        <f>Councils!E568</f>
        <v>157</v>
      </c>
      <c r="F565" s="322">
        <f>Councils!F568</f>
        <v>8</v>
      </c>
      <c r="G565" s="322">
        <f>Councils!G568</f>
        <v>0</v>
      </c>
      <c r="H565" s="322">
        <f>Councils!H568</f>
        <v>0</v>
      </c>
      <c r="I565" s="322">
        <f>Councils!I568</f>
        <v>0</v>
      </c>
      <c r="J565" s="322">
        <f>Councils!J568</f>
        <v>0</v>
      </c>
      <c r="K565" s="322">
        <f>Councils!K568</f>
        <v>0</v>
      </c>
      <c r="L565" s="322">
        <f>Councils!L568</f>
        <v>0</v>
      </c>
      <c r="M565" s="323">
        <f>Councils!M568</f>
        <v>0</v>
      </c>
      <c r="N565" s="322">
        <f>Councils!O568</f>
        <v>0</v>
      </c>
      <c r="O565" s="322">
        <f>Councils!P568</f>
        <v>0</v>
      </c>
      <c r="P565" s="322">
        <f>Councils!Q568</f>
        <v>0</v>
      </c>
      <c r="Q565" s="322">
        <f>Councils!R568</f>
        <v>0</v>
      </c>
      <c r="R565" s="322">
        <f>Councils!S568</f>
        <v>1</v>
      </c>
      <c r="S565" s="322">
        <f>Councils!T568</f>
        <v>0</v>
      </c>
      <c r="T565" s="322">
        <f>Councils!U568</f>
        <v>1</v>
      </c>
      <c r="U565" s="323">
        <f>Councils!V568</f>
        <v>0</v>
      </c>
      <c r="V565" s="376">
        <v>95</v>
      </c>
      <c r="W565" s="377">
        <f t="shared" si="8"/>
        <v>1</v>
      </c>
      <c r="X565" s="378" t="str">
        <f>IF(ISNA(VLOOKUP($A565,GA!$A$1:$D$834,3,0))," ",VLOOKUP($A565,GA!$A$1:$D$834,3,0))</f>
        <v>Rangel</v>
      </c>
      <c r="Y565" s="379" t="str">
        <f>IF(ISNA(VLOOKUP($A565,Dormant_Councils!$A$1:$E$811,5,0)),"No",VLOOKUP($A565,Dormant_Councils!$A$1:$E$811,5,0))</f>
        <v>No</v>
      </c>
      <c r="Z565" s="381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22" t="str">
        <f>Councils!C569</f>
        <v>124</v>
      </c>
      <c r="C566" s="322" t="str">
        <f>Councils!D569</f>
        <v>Mauriceville</v>
      </c>
      <c r="D566" s="322" t="str">
        <f>IF(ISNA(VLOOKUP($V566,DD_Info!$A$1:$E$221,3,0)),0,VLOOKUP($V566,DD_Info!$A$1:$E$221,3,0))</f>
        <v>Beaumont</v>
      </c>
      <c r="E566" s="322">
        <f>Councils!E569</f>
        <v>16</v>
      </c>
      <c r="F566" s="322">
        <f>Councils!F569</f>
        <v>8</v>
      </c>
      <c r="G566" s="322">
        <f>Councils!G569</f>
        <v>0</v>
      </c>
      <c r="H566" s="322">
        <f>Councils!H569</f>
        <v>0</v>
      </c>
      <c r="I566" s="322">
        <f>Councils!I569</f>
        <v>0</v>
      </c>
      <c r="J566" s="322">
        <f>Councils!J569</f>
        <v>0</v>
      </c>
      <c r="K566" s="322">
        <f>Councils!K569</f>
        <v>0</v>
      </c>
      <c r="L566" s="322">
        <f>Councils!L569</f>
        <v>0</v>
      </c>
      <c r="M566" s="323">
        <f>Councils!M569</f>
        <v>0</v>
      </c>
      <c r="N566" s="322">
        <f>Councils!O569</f>
        <v>0</v>
      </c>
      <c r="O566" s="322">
        <f>Councils!P569</f>
        <v>0</v>
      </c>
      <c r="P566" s="322">
        <f>Councils!Q569</f>
        <v>0</v>
      </c>
      <c r="Q566" s="322">
        <f>Councils!R569</f>
        <v>0</v>
      </c>
      <c r="R566" s="322">
        <f>Councils!S569</f>
        <v>0</v>
      </c>
      <c r="S566" s="322">
        <f>Councils!T569</f>
        <v>0</v>
      </c>
      <c r="T566" s="322">
        <f>Councils!U569</f>
        <v>0</v>
      </c>
      <c r="U566" s="323">
        <f>Councils!V569</f>
        <v>0</v>
      </c>
      <c r="V566" s="376">
        <v>124</v>
      </c>
      <c r="W566" s="377">
        <f t="shared" si="8"/>
        <v>3</v>
      </c>
      <c r="X566" s="378" t="str">
        <f>IF(ISNA(VLOOKUP($A566,GA!$A$1:$D$834,3,0))," ",VLOOKUP($A566,GA!$A$1:$D$834,3,0))</f>
        <v>Rangel</v>
      </c>
      <c r="Y566" s="379" t="str">
        <f>IF(ISNA(VLOOKUP($A566,Dormant_Councils!$A$1:$E$811,5,0)),"No",VLOOKUP($A566,Dormant_Councils!$A$1:$E$811,5,0))</f>
        <v>Dormant</v>
      </c>
      <c r="Z566" s="381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22" t="str">
        <f>Councils!C570</f>
        <v>211</v>
      </c>
      <c r="C567" s="322" t="str">
        <f>Councils!D570</f>
        <v>Edcouch/La Villa</v>
      </c>
      <c r="D567" s="322" t="str">
        <f>IF(ISNA(VLOOKUP($V567,DD_Info!$A$1:$E$221,3,0)),0,VLOOKUP($V567,DD_Info!$A$1:$E$221,3,0))</f>
        <v>Brownsville</v>
      </c>
      <c r="E567" s="322">
        <f>Councils!E570</f>
        <v>47</v>
      </c>
      <c r="F567" s="322">
        <f>Councils!F570</f>
        <v>3</v>
      </c>
      <c r="G567" s="322">
        <f>Councils!G570</f>
        <v>1</v>
      </c>
      <c r="H567" s="322">
        <f>Councils!H570</f>
        <v>0</v>
      </c>
      <c r="I567" s="322">
        <f>Councils!I570</f>
        <v>1</v>
      </c>
      <c r="J567" s="322">
        <f>Councils!J570</f>
        <v>2</v>
      </c>
      <c r="K567" s="322">
        <f>Councils!K570</f>
        <v>0</v>
      </c>
      <c r="L567" s="322">
        <f>Councils!L570</f>
        <v>2</v>
      </c>
      <c r="M567" s="323">
        <f>Councils!M570</f>
        <v>66.67</v>
      </c>
      <c r="N567" s="322">
        <f>Councils!O570</f>
        <v>0</v>
      </c>
      <c r="O567" s="322">
        <f>Councils!P570</f>
        <v>0</v>
      </c>
      <c r="P567" s="322">
        <f>Councils!Q570</f>
        <v>0</v>
      </c>
      <c r="Q567" s="322">
        <f>Councils!R570</f>
        <v>0</v>
      </c>
      <c r="R567" s="322">
        <f>Councils!S570</f>
        <v>1</v>
      </c>
      <c r="S567" s="322">
        <f>Councils!T570</f>
        <v>1</v>
      </c>
      <c r="T567" s="322">
        <f>Councils!U570</f>
        <v>0</v>
      </c>
      <c r="U567" s="323">
        <f>Councils!V570</f>
        <v>0</v>
      </c>
      <c r="V567" s="376">
        <v>211</v>
      </c>
      <c r="W567" s="377">
        <f t="shared" si="8"/>
        <v>3</v>
      </c>
      <c r="X567" s="378" t="str">
        <f>IF(ISNA(VLOOKUP($A567,GA!$A$1:$D$834,3,0))," ",VLOOKUP($A567,GA!$A$1:$D$834,3,0))</f>
        <v>Carlin</v>
      </c>
      <c r="Y567" s="379" t="str">
        <f>IF(ISNA(VLOOKUP($A567,Dormant_Councils!$A$1:$E$811,5,0)),"No",VLOOKUP($A567,Dormant_Councils!$A$1:$E$811,5,0))</f>
        <v>No</v>
      </c>
      <c r="Z567" s="381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22" t="str">
        <f>Councils!C571</f>
        <v>021</v>
      </c>
      <c r="C568" s="322" t="str">
        <f>Councils!D571</f>
        <v>Lindsay</v>
      </c>
      <c r="D568" s="322" t="str">
        <f>IF(ISNA(VLOOKUP($V568,DD_Info!$A$1:$E$221,3,0)),0,VLOOKUP($V568,DD_Info!$A$1:$E$221,3,0))</f>
        <v>Fort Worth</v>
      </c>
      <c r="E568" s="322">
        <f>Councils!E571</f>
        <v>229</v>
      </c>
      <c r="F568" s="322">
        <f>Councils!F571</f>
        <v>11</v>
      </c>
      <c r="G568" s="322">
        <f>Councils!G571</f>
        <v>0</v>
      </c>
      <c r="H568" s="322">
        <f>Councils!H571</f>
        <v>0</v>
      </c>
      <c r="I568" s="322">
        <f>Councils!I571</f>
        <v>0</v>
      </c>
      <c r="J568" s="322">
        <f>Councils!J571</f>
        <v>0</v>
      </c>
      <c r="K568" s="322">
        <f>Councils!K571</f>
        <v>0</v>
      </c>
      <c r="L568" s="322">
        <f>Councils!L571</f>
        <v>0</v>
      </c>
      <c r="M568" s="323">
        <f>Councils!M571</f>
        <v>0</v>
      </c>
      <c r="N568" s="322">
        <f>Councils!O571</f>
        <v>0</v>
      </c>
      <c r="O568" s="322">
        <f>Councils!P571</f>
        <v>0</v>
      </c>
      <c r="P568" s="322">
        <f>Councils!Q571</f>
        <v>0</v>
      </c>
      <c r="Q568" s="322">
        <f>Councils!R571</f>
        <v>0</v>
      </c>
      <c r="R568" s="322">
        <f>Councils!S571</f>
        <v>0</v>
      </c>
      <c r="S568" s="322">
        <f>Councils!T571</f>
        <v>0</v>
      </c>
      <c r="T568" s="322">
        <f>Councils!U571</f>
        <v>0</v>
      </c>
      <c r="U568" s="323">
        <f>Councils!V571</f>
        <v>0</v>
      </c>
      <c r="V568" s="376">
        <v>21</v>
      </c>
      <c r="W568" s="377">
        <f t="shared" si="8"/>
        <v>1</v>
      </c>
      <c r="X568" s="378" t="str">
        <f>IF(ISNA(VLOOKUP($A568,GA!$A$1:$D$834,3,0))," ",VLOOKUP($A568,GA!$A$1:$D$834,3,0))</f>
        <v>Stark</v>
      </c>
      <c r="Y568" s="379" t="str">
        <f>IF(ISNA(VLOOKUP($A568,Dormant_Councils!$A$1:$E$811,5,0)),"No",VLOOKUP($A568,Dormant_Councils!$A$1:$E$811,5,0))</f>
        <v>No</v>
      </c>
      <c r="Z568" s="381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22" t="str">
        <f>Councils!C572</f>
        <v>002</v>
      </c>
      <c r="C569" s="322" t="str">
        <f>Councils!D572</f>
        <v>El Paso</v>
      </c>
      <c r="D569" s="322" t="str">
        <f>IF(ISNA(VLOOKUP($V569,DD_Info!$A$1:$E$221,3,0)),0,VLOOKUP($V569,DD_Info!$A$1:$E$221,3,0))</f>
        <v>El Paso</v>
      </c>
      <c r="E569" s="322">
        <f>Councils!E572</f>
        <v>88</v>
      </c>
      <c r="F569" s="322">
        <f>Councils!F572</f>
        <v>4</v>
      </c>
      <c r="G569" s="322">
        <f>Councils!G572</f>
        <v>0</v>
      </c>
      <c r="H569" s="322">
        <f>Councils!H572</f>
        <v>0</v>
      </c>
      <c r="I569" s="322">
        <f>Councils!I572</f>
        <v>0</v>
      </c>
      <c r="J569" s="322">
        <f>Councils!J572</f>
        <v>0</v>
      </c>
      <c r="K569" s="322">
        <f>Councils!K572</f>
        <v>0</v>
      </c>
      <c r="L569" s="322">
        <f>Councils!L572</f>
        <v>0</v>
      </c>
      <c r="M569" s="323">
        <f>Councils!M572</f>
        <v>0</v>
      </c>
      <c r="N569" s="322">
        <f>Councils!O572</f>
        <v>0</v>
      </c>
      <c r="O569" s="322">
        <f>Councils!P572</f>
        <v>0</v>
      </c>
      <c r="P569" s="322">
        <f>Councils!Q572</f>
        <v>0</v>
      </c>
      <c r="Q569" s="322">
        <f>Councils!R572</f>
        <v>0</v>
      </c>
      <c r="R569" s="322">
        <f>Councils!S572</f>
        <v>0</v>
      </c>
      <c r="S569" s="322">
        <f>Councils!T572</f>
        <v>0</v>
      </c>
      <c r="T569" s="322">
        <f>Councils!U572</f>
        <v>0</v>
      </c>
      <c r="U569" s="323">
        <f>Councils!V572</f>
        <v>0</v>
      </c>
      <c r="V569" s="376">
        <v>2</v>
      </c>
      <c r="W569" s="377">
        <f t="shared" si="8"/>
        <v>2</v>
      </c>
      <c r="X569" s="378" t="str">
        <f>IF(ISNA(VLOOKUP($A569,GA!$A$1:$D$834,3,0))," ",VLOOKUP($A569,GA!$A$1:$D$834,3,0))</f>
        <v>Payne</v>
      </c>
      <c r="Y569" s="379" t="str">
        <f>IF(ISNA(VLOOKUP($A569,Dormant_Councils!$A$1:$E$811,5,0)),"No",VLOOKUP($A569,Dormant_Councils!$A$1:$E$811,5,0))</f>
        <v>No</v>
      </c>
      <c r="Z569" s="381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22" t="str">
        <f>Councils!C573</f>
        <v>137</v>
      </c>
      <c r="C570" s="322" t="str">
        <f>Councils!D573</f>
        <v>Mineola</v>
      </c>
      <c r="D570" s="322" t="str">
        <f>IF(ISNA(VLOOKUP($V570,DD_Info!$A$1:$E$221,3,0)),0,VLOOKUP($V570,DD_Info!$A$1:$E$221,3,0))</f>
        <v>Tyler</v>
      </c>
      <c r="E570" s="322">
        <f>Councils!E573</f>
        <v>44</v>
      </c>
      <c r="F570" s="322">
        <f>Councils!F573</f>
        <v>3</v>
      </c>
      <c r="G570" s="322">
        <f>Councils!G573</f>
        <v>0</v>
      </c>
      <c r="H570" s="322">
        <f>Councils!H573</f>
        <v>0</v>
      </c>
      <c r="I570" s="322">
        <f>Councils!I573</f>
        <v>0</v>
      </c>
      <c r="J570" s="322">
        <f>Councils!J573</f>
        <v>0</v>
      </c>
      <c r="K570" s="322">
        <f>Councils!K573</f>
        <v>0</v>
      </c>
      <c r="L570" s="322">
        <f>Councils!L573</f>
        <v>0</v>
      </c>
      <c r="M570" s="323">
        <f>Councils!M573</f>
        <v>0</v>
      </c>
      <c r="N570" s="322">
        <f>Councils!O573</f>
        <v>0</v>
      </c>
      <c r="O570" s="322">
        <f>Councils!P573</f>
        <v>0</v>
      </c>
      <c r="P570" s="322">
        <f>Councils!Q573</f>
        <v>0</v>
      </c>
      <c r="Q570" s="322">
        <f>Councils!R573</f>
        <v>0</v>
      </c>
      <c r="R570" s="322">
        <f>Councils!S573</f>
        <v>0</v>
      </c>
      <c r="S570" s="322">
        <f>Councils!T573</f>
        <v>0</v>
      </c>
      <c r="T570" s="322">
        <f>Councils!U573</f>
        <v>0</v>
      </c>
      <c r="U570" s="323">
        <f>Councils!V573</f>
        <v>0</v>
      </c>
      <c r="V570" s="376">
        <v>137</v>
      </c>
      <c r="W570" s="377">
        <f t="shared" si="8"/>
        <v>3</v>
      </c>
      <c r="X570" s="378" t="str">
        <f>IF(ISNA(VLOOKUP($A570,GA!$A$1:$D$834,3,0))," ",VLOOKUP($A570,GA!$A$1:$D$834,3,0))</f>
        <v>Regan</v>
      </c>
      <c r="Y570" s="379" t="str">
        <f>IF(ISNA(VLOOKUP($A570,Dormant_Councils!$A$1:$E$811,5,0)),"No",VLOOKUP($A570,Dormant_Councils!$A$1:$E$811,5,0))</f>
        <v>No</v>
      </c>
      <c r="Z570" s="381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22" t="str">
        <f>Councils!C574</f>
        <v>104</v>
      </c>
      <c r="C571" s="322" t="str">
        <f>Councils!D574</f>
        <v>Dallas</v>
      </c>
      <c r="D571" s="322" t="str">
        <f>IF(ISNA(VLOOKUP($V571,DD_Info!$A$1:$E$221,3,0)),0,VLOOKUP($V571,DD_Info!$A$1:$E$221,3,0))</f>
        <v>Dallas</v>
      </c>
      <c r="E571" s="322">
        <f>Councils!E574</f>
        <v>353</v>
      </c>
      <c r="F571" s="322">
        <f>Councils!F574</f>
        <v>18</v>
      </c>
      <c r="G571" s="322">
        <f>Councils!G574</f>
        <v>0</v>
      </c>
      <c r="H571" s="322">
        <f>Councils!H574</f>
        <v>2</v>
      </c>
      <c r="I571" s="322">
        <f>Councils!I574</f>
        <v>-2</v>
      </c>
      <c r="J571" s="322">
        <f>Councils!J574</f>
        <v>1</v>
      </c>
      <c r="K571" s="322">
        <f>Councils!K574</f>
        <v>2</v>
      </c>
      <c r="L571" s="322">
        <f>Councils!L574</f>
        <v>-1</v>
      </c>
      <c r="M571" s="323">
        <f>Councils!M574</f>
        <v>0</v>
      </c>
      <c r="N571" s="322">
        <f>Councils!O574</f>
        <v>0</v>
      </c>
      <c r="O571" s="322">
        <f>Councils!P574</f>
        <v>0</v>
      </c>
      <c r="P571" s="322">
        <f>Councils!Q574</f>
        <v>0</v>
      </c>
      <c r="Q571" s="322">
        <f>Councils!R574</f>
        <v>0</v>
      </c>
      <c r="R571" s="322">
        <f>Councils!S574</f>
        <v>0</v>
      </c>
      <c r="S571" s="322">
        <f>Councils!T574</f>
        <v>0</v>
      </c>
      <c r="T571" s="322">
        <f>Councils!U574</f>
        <v>0</v>
      </c>
      <c r="U571" s="323">
        <f>Councils!V574</f>
        <v>0</v>
      </c>
      <c r="V571" s="376">
        <v>104</v>
      </c>
      <c r="W571" s="377">
        <f t="shared" si="8"/>
        <v>1</v>
      </c>
      <c r="X571" s="378" t="str">
        <f>IF(ISNA(VLOOKUP($A571,GA!$A$1:$D$834,3,0))," ",VLOOKUP($A571,GA!$A$1:$D$834,3,0))</f>
        <v>Regan</v>
      </c>
      <c r="Y571" s="379" t="str">
        <f>IF(ISNA(VLOOKUP($A571,Dormant_Councils!$A$1:$E$811,5,0)),"No",VLOOKUP($A571,Dormant_Councils!$A$1:$E$811,5,0))</f>
        <v>No</v>
      </c>
      <c r="Z571" s="381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22" t="str">
        <f>Councils!C575</f>
        <v>131</v>
      </c>
      <c r="C572" s="322" t="str">
        <f>Councils!D575</f>
        <v>Canton</v>
      </c>
      <c r="D572" s="322" t="str">
        <f>IF(ISNA(VLOOKUP($V572,DD_Info!$A$1:$E$221,3,0)),0,VLOOKUP($V572,DD_Info!$A$1:$E$221,3,0))</f>
        <v>Tyler</v>
      </c>
      <c r="E572" s="322">
        <f>Councils!E575</f>
        <v>54</v>
      </c>
      <c r="F572" s="322">
        <f>Councils!F575</f>
        <v>3</v>
      </c>
      <c r="G572" s="322">
        <f>Councils!G575</f>
        <v>0</v>
      </c>
      <c r="H572" s="322">
        <f>Councils!H575</f>
        <v>0</v>
      </c>
      <c r="I572" s="322">
        <f>Councils!I575</f>
        <v>0</v>
      </c>
      <c r="J572" s="322">
        <f>Councils!J575</f>
        <v>5</v>
      </c>
      <c r="K572" s="322">
        <f>Councils!K575</f>
        <v>0</v>
      </c>
      <c r="L572" s="322">
        <f>Councils!L575</f>
        <v>5</v>
      </c>
      <c r="M572" s="323">
        <f>Councils!M575</f>
        <v>166.67</v>
      </c>
      <c r="N572" s="322">
        <f>Councils!O575</f>
        <v>0</v>
      </c>
      <c r="O572" s="322">
        <f>Councils!P575</f>
        <v>0</v>
      </c>
      <c r="P572" s="322">
        <f>Councils!Q575</f>
        <v>0</v>
      </c>
      <c r="Q572" s="322">
        <f>Councils!R575</f>
        <v>0</v>
      </c>
      <c r="R572" s="322">
        <f>Councils!S575</f>
        <v>0</v>
      </c>
      <c r="S572" s="322">
        <f>Councils!T575</f>
        <v>0</v>
      </c>
      <c r="T572" s="322">
        <f>Councils!U575</f>
        <v>0</v>
      </c>
      <c r="U572" s="323">
        <f>Councils!V575</f>
        <v>0</v>
      </c>
      <c r="V572" s="376">
        <v>131</v>
      </c>
      <c r="W572" s="377">
        <f t="shared" si="8"/>
        <v>3</v>
      </c>
      <c r="X572" s="378" t="str">
        <f>IF(ISNA(VLOOKUP($A572,GA!$A$1:$D$834,3,0))," ",VLOOKUP($A572,GA!$A$1:$D$834,3,0))</f>
        <v>Regan</v>
      </c>
      <c r="Y572" s="379" t="str">
        <f>IF(ISNA(VLOOKUP($A572,Dormant_Councils!$A$1:$E$811,5,0)),"No",VLOOKUP($A572,Dormant_Councils!$A$1:$E$811,5,0))</f>
        <v>No</v>
      </c>
      <c r="Z572" s="381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22" t="str">
        <f>Councils!C576</f>
        <v>217</v>
      </c>
      <c r="C573" s="322" t="str">
        <f>Councils!D576</f>
        <v>Hidalgo</v>
      </c>
      <c r="D573" s="322" t="str">
        <f>IF(ISNA(VLOOKUP($V573,DD_Info!$A$1:$E$221,3,0)),0,VLOOKUP($V573,DD_Info!$A$1:$E$221,3,0))</f>
        <v>Brownsville</v>
      </c>
      <c r="E573" s="322">
        <f>Councils!E576</f>
        <v>97</v>
      </c>
      <c r="F573" s="322">
        <f>Councils!F576</f>
        <v>4</v>
      </c>
      <c r="G573" s="322">
        <f>Councils!G576</f>
        <v>0</v>
      </c>
      <c r="H573" s="322">
        <f>Councils!H576</f>
        <v>0</v>
      </c>
      <c r="I573" s="322">
        <f>Councils!I576</f>
        <v>0</v>
      </c>
      <c r="J573" s="322">
        <f>Councils!J576</f>
        <v>0</v>
      </c>
      <c r="K573" s="322">
        <f>Councils!K576</f>
        <v>0</v>
      </c>
      <c r="L573" s="322">
        <f>Councils!L576</f>
        <v>0</v>
      </c>
      <c r="M573" s="323">
        <f>Councils!M576</f>
        <v>0</v>
      </c>
      <c r="N573" s="322">
        <f>Councils!O576</f>
        <v>0</v>
      </c>
      <c r="O573" s="322">
        <f>Councils!P576</f>
        <v>0</v>
      </c>
      <c r="P573" s="322">
        <f>Councils!Q576</f>
        <v>2</v>
      </c>
      <c r="Q573" s="322">
        <f>Councils!R576</f>
        <v>-2</v>
      </c>
      <c r="R573" s="322">
        <f>Councils!S576</f>
        <v>1</v>
      </c>
      <c r="S573" s="322">
        <f>Councils!T576</f>
        <v>4</v>
      </c>
      <c r="T573" s="322">
        <f>Councils!U576</f>
        <v>-3</v>
      </c>
      <c r="U573" s="323">
        <f>Councils!V576</f>
        <v>0</v>
      </c>
      <c r="V573" s="376">
        <v>217</v>
      </c>
      <c r="W573" s="377">
        <f t="shared" si="8"/>
        <v>2</v>
      </c>
      <c r="X573" s="378" t="str">
        <f>IF(ISNA(VLOOKUP($A573,GA!$A$1:$D$834,3,0))," ",VLOOKUP($A573,GA!$A$1:$D$834,3,0))</f>
        <v>Carlin</v>
      </c>
      <c r="Y573" s="379" t="str">
        <f>IF(ISNA(VLOOKUP($A573,Dormant_Councils!$A$1:$E$811,5,0)),"No",VLOOKUP($A573,Dormant_Councils!$A$1:$E$811,5,0))</f>
        <v>No</v>
      </c>
      <c r="Z573" s="381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22" t="str">
        <f>Councils!C577</f>
        <v>224</v>
      </c>
      <c r="C574" s="322" t="str">
        <f>Councils!D577</f>
        <v>San Angelo</v>
      </c>
      <c r="D574" s="322" t="str">
        <f>IF(ISNA(VLOOKUP($V574,DD_Info!$A$1:$E$221,3,0)),0,VLOOKUP($V574,DD_Info!$A$1:$E$221,3,0))</f>
        <v>San Angelo</v>
      </c>
      <c r="E574" s="322">
        <f>Councils!E577</f>
        <v>124</v>
      </c>
      <c r="F574" s="322">
        <f>Councils!F577</f>
        <v>6</v>
      </c>
      <c r="G574" s="322">
        <f>Councils!G577</f>
        <v>0</v>
      </c>
      <c r="H574" s="322">
        <f>Councils!H577</f>
        <v>0</v>
      </c>
      <c r="I574" s="322">
        <f>Councils!I577</f>
        <v>0</v>
      </c>
      <c r="J574" s="322">
        <f>Councils!J577</f>
        <v>1</v>
      </c>
      <c r="K574" s="322">
        <f>Councils!K577</f>
        <v>0</v>
      </c>
      <c r="L574" s="322">
        <f>Councils!L577</f>
        <v>1</v>
      </c>
      <c r="M574" s="323">
        <f>Councils!M577</f>
        <v>16.670000000000002</v>
      </c>
      <c r="N574" s="322">
        <f>Councils!O577</f>
        <v>0</v>
      </c>
      <c r="O574" s="322">
        <f>Councils!P577</f>
        <v>0</v>
      </c>
      <c r="P574" s="322">
        <f>Councils!Q577</f>
        <v>0</v>
      </c>
      <c r="Q574" s="322">
        <f>Councils!R577</f>
        <v>0</v>
      </c>
      <c r="R574" s="322">
        <f>Councils!S577</f>
        <v>1</v>
      </c>
      <c r="S574" s="322">
        <f>Councils!T577</f>
        <v>1</v>
      </c>
      <c r="T574" s="322">
        <f>Councils!U577</f>
        <v>0</v>
      </c>
      <c r="U574" s="323">
        <f>Councils!V577</f>
        <v>0</v>
      </c>
      <c r="V574" s="376">
        <v>224</v>
      </c>
      <c r="W574" s="377">
        <f t="shared" si="8"/>
        <v>2</v>
      </c>
      <c r="X574" s="378" t="str">
        <f>IF(ISNA(VLOOKUP($A574,GA!$A$1:$D$834,3,0))," ",VLOOKUP($A574,GA!$A$1:$D$834,3,0))</f>
        <v>Payne</v>
      </c>
      <c r="Y574" s="379" t="str">
        <f>IF(ISNA(VLOOKUP($A574,Dormant_Councils!$A$1:$E$811,5,0)),"No",VLOOKUP($A574,Dormant_Councils!$A$1:$E$811,5,0))</f>
        <v>No</v>
      </c>
      <c r="Z574" s="381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22" t="str">
        <f>Councils!C578</f>
        <v>114</v>
      </c>
      <c r="C575" s="322" t="str">
        <f>Councils!D578</f>
        <v>Richardson</v>
      </c>
      <c r="D575" s="322" t="str">
        <f>IF(ISNA(VLOOKUP($V575,DD_Info!$A$1:$E$221,3,0)),0,VLOOKUP($V575,DD_Info!$A$1:$E$221,3,0))</f>
        <v>Dallas</v>
      </c>
      <c r="E575" s="322">
        <f>Councils!E578</f>
        <v>131</v>
      </c>
      <c r="F575" s="322">
        <f>Councils!F578</f>
        <v>6</v>
      </c>
      <c r="G575" s="322">
        <f>Councils!G578</f>
        <v>0</v>
      </c>
      <c r="H575" s="322">
        <f>Councils!H578</f>
        <v>0</v>
      </c>
      <c r="I575" s="322">
        <f>Councils!I578</f>
        <v>0</v>
      </c>
      <c r="J575" s="322">
        <f>Councils!J578</f>
        <v>1</v>
      </c>
      <c r="K575" s="322">
        <f>Councils!K578</f>
        <v>0</v>
      </c>
      <c r="L575" s="322">
        <f>Councils!L578</f>
        <v>1</v>
      </c>
      <c r="M575" s="323">
        <f>Councils!M578</f>
        <v>16.670000000000002</v>
      </c>
      <c r="N575" s="322">
        <f>Councils!O578</f>
        <v>0</v>
      </c>
      <c r="O575" s="322">
        <f>Councils!P578</f>
        <v>0</v>
      </c>
      <c r="P575" s="322">
        <f>Councils!Q578</f>
        <v>0</v>
      </c>
      <c r="Q575" s="322">
        <f>Councils!R578</f>
        <v>0</v>
      </c>
      <c r="R575" s="322">
        <f>Councils!S578</f>
        <v>0</v>
      </c>
      <c r="S575" s="322">
        <f>Councils!T578</f>
        <v>0</v>
      </c>
      <c r="T575" s="322">
        <f>Councils!U578</f>
        <v>0</v>
      </c>
      <c r="U575" s="323">
        <f>Councils!V578</f>
        <v>0</v>
      </c>
      <c r="V575" s="376">
        <v>114</v>
      </c>
      <c r="W575" s="377">
        <f t="shared" si="8"/>
        <v>2</v>
      </c>
      <c r="X575" s="378" t="str">
        <f>IF(ISNA(VLOOKUP($A575,GA!$A$1:$D$834,3,0))," ",VLOOKUP($A575,GA!$A$1:$D$834,3,0))</f>
        <v>Regan</v>
      </c>
      <c r="Y575" s="379" t="str">
        <f>IF(ISNA(VLOOKUP($A575,Dormant_Councils!$A$1:$E$811,5,0)),"No",VLOOKUP($A575,Dormant_Councils!$A$1:$E$811,5,0))</f>
        <v>No</v>
      </c>
      <c r="Z575" s="381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22" t="str">
        <f>Councils!C579</f>
        <v>206</v>
      </c>
      <c r="C576" s="322" t="str">
        <f>Councils!D579</f>
        <v>Brownsville</v>
      </c>
      <c r="D576" s="322" t="str">
        <f>IF(ISNA(VLOOKUP($V576,DD_Info!$A$1:$E$221,3,0)),0,VLOOKUP($V576,DD_Info!$A$1:$E$221,3,0))</f>
        <v>Brownsville</v>
      </c>
      <c r="E576" s="322">
        <f>Councils!E579</f>
        <v>52</v>
      </c>
      <c r="F576" s="322">
        <f>Councils!F579</f>
        <v>3</v>
      </c>
      <c r="G576" s="322">
        <f>Councils!G579</f>
        <v>0</v>
      </c>
      <c r="H576" s="322">
        <f>Councils!H579</f>
        <v>0</v>
      </c>
      <c r="I576" s="322">
        <f>Councils!I579</f>
        <v>0</v>
      </c>
      <c r="J576" s="322">
        <f>Councils!J579</f>
        <v>0</v>
      </c>
      <c r="K576" s="322">
        <f>Councils!K579</f>
        <v>0</v>
      </c>
      <c r="L576" s="322">
        <f>Councils!L579</f>
        <v>0</v>
      </c>
      <c r="M576" s="323">
        <f>Councils!M579</f>
        <v>0</v>
      </c>
      <c r="N576" s="322">
        <f>Councils!O579</f>
        <v>0</v>
      </c>
      <c r="O576" s="322">
        <f>Councils!P579</f>
        <v>0</v>
      </c>
      <c r="P576" s="322">
        <f>Councils!Q579</f>
        <v>0</v>
      </c>
      <c r="Q576" s="322">
        <f>Councils!R579</f>
        <v>0</v>
      </c>
      <c r="R576" s="322">
        <f>Councils!S579</f>
        <v>0</v>
      </c>
      <c r="S576" s="322">
        <f>Councils!T579</f>
        <v>0</v>
      </c>
      <c r="T576" s="322">
        <f>Councils!U579</f>
        <v>0</v>
      </c>
      <c r="U576" s="323">
        <f>Councils!V579</f>
        <v>0</v>
      </c>
      <c r="V576" s="376">
        <v>206</v>
      </c>
      <c r="W576" s="377">
        <f t="shared" si="8"/>
        <v>3</v>
      </c>
      <c r="X576" s="378" t="str">
        <f>IF(ISNA(VLOOKUP($A576,GA!$A$1:$D$834,3,0))," ",VLOOKUP($A576,GA!$A$1:$D$834,3,0))</f>
        <v>Carlin</v>
      </c>
      <c r="Y576" s="379" t="str">
        <f>IF(ISNA(VLOOKUP($A576,Dormant_Councils!$A$1:$E$811,5,0)),"No",VLOOKUP($A576,Dormant_Councils!$A$1:$E$811,5,0))</f>
        <v>Dormant</v>
      </c>
      <c r="Z576" s="381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22" t="str">
        <f>Councils!C580</f>
        <v>207</v>
      </c>
      <c r="C577" s="322" t="str">
        <f>Councils!D580</f>
        <v>Mcallen</v>
      </c>
      <c r="D577" s="322" t="str">
        <f>IF(ISNA(VLOOKUP($V577,DD_Info!$A$1:$E$221,3,0)),0,VLOOKUP($V577,DD_Info!$A$1:$E$221,3,0))</f>
        <v>Brownsville</v>
      </c>
      <c r="E577" s="322">
        <f>Councils!E580</f>
        <v>243</v>
      </c>
      <c r="F577" s="322">
        <f>Councils!F580</f>
        <v>12</v>
      </c>
      <c r="G577" s="322">
        <f>Councils!G580</f>
        <v>0</v>
      </c>
      <c r="H577" s="322">
        <f>Councils!H580</f>
        <v>0</v>
      </c>
      <c r="I577" s="322">
        <f>Councils!I580</f>
        <v>0</v>
      </c>
      <c r="J577" s="322">
        <f>Councils!J580</f>
        <v>0</v>
      </c>
      <c r="K577" s="322">
        <f>Councils!K580</f>
        <v>0</v>
      </c>
      <c r="L577" s="322">
        <f>Councils!L580</f>
        <v>0</v>
      </c>
      <c r="M577" s="323">
        <f>Councils!M580</f>
        <v>0</v>
      </c>
      <c r="N577" s="322">
        <f>Councils!O580</f>
        <v>0</v>
      </c>
      <c r="O577" s="322">
        <f>Councils!P580</f>
        <v>0</v>
      </c>
      <c r="P577" s="322">
        <f>Councils!Q580</f>
        <v>0</v>
      </c>
      <c r="Q577" s="322">
        <f>Councils!R580</f>
        <v>0</v>
      </c>
      <c r="R577" s="322">
        <f>Councils!S580</f>
        <v>0</v>
      </c>
      <c r="S577" s="322">
        <f>Councils!T580</f>
        <v>1</v>
      </c>
      <c r="T577" s="322">
        <f>Councils!U580</f>
        <v>-1</v>
      </c>
      <c r="U577" s="323">
        <f>Councils!V580</f>
        <v>0</v>
      </c>
      <c r="V577" s="376">
        <v>207</v>
      </c>
      <c r="W577" s="377">
        <f t="shared" si="8"/>
        <v>1</v>
      </c>
      <c r="X577" s="378" t="str">
        <f>IF(ISNA(VLOOKUP($A577,GA!$A$1:$D$834,3,0))," ",VLOOKUP($A577,GA!$A$1:$D$834,3,0))</f>
        <v>Carlin</v>
      </c>
      <c r="Y577" s="379" t="str">
        <f>IF(ISNA(VLOOKUP($A577,Dormant_Councils!$A$1:$E$811,5,0)),"No",VLOOKUP($A577,Dormant_Councils!$A$1:$E$811,5,0))</f>
        <v>No</v>
      </c>
      <c r="Z577" s="381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22" t="str">
        <f>Councils!C581</f>
        <v>228</v>
      </c>
      <c r="C578" s="322" t="str">
        <f>Councils!D581</f>
        <v>Colorado City</v>
      </c>
      <c r="D578" s="322" t="str">
        <f>IF(ISNA(VLOOKUP($V578,DD_Info!$A$1:$E$221,3,0)),0,VLOOKUP($V578,DD_Info!$A$1:$E$221,3,0))</f>
        <v>San Angelo</v>
      </c>
      <c r="E578" s="322">
        <f>Councils!E581</f>
        <v>38</v>
      </c>
      <c r="F578" s="322">
        <f>Councils!F581</f>
        <v>3</v>
      </c>
      <c r="G578" s="322">
        <f>Councils!G581</f>
        <v>0</v>
      </c>
      <c r="H578" s="322">
        <f>Councils!H581</f>
        <v>0</v>
      </c>
      <c r="I578" s="322">
        <f>Councils!I581</f>
        <v>0</v>
      </c>
      <c r="J578" s="322">
        <f>Councils!J581</f>
        <v>0</v>
      </c>
      <c r="K578" s="322">
        <f>Councils!K581</f>
        <v>0</v>
      </c>
      <c r="L578" s="322">
        <f>Councils!L581</f>
        <v>0</v>
      </c>
      <c r="M578" s="323">
        <f>Councils!M581</f>
        <v>0</v>
      </c>
      <c r="N578" s="322">
        <f>Councils!O581</f>
        <v>0</v>
      </c>
      <c r="O578" s="322">
        <f>Councils!P581</f>
        <v>0</v>
      </c>
      <c r="P578" s="322">
        <f>Councils!Q581</f>
        <v>0</v>
      </c>
      <c r="Q578" s="322">
        <f>Councils!R581</f>
        <v>0</v>
      </c>
      <c r="R578" s="322">
        <f>Councils!S581</f>
        <v>0</v>
      </c>
      <c r="S578" s="322">
        <f>Councils!T581</f>
        <v>0</v>
      </c>
      <c r="T578" s="322">
        <f>Councils!U581</f>
        <v>0</v>
      </c>
      <c r="U578" s="323">
        <f>Councils!V581</f>
        <v>0</v>
      </c>
      <c r="V578" s="376">
        <v>228</v>
      </c>
      <c r="W578" s="377">
        <f t="shared" si="8"/>
        <v>3</v>
      </c>
      <c r="X578" s="378" t="str">
        <f>IF(ISNA(VLOOKUP($A578,GA!$A$1:$D$834,3,0))," ",VLOOKUP($A578,GA!$A$1:$D$834,3,0))</f>
        <v>Payne</v>
      </c>
      <c r="Y578" s="379" t="str">
        <f>IF(ISNA(VLOOKUP($A578,Dormant_Councils!$A$1:$E$811,5,0)),"No",VLOOKUP($A578,Dormant_Councils!$A$1:$E$811,5,0))</f>
        <v>No</v>
      </c>
      <c r="Z578" s="381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22" t="str">
        <f>Councils!C582</f>
        <v>180</v>
      </c>
      <c r="C579" s="322" t="str">
        <f>Councils!D582</f>
        <v>Corpus Christi</v>
      </c>
      <c r="D579" s="322" t="str">
        <f>IF(ISNA(VLOOKUP($V579,DD_Info!$A$1:$E$221,3,0)),0,VLOOKUP($V579,DD_Info!$A$1:$E$221,3,0))</f>
        <v>Corpus Christi</v>
      </c>
      <c r="E579" s="322">
        <f>Councils!E582</f>
        <v>40</v>
      </c>
      <c r="F579" s="322">
        <f>Councils!F582</f>
        <v>3</v>
      </c>
      <c r="G579" s="322">
        <f>Councils!G582</f>
        <v>0</v>
      </c>
      <c r="H579" s="322">
        <f>Councils!H582</f>
        <v>0</v>
      </c>
      <c r="I579" s="322">
        <f>Councils!I582</f>
        <v>0</v>
      </c>
      <c r="J579" s="322">
        <f>Councils!J582</f>
        <v>0</v>
      </c>
      <c r="K579" s="322">
        <f>Councils!K582</f>
        <v>0</v>
      </c>
      <c r="L579" s="322">
        <f>Councils!L582</f>
        <v>0</v>
      </c>
      <c r="M579" s="323">
        <f>Councils!M582</f>
        <v>0</v>
      </c>
      <c r="N579" s="322">
        <f>Councils!O582</f>
        <v>0</v>
      </c>
      <c r="O579" s="322">
        <f>Councils!P582</f>
        <v>0</v>
      </c>
      <c r="P579" s="322">
        <f>Councils!Q582</f>
        <v>0</v>
      </c>
      <c r="Q579" s="322">
        <f>Councils!R582</f>
        <v>0</v>
      </c>
      <c r="R579" s="322">
        <f>Councils!S582</f>
        <v>0</v>
      </c>
      <c r="S579" s="322">
        <f>Councils!T582</f>
        <v>0</v>
      </c>
      <c r="T579" s="322">
        <f>Councils!U582</f>
        <v>0</v>
      </c>
      <c r="U579" s="323">
        <f>Councils!V582</f>
        <v>0</v>
      </c>
      <c r="V579" s="376">
        <v>180</v>
      </c>
      <c r="W579" s="377">
        <f t="shared" ref="W579:W642" si="9">_xlfn.IFS($E579&gt;=140,1,$E579&gt;65,2,$E579&lt;=65,3)</f>
        <v>3</v>
      </c>
      <c r="X579" s="378" t="str">
        <f>IF(ISNA(VLOOKUP($A579,GA!$A$1:$D$834,3,0))," ",VLOOKUP($A579,GA!$A$1:$D$834,3,0))</f>
        <v>Carlin</v>
      </c>
      <c r="Y579" s="379" t="str">
        <f>IF(ISNA(VLOOKUP($A579,Dormant_Councils!$A$1:$E$811,5,0)),"No",VLOOKUP($A579,Dormant_Councils!$A$1:$E$811,5,0))</f>
        <v>Dormant</v>
      </c>
      <c r="Z579" s="381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22" t="str">
        <f>Councils!C583</f>
        <v>003</v>
      </c>
      <c r="C580" s="322" t="str">
        <f>Councils!D583</f>
        <v>El Paso</v>
      </c>
      <c r="D580" s="322" t="str">
        <f>IF(ISNA(VLOOKUP($V580,DD_Info!$A$1:$E$221,3,0)),0,VLOOKUP($V580,DD_Info!$A$1:$E$221,3,0))</f>
        <v>El Paso</v>
      </c>
      <c r="E580" s="322">
        <f>Councils!E583</f>
        <v>69</v>
      </c>
      <c r="F580" s="322">
        <f>Councils!F583</f>
        <v>3</v>
      </c>
      <c r="G580" s="322">
        <f>Councils!G583</f>
        <v>0</v>
      </c>
      <c r="H580" s="322">
        <f>Councils!H583</f>
        <v>0</v>
      </c>
      <c r="I580" s="322">
        <f>Councils!I583</f>
        <v>0</v>
      </c>
      <c r="J580" s="322">
        <f>Councils!J583</f>
        <v>4</v>
      </c>
      <c r="K580" s="322">
        <f>Councils!K583</f>
        <v>0</v>
      </c>
      <c r="L580" s="322">
        <f>Councils!L583</f>
        <v>4</v>
      </c>
      <c r="M580" s="323">
        <f>Councils!M583</f>
        <v>133.33000000000001</v>
      </c>
      <c r="N580" s="322">
        <f>Councils!O583</f>
        <v>0</v>
      </c>
      <c r="O580" s="322">
        <f>Councils!P583</f>
        <v>0</v>
      </c>
      <c r="P580" s="322">
        <f>Councils!Q583</f>
        <v>0</v>
      </c>
      <c r="Q580" s="322">
        <f>Councils!R583</f>
        <v>0</v>
      </c>
      <c r="R580" s="322">
        <f>Councils!S583</f>
        <v>0</v>
      </c>
      <c r="S580" s="322">
        <f>Councils!T583</f>
        <v>0</v>
      </c>
      <c r="T580" s="322">
        <f>Councils!U583</f>
        <v>0</v>
      </c>
      <c r="U580" s="323">
        <f>Councils!V583</f>
        <v>0</v>
      </c>
      <c r="V580" s="376">
        <v>3</v>
      </c>
      <c r="W580" s="377">
        <f t="shared" si="9"/>
        <v>2</v>
      </c>
      <c r="X580" s="378" t="str">
        <f>IF(ISNA(VLOOKUP($A580,GA!$A$1:$D$834,3,0))," ",VLOOKUP($A580,GA!$A$1:$D$834,3,0))</f>
        <v>Payne</v>
      </c>
      <c r="Y580" s="379" t="str">
        <f>IF(ISNA(VLOOKUP($A580,Dormant_Councils!$A$1:$E$811,5,0)),"No",VLOOKUP($A580,Dormant_Councils!$A$1:$E$811,5,0))</f>
        <v>No</v>
      </c>
      <c r="Z580" s="381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22" t="str">
        <f>Councils!C584</f>
        <v>214</v>
      </c>
      <c r="C581" s="322" t="str">
        <f>Councils!D584</f>
        <v>Donna</v>
      </c>
      <c r="D581" s="322" t="str">
        <f>IF(ISNA(VLOOKUP($V581,DD_Info!$A$1:$E$221,3,0)),0,VLOOKUP($V581,DD_Info!$A$1:$E$221,3,0))</f>
        <v>Brownsville</v>
      </c>
      <c r="E581" s="322">
        <f>Councils!E584</f>
        <v>56</v>
      </c>
      <c r="F581" s="322">
        <f>Councils!F584</f>
        <v>3</v>
      </c>
      <c r="G581" s="322">
        <f>Councils!G584</f>
        <v>0</v>
      </c>
      <c r="H581" s="322">
        <f>Councils!H584</f>
        <v>0</v>
      </c>
      <c r="I581" s="322">
        <f>Councils!I584</f>
        <v>0</v>
      </c>
      <c r="J581" s="322">
        <f>Councils!J584</f>
        <v>0</v>
      </c>
      <c r="K581" s="322">
        <f>Councils!K584</f>
        <v>0</v>
      </c>
      <c r="L581" s="322">
        <f>Councils!L584</f>
        <v>0</v>
      </c>
      <c r="M581" s="323">
        <f>Councils!M584</f>
        <v>0</v>
      </c>
      <c r="N581" s="322">
        <f>Councils!O584</f>
        <v>0</v>
      </c>
      <c r="O581" s="322">
        <f>Councils!P584</f>
        <v>0</v>
      </c>
      <c r="P581" s="322">
        <f>Councils!Q584</f>
        <v>0</v>
      </c>
      <c r="Q581" s="322">
        <f>Councils!R584</f>
        <v>0</v>
      </c>
      <c r="R581" s="322">
        <f>Councils!S584</f>
        <v>0</v>
      </c>
      <c r="S581" s="322">
        <f>Councils!T584</f>
        <v>0</v>
      </c>
      <c r="T581" s="322">
        <f>Councils!U584</f>
        <v>0</v>
      </c>
      <c r="U581" s="323">
        <f>Councils!V584</f>
        <v>0</v>
      </c>
      <c r="V581" s="376">
        <v>214</v>
      </c>
      <c r="W581" s="377">
        <f t="shared" si="9"/>
        <v>3</v>
      </c>
      <c r="X581" s="378" t="str">
        <f>IF(ISNA(VLOOKUP($A581,GA!$A$1:$D$834,3,0))," ",VLOOKUP($A581,GA!$A$1:$D$834,3,0))</f>
        <v>Carlin</v>
      </c>
      <c r="Y581" s="379" t="str">
        <f>IF(ISNA(VLOOKUP($A581,Dormant_Councils!$A$1:$E$811,5,0)),"No",VLOOKUP($A581,Dormant_Councils!$A$1:$E$811,5,0))</f>
        <v>No</v>
      </c>
      <c r="Z581" s="381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22" t="str">
        <f>Councils!C585</f>
        <v>134</v>
      </c>
      <c r="C582" s="322" t="str">
        <f>Councils!D585</f>
        <v>Diboll</v>
      </c>
      <c r="D582" s="322" t="str">
        <f>IF(ISNA(VLOOKUP($V582,DD_Info!$A$1:$E$221,3,0)),0,VLOOKUP($V582,DD_Info!$A$1:$E$221,3,0))</f>
        <v>Tyler</v>
      </c>
      <c r="E582" s="322">
        <f>Councils!E585</f>
        <v>47</v>
      </c>
      <c r="F582" s="322">
        <f>Councils!F585</f>
        <v>3</v>
      </c>
      <c r="G582" s="322">
        <f>Councils!G585</f>
        <v>0</v>
      </c>
      <c r="H582" s="322">
        <f>Councils!H585</f>
        <v>0</v>
      </c>
      <c r="I582" s="322">
        <f>Councils!I585</f>
        <v>0</v>
      </c>
      <c r="J582" s="322">
        <f>Councils!J585</f>
        <v>0</v>
      </c>
      <c r="K582" s="322">
        <f>Councils!K585</f>
        <v>0</v>
      </c>
      <c r="L582" s="322">
        <f>Councils!L585</f>
        <v>0</v>
      </c>
      <c r="M582" s="323">
        <f>Councils!M585</f>
        <v>0</v>
      </c>
      <c r="N582" s="322">
        <f>Councils!O585</f>
        <v>0</v>
      </c>
      <c r="O582" s="322">
        <f>Councils!P585</f>
        <v>0</v>
      </c>
      <c r="P582" s="322">
        <f>Councils!Q585</f>
        <v>0</v>
      </c>
      <c r="Q582" s="322">
        <f>Councils!R585</f>
        <v>0</v>
      </c>
      <c r="R582" s="322">
        <f>Councils!S585</f>
        <v>0</v>
      </c>
      <c r="S582" s="322">
        <f>Councils!T585</f>
        <v>0</v>
      </c>
      <c r="T582" s="322">
        <f>Councils!U585</f>
        <v>0</v>
      </c>
      <c r="U582" s="323">
        <f>Councils!V585</f>
        <v>0</v>
      </c>
      <c r="V582" s="376">
        <v>134</v>
      </c>
      <c r="W582" s="377">
        <f t="shared" si="9"/>
        <v>3</v>
      </c>
      <c r="X582" s="378" t="str">
        <f>IF(ISNA(VLOOKUP($A582,GA!$A$1:$D$834,3,0))," ",VLOOKUP($A582,GA!$A$1:$D$834,3,0))</f>
        <v>Regan</v>
      </c>
      <c r="Y582" s="379" t="str">
        <f>IF(ISNA(VLOOKUP($A582,Dormant_Councils!$A$1:$E$811,5,0)),"No",VLOOKUP($A582,Dormant_Councils!$A$1:$E$811,5,0))</f>
        <v>No</v>
      </c>
      <c r="Z582" s="381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22" t="str">
        <f>Councils!C586</f>
        <v>218</v>
      </c>
      <c r="C583" s="322" t="str">
        <f>Councils!D586</f>
        <v>La Feria</v>
      </c>
      <c r="D583" s="322" t="str">
        <f>IF(ISNA(VLOOKUP($V583,DD_Info!$A$1:$E$221,3,0)),0,VLOOKUP($V583,DD_Info!$A$1:$E$221,3,0))</f>
        <v>Brownsville</v>
      </c>
      <c r="E583" s="322">
        <f>Councils!E586</f>
        <v>73</v>
      </c>
      <c r="F583" s="322">
        <f>Councils!F586</f>
        <v>4</v>
      </c>
      <c r="G583" s="322">
        <f>Councils!G586</f>
        <v>0</v>
      </c>
      <c r="H583" s="322">
        <f>Councils!H586</f>
        <v>0</v>
      </c>
      <c r="I583" s="322">
        <f>Councils!I586</f>
        <v>0</v>
      </c>
      <c r="J583" s="322">
        <f>Councils!J586</f>
        <v>0</v>
      </c>
      <c r="K583" s="322">
        <f>Councils!K586</f>
        <v>0</v>
      </c>
      <c r="L583" s="322">
        <f>Councils!L586</f>
        <v>0</v>
      </c>
      <c r="M583" s="323">
        <f>Councils!M586</f>
        <v>0</v>
      </c>
      <c r="N583" s="322">
        <f>Councils!O586</f>
        <v>0</v>
      </c>
      <c r="O583" s="322">
        <f>Councils!P586</f>
        <v>0</v>
      </c>
      <c r="P583" s="322">
        <f>Councils!Q586</f>
        <v>1</v>
      </c>
      <c r="Q583" s="322">
        <f>Councils!R586</f>
        <v>-1</v>
      </c>
      <c r="R583" s="322">
        <f>Councils!S586</f>
        <v>0</v>
      </c>
      <c r="S583" s="322">
        <f>Councils!T586</f>
        <v>1</v>
      </c>
      <c r="T583" s="322">
        <f>Councils!U586</f>
        <v>-1</v>
      </c>
      <c r="U583" s="323">
        <f>Councils!V586</f>
        <v>0</v>
      </c>
      <c r="V583" s="376">
        <v>218</v>
      </c>
      <c r="W583" s="377">
        <f t="shared" si="9"/>
        <v>2</v>
      </c>
      <c r="X583" s="378" t="str">
        <f>IF(ISNA(VLOOKUP($A583,GA!$A$1:$D$834,3,0))," ",VLOOKUP($A583,GA!$A$1:$D$834,3,0))</f>
        <v>Carlin</v>
      </c>
      <c r="Y583" s="379" t="str">
        <f>IF(ISNA(VLOOKUP($A583,Dormant_Councils!$A$1:$E$811,5,0)),"No",VLOOKUP($A583,Dormant_Councils!$A$1:$E$811,5,0))</f>
        <v>No</v>
      </c>
      <c r="Z583" s="381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22" t="str">
        <f>Councils!C587</f>
        <v>149</v>
      </c>
      <c r="C584" s="322" t="str">
        <f>Councils!D587</f>
        <v>Round Rock</v>
      </c>
      <c r="D584" s="322" t="str">
        <f>IF(ISNA(VLOOKUP($V584,DD_Info!$A$1:$E$221,3,0)),0,VLOOKUP($V584,DD_Info!$A$1:$E$221,3,0))</f>
        <v>Austin</v>
      </c>
      <c r="E584" s="322">
        <f>Councils!E587</f>
        <v>214</v>
      </c>
      <c r="F584" s="322">
        <f>Councils!F587</f>
        <v>10</v>
      </c>
      <c r="G584" s="322">
        <f>Councils!G587</f>
        <v>0</v>
      </c>
      <c r="H584" s="322">
        <f>Councils!H587</f>
        <v>0</v>
      </c>
      <c r="I584" s="322">
        <f>Councils!I587</f>
        <v>0</v>
      </c>
      <c r="J584" s="322">
        <f>Councils!J587</f>
        <v>2</v>
      </c>
      <c r="K584" s="322">
        <f>Councils!K587</f>
        <v>0</v>
      </c>
      <c r="L584" s="322">
        <f>Councils!L587</f>
        <v>2</v>
      </c>
      <c r="M584" s="323">
        <f>Councils!M587</f>
        <v>20</v>
      </c>
      <c r="N584" s="322">
        <f>Councils!O587</f>
        <v>0</v>
      </c>
      <c r="O584" s="322">
        <f>Councils!P587</f>
        <v>0</v>
      </c>
      <c r="P584" s="322">
        <f>Councils!Q587</f>
        <v>0</v>
      </c>
      <c r="Q584" s="322">
        <f>Councils!R587</f>
        <v>0</v>
      </c>
      <c r="R584" s="322">
        <f>Councils!S587</f>
        <v>1</v>
      </c>
      <c r="S584" s="322">
        <f>Councils!T587</f>
        <v>0</v>
      </c>
      <c r="T584" s="322">
        <f>Councils!U587</f>
        <v>1</v>
      </c>
      <c r="U584" s="323">
        <f>Councils!V587</f>
        <v>0</v>
      </c>
      <c r="V584" s="376">
        <v>149</v>
      </c>
      <c r="W584" s="377">
        <f t="shared" si="9"/>
        <v>1</v>
      </c>
      <c r="X584" s="378" t="str">
        <f>IF(ISNA(VLOOKUP($A584,GA!$A$1:$D$834,3,0))," ",VLOOKUP($A584,GA!$A$1:$D$834,3,0))</f>
        <v>Rangel</v>
      </c>
      <c r="Y584" s="379" t="str">
        <f>IF(ISNA(VLOOKUP($A584,Dormant_Councils!$A$1:$E$811,5,0)),"No",VLOOKUP($A584,Dormant_Councils!$A$1:$E$811,5,0))</f>
        <v>No</v>
      </c>
      <c r="Z584" s="381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22" t="str">
        <f>Councils!C588</f>
        <v>114</v>
      </c>
      <c r="C585" s="322" t="str">
        <f>Councils!D588</f>
        <v>Mckinney</v>
      </c>
      <c r="D585" s="322" t="str">
        <f>IF(ISNA(VLOOKUP($V585,DD_Info!$A$1:$E$221,3,0)),0,VLOOKUP($V585,DD_Info!$A$1:$E$221,3,0))</f>
        <v>Dallas</v>
      </c>
      <c r="E585" s="322">
        <f>Councils!E588</f>
        <v>324</v>
      </c>
      <c r="F585" s="322">
        <f>Councils!F588</f>
        <v>16</v>
      </c>
      <c r="G585" s="322">
        <f>Councils!G588</f>
        <v>2</v>
      </c>
      <c r="H585" s="322">
        <f>Councils!H588</f>
        <v>0</v>
      </c>
      <c r="I585" s="322">
        <f>Councils!I588</f>
        <v>2</v>
      </c>
      <c r="J585" s="322">
        <f>Councils!J588</f>
        <v>2</v>
      </c>
      <c r="K585" s="322">
        <f>Councils!K588</f>
        <v>1</v>
      </c>
      <c r="L585" s="322">
        <f>Councils!L588</f>
        <v>1</v>
      </c>
      <c r="M585" s="323">
        <f>Councils!M588</f>
        <v>6.25</v>
      </c>
      <c r="N585" s="322">
        <f>Councils!O588</f>
        <v>0</v>
      </c>
      <c r="O585" s="322">
        <f>Councils!P588</f>
        <v>1</v>
      </c>
      <c r="P585" s="322">
        <f>Councils!Q588</f>
        <v>1</v>
      </c>
      <c r="Q585" s="322">
        <f>Councils!R588</f>
        <v>0</v>
      </c>
      <c r="R585" s="322">
        <f>Councils!S588</f>
        <v>2</v>
      </c>
      <c r="S585" s="322">
        <f>Councils!T588</f>
        <v>3</v>
      </c>
      <c r="T585" s="322">
        <f>Councils!U588</f>
        <v>-1</v>
      </c>
      <c r="U585" s="323">
        <f>Councils!V588</f>
        <v>0</v>
      </c>
      <c r="V585" s="376">
        <v>114</v>
      </c>
      <c r="W585" s="377">
        <f t="shared" si="9"/>
        <v>1</v>
      </c>
      <c r="X585" s="378" t="str">
        <f>IF(ISNA(VLOOKUP($A585,GA!$A$1:$D$834,3,0))," ",VLOOKUP($A585,GA!$A$1:$D$834,3,0))</f>
        <v>Regan</v>
      </c>
      <c r="Y585" s="379" t="str">
        <f>IF(ISNA(VLOOKUP($A585,Dormant_Councils!$A$1:$E$811,5,0)),"No",VLOOKUP($A585,Dormant_Councils!$A$1:$E$811,5,0))</f>
        <v>No</v>
      </c>
      <c r="Z585" s="381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22" t="str">
        <f>Councils!C589</f>
        <v>008</v>
      </c>
      <c r="C586" s="322" t="str">
        <f>Councils!D589</f>
        <v>El Paso</v>
      </c>
      <c r="D586" s="322" t="str">
        <f>IF(ISNA(VLOOKUP($V586,DD_Info!$A$1:$E$221,3,0)),0,VLOOKUP($V586,DD_Info!$A$1:$E$221,3,0))</f>
        <v>El Paso</v>
      </c>
      <c r="E586" s="322">
        <f>Councils!E589</f>
        <v>138</v>
      </c>
      <c r="F586" s="322">
        <f>Councils!F589</f>
        <v>6</v>
      </c>
      <c r="G586" s="322">
        <f>Councils!G589</f>
        <v>0</v>
      </c>
      <c r="H586" s="322">
        <f>Councils!H589</f>
        <v>0</v>
      </c>
      <c r="I586" s="322">
        <f>Councils!I589</f>
        <v>0</v>
      </c>
      <c r="J586" s="322">
        <f>Councils!J589</f>
        <v>1</v>
      </c>
      <c r="K586" s="322">
        <f>Councils!K589</f>
        <v>0</v>
      </c>
      <c r="L586" s="322">
        <f>Councils!L589</f>
        <v>1</v>
      </c>
      <c r="M586" s="323">
        <f>Councils!M589</f>
        <v>16.670000000000002</v>
      </c>
      <c r="N586" s="322">
        <f>Councils!O589</f>
        <v>0</v>
      </c>
      <c r="O586" s="322">
        <f>Councils!P589</f>
        <v>0</v>
      </c>
      <c r="P586" s="322">
        <f>Councils!Q589</f>
        <v>1</v>
      </c>
      <c r="Q586" s="322">
        <f>Councils!R589</f>
        <v>-1</v>
      </c>
      <c r="R586" s="322">
        <f>Councils!S589</f>
        <v>0</v>
      </c>
      <c r="S586" s="322">
        <f>Councils!T589</f>
        <v>1</v>
      </c>
      <c r="T586" s="322">
        <f>Councils!U589</f>
        <v>-1</v>
      </c>
      <c r="U586" s="323">
        <f>Councils!V589</f>
        <v>0</v>
      </c>
      <c r="V586" s="376">
        <v>8</v>
      </c>
      <c r="W586" s="377">
        <f t="shared" si="9"/>
        <v>2</v>
      </c>
      <c r="X586" s="378" t="str">
        <f>IF(ISNA(VLOOKUP($A586,GA!$A$1:$D$834,3,0))," ",VLOOKUP($A586,GA!$A$1:$D$834,3,0))</f>
        <v>Payne</v>
      </c>
      <c r="Y586" s="379" t="str">
        <f>IF(ISNA(VLOOKUP($A586,Dormant_Councils!$A$1:$E$811,5,0)),"No",VLOOKUP($A586,Dormant_Councils!$A$1:$E$811,5,0))</f>
        <v>No</v>
      </c>
      <c r="Z586" s="381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22" t="str">
        <f>Councils!C590</f>
        <v>046</v>
      </c>
      <c r="C587" s="322" t="str">
        <f>Councils!D590</f>
        <v>La Vernia</v>
      </c>
      <c r="D587" s="322" t="str">
        <f>IF(ISNA(VLOOKUP($V587,DD_Info!$A$1:$E$221,3,0)),0,VLOOKUP($V587,DD_Info!$A$1:$E$221,3,0))</f>
        <v>San Antonio</v>
      </c>
      <c r="E587" s="322">
        <f>Councils!E590</f>
        <v>145</v>
      </c>
      <c r="F587" s="322">
        <f>Councils!F590</f>
        <v>7</v>
      </c>
      <c r="G587" s="322">
        <f>Councils!G590</f>
        <v>0</v>
      </c>
      <c r="H587" s="322">
        <f>Councils!H590</f>
        <v>0</v>
      </c>
      <c r="I587" s="322">
        <f>Councils!I590</f>
        <v>0</v>
      </c>
      <c r="J587" s="322">
        <f>Councils!J590</f>
        <v>0</v>
      </c>
      <c r="K587" s="322">
        <f>Councils!K590</f>
        <v>0</v>
      </c>
      <c r="L587" s="322">
        <f>Councils!L590</f>
        <v>0</v>
      </c>
      <c r="M587" s="323">
        <f>Councils!M590</f>
        <v>0</v>
      </c>
      <c r="N587" s="322">
        <f>Councils!O590</f>
        <v>0</v>
      </c>
      <c r="O587" s="322">
        <f>Councils!P590</f>
        <v>0</v>
      </c>
      <c r="P587" s="322">
        <f>Councils!Q590</f>
        <v>1</v>
      </c>
      <c r="Q587" s="322">
        <f>Councils!R590</f>
        <v>-1</v>
      </c>
      <c r="R587" s="322">
        <f>Councils!S590</f>
        <v>0</v>
      </c>
      <c r="S587" s="322">
        <f>Councils!T590</f>
        <v>1</v>
      </c>
      <c r="T587" s="322">
        <f>Councils!U590</f>
        <v>-1</v>
      </c>
      <c r="U587" s="323">
        <f>Councils!V590</f>
        <v>0</v>
      </c>
      <c r="V587" s="376">
        <v>46</v>
      </c>
      <c r="W587" s="377">
        <f t="shared" si="9"/>
        <v>1</v>
      </c>
      <c r="X587" s="378" t="str">
        <f>IF(ISNA(VLOOKUP($A587,GA!$A$1:$D$834,3,0))," ",VLOOKUP($A587,GA!$A$1:$D$834,3,0))</f>
        <v>Dougherty</v>
      </c>
      <c r="Y587" s="379" t="str">
        <f>IF(ISNA(VLOOKUP($A587,Dormant_Councils!$A$1:$E$811,5,0)),"No",VLOOKUP($A587,Dormant_Councils!$A$1:$E$811,5,0))</f>
        <v>No</v>
      </c>
      <c r="Z587" s="381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22" t="str">
        <f>Councils!C591</f>
        <v>218</v>
      </c>
      <c r="C588" s="322" t="str">
        <f>Councils!D591</f>
        <v>Mcallen</v>
      </c>
      <c r="D588" s="322" t="str">
        <f>IF(ISNA(VLOOKUP($V588,DD_Info!$A$1:$E$221,3,0)),0,VLOOKUP($V588,DD_Info!$A$1:$E$221,3,0))</f>
        <v>Brownsville</v>
      </c>
      <c r="E588" s="322">
        <f>Councils!E591</f>
        <v>88</v>
      </c>
      <c r="F588" s="322">
        <f>Councils!F591</f>
        <v>4</v>
      </c>
      <c r="G588" s="322">
        <f>Councils!G591</f>
        <v>0</v>
      </c>
      <c r="H588" s="322">
        <f>Councils!H591</f>
        <v>0</v>
      </c>
      <c r="I588" s="322">
        <f>Councils!I591</f>
        <v>0</v>
      </c>
      <c r="J588" s="322">
        <f>Councils!J591</f>
        <v>0</v>
      </c>
      <c r="K588" s="322">
        <f>Councils!K591</f>
        <v>0</v>
      </c>
      <c r="L588" s="322">
        <f>Councils!L591</f>
        <v>0</v>
      </c>
      <c r="M588" s="323">
        <f>Councils!M591</f>
        <v>0</v>
      </c>
      <c r="N588" s="322">
        <f>Councils!O591</f>
        <v>0</v>
      </c>
      <c r="O588" s="322">
        <f>Councils!P591</f>
        <v>0</v>
      </c>
      <c r="P588" s="322">
        <f>Councils!Q591</f>
        <v>1</v>
      </c>
      <c r="Q588" s="322">
        <f>Councils!R591</f>
        <v>-1</v>
      </c>
      <c r="R588" s="322">
        <f>Councils!S591</f>
        <v>0</v>
      </c>
      <c r="S588" s="322">
        <f>Councils!T591</f>
        <v>1</v>
      </c>
      <c r="T588" s="322">
        <f>Councils!U591</f>
        <v>-1</v>
      </c>
      <c r="U588" s="323">
        <f>Councils!V591</f>
        <v>0</v>
      </c>
      <c r="V588" s="376">
        <v>218</v>
      </c>
      <c r="W588" s="377">
        <f t="shared" si="9"/>
        <v>2</v>
      </c>
      <c r="X588" s="378" t="str">
        <f>IF(ISNA(VLOOKUP($A588,GA!$A$1:$D$834,3,0))," ",VLOOKUP($A588,GA!$A$1:$D$834,3,0))</f>
        <v>Carlin</v>
      </c>
      <c r="Y588" s="379" t="str">
        <f>IF(ISNA(VLOOKUP($A588,Dormant_Councils!$A$1:$E$811,5,0)),"No",VLOOKUP($A588,Dormant_Councils!$A$1:$E$811,5,0))</f>
        <v>Dormant</v>
      </c>
      <c r="Z588" s="381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22" t="str">
        <f>Councils!C592</f>
        <v>Unassigned</v>
      </c>
      <c r="C589" s="322" t="str">
        <f>Councils!D592</f>
        <v>Gilmer</v>
      </c>
      <c r="D589" s="322">
        <f>IF(ISNA(VLOOKUP($V589,DD_Info!$A$1:$E$221,3,0)),0,VLOOKUP($V589,DD_Info!$A$1:$E$221,3,0))</f>
        <v>0</v>
      </c>
      <c r="E589" s="322">
        <f>Councils!E592</f>
        <v>0</v>
      </c>
      <c r="F589" s="322">
        <f>Councils!F592</f>
        <v>0</v>
      </c>
      <c r="G589" s="322">
        <f>Councils!G592</f>
        <v>0</v>
      </c>
      <c r="H589" s="322">
        <f>Councils!H592</f>
        <v>0</v>
      </c>
      <c r="I589" s="322">
        <f>Councils!I592</f>
        <v>0</v>
      </c>
      <c r="J589" s="322">
        <f>Councils!J592</f>
        <v>0</v>
      </c>
      <c r="K589" s="322">
        <f>Councils!K592</f>
        <v>0</v>
      </c>
      <c r="L589" s="322">
        <f>Councils!L592</f>
        <v>0</v>
      </c>
      <c r="M589" s="323">
        <f>Councils!M592</f>
        <v>0</v>
      </c>
      <c r="N589" s="322">
        <f>Councils!O592</f>
        <v>0</v>
      </c>
      <c r="O589" s="322">
        <f>Councils!P592</f>
        <v>0</v>
      </c>
      <c r="P589" s="322">
        <f>Councils!Q592</f>
        <v>0</v>
      </c>
      <c r="Q589" s="322">
        <f>Councils!R592</f>
        <v>0</v>
      </c>
      <c r="R589" s="322">
        <f>Councils!S592</f>
        <v>0</v>
      </c>
      <c r="S589" s="322">
        <f>Councils!T592</f>
        <v>0</v>
      </c>
      <c r="T589" s="322">
        <f>Councils!U592</f>
        <v>0</v>
      </c>
      <c r="U589" s="323">
        <f>Councils!V592</f>
        <v>0</v>
      </c>
      <c r="V589" s="45" t="s">
        <v>93</v>
      </c>
      <c r="W589" s="377">
        <f t="shared" si="9"/>
        <v>3</v>
      </c>
      <c r="X589" s="378" t="str">
        <f>IF(ISNA(VLOOKUP($A589,GA!$A$1:$D$834,3,0))," ",VLOOKUP($A589,GA!$A$1:$D$834,3,0))</f>
        <v>Regan</v>
      </c>
      <c r="Y589" s="379" t="str">
        <f>IF(ISNA(VLOOKUP($A589,Dormant_Councils!$A$1:$E$811,5,0)),"No",VLOOKUP($A589,Dormant_Councils!$A$1:$E$811,5,0))</f>
        <v>No</v>
      </c>
      <c r="Z589" s="381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22" t="str">
        <f>Councils!C593</f>
        <v>131</v>
      </c>
      <c r="C590" s="322" t="str">
        <f>Councils!D593</f>
        <v>Malakoff</v>
      </c>
      <c r="D590" s="322" t="str">
        <f>IF(ISNA(VLOOKUP($V590,DD_Info!$A$1:$E$221,3,0)),0,VLOOKUP($V590,DD_Info!$A$1:$E$221,3,0))</f>
        <v>Tyler</v>
      </c>
      <c r="E590" s="322">
        <f>Councils!E593</f>
        <v>46</v>
      </c>
      <c r="F590" s="322">
        <f>Councils!F593</f>
        <v>3</v>
      </c>
      <c r="G590" s="322">
        <f>Councils!G593</f>
        <v>0</v>
      </c>
      <c r="H590" s="322">
        <f>Councils!H593</f>
        <v>0</v>
      </c>
      <c r="I590" s="322">
        <f>Councils!I593</f>
        <v>0</v>
      </c>
      <c r="J590" s="322">
        <f>Councils!J593</f>
        <v>1</v>
      </c>
      <c r="K590" s="322">
        <f>Councils!K593</f>
        <v>0</v>
      </c>
      <c r="L590" s="322">
        <f>Councils!L593</f>
        <v>1</v>
      </c>
      <c r="M590" s="323">
        <f>Councils!M593</f>
        <v>33.33</v>
      </c>
      <c r="N590" s="322">
        <f>Councils!O593</f>
        <v>0</v>
      </c>
      <c r="O590" s="322">
        <f>Councils!P593</f>
        <v>0</v>
      </c>
      <c r="P590" s="322">
        <f>Councils!Q593</f>
        <v>0</v>
      </c>
      <c r="Q590" s="322">
        <f>Councils!R593</f>
        <v>0</v>
      </c>
      <c r="R590" s="322">
        <f>Councils!S593</f>
        <v>1</v>
      </c>
      <c r="S590" s="322">
        <f>Councils!T593</f>
        <v>0</v>
      </c>
      <c r="T590" s="322">
        <f>Councils!U593</f>
        <v>1</v>
      </c>
      <c r="U590" s="323">
        <f>Councils!V593</f>
        <v>0</v>
      </c>
      <c r="V590" s="376">
        <v>131</v>
      </c>
      <c r="W590" s="377">
        <f t="shared" si="9"/>
        <v>3</v>
      </c>
      <c r="X590" s="378" t="str">
        <f>IF(ISNA(VLOOKUP($A590,GA!$A$1:$D$834,3,0))," ",VLOOKUP($A590,GA!$A$1:$D$834,3,0))</f>
        <v>Regan</v>
      </c>
      <c r="Y590" s="379" t="str">
        <f>IF(ISNA(VLOOKUP($A590,Dormant_Councils!$A$1:$E$811,5,0)),"No",VLOOKUP($A590,Dormant_Councils!$A$1:$E$811,5,0))</f>
        <v>No</v>
      </c>
      <c r="Z590" s="381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22" t="str">
        <f>Councils!C594</f>
        <v>247</v>
      </c>
      <c r="C591" s="322" t="str">
        <f>Councils!D594</f>
        <v>Brownfield</v>
      </c>
      <c r="D591" s="322" t="str">
        <f>IF(ISNA(VLOOKUP($V591,DD_Info!$A$1:$E$221,3,0)),0,VLOOKUP($V591,DD_Info!$A$1:$E$221,3,0))</f>
        <v>Lubbock</v>
      </c>
      <c r="E591" s="322">
        <f>Councils!E594</f>
        <v>63</v>
      </c>
      <c r="F591" s="322">
        <f>Councils!F594</f>
        <v>3</v>
      </c>
      <c r="G591" s="322">
        <f>Councils!G594</f>
        <v>0</v>
      </c>
      <c r="H591" s="322">
        <f>Councils!H594</f>
        <v>0</v>
      </c>
      <c r="I591" s="322">
        <f>Councils!I594</f>
        <v>0</v>
      </c>
      <c r="J591" s="322">
        <f>Councils!J594</f>
        <v>0</v>
      </c>
      <c r="K591" s="322">
        <f>Councils!K594</f>
        <v>0</v>
      </c>
      <c r="L591" s="322">
        <f>Councils!L594</f>
        <v>0</v>
      </c>
      <c r="M591" s="323">
        <f>Councils!M594</f>
        <v>0</v>
      </c>
      <c r="N591" s="322">
        <f>Councils!O594</f>
        <v>0</v>
      </c>
      <c r="O591" s="322">
        <f>Councils!P594</f>
        <v>1</v>
      </c>
      <c r="P591" s="322">
        <f>Councils!Q594</f>
        <v>0</v>
      </c>
      <c r="Q591" s="322">
        <f>Councils!R594</f>
        <v>1</v>
      </c>
      <c r="R591" s="322">
        <f>Councils!S594</f>
        <v>2</v>
      </c>
      <c r="S591" s="322">
        <f>Councils!T594</f>
        <v>0</v>
      </c>
      <c r="T591" s="322">
        <f>Councils!U594</f>
        <v>2</v>
      </c>
      <c r="U591" s="323">
        <f>Councils!V594</f>
        <v>0</v>
      </c>
      <c r="V591" s="376">
        <v>247</v>
      </c>
      <c r="W591" s="377">
        <f t="shared" si="9"/>
        <v>3</v>
      </c>
      <c r="X591" s="378" t="str">
        <f>IF(ISNA(VLOOKUP($A591,GA!$A$1:$D$834,3,0))," ",VLOOKUP($A591,GA!$A$1:$D$834,3,0))</f>
        <v>Payne</v>
      </c>
      <c r="Y591" s="379" t="str">
        <f>IF(ISNA(VLOOKUP($A591,Dormant_Councils!$A$1:$E$811,5,0)),"No",VLOOKUP($A591,Dormant_Councils!$A$1:$E$811,5,0))</f>
        <v>No</v>
      </c>
      <c r="Z591" s="381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22" t="str">
        <f>Councils!C595</f>
        <v>110</v>
      </c>
      <c r="C592" s="322" t="str">
        <f>Councils!D595</f>
        <v>Wylie</v>
      </c>
      <c r="D592" s="322" t="str">
        <f>IF(ISNA(VLOOKUP($V592,DD_Info!$A$1:$E$221,3,0)),0,VLOOKUP($V592,DD_Info!$A$1:$E$221,3,0))</f>
        <v>Dallas</v>
      </c>
      <c r="E592" s="322">
        <f>Councils!E595</f>
        <v>258</v>
      </c>
      <c r="F592" s="322">
        <f>Councils!F595</f>
        <v>12</v>
      </c>
      <c r="G592" s="322">
        <f>Councils!G595</f>
        <v>0</v>
      </c>
      <c r="H592" s="322">
        <f>Councils!H595</f>
        <v>0</v>
      </c>
      <c r="I592" s="322">
        <f>Councils!I595</f>
        <v>0</v>
      </c>
      <c r="J592" s="322">
        <f>Councils!J595</f>
        <v>1</v>
      </c>
      <c r="K592" s="322">
        <f>Councils!K595</f>
        <v>0</v>
      </c>
      <c r="L592" s="322">
        <f>Councils!L595</f>
        <v>1</v>
      </c>
      <c r="M592" s="323">
        <f>Councils!M595</f>
        <v>8.33</v>
      </c>
      <c r="N592" s="322">
        <f>Councils!O595</f>
        <v>0</v>
      </c>
      <c r="O592" s="322">
        <f>Councils!P595</f>
        <v>0</v>
      </c>
      <c r="P592" s="322">
        <f>Councils!Q595</f>
        <v>1</v>
      </c>
      <c r="Q592" s="322">
        <f>Councils!R595</f>
        <v>-1</v>
      </c>
      <c r="R592" s="322">
        <f>Councils!S595</f>
        <v>1</v>
      </c>
      <c r="S592" s="322">
        <f>Councils!T595</f>
        <v>1</v>
      </c>
      <c r="T592" s="322">
        <f>Councils!U595</f>
        <v>0</v>
      </c>
      <c r="U592" s="323">
        <f>Councils!V595</f>
        <v>0</v>
      </c>
      <c r="V592" s="376">
        <v>110</v>
      </c>
      <c r="W592" s="377">
        <f t="shared" si="9"/>
        <v>1</v>
      </c>
      <c r="X592" s="378" t="str">
        <f>IF(ISNA(VLOOKUP($A592,GA!$A$1:$D$834,3,0))," ",VLOOKUP($A592,GA!$A$1:$D$834,3,0))</f>
        <v>Regan</v>
      </c>
      <c r="Y592" s="379" t="str">
        <f>IF(ISNA(VLOOKUP($A592,Dormant_Councils!$A$1:$E$811,5,0)),"No",VLOOKUP($A592,Dormant_Councils!$A$1:$E$811,5,0))</f>
        <v>No</v>
      </c>
      <c r="Z592" s="381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22" t="str">
        <f>Councils!C596</f>
        <v>092</v>
      </c>
      <c r="C593" s="322" t="str">
        <f>Councils!D596</f>
        <v>Kingwood</v>
      </c>
      <c r="D593" s="322" t="str">
        <f>IF(ISNA(VLOOKUP($V593,DD_Info!$A$1:$E$221,3,0)),0,VLOOKUP($V593,DD_Info!$A$1:$E$221,3,0))</f>
        <v>Galv/Hous</v>
      </c>
      <c r="E593" s="322">
        <f>Councils!E596</f>
        <v>331</v>
      </c>
      <c r="F593" s="322">
        <f>Councils!F596</f>
        <v>16</v>
      </c>
      <c r="G593" s="322">
        <f>Councils!G596</f>
        <v>1</v>
      </c>
      <c r="H593" s="322">
        <f>Councils!H596</f>
        <v>0</v>
      </c>
      <c r="I593" s="322">
        <f>Councils!I596</f>
        <v>1</v>
      </c>
      <c r="J593" s="322">
        <f>Councils!J596</f>
        <v>8</v>
      </c>
      <c r="K593" s="322">
        <f>Councils!K596</f>
        <v>0</v>
      </c>
      <c r="L593" s="322">
        <f>Councils!L596</f>
        <v>8</v>
      </c>
      <c r="M593" s="323">
        <f>Councils!M596</f>
        <v>50</v>
      </c>
      <c r="N593" s="322">
        <f>Councils!O596</f>
        <v>0</v>
      </c>
      <c r="O593" s="322">
        <f>Councils!P596</f>
        <v>0</v>
      </c>
      <c r="P593" s="322">
        <f>Councils!Q596</f>
        <v>0</v>
      </c>
      <c r="Q593" s="322">
        <f>Councils!R596</f>
        <v>0</v>
      </c>
      <c r="R593" s="322">
        <f>Councils!S596</f>
        <v>0</v>
      </c>
      <c r="S593" s="322">
        <f>Councils!T596</f>
        <v>0</v>
      </c>
      <c r="T593" s="322">
        <f>Councils!U596</f>
        <v>0</v>
      </c>
      <c r="U593" s="323">
        <f>Councils!V596</f>
        <v>0</v>
      </c>
      <c r="V593" s="376">
        <v>92</v>
      </c>
      <c r="W593" s="377">
        <f t="shared" si="9"/>
        <v>1</v>
      </c>
      <c r="X593" s="378" t="str">
        <f>IF(ISNA(VLOOKUP($A593,GA!$A$1:$D$834,3,0))," ",VLOOKUP($A593,GA!$A$1:$D$834,3,0))</f>
        <v>Rangel</v>
      </c>
      <c r="Y593" s="379" t="str">
        <f>IF(ISNA(VLOOKUP($A593,Dormant_Councils!$A$1:$E$811,5,0)),"No",VLOOKUP($A593,Dormant_Councils!$A$1:$E$811,5,0))</f>
        <v>No</v>
      </c>
      <c r="Z593" s="381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22" t="str">
        <f>Councils!C597</f>
        <v>094</v>
      </c>
      <c r="C594" s="322" t="str">
        <f>Councils!D597</f>
        <v>The Woodlands</v>
      </c>
      <c r="D594" s="322" t="str">
        <f>IF(ISNA(VLOOKUP($V594,DD_Info!$A$1:$E$221,3,0)),0,VLOOKUP($V594,DD_Info!$A$1:$E$221,3,0))</f>
        <v>Galv/Hous</v>
      </c>
      <c r="E594" s="322">
        <f>Councils!E597</f>
        <v>331</v>
      </c>
      <c r="F594" s="322">
        <f>Councils!F597</f>
        <v>15</v>
      </c>
      <c r="G594" s="322">
        <f>Councils!G597</f>
        <v>0</v>
      </c>
      <c r="H594" s="322">
        <f>Councils!H597</f>
        <v>0</v>
      </c>
      <c r="I594" s="322">
        <f>Councils!I597</f>
        <v>0</v>
      </c>
      <c r="J594" s="322">
        <f>Councils!J597</f>
        <v>3</v>
      </c>
      <c r="K594" s="322">
        <f>Councils!K597</f>
        <v>0</v>
      </c>
      <c r="L594" s="322">
        <f>Councils!L597</f>
        <v>3</v>
      </c>
      <c r="M594" s="323">
        <f>Councils!M597</f>
        <v>20</v>
      </c>
      <c r="N594" s="322">
        <f>Councils!O597</f>
        <v>0</v>
      </c>
      <c r="O594" s="322">
        <f>Councils!P597</f>
        <v>0</v>
      </c>
      <c r="P594" s="322">
        <f>Councils!Q597</f>
        <v>2</v>
      </c>
      <c r="Q594" s="322">
        <f>Councils!R597</f>
        <v>-2</v>
      </c>
      <c r="R594" s="322">
        <f>Councils!S597</f>
        <v>2</v>
      </c>
      <c r="S594" s="322">
        <f>Councils!T597</f>
        <v>3</v>
      </c>
      <c r="T594" s="322">
        <f>Councils!U597</f>
        <v>-1</v>
      </c>
      <c r="U594" s="323">
        <f>Councils!V597</f>
        <v>0</v>
      </c>
      <c r="V594" s="376">
        <v>94</v>
      </c>
      <c r="W594" s="377">
        <f t="shared" si="9"/>
        <v>1</v>
      </c>
      <c r="X594" s="378" t="str">
        <f>IF(ISNA(VLOOKUP($A594,GA!$A$1:$D$834,3,0))," ",VLOOKUP($A594,GA!$A$1:$D$834,3,0))</f>
        <v>Rangel</v>
      </c>
      <c r="Y594" s="379" t="str">
        <f>IF(ISNA(VLOOKUP($A594,Dormant_Councils!$A$1:$E$811,5,0)),"No",VLOOKUP($A594,Dormant_Councils!$A$1:$E$811,5,0))</f>
        <v>No</v>
      </c>
      <c r="Z594" s="381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22" t="str">
        <f>Councils!C598</f>
        <v>216</v>
      </c>
      <c r="C595" s="322" t="str">
        <f>Councils!D598</f>
        <v>Harlingen</v>
      </c>
      <c r="D595" s="322" t="str">
        <f>IF(ISNA(VLOOKUP($V595,DD_Info!$A$1:$E$221,3,0)),0,VLOOKUP($V595,DD_Info!$A$1:$E$221,3,0))</f>
        <v>Brownsville</v>
      </c>
      <c r="E595" s="322">
        <f>Councils!E598</f>
        <v>34</v>
      </c>
      <c r="F595" s="322">
        <f>Councils!F598</f>
        <v>3</v>
      </c>
      <c r="G595" s="322">
        <f>Councils!G598</f>
        <v>0</v>
      </c>
      <c r="H595" s="322">
        <f>Councils!H598</f>
        <v>0</v>
      </c>
      <c r="I595" s="322">
        <f>Councils!I598</f>
        <v>0</v>
      </c>
      <c r="J595" s="322">
        <f>Councils!J598</f>
        <v>1</v>
      </c>
      <c r="K595" s="322">
        <f>Councils!K598</f>
        <v>0</v>
      </c>
      <c r="L595" s="322">
        <f>Councils!L598</f>
        <v>1</v>
      </c>
      <c r="M595" s="323">
        <f>Councils!M598</f>
        <v>33.33</v>
      </c>
      <c r="N595" s="322">
        <f>Councils!O598</f>
        <v>0</v>
      </c>
      <c r="O595" s="322">
        <f>Councils!P598</f>
        <v>0</v>
      </c>
      <c r="P595" s="322">
        <f>Councils!Q598</f>
        <v>0</v>
      </c>
      <c r="Q595" s="322">
        <f>Councils!R598</f>
        <v>0</v>
      </c>
      <c r="R595" s="322">
        <f>Councils!S598</f>
        <v>1</v>
      </c>
      <c r="S595" s="322">
        <f>Councils!T598</f>
        <v>0</v>
      </c>
      <c r="T595" s="322">
        <f>Councils!U598</f>
        <v>1</v>
      </c>
      <c r="U595" s="323">
        <f>Councils!V598</f>
        <v>0</v>
      </c>
      <c r="V595" s="376">
        <v>216</v>
      </c>
      <c r="W595" s="377">
        <f t="shared" si="9"/>
        <v>3</v>
      </c>
      <c r="X595" s="378" t="str">
        <f>IF(ISNA(VLOOKUP($A595,GA!$A$1:$D$834,3,0))," ",VLOOKUP($A595,GA!$A$1:$D$834,3,0))</f>
        <v>Carlin</v>
      </c>
      <c r="Y595" s="379" t="str">
        <f>IF(ISNA(VLOOKUP($A595,Dormant_Councils!$A$1:$E$811,5,0)),"No",VLOOKUP($A595,Dormant_Councils!$A$1:$E$811,5,0))</f>
        <v>No</v>
      </c>
      <c r="Z595" s="381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22" t="str">
        <f>Councils!C599</f>
        <v>002</v>
      </c>
      <c r="C596" s="322" t="str">
        <f>Councils!D599</f>
        <v>El Paso</v>
      </c>
      <c r="D596" s="322" t="str">
        <f>IF(ISNA(VLOOKUP($V596,DD_Info!$A$1:$E$221,3,0)),0,VLOOKUP($V596,DD_Info!$A$1:$E$221,3,0))</f>
        <v>El Paso</v>
      </c>
      <c r="E596" s="322">
        <f>Councils!E599</f>
        <v>173</v>
      </c>
      <c r="F596" s="322">
        <f>Councils!F599</f>
        <v>9</v>
      </c>
      <c r="G596" s="322">
        <f>Councils!G599</f>
        <v>0</v>
      </c>
      <c r="H596" s="322">
        <f>Councils!H599</f>
        <v>0</v>
      </c>
      <c r="I596" s="322">
        <f>Councils!I599</f>
        <v>0</v>
      </c>
      <c r="J596" s="322">
        <f>Councils!J599</f>
        <v>0</v>
      </c>
      <c r="K596" s="322">
        <f>Councils!K599</f>
        <v>0</v>
      </c>
      <c r="L596" s="322">
        <f>Councils!L599</f>
        <v>0</v>
      </c>
      <c r="M596" s="323">
        <f>Councils!M599</f>
        <v>0</v>
      </c>
      <c r="N596" s="322">
        <f>Councils!O599</f>
        <v>0</v>
      </c>
      <c r="O596" s="322">
        <f>Councils!P599</f>
        <v>0</v>
      </c>
      <c r="P596" s="322">
        <f>Councils!Q599</f>
        <v>0</v>
      </c>
      <c r="Q596" s="322">
        <f>Councils!R599</f>
        <v>0</v>
      </c>
      <c r="R596" s="322">
        <f>Councils!S599</f>
        <v>0</v>
      </c>
      <c r="S596" s="322">
        <f>Councils!T599</f>
        <v>0</v>
      </c>
      <c r="T596" s="322">
        <f>Councils!U599</f>
        <v>0</v>
      </c>
      <c r="U596" s="323">
        <f>Councils!V599</f>
        <v>0</v>
      </c>
      <c r="V596" s="376">
        <v>2</v>
      </c>
      <c r="W596" s="377">
        <f t="shared" si="9"/>
        <v>1</v>
      </c>
      <c r="X596" s="378" t="str">
        <f>IF(ISNA(VLOOKUP($A596,GA!$A$1:$D$834,3,0))," ",VLOOKUP($A596,GA!$A$1:$D$834,3,0))</f>
        <v>Payne</v>
      </c>
      <c r="Y596" s="379" t="str">
        <f>IF(ISNA(VLOOKUP($A596,Dormant_Councils!$A$1:$E$811,5,0)),"No",VLOOKUP($A596,Dormant_Councils!$A$1:$E$811,5,0))</f>
        <v>No</v>
      </c>
      <c r="Z596" s="381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22" t="str">
        <f>Councils!C600</f>
        <v>037</v>
      </c>
      <c r="C597" s="322" t="str">
        <f>Councils!D600</f>
        <v>Dilley</v>
      </c>
      <c r="D597" s="322" t="str">
        <f>IF(ISNA(VLOOKUP($V597,DD_Info!$A$1:$E$221,3,0)),0,VLOOKUP($V597,DD_Info!$A$1:$E$221,3,0))</f>
        <v>San Antonio</v>
      </c>
      <c r="E597" s="322">
        <f>Councils!E600</f>
        <v>76</v>
      </c>
      <c r="F597" s="322">
        <f>Councils!F600</f>
        <v>4</v>
      </c>
      <c r="G597" s="322">
        <f>Councils!G600</f>
        <v>0</v>
      </c>
      <c r="H597" s="322">
        <f>Councils!H600</f>
        <v>0</v>
      </c>
      <c r="I597" s="322">
        <f>Councils!I600</f>
        <v>0</v>
      </c>
      <c r="J597" s="322">
        <f>Councils!J600</f>
        <v>0</v>
      </c>
      <c r="K597" s="322">
        <f>Councils!K600</f>
        <v>0</v>
      </c>
      <c r="L597" s="322">
        <f>Councils!L600</f>
        <v>0</v>
      </c>
      <c r="M597" s="323">
        <f>Councils!M600</f>
        <v>0</v>
      </c>
      <c r="N597" s="322">
        <f>Councils!O600</f>
        <v>0</v>
      </c>
      <c r="O597" s="322">
        <f>Councils!P600</f>
        <v>0</v>
      </c>
      <c r="P597" s="322">
        <f>Councils!Q600</f>
        <v>0</v>
      </c>
      <c r="Q597" s="322">
        <f>Councils!R600</f>
        <v>0</v>
      </c>
      <c r="R597" s="322">
        <f>Councils!S600</f>
        <v>0</v>
      </c>
      <c r="S597" s="322">
        <f>Councils!T600</f>
        <v>0</v>
      </c>
      <c r="T597" s="322">
        <f>Councils!U600</f>
        <v>0</v>
      </c>
      <c r="U597" s="323">
        <f>Councils!V600</f>
        <v>0</v>
      </c>
      <c r="V597" s="376">
        <v>37</v>
      </c>
      <c r="W597" s="377">
        <f t="shared" si="9"/>
        <v>2</v>
      </c>
      <c r="X597" s="378" t="str">
        <f>IF(ISNA(VLOOKUP($A597,GA!$A$1:$D$834,3,0))," ",VLOOKUP($A597,GA!$A$1:$D$834,3,0))</f>
        <v>Dougherty</v>
      </c>
      <c r="Y597" s="379" t="str">
        <f>IF(ISNA(VLOOKUP($A597,Dormant_Councils!$A$1:$E$811,5,0)),"No",VLOOKUP($A597,Dormant_Councils!$A$1:$E$811,5,0))</f>
        <v>No</v>
      </c>
      <c r="Z597" s="381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22" t="str">
        <f>Councils!C601</f>
        <v>074</v>
      </c>
      <c r="C598" s="322" t="str">
        <f>Councils!D601</f>
        <v>Houston</v>
      </c>
      <c r="D598" s="322" t="str">
        <f>IF(ISNA(VLOOKUP($V598,DD_Info!$A$1:$E$221,3,0)),0,VLOOKUP($V598,DD_Info!$A$1:$E$221,3,0))</f>
        <v>Galv/Hous</v>
      </c>
      <c r="E598" s="322">
        <f>Councils!E601</f>
        <v>175</v>
      </c>
      <c r="F598" s="322">
        <f>Councils!F601</f>
        <v>9</v>
      </c>
      <c r="G598" s="322">
        <f>Councils!G601</f>
        <v>0</v>
      </c>
      <c r="H598" s="322">
        <f>Councils!H601</f>
        <v>0</v>
      </c>
      <c r="I598" s="322">
        <f>Councils!I601</f>
        <v>0</v>
      </c>
      <c r="J598" s="322">
        <f>Councils!J601</f>
        <v>2</v>
      </c>
      <c r="K598" s="322">
        <f>Councils!K601</f>
        <v>0</v>
      </c>
      <c r="L598" s="322">
        <f>Councils!L601</f>
        <v>2</v>
      </c>
      <c r="M598" s="323">
        <f>Councils!M601</f>
        <v>22.22</v>
      </c>
      <c r="N598" s="322">
        <f>Councils!O601</f>
        <v>0</v>
      </c>
      <c r="O598" s="322">
        <f>Councils!P601</f>
        <v>0</v>
      </c>
      <c r="P598" s="322">
        <f>Councils!Q601</f>
        <v>1</v>
      </c>
      <c r="Q598" s="322">
        <f>Councils!R601</f>
        <v>-1</v>
      </c>
      <c r="R598" s="322">
        <f>Councils!S601</f>
        <v>0</v>
      </c>
      <c r="S598" s="322">
        <f>Councils!T601</f>
        <v>1</v>
      </c>
      <c r="T598" s="322">
        <f>Councils!U601</f>
        <v>-1</v>
      </c>
      <c r="U598" s="323">
        <f>Councils!V601</f>
        <v>0</v>
      </c>
      <c r="V598" s="376">
        <v>74</v>
      </c>
      <c r="W598" s="377">
        <f t="shared" si="9"/>
        <v>1</v>
      </c>
      <c r="X598" s="378" t="str">
        <f>IF(ISNA(VLOOKUP($A598,GA!$A$1:$D$834,3,0))," ",VLOOKUP($A598,GA!$A$1:$D$834,3,0))</f>
        <v>Supak</v>
      </c>
      <c r="Y598" s="379" t="str">
        <f>IF(ISNA(VLOOKUP($A598,Dormant_Councils!$A$1:$E$811,5,0)),"No",VLOOKUP($A598,Dormant_Councils!$A$1:$E$811,5,0))</f>
        <v>No</v>
      </c>
      <c r="Z598" s="381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22" t="str">
        <f>Councils!C602</f>
        <v>155</v>
      </c>
      <c r="C599" s="322" t="str">
        <f>Councils!D602</f>
        <v>Austin</v>
      </c>
      <c r="D599" s="322" t="str">
        <f>IF(ISNA(VLOOKUP($V599,DD_Info!$A$1:$E$221,3,0)),0,VLOOKUP($V599,DD_Info!$A$1:$E$221,3,0))</f>
        <v>Austin</v>
      </c>
      <c r="E599" s="322">
        <f>Councils!E602</f>
        <v>29</v>
      </c>
      <c r="F599" s="322">
        <f>Councils!F602</f>
        <v>3</v>
      </c>
      <c r="G599" s="322">
        <f>Councils!G602</f>
        <v>0</v>
      </c>
      <c r="H599" s="322">
        <f>Councils!H602</f>
        <v>0</v>
      </c>
      <c r="I599" s="322">
        <f>Councils!I602</f>
        <v>0</v>
      </c>
      <c r="J599" s="322">
        <f>Councils!J602</f>
        <v>0</v>
      </c>
      <c r="K599" s="322">
        <f>Councils!K602</f>
        <v>0</v>
      </c>
      <c r="L599" s="322">
        <f>Councils!L602</f>
        <v>0</v>
      </c>
      <c r="M599" s="323">
        <f>Councils!M602</f>
        <v>0</v>
      </c>
      <c r="N599" s="322">
        <f>Councils!O602</f>
        <v>0</v>
      </c>
      <c r="O599" s="322">
        <f>Councils!P602</f>
        <v>0</v>
      </c>
      <c r="P599" s="322">
        <f>Councils!Q602</f>
        <v>0</v>
      </c>
      <c r="Q599" s="322">
        <f>Councils!R602</f>
        <v>0</v>
      </c>
      <c r="R599" s="322">
        <f>Councils!S602</f>
        <v>0</v>
      </c>
      <c r="S599" s="322">
        <f>Councils!T602</f>
        <v>0</v>
      </c>
      <c r="T599" s="322">
        <f>Councils!U602</f>
        <v>0</v>
      </c>
      <c r="U599" s="323">
        <f>Councils!V602</f>
        <v>0</v>
      </c>
      <c r="V599" s="376">
        <v>155</v>
      </c>
      <c r="W599" s="377">
        <f t="shared" si="9"/>
        <v>3</v>
      </c>
      <c r="X599" s="378" t="str">
        <f>IF(ISNA(VLOOKUP($A599,GA!$A$1:$D$834,3,0))," ",VLOOKUP($A599,GA!$A$1:$D$834,3,0))</f>
        <v>Britten</v>
      </c>
      <c r="Y599" s="379" t="str">
        <f>IF(ISNA(VLOOKUP($A599,Dormant_Councils!$A$1:$E$811,5,0)),"No",VLOOKUP($A599,Dormant_Councils!$A$1:$E$811,5,0))</f>
        <v>No</v>
      </c>
      <c r="Z599" s="381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22" t="str">
        <f>Councils!C603</f>
        <v>Unassigned</v>
      </c>
      <c r="C600" s="322" t="str">
        <f>Councils!D603</f>
        <v>Fort Worth</v>
      </c>
      <c r="D600" s="322">
        <f>IF(ISNA(VLOOKUP($V600,DD_Info!$A$1:$E$221,3,0)),0,VLOOKUP($V600,DD_Info!$A$1:$E$221,3,0))</f>
        <v>0</v>
      </c>
      <c r="E600" s="322">
        <f>Councils!E603</f>
        <v>0</v>
      </c>
      <c r="F600" s="322">
        <f>Councils!F603</f>
        <v>0</v>
      </c>
      <c r="G600" s="322">
        <f>Councils!G603</f>
        <v>0</v>
      </c>
      <c r="H600" s="322">
        <f>Councils!H603</f>
        <v>0</v>
      </c>
      <c r="I600" s="322">
        <f>Councils!I603</f>
        <v>0</v>
      </c>
      <c r="J600" s="322">
        <f>Councils!J603</f>
        <v>0</v>
      </c>
      <c r="K600" s="322">
        <f>Councils!K603</f>
        <v>0</v>
      </c>
      <c r="L600" s="322">
        <f>Councils!L603</f>
        <v>0</v>
      </c>
      <c r="M600" s="323">
        <f>Councils!M603</f>
        <v>0</v>
      </c>
      <c r="N600" s="322">
        <f>Councils!O603</f>
        <v>0</v>
      </c>
      <c r="O600" s="322">
        <f>Councils!P603</f>
        <v>0</v>
      </c>
      <c r="P600" s="322">
        <f>Councils!Q603</f>
        <v>0</v>
      </c>
      <c r="Q600" s="322">
        <f>Councils!R603</f>
        <v>0</v>
      </c>
      <c r="R600" s="322">
        <f>Councils!S603</f>
        <v>0</v>
      </c>
      <c r="S600" s="322">
        <f>Councils!T603</f>
        <v>0</v>
      </c>
      <c r="T600" s="322">
        <f>Councils!U603</f>
        <v>0</v>
      </c>
      <c r="U600" s="323">
        <f>Councils!V603</f>
        <v>0</v>
      </c>
      <c r="V600" s="45" t="s">
        <v>93</v>
      </c>
      <c r="W600" s="377">
        <f t="shared" si="9"/>
        <v>3</v>
      </c>
      <c r="X600" s="378" t="str">
        <f>IF(ISNA(VLOOKUP($A600,GA!$A$1:$D$834,3,0))," ",VLOOKUP($A600,GA!$A$1:$D$834,3,0))</f>
        <v>Stark</v>
      </c>
      <c r="Y600" s="379" t="str">
        <f>IF(ISNA(VLOOKUP($A600,Dormant_Councils!$A$1:$E$811,5,0)),"No",VLOOKUP($A600,Dormant_Councils!$A$1:$E$811,5,0))</f>
        <v>No</v>
      </c>
      <c r="Z600" s="381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22" t="str">
        <f>Councils!C604</f>
        <v>097</v>
      </c>
      <c r="C601" s="322" t="str">
        <f>Councils!D604</f>
        <v>Houston</v>
      </c>
      <c r="D601" s="322" t="str">
        <f>IF(ISNA(VLOOKUP($V601,DD_Info!$A$1:$E$221,3,0)),0,VLOOKUP($V601,DD_Info!$A$1:$E$221,3,0))</f>
        <v>Galv/Hous</v>
      </c>
      <c r="E601" s="322">
        <f>Councils!E604</f>
        <v>39</v>
      </c>
      <c r="F601" s="322">
        <f>Councils!F604</f>
        <v>3</v>
      </c>
      <c r="G601" s="322">
        <f>Councils!G604</f>
        <v>0</v>
      </c>
      <c r="H601" s="322">
        <f>Councils!H604</f>
        <v>0</v>
      </c>
      <c r="I601" s="322">
        <f>Councils!I604</f>
        <v>0</v>
      </c>
      <c r="J601" s="322">
        <f>Councils!J604</f>
        <v>0</v>
      </c>
      <c r="K601" s="322">
        <f>Councils!K604</f>
        <v>0</v>
      </c>
      <c r="L601" s="322">
        <f>Councils!L604</f>
        <v>0</v>
      </c>
      <c r="M601" s="323">
        <f>Councils!M604</f>
        <v>0</v>
      </c>
      <c r="N601" s="322">
        <f>Councils!O604</f>
        <v>0</v>
      </c>
      <c r="O601" s="322">
        <f>Councils!P604</f>
        <v>0</v>
      </c>
      <c r="P601" s="322">
        <f>Councils!Q604</f>
        <v>0</v>
      </c>
      <c r="Q601" s="322">
        <f>Councils!R604</f>
        <v>0</v>
      </c>
      <c r="R601" s="322">
        <f>Councils!S604</f>
        <v>0</v>
      </c>
      <c r="S601" s="322">
        <f>Councils!T604</f>
        <v>0</v>
      </c>
      <c r="T601" s="322">
        <f>Councils!U604</f>
        <v>0</v>
      </c>
      <c r="U601" s="323">
        <f>Councils!V604</f>
        <v>0</v>
      </c>
      <c r="V601" s="376">
        <v>97</v>
      </c>
      <c r="W601" s="377">
        <f t="shared" si="9"/>
        <v>3</v>
      </c>
      <c r="X601" s="378" t="str">
        <f>IF(ISNA(VLOOKUP($A601,GA!$A$1:$D$834,3,0))," ",VLOOKUP($A601,GA!$A$1:$D$834,3,0))</f>
        <v>Rangel</v>
      </c>
      <c r="Y601" s="379" t="str">
        <f>IF(ISNA(VLOOKUP($A601,Dormant_Councils!$A$1:$E$811,5,0)),"No",VLOOKUP($A601,Dormant_Councils!$A$1:$E$811,5,0))</f>
        <v>Dormant</v>
      </c>
      <c r="Z601" s="381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22" t="str">
        <f>Councils!C605</f>
        <v>088</v>
      </c>
      <c r="C602" s="322" t="str">
        <f>Councils!D605</f>
        <v>Houston</v>
      </c>
      <c r="D602" s="322" t="str">
        <f>IF(ISNA(VLOOKUP($V602,DD_Info!$A$1:$E$221,3,0)),0,VLOOKUP($V602,DD_Info!$A$1:$E$221,3,0))</f>
        <v>Galv/Hous</v>
      </c>
      <c r="E602" s="322">
        <f>Councils!E605</f>
        <v>77</v>
      </c>
      <c r="F602" s="322">
        <f>Councils!F605</f>
        <v>4</v>
      </c>
      <c r="G602" s="322">
        <f>Councils!G605</f>
        <v>0</v>
      </c>
      <c r="H602" s="322">
        <f>Councils!H605</f>
        <v>0</v>
      </c>
      <c r="I602" s="322">
        <f>Councils!I605</f>
        <v>0</v>
      </c>
      <c r="J602" s="322">
        <f>Councils!J605</f>
        <v>0</v>
      </c>
      <c r="K602" s="322">
        <f>Councils!K605</f>
        <v>0</v>
      </c>
      <c r="L602" s="322">
        <f>Councils!L605</f>
        <v>0</v>
      </c>
      <c r="M602" s="323">
        <f>Councils!M605</f>
        <v>0</v>
      </c>
      <c r="N602" s="322">
        <f>Councils!O605</f>
        <v>0</v>
      </c>
      <c r="O602" s="322">
        <f>Councils!P605</f>
        <v>0</v>
      </c>
      <c r="P602" s="322">
        <f>Councils!Q605</f>
        <v>2</v>
      </c>
      <c r="Q602" s="322">
        <f>Councils!R605</f>
        <v>-2</v>
      </c>
      <c r="R602" s="322">
        <f>Councils!S605</f>
        <v>0</v>
      </c>
      <c r="S602" s="322">
        <f>Councils!T605</f>
        <v>2</v>
      </c>
      <c r="T602" s="322">
        <f>Councils!U605</f>
        <v>-2</v>
      </c>
      <c r="U602" s="323">
        <f>Councils!V605</f>
        <v>0</v>
      </c>
      <c r="V602" s="376">
        <v>88</v>
      </c>
      <c r="W602" s="377">
        <f t="shared" si="9"/>
        <v>2</v>
      </c>
      <c r="X602" s="378" t="str">
        <f>IF(ISNA(VLOOKUP($A602,GA!$A$1:$D$834,3,0))," ",VLOOKUP($A602,GA!$A$1:$D$834,3,0))</f>
        <v>Rangel</v>
      </c>
      <c r="Y602" s="379" t="str">
        <f>IF(ISNA(VLOOKUP($A602,Dormant_Councils!$A$1:$E$811,5,0)),"No",VLOOKUP($A602,Dormant_Councils!$A$1:$E$811,5,0))</f>
        <v>No</v>
      </c>
      <c r="Z602" s="381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22" t="str">
        <f>Councils!C606</f>
        <v>111</v>
      </c>
      <c r="C603" s="322" t="str">
        <f>Councils!D606</f>
        <v>Frisco</v>
      </c>
      <c r="D603" s="322" t="str">
        <f>IF(ISNA(VLOOKUP($V603,DD_Info!$A$1:$E$221,3,0)),0,VLOOKUP($V603,DD_Info!$A$1:$E$221,3,0))</f>
        <v>Dallas</v>
      </c>
      <c r="E603" s="322">
        <f>Councils!E606</f>
        <v>562</v>
      </c>
      <c r="F603" s="322">
        <f>Councils!F606</f>
        <v>20</v>
      </c>
      <c r="G603" s="322">
        <f>Councils!G606</f>
        <v>0</v>
      </c>
      <c r="H603" s="322">
        <f>Councils!H606</f>
        <v>48</v>
      </c>
      <c r="I603" s="322">
        <f>Councils!I606</f>
        <v>-48</v>
      </c>
      <c r="J603" s="322">
        <f>Councils!J606</f>
        <v>3</v>
      </c>
      <c r="K603" s="322">
        <f>Councils!K606</f>
        <v>49</v>
      </c>
      <c r="L603" s="322">
        <f>Councils!L606</f>
        <v>-46</v>
      </c>
      <c r="M603" s="323">
        <f>Councils!M606</f>
        <v>0</v>
      </c>
      <c r="N603" s="322">
        <f>Councils!O606</f>
        <v>0</v>
      </c>
      <c r="O603" s="322">
        <f>Councils!P606</f>
        <v>1</v>
      </c>
      <c r="P603" s="322">
        <f>Councils!Q606</f>
        <v>3</v>
      </c>
      <c r="Q603" s="322">
        <f>Councils!R606</f>
        <v>-2</v>
      </c>
      <c r="R603" s="322">
        <f>Councils!S606</f>
        <v>4</v>
      </c>
      <c r="S603" s="322">
        <f>Councils!T606</f>
        <v>6</v>
      </c>
      <c r="T603" s="322">
        <f>Councils!U606</f>
        <v>-2</v>
      </c>
      <c r="U603" s="323">
        <f>Councils!V606</f>
        <v>0</v>
      </c>
      <c r="V603" s="376">
        <v>111</v>
      </c>
      <c r="W603" s="377">
        <f t="shared" si="9"/>
        <v>1</v>
      </c>
      <c r="X603" s="378" t="str">
        <f>IF(ISNA(VLOOKUP($A603,GA!$A$1:$D$834,3,0))," ",VLOOKUP($A603,GA!$A$1:$D$834,3,0))</f>
        <v>Regan</v>
      </c>
      <c r="Y603" s="379" t="str">
        <f>IF(ISNA(VLOOKUP($A603,Dormant_Councils!$A$1:$E$811,5,0)),"No",VLOOKUP($A603,Dormant_Councils!$A$1:$E$811,5,0))</f>
        <v>No</v>
      </c>
      <c r="Z603" s="381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22" t="str">
        <f>Councils!C607</f>
        <v>109</v>
      </c>
      <c r="C604" s="322" t="str">
        <f>Councils!D607</f>
        <v>Lancaster</v>
      </c>
      <c r="D604" s="322" t="str">
        <f>IF(ISNA(VLOOKUP($V604,DD_Info!$A$1:$E$221,3,0)),0,VLOOKUP($V604,DD_Info!$A$1:$E$221,3,0))</f>
        <v>Dallas</v>
      </c>
      <c r="E604" s="322">
        <f>Councils!E607</f>
        <v>91</v>
      </c>
      <c r="F604" s="322">
        <f>Councils!F607</f>
        <v>4</v>
      </c>
      <c r="G604" s="322">
        <f>Councils!G607</f>
        <v>0</v>
      </c>
      <c r="H604" s="322">
        <f>Councils!H607</f>
        <v>0</v>
      </c>
      <c r="I604" s="322">
        <f>Councils!I607</f>
        <v>0</v>
      </c>
      <c r="J604" s="322">
        <f>Councils!J607</f>
        <v>0</v>
      </c>
      <c r="K604" s="322">
        <f>Councils!K607</f>
        <v>0</v>
      </c>
      <c r="L604" s="322">
        <f>Councils!L607</f>
        <v>0</v>
      </c>
      <c r="M604" s="323">
        <f>Councils!M607</f>
        <v>0</v>
      </c>
      <c r="N604" s="322">
        <f>Councils!O607</f>
        <v>0</v>
      </c>
      <c r="O604" s="322">
        <f>Councils!P607</f>
        <v>0</v>
      </c>
      <c r="P604" s="322">
        <f>Councils!Q607</f>
        <v>0</v>
      </c>
      <c r="Q604" s="322">
        <f>Councils!R607</f>
        <v>0</v>
      </c>
      <c r="R604" s="322">
        <f>Councils!S607</f>
        <v>0</v>
      </c>
      <c r="S604" s="322">
        <f>Councils!T607</f>
        <v>1</v>
      </c>
      <c r="T604" s="322">
        <f>Councils!U607</f>
        <v>-1</v>
      </c>
      <c r="U604" s="323">
        <f>Councils!V607</f>
        <v>0</v>
      </c>
      <c r="V604" s="376">
        <v>109</v>
      </c>
      <c r="W604" s="377">
        <f t="shared" si="9"/>
        <v>2</v>
      </c>
      <c r="X604" s="378" t="str">
        <f>IF(ISNA(VLOOKUP($A604,GA!$A$1:$D$834,3,0))," ",VLOOKUP($A604,GA!$A$1:$D$834,3,0))</f>
        <v>Stark</v>
      </c>
      <c r="Y604" s="379" t="str">
        <f>IF(ISNA(VLOOKUP($A604,Dormant_Councils!$A$1:$E$811,5,0)),"No",VLOOKUP($A604,Dormant_Councils!$A$1:$E$811,5,0))</f>
        <v>No</v>
      </c>
      <c r="Z604" s="381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22" t="str">
        <f>Councils!C608</f>
        <v>197</v>
      </c>
      <c r="C605" s="322" t="str">
        <f>Councils!D608</f>
        <v>Canadian</v>
      </c>
      <c r="D605" s="322" t="str">
        <f>IF(ISNA(VLOOKUP($V605,DD_Info!$A$1:$E$221,3,0)),0,VLOOKUP($V605,DD_Info!$A$1:$E$221,3,0))</f>
        <v>Amarillo</v>
      </c>
      <c r="E605" s="322">
        <f>Councils!E608</f>
        <v>35</v>
      </c>
      <c r="F605" s="322">
        <f>Councils!F608</f>
        <v>3</v>
      </c>
      <c r="G605" s="322">
        <f>Councils!G608</f>
        <v>0</v>
      </c>
      <c r="H605" s="322">
        <f>Councils!H608</f>
        <v>0</v>
      </c>
      <c r="I605" s="322">
        <f>Councils!I608</f>
        <v>0</v>
      </c>
      <c r="J605" s="322">
        <f>Councils!J608</f>
        <v>0</v>
      </c>
      <c r="K605" s="322">
        <f>Councils!K608</f>
        <v>0</v>
      </c>
      <c r="L605" s="322">
        <f>Councils!L608</f>
        <v>0</v>
      </c>
      <c r="M605" s="323">
        <f>Councils!M608</f>
        <v>0</v>
      </c>
      <c r="N605" s="322">
        <f>Councils!O608</f>
        <v>0</v>
      </c>
      <c r="O605" s="322">
        <f>Councils!P608</f>
        <v>0</v>
      </c>
      <c r="P605" s="322">
        <f>Councils!Q608</f>
        <v>0</v>
      </c>
      <c r="Q605" s="322">
        <f>Councils!R608</f>
        <v>0</v>
      </c>
      <c r="R605" s="322">
        <f>Councils!S608</f>
        <v>0</v>
      </c>
      <c r="S605" s="322">
        <f>Councils!T608</f>
        <v>0</v>
      </c>
      <c r="T605" s="322">
        <f>Councils!U608</f>
        <v>0</v>
      </c>
      <c r="U605" s="323">
        <f>Councils!V608</f>
        <v>0</v>
      </c>
      <c r="V605" s="376">
        <v>197</v>
      </c>
      <c r="W605" s="377">
        <f t="shared" si="9"/>
        <v>3</v>
      </c>
      <c r="X605" s="378" t="str">
        <f>IF(ISNA(VLOOKUP($A605,GA!$A$1:$D$834,3,0))," ",VLOOKUP($A605,GA!$A$1:$D$834,3,0))</f>
        <v>Payne</v>
      </c>
      <c r="Y605" s="379" t="str">
        <f>IF(ISNA(VLOOKUP($A605,Dormant_Councils!$A$1:$E$811,5,0)),"No",VLOOKUP($A605,Dormant_Councils!$A$1:$E$811,5,0))</f>
        <v>No</v>
      </c>
      <c r="Z605" s="381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22" t="str">
        <f>Councils!C609</f>
        <v>099</v>
      </c>
      <c r="C606" s="322" t="str">
        <f>Councils!D609</f>
        <v>Galveston</v>
      </c>
      <c r="D606" s="322" t="str">
        <f>IF(ISNA(VLOOKUP($V606,DD_Info!$A$1:$E$221,3,0)),0,VLOOKUP($V606,DD_Info!$A$1:$E$221,3,0))</f>
        <v>Galv/Hous</v>
      </c>
      <c r="E606" s="322">
        <f>Councils!E609</f>
        <v>51</v>
      </c>
      <c r="F606" s="322">
        <f>Councils!F609</f>
        <v>3</v>
      </c>
      <c r="G606" s="322">
        <f>Councils!G609</f>
        <v>0</v>
      </c>
      <c r="H606" s="322">
        <f>Councils!H609</f>
        <v>0</v>
      </c>
      <c r="I606" s="322">
        <f>Councils!I609</f>
        <v>0</v>
      </c>
      <c r="J606" s="322">
        <f>Councils!J609</f>
        <v>0</v>
      </c>
      <c r="K606" s="322">
        <f>Councils!K609</f>
        <v>0</v>
      </c>
      <c r="L606" s="322">
        <f>Councils!L609</f>
        <v>0</v>
      </c>
      <c r="M606" s="323">
        <f>Councils!M609</f>
        <v>0</v>
      </c>
      <c r="N606" s="322">
        <f>Councils!O609</f>
        <v>0</v>
      </c>
      <c r="O606" s="322">
        <f>Councils!P609</f>
        <v>0</v>
      </c>
      <c r="P606" s="322">
        <f>Councils!Q609</f>
        <v>0</v>
      </c>
      <c r="Q606" s="322">
        <f>Councils!R609</f>
        <v>0</v>
      </c>
      <c r="R606" s="322">
        <f>Councils!S609</f>
        <v>0</v>
      </c>
      <c r="S606" s="322">
        <f>Councils!T609</f>
        <v>0</v>
      </c>
      <c r="T606" s="322">
        <f>Councils!U609</f>
        <v>0</v>
      </c>
      <c r="U606" s="323">
        <f>Councils!V609</f>
        <v>0</v>
      </c>
      <c r="V606" s="376">
        <v>99</v>
      </c>
      <c r="W606" s="377">
        <f t="shared" si="9"/>
        <v>3</v>
      </c>
      <c r="X606" s="378" t="str">
        <f>IF(ISNA(VLOOKUP($A606,GA!$A$1:$D$834,3,0))," ",VLOOKUP($A606,GA!$A$1:$D$834,3,0))</f>
        <v>Rangel</v>
      </c>
      <c r="Y606" s="379" t="str">
        <f>IF(ISNA(VLOOKUP($A606,Dormant_Councils!$A$1:$E$811,5,0)),"No",VLOOKUP($A606,Dormant_Councils!$A$1:$E$811,5,0))</f>
        <v>Dormant</v>
      </c>
      <c r="Z606" s="381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22" t="str">
        <f>Councils!C610</f>
        <v>039</v>
      </c>
      <c r="C607" s="322" t="str">
        <f>Councils!D610</f>
        <v>San Antonio</v>
      </c>
      <c r="D607" s="322" t="str">
        <f>IF(ISNA(VLOOKUP($V607,DD_Info!$A$1:$E$221,3,0)),0,VLOOKUP($V607,DD_Info!$A$1:$E$221,3,0))</f>
        <v>San Antonio</v>
      </c>
      <c r="E607" s="322">
        <f>Councils!E610</f>
        <v>28</v>
      </c>
      <c r="F607" s="322">
        <f>Councils!F610</f>
        <v>3</v>
      </c>
      <c r="G607" s="322">
        <f>Councils!G610</f>
        <v>0</v>
      </c>
      <c r="H607" s="322">
        <f>Councils!H610</f>
        <v>0</v>
      </c>
      <c r="I607" s="322">
        <f>Councils!I610</f>
        <v>0</v>
      </c>
      <c r="J607" s="322">
        <f>Councils!J610</f>
        <v>0</v>
      </c>
      <c r="K607" s="322">
        <f>Councils!K610</f>
        <v>0</v>
      </c>
      <c r="L607" s="322">
        <f>Councils!L610</f>
        <v>0</v>
      </c>
      <c r="M607" s="323">
        <f>Councils!M610</f>
        <v>0</v>
      </c>
      <c r="N607" s="322">
        <f>Councils!O610</f>
        <v>0</v>
      </c>
      <c r="O607" s="322">
        <f>Councils!P610</f>
        <v>0</v>
      </c>
      <c r="P607" s="322">
        <f>Councils!Q610</f>
        <v>0</v>
      </c>
      <c r="Q607" s="322">
        <f>Councils!R610</f>
        <v>0</v>
      </c>
      <c r="R607" s="322">
        <f>Councils!S610</f>
        <v>0</v>
      </c>
      <c r="S607" s="322">
        <f>Councils!T610</f>
        <v>0</v>
      </c>
      <c r="T607" s="322">
        <f>Councils!U610</f>
        <v>0</v>
      </c>
      <c r="U607" s="323">
        <f>Councils!V610</f>
        <v>0</v>
      </c>
      <c r="V607" s="376">
        <v>39</v>
      </c>
      <c r="W607" s="377">
        <f t="shared" si="9"/>
        <v>3</v>
      </c>
      <c r="X607" s="378" t="str">
        <f>IF(ISNA(VLOOKUP($A607,GA!$A$1:$D$834,3,0))," ",VLOOKUP($A607,GA!$A$1:$D$834,3,0))</f>
        <v>Dougherty</v>
      </c>
      <c r="Y607" s="379" t="str">
        <f>IF(ISNA(VLOOKUP($A607,Dormant_Councils!$A$1:$E$811,5,0)),"No",VLOOKUP($A607,Dormant_Councils!$A$1:$E$811,5,0))</f>
        <v>No</v>
      </c>
      <c r="Z607" s="381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22" t="str">
        <f>Councils!C611</f>
        <v>161</v>
      </c>
      <c r="C608" s="322" t="str">
        <f>Councils!D611</f>
        <v>Andice</v>
      </c>
      <c r="D608" s="322" t="str">
        <f>IF(ISNA(VLOOKUP($V608,DD_Info!$A$1:$E$221,3,0)),0,VLOOKUP($V608,DD_Info!$A$1:$E$221,3,0))</f>
        <v>Austin</v>
      </c>
      <c r="E608" s="322">
        <f>Councils!E611</f>
        <v>143</v>
      </c>
      <c r="F608" s="322">
        <f>Councils!F611</f>
        <v>7</v>
      </c>
      <c r="G608" s="322">
        <f>Councils!G611</f>
        <v>0</v>
      </c>
      <c r="H608" s="322">
        <f>Councils!H611</f>
        <v>1</v>
      </c>
      <c r="I608" s="322">
        <f>Councils!I611</f>
        <v>-1</v>
      </c>
      <c r="J608" s="322">
        <f>Councils!J611</f>
        <v>1</v>
      </c>
      <c r="K608" s="322">
        <f>Councils!K611</f>
        <v>1</v>
      </c>
      <c r="L608" s="322">
        <f>Councils!L611</f>
        <v>0</v>
      </c>
      <c r="M608" s="323">
        <f>Councils!M611</f>
        <v>0</v>
      </c>
      <c r="N608" s="322">
        <f>Councils!O611</f>
        <v>0</v>
      </c>
      <c r="O608" s="322">
        <f>Councils!P611</f>
        <v>0</v>
      </c>
      <c r="P608" s="322">
        <f>Councils!Q611</f>
        <v>0</v>
      </c>
      <c r="Q608" s="322">
        <f>Councils!R611</f>
        <v>0</v>
      </c>
      <c r="R608" s="322">
        <f>Councils!S611</f>
        <v>0</v>
      </c>
      <c r="S608" s="322">
        <f>Councils!T611</f>
        <v>1</v>
      </c>
      <c r="T608" s="322">
        <f>Councils!U611</f>
        <v>-1</v>
      </c>
      <c r="U608" s="323">
        <f>Councils!V611</f>
        <v>0</v>
      </c>
      <c r="V608" s="376">
        <v>161</v>
      </c>
      <c r="W608" s="377">
        <f t="shared" si="9"/>
        <v>1</v>
      </c>
      <c r="X608" s="378" t="str">
        <f>IF(ISNA(VLOOKUP($A608,GA!$A$1:$D$834,3,0))," ",VLOOKUP($A608,GA!$A$1:$D$834,3,0))</f>
        <v>Rangel</v>
      </c>
      <c r="Y608" s="379" t="str">
        <f>IF(ISNA(VLOOKUP($A608,Dormant_Councils!$A$1:$E$811,5,0)),"No",VLOOKUP($A608,Dormant_Councils!$A$1:$E$811,5,0))</f>
        <v>No</v>
      </c>
      <c r="Z608" s="381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22" t="str">
        <f>Councils!C612</f>
        <v>196</v>
      </c>
      <c r="C609" s="322" t="str">
        <f>Councils!D612</f>
        <v>Tulia</v>
      </c>
      <c r="D609" s="322" t="str">
        <f>IF(ISNA(VLOOKUP($V609,DD_Info!$A$1:$E$221,3,0)),0,VLOOKUP($V609,DD_Info!$A$1:$E$221,3,0))</f>
        <v>Amarillo</v>
      </c>
      <c r="E609" s="322">
        <f>Councils!E612</f>
        <v>62</v>
      </c>
      <c r="F609" s="322">
        <f>Councils!F612</f>
        <v>3</v>
      </c>
      <c r="G609" s="322">
        <f>Councils!G612</f>
        <v>0</v>
      </c>
      <c r="H609" s="322">
        <f>Councils!H612</f>
        <v>0</v>
      </c>
      <c r="I609" s="322">
        <f>Councils!I612</f>
        <v>0</v>
      </c>
      <c r="J609" s="322">
        <f>Councils!J612</f>
        <v>0</v>
      </c>
      <c r="K609" s="322">
        <f>Councils!K612</f>
        <v>0</v>
      </c>
      <c r="L609" s="322">
        <f>Councils!L612</f>
        <v>0</v>
      </c>
      <c r="M609" s="323">
        <f>Councils!M612</f>
        <v>0</v>
      </c>
      <c r="N609" s="322">
        <f>Councils!O612</f>
        <v>0</v>
      </c>
      <c r="O609" s="322">
        <f>Councils!P612</f>
        <v>0</v>
      </c>
      <c r="P609" s="322">
        <f>Councils!Q612</f>
        <v>0</v>
      </c>
      <c r="Q609" s="322">
        <f>Councils!R612</f>
        <v>0</v>
      </c>
      <c r="R609" s="322">
        <f>Councils!S612</f>
        <v>0</v>
      </c>
      <c r="S609" s="322">
        <f>Councils!T612</f>
        <v>0</v>
      </c>
      <c r="T609" s="322">
        <f>Councils!U612</f>
        <v>0</v>
      </c>
      <c r="U609" s="323">
        <f>Councils!V612</f>
        <v>0</v>
      </c>
      <c r="V609" s="376">
        <v>196</v>
      </c>
      <c r="W609" s="377">
        <f t="shared" si="9"/>
        <v>3</v>
      </c>
      <c r="X609" s="378" t="str">
        <f>IF(ISNA(VLOOKUP($A609,GA!$A$1:$D$834,3,0))," ",VLOOKUP($A609,GA!$A$1:$D$834,3,0))</f>
        <v>Payne</v>
      </c>
      <c r="Y609" s="379" t="str">
        <f>IF(ISNA(VLOOKUP($A609,Dormant_Councils!$A$1:$E$811,5,0)),"No",VLOOKUP($A609,Dormant_Councils!$A$1:$E$811,5,0))</f>
        <v>No</v>
      </c>
      <c r="Z609" s="381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22" t="str">
        <f>Councils!C613</f>
        <v>208</v>
      </c>
      <c r="C610" s="322" t="str">
        <f>Councils!D613</f>
        <v>Harlingen</v>
      </c>
      <c r="D610" s="322" t="str">
        <f>IF(ISNA(VLOOKUP($V610,DD_Info!$A$1:$E$221,3,0)),0,VLOOKUP($V610,DD_Info!$A$1:$E$221,3,0))</f>
        <v>Brownsville</v>
      </c>
      <c r="E610" s="322">
        <f>Councils!E613</f>
        <v>48</v>
      </c>
      <c r="F610" s="322">
        <f>Councils!F613</f>
        <v>3</v>
      </c>
      <c r="G610" s="322">
        <f>Councils!G613</f>
        <v>0</v>
      </c>
      <c r="H610" s="322">
        <f>Councils!H613</f>
        <v>0</v>
      </c>
      <c r="I610" s="322">
        <f>Councils!I613</f>
        <v>0</v>
      </c>
      <c r="J610" s="322">
        <f>Councils!J613</f>
        <v>0</v>
      </c>
      <c r="K610" s="322">
        <f>Councils!K613</f>
        <v>0</v>
      </c>
      <c r="L610" s="322">
        <f>Councils!L613</f>
        <v>0</v>
      </c>
      <c r="M610" s="323">
        <f>Councils!M613</f>
        <v>0</v>
      </c>
      <c r="N610" s="322">
        <f>Councils!O613</f>
        <v>0</v>
      </c>
      <c r="O610" s="322">
        <f>Councils!P613</f>
        <v>0</v>
      </c>
      <c r="P610" s="322">
        <f>Councils!Q613</f>
        <v>0</v>
      </c>
      <c r="Q610" s="322">
        <f>Councils!R613</f>
        <v>0</v>
      </c>
      <c r="R610" s="322">
        <f>Councils!S613</f>
        <v>0</v>
      </c>
      <c r="S610" s="322">
        <f>Councils!T613</f>
        <v>0</v>
      </c>
      <c r="T610" s="322">
        <f>Councils!U613</f>
        <v>0</v>
      </c>
      <c r="U610" s="323">
        <f>Councils!V613</f>
        <v>0</v>
      </c>
      <c r="V610" s="376">
        <v>208</v>
      </c>
      <c r="W610" s="377">
        <f t="shared" si="9"/>
        <v>3</v>
      </c>
      <c r="X610" s="378" t="str">
        <f>IF(ISNA(VLOOKUP($A610,GA!$A$1:$D$834,3,0))," ",VLOOKUP($A610,GA!$A$1:$D$834,3,0))</f>
        <v>Carlin</v>
      </c>
      <c r="Y610" s="379" t="str">
        <f>IF(ISNA(VLOOKUP($A610,Dormant_Councils!$A$1:$E$811,5,0)),"No",VLOOKUP($A610,Dormant_Councils!$A$1:$E$811,5,0))</f>
        <v>No</v>
      </c>
      <c r="Z610" s="381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22" t="str">
        <f>Councils!C614</f>
        <v>214</v>
      </c>
      <c r="C611" s="322" t="str">
        <f>Councils!D614</f>
        <v>San Juan</v>
      </c>
      <c r="D611" s="322" t="str">
        <f>IF(ISNA(VLOOKUP($V611,DD_Info!$A$1:$E$221,3,0)),0,VLOOKUP($V611,DD_Info!$A$1:$E$221,3,0))</f>
        <v>Brownsville</v>
      </c>
      <c r="E611" s="322">
        <f>Councils!E614</f>
        <v>61</v>
      </c>
      <c r="F611" s="322">
        <f>Councils!F614</f>
        <v>3</v>
      </c>
      <c r="G611" s="322">
        <f>Councils!G614</f>
        <v>0</v>
      </c>
      <c r="H611" s="322">
        <f>Councils!H614</f>
        <v>0</v>
      </c>
      <c r="I611" s="322">
        <f>Councils!I614</f>
        <v>0</v>
      </c>
      <c r="J611" s="322">
        <f>Councils!J614</f>
        <v>0</v>
      </c>
      <c r="K611" s="322">
        <f>Councils!K614</f>
        <v>0</v>
      </c>
      <c r="L611" s="322">
        <f>Councils!L614</f>
        <v>0</v>
      </c>
      <c r="M611" s="323">
        <f>Councils!M614</f>
        <v>0</v>
      </c>
      <c r="N611" s="322">
        <f>Councils!O614</f>
        <v>0</v>
      </c>
      <c r="O611" s="322">
        <f>Councils!P614</f>
        <v>0</v>
      </c>
      <c r="P611" s="322">
        <f>Councils!Q614</f>
        <v>0</v>
      </c>
      <c r="Q611" s="322">
        <f>Councils!R614</f>
        <v>0</v>
      </c>
      <c r="R611" s="322">
        <f>Councils!S614</f>
        <v>0</v>
      </c>
      <c r="S611" s="322">
        <f>Councils!T614</f>
        <v>0</v>
      </c>
      <c r="T611" s="322">
        <f>Councils!U614</f>
        <v>0</v>
      </c>
      <c r="U611" s="323">
        <f>Councils!V614</f>
        <v>0</v>
      </c>
      <c r="V611" s="376">
        <v>214</v>
      </c>
      <c r="W611" s="377">
        <f t="shared" si="9"/>
        <v>3</v>
      </c>
      <c r="X611" s="378" t="str">
        <f>IF(ISNA(VLOOKUP($A611,GA!$A$1:$D$834,3,0))," ",VLOOKUP($A611,GA!$A$1:$D$834,3,0))</f>
        <v>Carlin</v>
      </c>
      <c r="Y611" s="379" t="str">
        <f>IF(ISNA(VLOOKUP($A611,Dormant_Councils!$A$1:$E$811,5,0)),"No",VLOOKUP($A611,Dormant_Councils!$A$1:$E$811,5,0))</f>
        <v>Dormant</v>
      </c>
      <c r="Z611" s="381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22" t="str">
        <f>Councils!C615</f>
        <v>027</v>
      </c>
      <c r="C612" s="322" t="str">
        <f>Councils!D615</f>
        <v>Denton</v>
      </c>
      <c r="D612" s="322" t="str">
        <f>IF(ISNA(VLOOKUP($V612,DD_Info!$A$1:$E$221,3,0)),0,VLOOKUP($V612,DD_Info!$A$1:$E$221,3,0))</f>
        <v>Fort Worth</v>
      </c>
      <c r="E612" s="322">
        <f>Councils!E615</f>
        <v>379</v>
      </c>
      <c r="F612" s="322">
        <f>Councils!F615</f>
        <v>19</v>
      </c>
      <c r="G612" s="322">
        <f>Councils!G615</f>
        <v>1</v>
      </c>
      <c r="H612" s="322">
        <f>Councils!H615</f>
        <v>2</v>
      </c>
      <c r="I612" s="322">
        <f>Councils!I615</f>
        <v>-1</v>
      </c>
      <c r="J612" s="322">
        <f>Councils!J615</f>
        <v>9</v>
      </c>
      <c r="K612" s="322">
        <f>Councils!K615</f>
        <v>5</v>
      </c>
      <c r="L612" s="322">
        <f>Councils!L615</f>
        <v>4</v>
      </c>
      <c r="M612" s="323">
        <f>Councils!M615</f>
        <v>21.05</v>
      </c>
      <c r="N612" s="322">
        <f>Councils!O615</f>
        <v>0</v>
      </c>
      <c r="O612" s="322">
        <f>Councils!P615</f>
        <v>0</v>
      </c>
      <c r="P612" s="322">
        <f>Councils!Q615</f>
        <v>0</v>
      </c>
      <c r="Q612" s="322">
        <f>Councils!R615</f>
        <v>0</v>
      </c>
      <c r="R612" s="322">
        <f>Councils!S615</f>
        <v>2</v>
      </c>
      <c r="S612" s="322">
        <f>Councils!T615</f>
        <v>2</v>
      </c>
      <c r="T612" s="322">
        <f>Councils!U615</f>
        <v>0</v>
      </c>
      <c r="U612" s="323">
        <f>Councils!V615</f>
        <v>0</v>
      </c>
      <c r="V612" s="376">
        <v>27</v>
      </c>
      <c r="W612" s="377">
        <f t="shared" si="9"/>
        <v>1</v>
      </c>
      <c r="X612" s="378" t="str">
        <f>IF(ISNA(VLOOKUP($A612,GA!$A$1:$D$834,3,0))," ",VLOOKUP($A612,GA!$A$1:$D$834,3,0))</f>
        <v>Stark</v>
      </c>
      <c r="Y612" s="379" t="str">
        <f>IF(ISNA(VLOOKUP($A612,Dormant_Councils!$A$1:$E$811,5,0)),"No",VLOOKUP($A612,Dormant_Councils!$A$1:$E$811,5,0))</f>
        <v>No</v>
      </c>
      <c r="Z612" s="381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22" t="str">
        <f>Councils!C616</f>
        <v>086</v>
      </c>
      <c r="C613" s="322" t="str">
        <f>Councils!D616</f>
        <v>Frydek</v>
      </c>
      <c r="D613" s="322" t="str">
        <f>IF(ISNA(VLOOKUP($V613,DD_Info!$A$1:$E$221,3,0)),0,VLOOKUP($V613,DD_Info!$A$1:$E$221,3,0))</f>
        <v>Galv/Hous</v>
      </c>
      <c r="E613" s="322">
        <f>Councils!E616</f>
        <v>181</v>
      </c>
      <c r="F613" s="322">
        <f>Councils!F616</f>
        <v>9</v>
      </c>
      <c r="G613" s="322">
        <f>Councils!G616</f>
        <v>0</v>
      </c>
      <c r="H613" s="322">
        <f>Councils!H616</f>
        <v>0</v>
      </c>
      <c r="I613" s="322">
        <f>Councils!I616</f>
        <v>0</v>
      </c>
      <c r="J613" s="322">
        <f>Councils!J616</f>
        <v>0</v>
      </c>
      <c r="K613" s="322">
        <f>Councils!K616</f>
        <v>0</v>
      </c>
      <c r="L613" s="322">
        <f>Councils!L616</f>
        <v>0</v>
      </c>
      <c r="M613" s="323">
        <f>Councils!M616</f>
        <v>0</v>
      </c>
      <c r="N613" s="322">
        <f>Councils!O616</f>
        <v>0</v>
      </c>
      <c r="O613" s="322">
        <f>Councils!P616</f>
        <v>0</v>
      </c>
      <c r="P613" s="322">
        <f>Councils!Q616</f>
        <v>1</v>
      </c>
      <c r="Q613" s="322">
        <f>Councils!R616</f>
        <v>-1</v>
      </c>
      <c r="R613" s="322">
        <f>Councils!S616</f>
        <v>1</v>
      </c>
      <c r="S613" s="322">
        <f>Councils!T616</f>
        <v>1</v>
      </c>
      <c r="T613" s="322">
        <f>Councils!U616</f>
        <v>0</v>
      </c>
      <c r="U613" s="323">
        <f>Councils!V616</f>
        <v>0</v>
      </c>
      <c r="V613" s="376">
        <v>86</v>
      </c>
      <c r="W613" s="377">
        <f t="shared" si="9"/>
        <v>1</v>
      </c>
      <c r="X613" s="378" t="str">
        <f>IF(ISNA(VLOOKUP($A613,GA!$A$1:$D$834,3,0))," ",VLOOKUP($A613,GA!$A$1:$D$834,3,0))</f>
        <v>Supak</v>
      </c>
      <c r="Y613" s="379" t="str">
        <f>IF(ISNA(VLOOKUP($A613,Dormant_Councils!$A$1:$E$811,5,0)),"No",VLOOKUP($A613,Dormant_Councils!$A$1:$E$811,5,0))</f>
        <v>No</v>
      </c>
      <c r="Z613" s="381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22" t="str">
        <f>Councils!C617</f>
        <v>201</v>
      </c>
      <c r="C614" s="322" t="str">
        <f>Councils!D617</f>
        <v>Amarillo</v>
      </c>
      <c r="D614" s="322" t="str">
        <f>IF(ISNA(VLOOKUP($V614,DD_Info!$A$1:$E$221,3,0)),0,VLOOKUP($V614,DD_Info!$A$1:$E$221,3,0))</f>
        <v>Amarillo</v>
      </c>
      <c r="E614" s="322">
        <f>Councils!E617</f>
        <v>73</v>
      </c>
      <c r="F614" s="322">
        <f>Councils!F617</f>
        <v>4</v>
      </c>
      <c r="G614" s="322">
        <f>Councils!G617</f>
        <v>0</v>
      </c>
      <c r="H614" s="322">
        <f>Councils!H617</f>
        <v>0</v>
      </c>
      <c r="I614" s="322">
        <f>Councils!I617</f>
        <v>0</v>
      </c>
      <c r="J614" s="322">
        <f>Councils!J617</f>
        <v>0</v>
      </c>
      <c r="K614" s="322">
        <f>Councils!K617</f>
        <v>0</v>
      </c>
      <c r="L614" s="322">
        <f>Councils!L617</f>
        <v>0</v>
      </c>
      <c r="M614" s="323">
        <f>Councils!M617</f>
        <v>0</v>
      </c>
      <c r="N614" s="322">
        <f>Councils!O617</f>
        <v>0</v>
      </c>
      <c r="O614" s="322">
        <f>Councils!P617</f>
        <v>0</v>
      </c>
      <c r="P614" s="322">
        <f>Councils!Q617</f>
        <v>0</v>
      </c>
      <c r="Q614" s="322">
        <f>Councils!R617</f>
        <v>0</v>
      </c>
      <c r="R614" s="322">
        <f>Councils!S617</f>
        <v>0</v>
      </c>
      <c r="S614" s="322">
        <f>Councils!T617</f>
        <v>0</v>
      </c>
      <c r="T614" s="322">
        <f>Councils!U617</f>
        <v>0</v>
      </c>
      <c r="U614" s="323">
        <f>Councils!V617</f>
        <v>0</v>
      </c>
      <c r="V614" s="376">
        <v>201</v>
      </c>
      <c r="W614" s="377">
        <f t="shared" si="9"/>
        <v>2</v>
      </c>
      <c r="X614" s="378" t="str">
        <f>IF(ISNA(VLOOKUP($A614,GA!$A$1:$D$834,3,0))," ",VLOOKUP($A614,GA!$A$1:$D$834,3,0))</f>
        <v>Payne</v>
      </c>
      <c r="Y614" s="379" t="str">
        <f>IF(ISNA(VLOOKUP($A614,Dormant_Councils!$A$1:$E$811,5,0)),"No",VLOOKUP($A614,Dormant_Councils!$A$1:$E$811,5,0))</f>
        <v>No</v>
      </c>
      <c r="Z614" s="381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22" t="str">
        <f>Councils!C618</f>
        <v>085</v>
      </c>
      <c r="C615" s="322" t="str">
        <f>Councils!D618</f>
        <v>Brookshire/Pattison</v>
      </c>
      <c r="D615" s="322" t="str">
        <f>IF(ISNA(VLOOKUP($V615,DD_Info!$A$1:$E$221,3,0)),0,VLOOKUP($V615,DD_Info!$A$1:$E$221,3,0))</f>
        <v>Galv/Hous</v>
      </c>
      <c r="E615" s="322">
        <f>Councils!E618</f>
        <v>60</v>
      </c>
      <c r="F615" s="322">
        <f>Councils!F618</f>
        <v>3</v>
      </c>
      <c r="G615" s="322">
        <f>Councils!G618</f>
        <v>0</v>
      </c>
      <c r="H615" s="322">
        <f>Councils!H618</f>
        <v>0</v>
      </c>
      <c r="I615" s="322">
        <f>Councils!I618</f>
        <v>0</v>
      </c>
      <c r="J615" s="322">
        <f>Councils!J618</f>
        <v>0</v>
      </c>
      <c r="K615" s="322">
        <f>Councils!K618</f>
        <v>0</v>
      </c>
      <c r="L615" s="322">
        <f>Councils!L618</f>
        <v>0</v>
      </c>
      <c r="M615" s="323">
        <f>Councils!M618</f>
        <v>0</v>
      </c>
      <c r="N615" s="322">
        <f>Councils!O618</f>
        <v>0</v>
      </c>
      <c r="O615" s="322">
        <f>Councils!P618</f>
        <v>0</v>
      </c>
      <c r="P615" s="322">
        <f>Councils!Q618</f>
        <v>0</v>
      </c>
      <c r="Q615" s="322">
        <f>Councils!R618</f>
        <v>0</v>
      </c>
      <c r="R615" s="322">
        <f>Councils!S618</f>
        <v>1</v>
      </c>
      <c r="S615" s="322">
        <f>Councils!T618</f>
        <v>0</v>
      </c>
      <c r="T615" s="322">
        <f>Councils!U618</f>
        <v>1</v>
      </c>
      <c r="U615" s="323">
        <f>Councils!V618</f>
        <v>0</v>
      </c>
      <c r="V615" s="376">
        <v>85</v>
      </c>
      <c r="W615" s="377">
        <f t="shared" si="9"/>
        <v>3</v>
      </c>
      <c r="X615" s="378" t="str">
        <f>IF(ISNA(VLOOKUP($A615,GA!$A$1:$D$834,3,0))," ",VLOOKUP($A615,GA!$A$1:$D$834,3,0))</f>
        <v>Supak</v>
      </c>
      <c r="Y615" s="379" t="str">
        <f>IF(ISNA(VLOOKUP($A615,Dormant_Councils!$A$1:$E$811,5,0)),"No",VLOOKUP($A615,Dormant_Councils!$A$1:$E$811,5,0))</f>
        <v>No</v>
      </c>
      <c r="Z615" s="381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22" t="str">
        <f>Councils!C619</f>
        <v>161</v>
      </c>
      <c r="C616" s="322" t="str">
        <f>Councils!D619</f>
        <v>San Saba</v>
      </c>
      <c r="D616" s="322" t="str">
        <f>IF(ISNA(VLOOKUP($V616,DD_Info!$A$1:$E$221,3,0)),0,VLOOKUP($V616,DD_Info!$A$1:$E$221,3,0))</f>
        <v>Austin</v>
      </c>
      <c r="E616" s="322">
        <f>Councils!E619</f>
        <v>28</v>
      </c>
      <c r="F616" s="322">
        <f>Councils!F619</f>
        <v>3</v>
      </c>
      <c r="G616" s="322">
        <f>Councils!G619</f>
        <v>0</v>
      </c>
      <c r="H616" s="322">
        <f>Councils!H619</f>
        <v>0</v>
      </c>
      <c r="I616" s="322">
        <f>Councils!I619</f>
        <v>0</v>
      </c>
      <c r="J616" s="322">
        <f>Councils!J619</f>
        <v>0</v>
      </c>
      <c r="K616" s="322">
        <f>Councils!K619</f>
        <v>0</v>
      </c>
      <c r="L616" s="322">
        <f>Councils!L619</f>
        <v>0</v>
      </c>
      <c r="M616" s="323">
        <f>Councils!M619</f>
        <v>0</v>
      </c>
      <c r="N616" s="322">
        <f>Councils!O619</f>
        <v>0</v>
      </c>
      <c r="O616" s="322">
        <f>Councils!P619</f>
        <v>0</v>
      </c>
      <c r="P616" s="322">
        <f>Councils!Q619</f>
        <v>1</v>
      </c>
      <c r="Q616" s="322">
        <f>Councils!R619</f>
        <v>-1</v>
      </c>
      <c r="R616" s="322">
        <f>Councils!S619</f>
        <v>0</v>
      </c>
      <c r="S616" s="322">
        <f>Councils!T619</f>
        <v>1</v>
      </c>
      <c r="T616" s="322">
        <f>Councils!U619</f>
        <v>-1</v>
      </c>
      <c r="U616" s="323">
        <f>Councils!V619</f>
        <v>0</v>
      </c>
      <c r="V616" s="376">
        <v>161</v>
      </c>
      <c r="W616" s="377">
        <f t="shared" si="9"/>
        <v>3</v>
      </c>
      <c r="X616" s="378" t="str">
        <f>IF(ISNA(VLOOKUP($A616,GA!$A$1:$D$834,3,0))," ",VLOOKUP($A616,GA!$A$1:$D$834,3,0))</f>
        <v>Britten</v>
      </c>
      <c r="Y616" s="379" t="str">
        <f>IF(ISNA(VLOOKUP($A616,Dormant_Councils!$A$1:$E$811,5,0)),"No",VLOOKUP($A616,Dormant_Councils!$A$1:$E$811,5,0))</f>
        <v>No</v>
      </c>
      <c r="Z616" s="381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22" t="str">
        <f>Councils!C620</f>
        <v>031</v>
      </c>
      <c r="C617" s="322" t="str">
        <f>Councils!D620</f>
        <v>Fort Worth</v>
      </c>
      <c r="D617" s="322" t="str">
        <f>IF(ISNA(VLOOKUP($V617,DD_Info!$A$1:$E$221,3,0)),0,VLOOKUP($V617,DD_Info!$A$1:$E$221,3,0))</f>
        <v>Fort Worth</v>
      </c>
      <c r="E617" s="322">
        <f>Councils!E620</f>
        <v>21</v>
      </c>
      <c r="F617" s="322">
        <f>Councils!F620</f>
        <v>3</v>
      </c>
      <c r="G617" s="322">
        <f>Councils!G620</f>
        <v>0</v>
      </c>
      <c r="H617" s="322">
        <f>Councils!H620</f>
        <v>0</v>
      </c>
      <c r="I617" s="322">
        <f>Councils!I620</f>
        <v>0</v>
      </c>
      <c r="J617" s="322">
        <f>Councils!J620</f>
        <v>0</v>
      </c>
      <c r="K617" s="322">
        <f>Councils!K620</f>
        <v>0</v>
      </c>
      <c r="L617" s="322">
        <f>Councils!L620</f>
        <v>0</v>
      </c>
      <c r="M617" s="323">
        <f>Councils!M620</f>
        <v>0</v>
      </c>
      <c r="N617" s="322">
        <f>Councils!O620</f>
        <v>0</v>
      </c>
      <c r="O617" s="322">
        <f>Councils!P620</f>
        <v>0</v>
      </c>
      <c r="P617" s="322">
        <f>Councils!Q620</f>
        <v>0</v>
      </c>
      <c r="Q617" s="322">
        <f>Councils!R620</f>
        <v>0</v>
      </c>
      <c r="R617" s="322">
        <f>Councils!S620</f>
        <v>0</v>
      </c>
      <c r="S617" s="322">
        <f>Councils!T620</f>
        <v>0</v>
      </c>
      <c r="T617" s="322">
        <f>Councils!U620</f>
        <v>0</v>
      </c>
      <c r="U617" s="323">
        <f>Councils!V620</f>
        <v>0</v>
      </c>
      <c r="V617" s="376">
        <v>31</v>
      </c>
      <c r="W617" s="377">
        <f t="shared" si="9"/>
        <v>3</v>
      </c>
      <c r="X617" s="378" t="str">
        <f>IF(ISNA(VLOOKUP($A617,GA!$A$1:$D$834,3,0))," ",VLOOKUP($A617,GA!$A$1:$D$834,3,0))</f>
        <v>Stark</v>
      </c>
      <c r="Y617" s="379" t="str">
        <f>IF(ISNA(VLOOKUP($A617,Dormant_Councils!$A$1:$E$811,5,0)),"No",VLOOKUP($A617,Dormant_Councils!$A$1:$E$811,5,0))</f>
        <v>Dormant</v>
      </c>
      <c r="Z617" s="381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22" t="str">
        <f>Councils!C621</f>
        <v>144</v>
      </c>
      <c r="C618" s="322" t="str">
        <f>Councils!D621</f>
        <v>Cameron</v>
      </c>
      <c r="D618" s="322" t="str">
        <f>IF(ISNA(VLOOKUP($V618,DD_Info!$A$1:$E$221,3,0)),0,VLOOKUP($V618,DD_Info!$A$1:$E$221,3,0))</f>
        <v>Austin</v>
      </c>
      <c r="E618" s="322">
        <f>Councils!E621</f>
        <v>67</v>
      </c>
      <c r="F618" s="322">
        <f>Councils!F621</f>
        <v>3</v>
      </c>
      <c r="G618" s="322">
        <f>Councils!G621</f>
        <v>0</v>
      </c>
      <c r="H618" s="322">
        <f>Councils!H621</f>
        <v>0</v>
      </c>
      <c r="I618" s="322">
        <f>Councils!I621</f>
        <v>0</v>
      </c>
      <c r="J618" s="322">
        <f>Councils!J621</f>
        <v>0</v>
      </c>
      <c r="K618" s="322">
        <f>Councils!K621</f>
        <v>0</v>
      </c>
      <c r="L618" s="322">
        <f>Councils!L621</f>
        <v>0</v>
      </c>
      <c r="M618" s="323">
        <f>Councils!M621</f>
        <v>0</v>
      </c>
      <c r="N618" s="322">
        <f>Councils!O621</f>
        <v>0</v>
      </c>
      <c r="O618" s="322">
        <f>Councils!P621</f>
        <v>0</v>
      </c>
      <c r="P618" s="322">
        <f>Councils!Q621</f>
        <v>0</v>
      </c>
      <c r="Q618" s="322">
        <f>Councils!R621</f>
        <v>0</v>
      </c>
      <c r="R618" s="322">
        <f>Councils!S621</f>
        <v>0</v>
      </c>
      <c r="S618" s="322">
        <f>Councils!T621</f>
        <v>0</v>
      </c>
      <c r="T618" s="322">
        <f>Councils!U621</f>
        <v>0</v>
      </c>
      <c r="U618" s="323">
        <f>Councils!V621</f>
        <v>0</v>
      </c>
      <c r="V618" s="376">
        <v>144</v>
      </c>
      <c r="W618" s="377">
        <f t="shared" si="9"/>
        <v>2</v>
      </c>
      <c r="X618" s="378" t="str">
        <f>IF(ISNA(VLOOKUP($A618,GA!$A$1:$D$834,3,0))," ",VLOOKUP($A618,GA!$A$1:$D$834,3,0))</f>
        <v>Britten</v>
      </c>
      <c r="Y618" s="379" t="str">
        <f>IF(ISNA(VLOOKUP($A618,Dormant_Councils!$A$1:$E$811,5,0)),"No",VLOOKUP($A618,Dormant_Councils!$A$1:$E$811,5,0))</f>
        <v>No</v>
      </c>
      <c r="Z618" s="381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22" t="str">
        <f>Councils!C622</f>
        <v>098</v>
      </c>
      <c r="C619" s="322" t="str">
        <f>Councils!D622</f>
        <v>Houston</v>
      </c>
      <c r="D619" s="322" t="str">
        <f>IF(ISNA(VLOOKUP($V619,DD_Info!$A$1:$E$221,3,0)),0,VLOOKUP($V619,DD_Info!$A$1:$E$221,3,0))</f>
        <v>Galv/Hous</v>
      </c>
      <c r="E619" s="322">
        <f>Councils!E622</f>
        <v>32</v>
      </c>
      <c r="F619" s="322">
        <f>Councils!F622</f>
        <v>3</v>
      </c>
      <c r="G619" s="322">
        <f>Councils!G622</f>
        <v>0</v>
      </c>
      <c r="H619" s="322">
        <f>Councils!H622</f>
        <v>0</v>
      </c>
      <c r="I619" s="322">
        <f>Councils!I622</f>
        <v>0</v>
      </c>
      <c r="J619" s="322">
        <f>Councils!J622</f>
        <v>0</v>
      </c>
      <c r="K619" s="322">
        <f>Councils!K622</f>
        <v>0</v>
      </c>
      <c r="L619" s="322">
        <f>Councils!L622</f>
        <v>0</v>
      </c>
      <c r="M619" s="323">
        <f>Councils!M622</f>
        <v>0</v>
      </c>
      <c r="N619" s="322">
        <f>Councils!O622</f>
        <v>0</v>
      </c>
      <c r="O619" s="322">
        <f>Councils!P622</f>
        <v>0</v>
      </c>
      <c r="P619" s="322">
        <f>Councils!Q622</f>
        <v>0</v>
      </c>
      <c r="Q619" s="322">
        <f>Councils!R622</f>
        <v>0</v>
      </c>
      <c r="R619" s="322">
        <f>Councils!S622</f>
        <v>0</v>
      </c>
      <c r="S619" s="322">
        <f>Councils!T622</f>
        <v>0</v>
      </c>
      <c r="T619" s="322">
        <f>Councils!U622</f>
        <v>0</v>
      </c>
      <c r="U619" s="323">
        <f>Councils!V622</f>
        <v>0</v>
      </c>
      <c r="V619" s="376">
        <v>98</v>
      </c>
      <c r="W619" s="377">
        <f t="shared" si="9"/>
        <v>3</v>
      </c>
      <c r="X619" s="378" t="str">
        <f>IF(ISNA(VLOOKUP($A619,GA!$A$1:$D$834,3,0))," ",VLOOKUP($A619,GA!$A$1:$D$834,3,0))</f>
        <v>Rangel</v>
      </c>
      <c r="Y619" s="379" t="str">
        <f>IF(ISNA(VLOOKUP($A619,Dormant_Councils!$A$1:$E$811,5,0)),"No",VLOOKUP($A619,Dormant_Councils!$A$1:$E$811,5,0))</f>
        <v>Dormant</v>
      </c>
      <c r="Z619" s="381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22" t="str">
        <f>Councils!C623</f>
        <v>075</v>
      </c>
      <c r="C620" s="322" t="str">
        <f>Councils!D623</f>
        <v>Richmond</v>
      </c>
      <c r="D620" s="322" t="str">
        <f>IF(ISNA(VLOOKUP($V620,DD_Info!$A$1:$E$221,3,0)),0,VLOOKUP($V620,DD_Info!$A$1:$E$221,3,0))</f>
        <v>Galv/Hous</v>
      </c>
      <c r="E620" s="322">
        <f>Councils!E623</f>
        <v>91</v>
      </c>
      <c r="F620" s="322">
        <f>Councils!F623</f>
        <v>5</v>
      </c>
      <c r="G620" s="322">
        <f>Councils!G623</f>
        <v>0</v>
      </c>
      <c r="H620" s="322">
        <f>Councils!H623</f>
        <v>0</v>
      </c>
      <c r="I620" s="322">
        <f>Councils!I623</f>
        <v>0</v>
      </c>
      <c r="J620" s="322">
        <f>Councils!J623</f>
        <v>0</v>
      </c>
      <c r="K620" s="322">
        <f>Councils!K623</f>
        <v>1</v>
      </c>
      <c r="L620" s="322">
        <f>Councils!L623</f>
        <v>-1</v>
      </c>
      <c r="M620" s="323">
        <f>Councils!M623</f>
        <v>0</v>
      </c>
      <c r="N620" s="322">
        <f>Councils!O623</f>
        <v>0</v>
      </c>
      <c r="O620" s="322">
        <f>Councils!P623</f>
        <v>0</v>
      </c>
      <c r="P620" s="322">
        <f>Councils!Q623</f>
        <v>0</v>
      </c>
      <c r="Q620" s="322">
        <f>Councils!R623</f>
        <v>0</v>
      </c>
      <c r="R620" s="322">
        <f>Councils!S623</f>
        <v>0</v>
      </c>
      <c r="S620" s="322">
        <f>Councils!T623</f>
        <v>0</v>
      </c>
      <c r="T620" s="322">
        <f>Councils!U623</f>
        <v>0</v>
      </c>
      <c r="U620" s="323">
        <f>Councils!V623</f>
        <v>0</v>
      </c>
      <c r="V620" s="376">
        <v>75</v>
      </c>
      <c r="W620" s="377">
        <f t="shared" si="9"/>
        <v>2</v>
      </c>
      <c r="X620" s="378" t="str">
        <f>IF(ISNA(VLOOKUP($A620,GA!$A$1:$D$834,3,0))," ",VLOOKUP($A620,GA!$A$1:$D$834,3,0))</f>
        <v>Supak</v>
      </c>
      <c r="Y620" s="379" t="str">
        <f>IF(ISNA(VLOOKUP($A620,Dormant_Councils!$A$1:$E$811,5,0)),"No",VLOOKUP($A620,Dormant_Councils!$A$1:$E$811,5,0))</f>
        <v>No</v>
      </c>
      <c r="Z620" s="381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22" t="str">
        <f>Councils!C624</f>
        <v>152</v>
      </c>
      <c r="C621" s="322" t="str">
        <f>Councils!D624</f>
        <v>Rockne</v>
      </c>
      <c r="D621" s="322" t="str">
        <f>IF(ISNA(VLOOKUP($V621,DD_Info!$A$1:$E$221,3,0)),0,VLOOKUP($V621,DD_Info!$A$1:$E$221,3,0))</f>
        <v>Austin</v>
      </c>
      <c r="E621" s="322">
        <f>Councils!E624</f>
        <v>150</v>
      </c>
      <c r="F621" s="322">
        <f>Councils!F624</f>
        <v>7</v>
      </c>
      <c r="G621" s="322">
        <f>Councils!G624</f>
        <v>0</v>
      </c>
      <c r="H621" s="322">
        <f>Councils!H624</f>
        <v>0</v>
      </c>
      <c r="I621" s="322">
        <f>Councils!I624</f>
        <v>0</v>
      </c>
      <c r="J621" s="322">
        <f>Councils!J624</f>
        <v>0</v>
      </c>
      <c r="K621" s="322">
        <f>Councils!K624</f>
        <v>0</v>
      </c>
      <c r="L621" s="322">
        <f>Councils!L624</f>
        <v>0</v>
      </c>
      <c r="M621" s="323">
        <f>Councils!M624</f>
        <v>0</v>
      </c>
      <c r="N621" s="322">
        <f>Councils!O624</f>
        <v>0</v>
      </c>
      <c r="O621" s="322">
        <f>Councils!P624</f>
        <v>0</v>
      </c>
      <c r="P621" s="322">
        <f>Councils!Q624</f>
        <v>1</v>
      </c>
      <c r="Q621" s="322">
        <f>Councils!R624</f>
        <v>-1</v>
      </c>
      <c r="R621" s="322">
        <f>Councils!S624</f>
        <v>0</v>
      </c>
      <c r="S621" s="322">
        <f>Councils!T624</f>
        <v>1</v>
      </c>
      <c r="T621" s="322">
        <f>Councils!U624</f>
        <v>-1</v>
      </c>
      <c r="U621" s="323">
        <f>Councils!V624</f>
        <v>0</v>
      </c>
      <c r="V621" s="376">
        <v>152</v>
      </c>
      <c r="W621" s="377">
        <f t="shared" si="9"/>
        <v>1</v>
      </c>
      <c r="X621" s="378" t="str">
        <f>IF(ISNA(VLOOKUP($A621,GA!$A$1:$D$834,3,0))," ",VLOOKUP($A621,GA!$A$1:$D$834,3,0))</f>
        <v>Rangel</v>
      </c>
      <c r="Y621" s="379" t="str">
        <f>IF(ISNA(VLOOKUP($A621,Dormant_Councils!$A$1:$E$811,5,0)),"No",VLOOKUP($A621,Dormant_Councils!$A$1:$E$811,5,0))</f>
        <v>No</v>
      </c>
      <c r="Z621" s="381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22" t="str">
        <f>Councils!C625</f>
        <v>223</v>
      </c>
      <c r="C622" s="322" t="str">
        <f>Councils!D625</f>
        <v>Midland</v>
      </c>
      <c r="D622" s="322" t="str">
        <f>IF(ISNA(VLOOKUP($V622,DD_Info!$A$1:$E$221,3,0)),0,VLOOKUP($V622,DD_Info!$A$1:$E$221,3,0))</f>
        <v>San Angelo</v>
      </c>
      <c r="E622" s="322">
        <f>Councils!E625</f>
        <v>216</v>
      </c>
      <c r="F622" s="322">
        <f>Councils!F625</f>
        <v>11</v>
      </c>
      <c r="G622" s="322">
        <f>Councils!G625</f>
        <v>1</v>
      </c>
      <c r="H622" s="322">
        <f>Councils!H625</f>
        <v>0</v>
      </c>
      <c r="I622" s="322">
        <f>Councils!I625</f>
        <v>1</v>
      </c>
      <c r="J622" s="322">
        <f>Councils!J625</f>
        <v>1</v>
      </c>
      <c r="K622" s="322">
        <f>Councils!K625</f>
        <v>0</v>
      </c>
      <c r="L622" s="322">
        <f>Councils!L625</f>
        <v>1</v>
      </c>
      <c r="M622" s="323">
        <f>Councils!M625</f>
        <v>9.09</v>
      </c>
      <c r="N622" s="322">
        <f>Councils!O625</f>
        <v>0</v>
      </c>
      <c r="O622" s="322">
        <f>Councils!P625</f>
        <v>0</v>
      </c>
      <c r="P622" s="322">
        <f>Councils!Q625</f>
        <v>1</v>
      </c>
      <c r="Q622" s="322">
        <f>Councils!R625</f>
        <v>-1</v>
      </c>
      <c r="R622" s="322">
        <f>Councils!S625</f>
        <v>1</v>
      </c>
      <c r="S622" s="322">
        <f>Councils!T625</f>
        <v>1</v>
      </c>
      <c r="T622" s="322">
        <f>Councils!U625</f>
        <v>0</v>
      </c>
      <c r="U622" s="323">
        <f>Councils!V625</f>
        <v>0</v>
      </c>
      <c r="V622" s="376">
        <v>223</v>
      </c>
      <c r="W622" s="377">
        <f t="shared" si="9"/>
        <v>1</v>
      </c>
      <c r="X622" s="378" t="str">
        <f>IF(ISNA(VLOOKUP($A622,GA!$A$1:$D$834,3,0))," ",VLOOKUP($A622,GA!$A$1:$D$834,3,0))</f>
        <v>Payne</v>
      </c>
      <c r="Y622" s="379" t="str">
        <f>IF(ISNA(VLOOKUP($A622,Dormant_Councils!$A$1:$E$811,5,0)),"No",VLOOKUP($A622,Dormant_Councils!$A$1:$E$811,5,0))</f>
        <v>No</v>
      </c>
      <c r="Z622" s="381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22" t="str">
        <f>Councils!C626</f>
        <v>215</v>
      </c>
      <c r="C623" s="322" t="str">
        <f>Councils!D626</f>
        <v>La Joya</v>
      </c>
      <c r="D623" s="322" t="str">
        <f>IF(ISNA(VLOOKUP($V623,DD_Info!$A$1:$E$221,3,0)),0,VLOOKUP($V623,DD_Info!$A$1:$E$221,3,0))</f>
        <v>Brownsville</v>
      </c>
      <c r="E623" s="322">
        <f>Councils!E626</f>
        <v>98</v>
      </c>
      <c r="F623" s="322">
        <f>Councils!F626</f>
        <v>5</v>
      </c>
      <c r="G623" s="322">
        <f>Councils!G626</f>
        <v>0</v>
      </c>
      <c r="H623" s="322">
        <f>Councils!H626</f>
        <v>1</v>
      </c>
      <c r="I623" s="322">
        <f>Councils!I626</f>
        <v>-1</v>
      </c>
      <c r="J623" s="322">
        <f>Councils!J626</f>
        <v>0</v>
      </c>
      <c r="K623" s="322">
        <f>Councils!K626</f>
        <v>2</v>
      </c>
      <c r="L623" s="322">
        <f>Councils!L626</f>
        <v>-2</v>
      </c>
      <c r="M623" s="323">
        <f>Councils!M626</f>
        <v>0</v>
      </c>
      <c r="N623" s="322">
        <f>Councils!O626</f>
        <v>0</v>
      </c>
      <c r="O623" s="322">
        <f>Councils!P626</f>
        <v>0</v>
      </c>
      <c r="P623" s="322">
        <f>Councils!Q626</f>
        <v>1</v>
      </c>
      <c r="Q623" s="322">
        <f>Councils!R626</f>
        <v>-1</v>
      </c>
      <c r="R623" s="322">
        <f>Councils!S626</f>
        <v>1</v>
      </c>
      <c r="S623" s="322">
        <f>Councils!T626</f>
        <v>2</v>
      </c>
      <c r="T623" s="322">
        <f>Councils!U626</f>
        <v>-1</v>
      </c>
      <c r="U623" s="323">
        <f>Councils!V626</f>
        <v>0</v>
      </c>
      <c r="V623" s="376">
        <v>215</v>
      </c>
      <c r="W623" s="377">
        <f t="shared" si="9"/>
        <v>2</v>
      </c>
      <c r="X623" s="378" t="str">
        <f>IF(ISNA(VLOOKUP($A623,GA!$A$1:$D$834,3,0))," ",VLOOKUP($A623,GA!$A$1:$D$834,3,0))</f>
        <v>Carlin</v>
      </c>
      <c r="Y623" s="379" t="str">
        <f>IF(ISNA(VLOOKUP($A623,Dormant_Councils!$A$1:$E$811,5,0)),"No",VLOOKUP($A623,Dormant_Councils!$A$1:$E$811,5,0))</f>
        <v>No</v>
      </c>
      <c r="Z623" s="381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22" t="str">
        <f>Councils!C627</f>
        <v>084</v>
      </c>
      <c r="C624" s="322" t="str">
        <f>Councils!D627</f>
        <v>Hempstead</v>
      </c>
      <c r="D624" s="322" t="str">
        <f>IF(ISNA(VLOOKUP($V624,DD_Info!$A$1:$E$221,3,0)),0,VLOOKUP($V624,DD_Info!$A$1:$E$221,3,0))</f>
        <v>Galv/Hous</v>
      </c>
      <c r="E624" s="322">
        <f>Councils!E627</f>
        <v>131</v>
      </c>
      <c r="F624" s="322">
        <f>Councils!F627</f>
        <v>7</v>
      </c>
      <c r="G624" s="322">
        <f>Councils!G627</f>
        <v>0</v>
      </c>
      <c r="H624" s="322">
        <f>Councils!H627</f>
        <v>0</v>
      </c>
      <c r="I624" s="322">
        <f>Councils!I627</f>
        <v>0</v>
      </c>
      <c r="J624" s="322">
        <f>Councils!J627</f>
        <v>2</v>
      </c>
      <c r="K624" s="322">
        <f>Councils!K627</f>
        <v>0</v>
      </c>
      <c r="L624" s="322">
        <f>Councils!L627</f>
        <v>2</v>
      </c>
      <c r="M624" s="323">
        <f>Councils!M627</f>
        <v>28.57</v>
      </c>
      <c r="N624" s="322">
        <f>Councils!O627</f>
        <v>0</v>
      </c>
      <c r="O624" s="322">
        <f>Councils!P627</f>
        <v>0</v>
      </c>
      <c r="P624" s="322">
        <f>Councils!Q627</f>
        <v>1</v>
      </c>
      <c r="Q624" s="322">
        <f>Councils!R627</f>
        <v>-1</v>
      </c>
      <c r="R624" s="322">
        <f>Councils!S627</f>
        <v>1</v>
      </c>
      <c r="S624" s="322">
        <f>Councils!T627</f>
        <v>1</v>
      </c>
      <c r="T624" s="322">
        <f>Councils!U627</f>
        <v>0</v>
      </c>
      <c r="U624" s="323">
        <f>Councils!V627</f>
        <v>0</v>
      </c>
      <c r="V624" s="376">
        <v>84</v>
      </c>
      <c r="W624" s="377">
        <f t="shared" si="9"/>
        <v>2</v>
      </c>
      <c r="X624" s="378" t="str">
        <f>IF(ISNA(VLOOKUP($A624,GA!$A$1:$D$834,3,0))," ",VLOOKUP($A624,GA!$A$1:$D$834,3,0))</f>
        <v>Rangel</v>
      </c>
      <c r="Y624" s="379" t="str">
        <f>IF(ISNA(VLOOKUP($A624,Dormant_Councils!$A$1:$E$811,5,0)),"No",VLOOKUP($A624,Dormant_Councils!$A$1:$E$811,5,0))</f>
        <v>No</v>
      </c>
      <c r="Z624" s="381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22" t="str">
        <f>Councils!C628</f>
        <v>004</v>
      </c>
      <c r="C625" s="322" t="str">
        <f>Councils!D628</f>
        <v>El Paso</v>
      </c>
      <c r="D625" s="322" t="str">
        <f>IF(ISNA(VLOOKUP($V625,DD_Info!$A$1:$E$221,3,0)),0,VLOOKUP($V625,DD_Info!$A$1:$E$221,3,0))</f>
        <v>El Paso</v>
      </c>
      <c r="E625" s="322">
        <f>Councils!E628</f>
        <v>30</v>
      </c>
      <c r="F625" s="322">
        <f>Councils!F628</f>
        <v>3</v>
      </c>
      <c r="G625" s="322">
        <f>Councils!G628</f>
        <v>0</v>
      </c>
      <c r="H625" s="322">
        <f>Councils!H628</f>
        <v>0</v>
      </c>
      <c r="I625" s="322">
        <f>Councils!I628</f>
        <v>0</v>
      </c>
      <c r="J625" s="322">
        <f>Councils!J628</f>
        <v>13</v>
      </c>
      <c r="K625" s="322">
        <f>Councils!K628</f>
        <v>0</v>
      </c>
      <c r="L625" s="322">
        <f>Councils!L628</f>
        <v>13</v>
      </c>
      <c r="M625" s="323">
        <f>Councils!M628</f>
        <v>433.33</v>
      </c>
      <c r="N625" s="322">
        <f>Councils!O628</f>
        <v>0</v>
      </c>
      <c r="O625" s="322">
        <f>Councils!P628</f>
        <v>0</v>
      </c>
      <c r="P625" s="322">
        <f>Councils!Q628</f>
        <v>0</v>
      </c>
      <c r="Q625" s="322">
        <f>Councils!R628</f>
        <v>0</v>
      </c>
      <c r="R625" s="322">
        <f>Councils!S628</f>
        <v>0</v>
      </c>
      <c r="S625" s="322">
        <f>Councils!T628</f>
        <v>0</v>
      </c>
      <c r="T625" s="322">
        <f>Councils!U628</f>
        <v>0</v>
      </c>
      <c r="U625" s="323">
        <f>Councils!V628</f>
        <v>0</v>
      </c>
      <c r="V625" s="376">
        <v>4</v>
      </c>
      <c r="W625" s="377">
        <f t="shared" si="9"/>
        <v>3</v>
      </c>
      <c r="X625" s="378" t="str">
        <f>IF(ISNA(VLOOKUP($A625,GA!$A$1:$D$834,3,0))," ",VLOOKUP($A625,GA!$A$1:$D$834,3,0))</f>
        <v>Payne</v>
      </c>
      <c r="Y625" s="379" t="str">
        <f>IF(ISNA(VLOOKUP($A625,Dormant_Councils!$A$1:$E$811,5,0)),"No",VLOOKUP($A625,Dormant_Councils!$A$1:$E$811,5,0))</f>
        <v>No</v>
      </c>
      <c r="Z625" s="381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22" t="str">
        <f>Councils!C629</f>
        <v>137</v>
      </c>
      <c r="C626" s="322" t="str">
        <f>Councils!D629</f>
        <v>Lindale</v>
      </c>
      <c r="D626" s="322" t="str">
        <f>IF(ISNA(VLOOKUP($V626,DD_Info!$A$1:$E$221,3,0)),0,VLOOKUP($V626,DD_Info!$A$1:$E$221,3,0))</f>
        <v>Tyler</v>
      </c>
      <c r="E626" s="322">
        <f>Councils!E629</f>
        <v>67</v>
      </c>
      <c r="F626" s="322">
        <f>Councils!F629</f>
        <v>3</v>
      </c>
      <c r="G626" s="322">
        <f>Councils!G629</f>
        <v>0</v>
      </c>
      <c r="H626" s="322">
        <f>Councils!H629</f>
        <v>0</v>
      </c>
      <c r="I626" s="322">
        <f>Councils!I629</f>
        <v>0</v>
      </c>
      <c r="J626" s="322">
        <f>Councils!J629</f>
        <v>0</v>
      </c>
      <c r="K626" s="322">
        <f>Councils!K629</f>
        <v>0</v>
      </c>
      <c r="L626" s="322">
        <f>Councils!L629</f>
        <v>0</v>
      </c>
      <c r="M626" s="323">
        <f>Councils!M629</f>
        <v>0</v>
      </c>
      <c r="N626" s="322">
        <f>Councils!O629</f>
        <v>0</v>
      </c>
      <c r="O626" s="322">
        <f>Councils!P629</f>
        <v>0</v>
      </c>
      <c r="P626" s="322">
        <f>Councils!Q629</f>
        <v>0</v>
      </c>
      <c r="Q626" s="322">
        <f>Councils!R629</f>
        <v>0</v>
      </c>
      <c r="R626" s="322">
        <f>Councils!S629</f>
        <v>0</v>
      </c>
      <c r="S626" s="322">
        <f>Councils!T629</f>
        <v>1</v>
      </c>
      <c r="T626" s="322">
        <f>Councils!U629</f>
        <v>-1</v>
      </c>
      <c r="U626" s="323">
        <f>Councils!V629</f>
        <v>0</v>
      </c>
      <c r="V626" s="376">
        <v>137</v>
      </c>
      <c r="W626" s="377">
        <f t="shared" si="9"/>
        <v>2</v>
      </c>
      <c r="X626" s="378" t="str">
        <f>IF(ISNA(VLOOKUP($A626,GA!$A$1:$D$834,3,0))," ",VLOOKUP($A626,GA!$A$1:$D$834,3,0))</f>
        <v>Regan</v>
      </c>
      <c r="Y626" s="379" t="str">
        <f>IF(ISNA(VLOOKUP($A626,Dormant_Councils!$A$1:$E$811,5,0)),"No",VLOOKUP($A626,Dormant_Councils!$A$1:$E$811,5,0))</f>
        <v>No</v>
      </c>
      <c r="Z626" s="381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22" t="str">
        <f>Councils!C630</f>
        <v>088</v>
      </c>
      <c r="C627" s="322" t="str">
        <f>Councils!D630</f>
        <v>Houston</v>
      </c>
      <c r="D627" s="322" t="str">
        <f>IF(ISNA(VLOOKUP($V627,DD_Info!$A$1:$E$221,3,0)),0,VLOOKUP($V627,DD_Info!$A$1:$E$221,3,0))</f>
        <v>Galv/Hous</v>
      </c>
      <c r="E627" s="322">
        <f>Councils!E630</f>
        <v>148</v>
      </c>
      <c r="F627" s="322">
        <f>Councils!F630</f>
        <v>7</v>
      </c>
      <c r="G627" s="322">
        <f>Councils!G630</f>
        <v>0</v>
      </c>
      <c r="H627" s="322">
        <f>Councils!H630</f>
        <v>0</v>
      </c>
      <c r="I627" s="322">
        <f>Councils!I630</f>
        <v>0</v>
      </c>
      <c r="J627" s="322">
        <f>Councils!J630</f>
        <v>0</v>
      </c>
      <c r="K627" s="322">
        <f>Councils!K630</f>
        <v>0</v>
      </c>
      <c r="L627" s="322">
        <f>Councils!L630</f>
        <v>0</v>
      </c>
      <c r="M627" s="323">
        <f>Councils!M630</f>
        <v>0</v>
      </c>
      <c r="N627" s="322">
        <f>Councils!O630</f>
        <v>0</v>
      </c>
      <c r="O627" s="322">
        <f>Councils!P630</f>
        <v>0</v>
      </c>
      <c r="P627" s="322">
        <f>Councils!Q630</f>
        <v>1</v>
      </c>
      <c r="Q627" s="322">
        <f>Councils!R630</f>
        <v>-1</v>
      </c>
      <c r="R627" s="322">
        <f>Councils!S630</f>
        <v>0</v>
      </c>
      <c r="S627" s="322">
        <f>Councils!T630</f>
        <v>1</v>
      </c>
      <c r="T627" s="322">
        <f>Councils!U630</f>
        <v>-1</v>
      </c>
      <c r="U627" s="323">
        <f>Councils!V630</f>
        <v>0</v>
      </c>
      <c r="V627" s="376">
        <v>88</v>
      </c>
      <c r="W627" s="377">
        <f t="shared" si="9"/>
        <v>1</v>
      </c>
      <c r="X627" s="378" t="str">
        <f>IF(ISNA(VLOOKUP($A627,GA!$A$1:$D$834,3,0))," ",VLOOKUP($A627,GA!$A$1:$D$834,3,0))</f>
        <v>Rangel</v>
      </c>
      <c r="Y627" s="379" t="str">
        <f>IF(ISNA(VLOOKUP($A627,Dormant_Councils!$A$1:$E$811,5,0)),"No",VLOOKUP($A627,Dormant_Councils!$A$1:$E$811,5,0))</f>
        <v>No</v>
      </c>
      <c r="Z627" s="381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22" t="str">
        <f>Councils!C631</f>
        <v>217</v>
      </c>
      <c r="C628" s="322" t="str">
        <f>Councils!D631</f>
        <v>Pharr</v>
      </c>
      <c r="D628" s="322" t="str">
        <f>IF(ISNA(VLOOKUP($V628,DD_Info!$A$1:$E$221,3,0)),0,VLOOKUP($V628,DD_Info!$A$1:$E$221,3,0))</f>
        <v>Brownsville</v>
      </c>
      <c r="E628" s="322">
        <f>Councils!E631</f>
        <v>60</v>
      </c>
      <c r="F628" s="322">
        <f>Councils!F631</f>
        <v>3</v>
      </c>
      <c r="G628" s="322">
        <f>Councils!G631</f>
        <v>0</v>
      </c>
      <c r="H628" s="322">
        <f>Councils!H631</f>
        <v>0</v>
      </c>
      <c r="I628" s="322">
        <f>Councils!I631</f>
        <v>0</v>
      </c>
      <c r="J628" s="322">
        <f>Councils!J631</f>
        <v>0</v>
      </c>
      <c r="K628" s="322">
        <f>Councils!K631</f>
        <v>0</v>
      </c>
      <c r="L628" s="322">
        <f>Councils!L631</f>
        <v>0</v>
      </c>
      <c r="M628" s="323">
        <f>Councils!M631</f>
        <v>0</v>
      </c>
      <c r="N628" s="322">
        <f>Councils!O631</f>
        <v>0</v>
      </c>
      <c r="O628" s="322">
        <f>Councils!P631</f>
        <v>0</v>
      </c>
      <c r="P628" s="322">
        <f>Councils!Q631</f>
        <v>0</v>
      </c>
      <c r="Q628" s="322">
        <f>Councils!R631</f>
        <v>0</v>
      </c>
      <c r="R628" s="322">
        <f>Councils!S631</f>
        <v>1</v>
      </c>
      <c r="S628" s="322">
        <f>Councils!T631</f>
        <v>1</v>
      </c>
      <c r="T628" s="322">
        <f>Councils!U631</f>
        <v>0</v>
      </c>
      <c r="U628" s="323">
        <f>Councils!V631</f>
        <v>0</v>
      </c>
      <c r="V628" s="376">
        <v>217</v>
      </c>
      <c r="W628" s="377">
        <f t="shared" si="9"/>
        <v>3</v>
      </c>
      <c r="X628" s="378" t="str">
        <f>IF(ISNA(VLOOKUP($A628,GA!$A$1:$D$834,3,0))," ",VLOOKUP($A628,GA!$A$1:$D$834,3,0))</f>
        <v>Carlin</v>
      </c>
      <c r="Y628" s="379" t="str">
        <f>IF(ISNA(VLOOKUP($A628,Dormant_Councils!$A$1:$E$811,5,0)),"No",VLOOKUP($A628,Dormant_Councils!$A$1:$E$811,5,0))</f>
        <v>No</v>
      </c>
      <c r="Z628" s="381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22" t="str">
        <f>Councils!C632</f>
        <v>219</v>
      </c>
      <c r="C629" s="322" t="str">
        <f>Councils!D632</f>
        <v>Mc Allen</v>
      </c>
      <c r="D629" s="322" t="str">
        <f>IF(ISNA(VLOOKUP($V629,DD_Info!$A$1:$E$221,3,0)),0,VLOOKUP($V629,DD_Info!$A$1:$E$221,3,0))</f>
        <v>Brownsville</v>
      </c>
      <c r="E629" s="322">
        <f>Councils!E632</f>
        <v>129</v>
      </c>
      <c r="F629" s="322">
        <f>Councils!F632</f>
        <v>6</v>
      </c>
      <c r="G629" s="322">
        <f>Councils!G632</f>
        <v>0</v>
      </c>
      <c r="H629" s="322">
        <f>Councils!H632</f>
        <v>0</v>
      </c>
      <c r="I629" s="322">
        <f>Councils!I632</f>
        <v>0</v>
      </c>
      <c r="J629" s="322">
        <f>Councils!J632</f>
        <v>0</v>
      </c>
      <c r="K629" s="322">
        <f>Councils!K632</f>
        <v>0</v>
      </c>
      <c r="L629" s="322">
        <f>Councils!L632</f>
        <v>0</v>
      </c>
      <c r="M629" s="323">
        <f>Councils!M632</f>
        <v>0</v>
      </c>
      <c r="N629" s="322">
        <f>Councils!O632</f>
        <v>0</v>
      </c>
      <c r="O629" s="322">
        <f>Councils!P632</f>
        <v>0</v>
      </c>
      <c r="P629" s="322">
        <f>Councils!Q632</f>
        <v>0</v>
      </c>
      <c r="Q629" s="322">
        <f>Councils!R632</f>
        <v>0</v>
      </c>
      <c r="R629" s="322">
        <f>Councils!S632</f>
        <v>0</v>
      </c>
      <c r="S629" s="322">
        <f>Councils!T632</f>
        <v>0</v>
      </c>
      <c r="T629" s="322">
        <f>Councils!U632</f>
        <v>0</v>
      </c>
      <c r="U629" s="323">
        <f>Councils!V632</f>
        <v>0</v>
      </c>
      <c r="V629" s="376">
        <v>219</v>
      </c>
      <c r="W629" s="377">
        <f t="shared" si="9"/>
        <v>2</v>
      </c>
      <c r="X629" s="378" t="str">
        <f>IF(ISNA(VLOOKUP($A629,GA!$A$1:$D$834,3,0))," ",VLOOKUP($A629,GA!$A$1:$D$834,3,0))</f>
        <v>Carlin</v>
      </c>
      <c r="Y629" s="379" t="str">
        <f>IF(ISNA(VLOOKUP($A629,Dormant_Councils!$A$1:$E$811,5,0)),"No",VLOOKUP($A629,Dormant_Councils!$A$1:$E$811,5,0))</f>
        <v>Dormant</v>
      </c>
      <c r="Z629" s="381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22" t="str">
        <f>Councils!C633</f>
        <v>224</v>
      </c>
      <c r="C630" s="322" t="str">
        <f>Councils!D633</f>
        <v>San Angelo</v>
      </c>
      <c r="D630" s="322" t="str">
        <f>IF(ISNA(VLOOKUP($V630,DD_Info!$A$1:$E$221,3,0)),0,VLOOKUP($V630,DD_Info!$A$1:$E$221,3,0))</f>
        <v>San Angelo</v>
      </c>
      <c r="E630" s="322">
        <f>Councils!E633</f>
        <v>89</v>
      </c>
      <c r="F630" s="322">
        <f>Councils!F633</f>
        <v>4</v>
      </c>
      <c r="G630" s="322">
        <f>Councils!G633</f>
        <v>0</v>
      </c>
      <c r="H630" s="322">
        <f>Councils!H633</f>
        <v>0</v>
      </c>
      <c r="I630" s="322">
        <f>Councils!I633</f>
        <v>0</v>
      </c>
      <c r="J630" s="322">
        <f>Councils!J633</f>
        <v>0</v>
      </c>
      <c r="K630" s="322">
        <f>Councils!K633</f>
        <v>0</v>
      </c>
      <c r="L630" s="322">
        <f>Councils!L633</f>
        <v>0</v>
      </c>
      <c r="M630" s="323">
        <f>Councils!M633</f>
        <v>0</v>
      </c>
      <c r="N630" s="322">
        <f>Councils!O633</f>
        <v>0</v>
      </c>
      <c r="O630" s="322">
        <f>Councils!P633</f>
        <v>0</v>
      </c>
      <c r="P630" s="322">
        <f>Councils!Q633</f>
        <v>0</v>
      </c>
      <c r="Q630" s="322">
        <f>Councils!R633</f>
        <v>0</v>
      </c>
      <c r="R630" s="322">
        <f>Councils!S633</f>
        <v>0</v>
      </c>
      <c r="S630" s="322">
        <f>Councils!T633</f>
        <v>0</v>
      </c>
      <c r="T630" s="322">
        <f>Councils!U633</f>
        <v>0</v>
      </c>
      <c r="U630" s="323">
        <f>Councils!V633</f>
        <v>0</v>
      </c>
      <c r="V630" s="376">
        <v>224</v>
      </c>
      <c r="W630" s="377">
        <f t="shared" si="9"/>
        <v>2</v>
      </c>
      <c r="X630" s="378" t="str">
        <f>IF(ISNA(VLOOKUP($A630,GA!$A$1:$D$834,3,0))," ",VLOOKUP($A630,GA!$A$1:$D$834,3,0))</f>
        <v>Payne</v>
      </c>
      <c r="Y630" s="379" t="str">
        <f>IF(ISNA(VLOOKUP($A630,Dormant_Councils!$A$1:$E$811,5,0)),"No",VLOOKUP($A630,Dormant_Councils!$A$1:$E$811,5,0))</f>
        <v>No</v>
      </c>
      <c r="Z630" s="381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22" t="str">
        <f>Councils!C634</f>
        <v>246</v>
      </c>
      <c r="C631" s="322" t="str">
        <f>Councils!D634</f>
        <v>Lubbock</v>
      </c>
      <c r="D631" s="322" t="str">
        <f>IF(ISNA(VLOOKUP($V631,DD_Info!$A$1:$E$221,3,0)),0,VLOOKUP($V631,DD_Info!$A$1:$E$221,3,0))</f>
        <v>Lubbock</v>
      </c>
      <c r="E631" s="322">
        <f>Councils!E634</f>
        <v>137</v>
      </c>
      <c r="F631" s="322">
        <f>Councils!F634</f>
        <v>6</v>
      </c>
      <c r="G631" s="322">
        <f>Councils!G634</f>
        <v>1</v>
      </c>
      <c r="H631" s="322">
        <f>Councils!H634</f>
        <v>0</v>
      </c>
      <c r="I631" s="322">
        <f>Councils!I634</f>
        <v>1</v>
      </c>
      <c r="J631" s="322">
        <f>Councils!J634</f>
        <v>1</v>
      </c>
      <c r="K631" s="322">
        <f>Councils!K634</f>
        <v>6</v>
      </c>
      <c r="L631" s="322">
        <f>Councils!L634</f>
        <v>-5</v>
      </c>
      <c r="M631" s="323">
        <f>Councils!M634</f>
        <v>0</v>
      </c>
      <c r="N631" s="322">
        <f>Councils!O634</f>
        <v>0</v>
      </c>
      <c r="O631" s="322">
        <f>Councils!P634</f>
        <v>0</v>
      </c>
      <c r="P631" s="322">
        <f>Councils!Q634</f>
        <v>0</v>
      </c>
      <c r="Q631" s="322">
        <f>Councils!R634</f>
        <v>0</v>
      </c>
      <c r="R631" s="322">
        <f>Councils!S634</f>
        <v>0</v>
      </c>
      <c r="S631" s="322">
        <f>Councils!T634</f>
        <v>1</v>
      </c>
      <c r="T631" s="322">
        <f>Councils!U634</f>
        <v>-1</v>
      </c>
      <c r="U631" s="323">
        <f>Councils!V634</f>
        <v>0</v>
      </c>
      <c r="V631" s="376">
        <v>246</v>
      </c>
      <c r="W631" s="377">
        <f t="shared" si="9"/>
        <v>2</v>
      </c>
      <c r="X631" s="378" t="str">
        <f>IF(ISNA(VLOOKUP($A631,GA!$A$1:$D$834,3,0))," ",VLOOKUP($A631,GA!$A$1:$D$834,3,0))</f>
        <v>Payne</v>
      </c>
      <c r="Y631" s="379" t="str">
        <f>IF(ISNA(VLOOKUP($A631,Dormant_Councils!$A$1:$E$811,5,0)),"No",VLOOKUP($A631,Dormant_Councils!$A$1:$E$811,5,0))</f>
        <v>No</v>
      </c>
      <c r="Z631" s="381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22" t="str">
        <f>Councils!C635</f>
        <v>123</v>
      </c>
      <c r="C632" s="322" t="str">
        <f>Councils!D635</f>
        <v>Port Arthur</v>
      </c>
      <c r="D632" s="322" t="str">
        <f>IF(ISNA(VLOOKUP($V632,DD_Info!$A$1:$E$221,3,0)),0,VLOOKUP($V632,DD_Info!$A$1:$E$221,3,0))</f>
        <v>Beaumont</v>
      </c>
      <c r="E632" s="322">
        <f>Councils!E635</f>
        <v>108</v>
      </c>
      <c r="F632" s="322">
        <f>Councils!F635</f>
        <v>5</v>
      </c>
      <c r="G632" s="322">
        <f>Councils!G635</f>
        <v>0</v>
      </c>
      <c r="H632" s="322">
        <f>Councils!H635</f>
        <v>0</v>
      </c>
      <c r="I632" s="322">
        <f>Councils!I635</f>
        <v>0</v>
      </c>
      <c r="J632" s="322">
        <f>Councils!J635</f>
        <v>0</v>
      </c>
      <c r="K632" s="322">
        <f>Councils!K635</f>
        <v>0</v>
      </c>
      <c r="L632" s="322">
        <f>Councils!L635</f>
        <v>0</v>
      </c>
      <c r="M632" s="323">
        <f>Councils!M635</f>
        <v>0</v>
      </c>
      <c r="N632" s="322">
        <f>Councils!O635</f>
        <v>0</v>
      </c>
      <c r="O632" s="322">
        <f>Councils!P635</f>
        <v>0</v>
      </c>
      <c r="P632" s="322">
        <f>Councils!Q635</f>
        <v>0</v>
      </c>
      <c r="Q632" s="322">
        <f>Councils!R635</f>
        <v>0</v>
      </c>
      <c r="R632" s="322">
        <f>Councils!S635</f>
        <v>0</v>
      </c>
      <c r="S632" s="322">
        <f>Councils!T635</f>
        <v>0</v>
      </c>
      <c r="T632" s="322">
        <f>Councils!U635</f>
        <v>0</v>
      </c>
      <c r="U632" s="323">
        <f>Councils!V635</f>
        <v>0</v>
      </c>
      <c r="V632" s="376">
        <v>123</v>
      </c>
      <c r="W632" s="377">
        <f t="shared" si="9"/>
        <v>2</v>
      </c>
      <c r="X632" s="378" t="str">
        <f>IF(ISNA(VLOOKUP($A632,GA!$A$1:$D$834,3,0))," ",VLOOKUP($A632,GA!$A$1:$D$834,3,0))</f>
        <v>Rangel</v>
      </c>
      <c r="Y632" s="379" t="str">
        <f>IF(ISNA(VLOOKUP($A632,Dormant_Councils!$A$1:$E$811,5,0)),"No",VLOOKUP($A632,Dormant_Councils!$A$1:$E$811,5,0))</f>
        <v>No</v>
      </c>
      <c r="Z632" s="381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22" t="str">
        <f>Councils!C636</f>
        <v>077</v>
      </c>
      <c r="C633" s="322" t="str">
        <f>Councils!D636</f>
        <v>Houston</v>
      </c>
      <c r="D633" s="322" t="str">
        <f>IF(ISNA(VLOOKUP($V633,DD_Info!$A$1:$E$221,3,0)),0,VLOOKUP($V633,DD_Info!$A$1:$E$221,3,0))</f>
        <v>Galv/Hous</v>
      </c>
      <c r="E633" s="322">
        <f>Councils!E636</f>
        <v>195</v>
      </c>
      <c r="F633" s="322">
        <f>Councils!F636</f>
        <v>10</v>
      </c>
      <c r="G633" s="322">
        <f>Councils!G636</f>
        <v>4</v>
      </c>
      <c r="H633" s="322">
        <f>Councils!H636</f>
        <v>0</v>
      </c>
      <c r="I633" s="322">
        <f>Councils!I636</f>
        <v>4</v>
      </c>
      <c r="J633" s="322">
        <f>Councils!J636</f>
        <v>20</v>
      </c>
      <c r="K633" s="322">
        <f>Councils!K636</f>
        <v>0</v>
      </c>
      <c r="L633" s="322">
        <f>Councils!L636</f>
        <v>20</v>
      </c>
      <c r="M633" s="323">
        <f>Councils!M636</f>
        <v>200</v>
      </c>
      <c r="N633" s="322">
        <f>Councils!O636</f>
        <v>0</v>
      </c>
      <c r="O633" s="322">
        <f>Councils!P636</f>
        <v>3</v>
      </c>
      <c r="P633" s="322">
        <f>Councils!Q636</f>
        <v>0</v>
      </c>
      <c r="Q633" s="322">
        <f>Councils!R636</f>
        <v>3</v>
      </c>
      <c r="R633" s="322">
        <f>Councils!S636</f>
        <v>10</v>
      </c>
      <c r="S633" s="322">
        <f>Councils!T636</f>
        <v>3</v>
      </c>
      <c r="T633" s="322">
        <f>Councils!U636</f>
        <v>7</v>
      </c>
      <c r="U633" s="323">
        <f>Councils!V636</f>
        <v>0</v>
      </c>
      <c r="V633" s="376">
        <v>77</v>
      </c>
      <c r="W633" s="377">
        <f t="shared" si="9"/>
        <v>1</v>
      </c>
      <c r="X633" s="378" t="str">
        <f>IF(ISNA(VLOOKUP($A633,GA!$A$1:$D$834,3,0))," ",VLOOKUP($A633,GA!$A$1:$D$834,3,0))</f>
        <v>Rangel</v>
      </c>
      <c r="Y633" s="379" t="str">
        <f>IF(ISNA(VLOOKUP($A633,Dormant_Councils!$A$1:$E$811,5,0)),"No",VLOOKUP($A633,Dormant_Councils!$A$1:$E$811,5,0))</f>
        <v>No</v>
      </c>
      <c r="Z633" s="381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22" t="str">
        <f>Councils!C637</f>
        <v>241</v>
      </c>
      <c r="C634" s="322" t="str">
        <f>Councils!D637</f>
        <v>Plainview</v>
      </c>
      <c r="D634" s="322" t="str">
        <f>IF(ISNA(VLOOKUP($V634,DD_Info!$A$1:$E$221,3,0)),0,VLOOKUP($V634,DD_Info!$A$1:$E$221,3,0))</f>
        <v>Lubbock</v>
      </c>
      <c r="E634" s="322">
        <f>Councils!E637</f>
        <v>20</v>
      </c>
      <c r="F634" s="322">
        <f>Councils!F637</f>
        <v>3</v>
      </c>
      <c r="G634" s="322">
        <f>Councils!G637</f>
        <v>0</v>
      </c>
      <c r="H634" s="322">
        <f>Councils!H637</f>
        <v>0</v>
      </c>
      <c r="I634" s="322">
        <f>Councils!I637</f>
        <v>0</v>
      </c>
      <c r="J634" s="322">
        <f>Councils!J637</f>
        <v>0</v>
      </c>
      <c r="K634" s="322">
        <f>Councils!K637</f>
        <v>0</v>
      </c>
      <c r="L634" s="322">
        <f>Councils!L637</f>
        <v>0</v>
      </c>
      <c r="M634" s="323">
        <f>Councils!M637</f>
        <v>0</v>
      </c>
      <c r="N634" s="322">
        <f>Councils!O637</f>
        <v>0</v>
      </c>
      <c r="O634" s="322">
        <f>Councils!P637</f>
        <v>0</v>
      </c>
      <c r="P634" s="322">
        <f>Councils!Q637</f>
        <v>0</v>
      </c>
      <c r="Q634" s="322">
        <f>Councils!R637</f>
        <v>0</v>
      </c>
      <c r="R634" s="322">
        <f>Councils!S637</f>
        <v>0</v>
      </c>
      <c r="S634" s="322">
        <f>Councils!T637</f>
        <v>0</v>
      </c>
      <c r="T634" s="322">
        <f>Councils!U637</f>
        <v>0</v>
      </c>
      <c r="U634" s="323">
        <f>Councils!V637</f>
        <v>0</v>
      </c>
      <c r="V634" s="376">
        <v>241</v>
      </c>
      <c r="W634" s="377">
        <f t="shared" si="9"/>
        <v>3</v>
      </c>
      <c r="X634" s="378" t="str">
        <f>IF(ISNA(VLOOKUP($A634,GA!$A$1:$D$834,3,0))," ",VLOOKUP($A634,GA!$A$1:$D$834,3,0))</f>
        <v>Payne</v>
      </c>
      <c r="Y634" s="379" t="str">
        <f>IF(ISNA(VLOOKUP($A634,Dormant_Councils!$A$1:$E$811,5,0)),"No",VLOOKUP($A634,Dormant_Councils!$A$1:$E$811,5,0))</f>
        <v>Dormant</v>
      </c>
      <c r="Z634" s="381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22" t="str">
        <f>Councils!C638</f>
        <v>098</v>
      </c>
      <c r="C635" s="322" t="str">
        <f>Councils!D638</f>
        <v>Houston</v>
      </c>
      <c r="D635" s="322" t="str">
        <f>IF(ISNA(VLOOKUP($V635,DD_Info!$A$1:$E$221,3,0)),0,VLOOKUP($V635,DD_Info!$A$1:$E$221,3,0))</f>
        <v>Galv/Hous</v>
      </c>
      <c r="E635" s="322">
        <f>Councils!E638</f>
        <v>21</v>
      </c>
      <c r="F635" s="322">
        <f>Councils!F638</f>
        <v>3</v>
      </c>
      <c r="G635" s="322">
        <f>Councils!G638</f>
        <v>0</v>
      </c>
      <c r="H635" s="322">
        <f>Councils!H638</f>
        <v>0</v>
      </c>
      <c r="I635" s="322">
        <f>Councils!I638</f>
        <v>0</v>
      </c>
      <c r="J635" s="322">
        <f>Councils!J638</f>
        <v>0</v>
      </c>
      <c r="K635" s="322">
        <f>Councils!K638</f>
        <v>0</v>
      </c>
      <c r="L635" s="322">
        <f>Councils!L638</f>
        <v>0</v>
      </c>
      <c r="M635" s="323">
        <f>Councils!M638</f>
        <v>0</v>
      </c>
      <c r="N635" s="322">
        <f>Councils!O638</f>
        <v>0</v>
      </c>
      <c r="O635" s="322">
        <f>Councils!P638</f>
        <v>0</v>
      </c>
      <c r="P635" s="322">
        <f>Councils!Q638</f>
        <v>0</v>
      </c>
      <c r="Q635" s="322">
        <f>Councils!R638</f>
        <v>0</v>
      </c>
      <c r="R635" s="322">
        <f>Councils!S638</f>
        <v>0</v>
      </c>
      <c r="S635" s="322">
        <f>Councils!T638</f>
        <v>1</v>
      </c>
      <c r="T635" s="322">
        <f>Councils!U638</f>
        <v>-1</v>
      </c>
      <c r="U635" s="323">
        <f>Councils!V638</f>
        <v>0</v>
      </c>
      <c r="V635" s="376">
        <v>98</v>
      </c>
      <c r="W635" s="377">
        <f t="shared" si="9"/>
        <v>3</v>
      </c>
      <c r="X635" s="378" t="str">
        <f>IF(ISNA(VLOOKUP($A635,GA!$A$1:$D$834,3,0))," ",VLOOKUP($A635,GA!$A$1:$D$834,3,0))</f>
        <v>Rangel</v>
      </c>
      <c r="Y635" s="379" t="str">
        <f>IF(ISNA(VLOOKUP($A635,Dormant_Councils!$A$1:$E$811,5,0)),"No",VLOOKUP($A635,Dormant_Councils!$A$1:$E$811,5,0))</f>
        <v>Dormant</v>
      </c>
      <c r="Z635" s="381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22" t="str">
        <f>Councils!C639</f>
        <v>064</v>
      </c>
      <c r="C636" s="322" t="str">
        <f>Councils!D639</f>
        <v>Houston</v>
      </c>
      <c r="D636" s="322" t="str">
        <f>IF(ISNA(VLOOKUP($V636,DD_Info!$A$1:$E$221,3,0)),0,VLOOKUP($V636,DD_Info!$A$1:$E$221,3,0))</f>
        <v>Galv/Hous</v>
      </c>
      <c r="E636" s="322">
        <f>Councils!E639</f>
        <v>59</v>
      </c>
      <c r="F636" s="322">
        <f>Councils!F639</f>
        <v>3</v>
      </c>
      <c r="G636" s="322">
        <f>Councils!G639</f>
        <v>0</v>
      </c>
      <c r="H636" s="322">
        <f>Councils!H639</f>
        <v>0</v>
      </c>
      <c r="I636" s="322">
        <f>Councils!I639</f>
        <v>0</v>
      </c>
      <c r="J636" s="322">
        <f>Councils!J639</f>
        <v>0</v>
      </c>
      <c r="K636" s="322">
        <f>Councils!K639</f>
        <v>0</v>
      </c>
      <c r="L636" s="322">
        <f>Councils!L639</f>
        <v>0</v>
      </c>
      <c r="M636" s="323">
        <f>Councils!M639</f>
        <v>0</v>
      </c>
      <c r="N636" s="322">
        <f>Councils!O639</f>
        <v>0</v>
      </c>
      <c r="O636" s="322">
        <f>Councils!P639</f>
        <v>0</v>
      </c>
      <c r="P636" s="322">
        <f>Councils!Q639</f>
        <v>0</v>
      </c>
      <c r="Q636" s="322">
        <f>Councils!R639</f>
        <v>0</v>
      </c>
      <c r="R636" s="322">
        <f>Councils!S639</f>
        <v>0</v>
      </c>
      <c r="S636" s="322">
        <f>Councils!T639</f>
        <v>0</v>
      </c>
      <c r="T636" s="322">
        <f>Councils!U639</f>
        <v>0</v>
      </c>
      <c r="U636" s="323">
        <f>Councils!V639</f>
        <v>0</v>
      </c>
      <c r="V636" s="376">
        <v>64</v>
      </c>
      <c r="W636" s="377">
        <f t="shared" si="9"/>
        <v>3</v>
      </c>
      <c r="X636" s="378" t="str">
        <f>IF(ISNA(VLOOKUP($A636,GA!$A$1:$D$834,3,0))," ",VLOOKUP($A636,GA!$A$1:$D$834,3,0))</f>
        <v>Rangel</v>
      </c>
      <c r="Y636" s="379" t="str">
        <f>IF(ISNA(VLOOKUP($A636,Dormant_Councils!$A$1:$E$811,5,0)),"No",VLOOKUP($A636,Dormant_Councils!$A$1:$E$811,5,0))</f>
        <v>No</v>
      </c>
      <c r="Z636" s="381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22" t="str">
        <f>Councils!C640</f>
        <v>213</v>
      </c>
      <c r="C637" s="322" t="str">
        <f>Councils!D640</f>
        <v>Mercedes</v>
      </c>
      <c r="D637" s="322" t="str">
        <f>IF(ISNA(VLOOKUP($V637,DD_Info!$A$1:$E$221,3,0)),0,VLOOKUP($V637,DD_Info!$A$1:$E$221,3,0))</f>
        <v>Brownsville</v>
      </c>
      <c r="E637" s="322">
        <f>Councils!E640</f>
        <v>89</v>
      </c>
      <c r="F637" s="322">
        <f>Councils!F640</f>
        <v>4</v>
      </c>
      <c r="G637" s="322">
        <f>Councils!G640</f>
        <v>0</v>
      </c>
      <c r="H637" s="322">
        <f>Councils!H640</f>
        <v>0</v>
      </c>
      <c r="I637" s="322">
        <f>Councils!I640</f>
        <v>0</v>
      </c>
      <c r="J637" s="322">
        <f>Councils!J640</f>
        <v>1</v>
      </c>
      <c r="K637" s="322">
        <f>Councils!K640</f>
        <v>6</v>
      </c>
      <c r="L637" s="322">
        <f>Councils!L640</f>
        <v>-5</v>
      </c>
      <c r="M637" s="323">
        <f>Councils!M640</f>
        <v>0</v>
      </c>
      <c r="N637" s="322">
        <f>Councils!O640</f>
        <v>0</v>
      </c>
      <c r="O637" s="322">
        <f>Councils!P640</f>
        <v>0</v>
      </c>
      <c r="P637" s="322">
        <f>Councils!Q640</f>
        <v>1</v>
      </c>
      <c r="Q637" s="322">
        <f>Councils!R640</f>
        <v>-1</v>
      </c>
      <c r="R637" s="322">
        <f>Councils!S640</f>
        <v>0</v>
      </c>
      <c r="S637" s="322">
        <f>Councils!T640</f>
        <v>3</v>
      </c>
      <c r="T637" s="322">
        <f>Councils!U640</f>
        <v>-3</v>
      </c>
      <c r="U637" s="323">
        <f>Councils!V640</f>
        <v>0</v>
      </c>
      <c r="V637" s="376">
        <v>213</v>
      </c>
      <c r="W637" s="377">
        <f t="shared" si="9"/>
        <v>2</v>
      </c>
      <c r="X637" s="378" t="str">
        <f>IF(ISNA(VLOOKUP($A637,GA!$A$1:$D$834,3,0))," ",VLOOKUP($A637,GA!$A$1:$D$834,3,0))</f>
        <v>Carlin</v>
      </c>
      <c r="Y637" s="379" t="str">
        <f>IF(ISNA(VLOOKUP($A637,Dormant_Councils!$A$1:$E$811,5,0)),"No",VLOOKUP($A637,Dormant_Councils!$A$1:$E$811,5,0))</f>
        <v>No</v>
      </c>
      <c r="Z637" s="381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22" t="str">
        <f>Councils!C641</f>
        <v>150</v>
      </c>
      <c r="C638" s="322" t="str">
        <f>Councils!D641</f>
        <v>Hutto</v>
      </c>
      <c r="D638" s="322" t="str">
        <f>IF(ISNA(VLOOKUP($V638,DD_Info!$A$1:$E$221,3,0)),0,VLOOKUP($V638,DD_Info!$A$1:$E$221,3,0))</f>
        <v>Austin</v>
      </c>
      <c r="E638" s="322">
        <f>Councils!E641</f>
        <v>84</v>
      </c>
      <c r="F638" s="322">
        <f>Councils!F641</f>
        <v>4</v>
      </c>
      <c r="G638" s="322">
        <f>Councils!G641</f>
        <v>0</v>
      </c>
      <c r="H638" s="322">
        <f>Councils!H641</f>
        <v>0</v>
      </c>
      <c r="I638" s="322">
        <f>Councils!I641</f>
        <v>0</v>
      </c>
      <c r="J638" s="322">
        <f>Councils!J641</f>
        <v>2</v>
      </c>
      <c r="K638" s="322">
        <f>Councils!K641</f>
        <v>0</v>
      </c>
      <c r="L638" s="322">
        <f>Councils!L641</f>
        <v>2</v>
      </c>
      <c r="M638" s="323">
        <f>Councils!M641</f>
        <v>50</v>
      </c>
      <c r="N638" s="322">
        <f>Councils!O641</f>
        <v>0</v>
      </c>
      <c r="O638" s="322">
        <f>Councils!P641</f>
        <v>0</v>
      </c>
      <c r="P638" s="322">
        <f>Councils!Q641</f>
        <v>0</v>
      </c>
      <c r="Q638" s="322">
        <f>Councils!R641</f>
        <v>0</v>
      </c>
      <c r="R638" s="322">
        <f>Councils!S641</f>
        <v>1</v>
      </c>
      <c r="S638" s="322">
        <f>Councils!T641</f>
        <v>0</v>
      </c>
      <c r="T638" s="322">
        <f>Councils!U641</f>
        <v>1</v>
      </c>
      <c r="U638" s="323">
        <f>Councils!V641</f>
        <v>0</v>
      </c>
      <c r="V638" s="376">
        <v>150</v>
      </c>
      <c r="W638" s="377">
        <f t="shared" si="9"/>
        <v>2</v>
      </c>
      <c r="X638" s="378" t="str">
        <f>IF(ISNA(VLOOKUP($A638,GA!$A$1:$D$834,3,0))," ",VLOOKUP($A638,GA!$A$1:$D$834,3,0))</f>
        <v>Rangel</v>
      </c>
      <c r="Y638" s="379" t="str">
        <f>IF(ISNA(VLOOKUP($A638,Dormant_Councils!$A$1:$E$811,5,0)),"No",VLOOKUP($A638,Dormant_Councils!$A$1:$E$811,5,0))</f>
        <v>No</v>
      </c>
      <c r="Z638" s="381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22" t="str">
        <f>Councils!C642</f>
        <v>237</v>
      </c>
      <c r="C639" s="322" t="str">
        <f>Councils!D642</f>
        <v>Laredo</v>
      </c>
      <c r="D639" s="322" t="str">
        <f>IF(ISNA(VLOOKUP($V639,DD_Info!$A$1:$E$221,3,0)),0,VLOOKUP($V639,DD_Info!$A$1:$E$221,3,0))</f>
        <v>Laredo</v>
      </c>
      <c r="E639" s="322">
        <f>Councils!E642</f>
        <v>23</v>
      </c>
      <c r="F639" s="322">
        <f>Councils!F642</f>
        <v>3</v>
      </c>
      <c r="G639" s="322">
        <f>Councils!G642</f>
        <v>0</v>
      </c>
      <c r="H639" s="322">
        <f>Councils!H642</f>
        <v>0</v>
      </c>
      <c r="I639" s="322">
        <f>Councils!I642</f>
        <v>0</v>
      </c>
      <c r="J639" s="322">
        <f>Councils!J642</f>
        <v>0</v>
      </c>
      <c r="K639" s="322">
        <f>Councils!K642</f>
        <v>0</v>
      </c>
      <c r="L639" s="322">
        <f>Councils!L642</f>
        <v>0</v>
      </c>
      <c r="M639" s="323">
        <f>Councils!M642</f>
        <v>0</v>
      </c>
      <c r="N639" s="322">
        <f>Councils!O642</f>
        <v>0</v>
      </c>
      <c r="O639" s="322">
        <f>Councils!P642</f>
        <v>0</v>
      </c>
      <c r="P639" s="322">
        <f>Councils!Q642</f>
        <v>0</v>
      </c>
      <c r="Q639" s="322">
        <f>Councils!R642</f>
        <v>0</v>
      </c>
      <c r="R639" s="322">
        <f>Councils!S642</f>
        <v>0</v>
      </c>
      <c r="S639" s="322">
        <f>Councils!T642</f>
        <v>0</v>
      </c>
      <c r="T639" s="322">
        <f>Councils!U642</f>
        <v>0</v>
      </c>
      <c r="U639" s="323">
        <f>Councils!V642</f>
        <v>0</v>
      </c>
      <c r="V639" s="376">
        <v>237</v>
      </c>
      <c r="W639" s="377">
        <f t="shared" si="9"/>
        <v>3</v>
      </c>
      <c r="X639" s="378" t="str">
        <f>IF(ISNA(VLOOKUP($A639,GA!$A$1:$D$834,3,0))," ",VLOOKUP($A639,GA!$A$1:$D$834,3,0))</f>
        <v>Carlin</v>
      </c>
      <c r="Y639" s="379" t="str">
        <f>IF(ISNA(VLOOKUP($A639,Dormant_Councils!$A$1:$E$811,5,0)),"No",VLOOKUP($A639,Dormant_Councils!$A$1:$E$811,5,0))</f>
        <v>No</v>
      </c>
      <c r="Z639" s="381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22" t="str">
        <f>Councils!C643</f>
        <v>163</v>
      </c>
      <c r="C640" s="322" t="str">
        <f>Councils!D643</f>
        <v>Rogers</v>
      </c>
      <c r="D640" s="322" t="str">
        <f>IF(ISNA(VLOOKUP($V640,DD_Info!$A$1:$E$221,3,0)),0,VLOOKUP($V640,DD_Info!$A$1:$E$221,3,0))</f>
        <v>Austin</v>
      </c>
      <c r="E640" s="322">
        <f>Councils!E643</f>
        <v>53</v>
      </c>
      <c r="F640" s="322">
        <f>Councils!F643</f>
        <v>3</v>
      </c>
      <c r="G640" s="322">
        <f>Councils!G643</f>
        <v>0</v>
      </c>
      <c r="H640" s="322">
        <f>Councils!H643</f>
        <v>0</v>
      </c>
      <c r="I640" s="322">
        <f>Councils!I643</f>
        <v>0</v>
      </c>
      <c r="J640" s="322">
        <f>Councils!J643</f>
        <v>0</v>
      </c>
      <c r="K640" s="322">
        <f>Councils!K643</f>
        <v>0</v>
      </c>
      <c r="L640" s="322">
        <f>Councils!L643</f>
        <v>0</v>
      </c>
      <c r="M640" s="323">
        <f>Councils!M643</f>
        <v>0</v>
      </c>
      <c r="N640" s="322">
        <f>Councils!O643</f>
        <v>0</v>
      </c>
      <c r="O640" s="322">
        <f>Councils!P643</f>
        <v>0</v>
      </c>
      <c r="P640" s="322">
        <f>Councils!Q643</f>
        <v>0</v>
      </c>
      <c r="Q640" s="322">
        <f>Councils!R643</f>
        <v>0</v>
      </c>
      <c r="R640" s="322">
        <f>Councils!S643</f>
        <v>0</v>
      </c>
      <c r="S640" s="322">
        <f>Councils!T643</f>
        <v>0</v>
      </c>
      <c r="T640" s="322">
        <f>Councils!U643</f>
        <v>0</v>
      </c>
      <c r="U640" s="323">
        <f>Councils!V643</f>
        <v>0</v>
      </c>
      <c r="V640" s="376">
        <v>163</v>
      </c>
      <c r="W640" s="377">
        <f t="shared" si="9"/>
        <v>3</v>
      </c>
      <c r="X640" s="378" t="str">
        <f>IF(ISNA(VLOOKUP($A640,GA!$A$1:$D$834,3,0))," ",VLOOKUP($A640,GA!$A$1:$D$834,3,0))</f>
        <v>Rangel</v>
      </c>
      <c r="Y640" s="379" t="str">
        <f>IF(ISNA(VLOOKUP($A640,Dormant_Councils!$A$1:$E$811,5,0)),"No",VLOOKUP($A640,Dormant_Councils!$A$1:$E$811,5,0))</f>
        <v>No</v>
      </c>
      <c r="Z640" s="381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22" t="str">
        <f>Councils!C644</f>
        <v>085</v>
      </c>
      <c r="C641" s="322" t="str">
        <f>Councils!D644</f>
        <v>Katy</v>
      </c>
      <c r="D641" s="322" t="str">
        <f>IF(ISNA(VLOOKUP($V641,DD_Info!$A$1:$E$221,3,0)),0,VLOOKUP($V641,DD_Info!$A$1:$E$221,3,0))</f>
        <v>Galv/Hous</v>
      </c>
      <c r="E641" s="322">
        <f>Councils!E644</f>
        <v>242</v>
      </c>
      <c r="F641" s="322">
        <f>Councils!F644</f>
        <v>12</v>
      </c>
      <c r="G641" s="322">
        <f>Councils!G644</f>
        <v>0</v>
      </c>
      <c r="H641" s="322">
        <f>Councils!H644</f>
        <v>0</v>
      </c>
      <c r="I641" s="322">
        <f>Councils!I644</f>
        <v>0</v>
      </c>
      <c r="J641" s="322">
        <f>Councils!J644</f>
        <v>0</v>
      </c>
      <c r="K641" s="322">
        <f>Councils!K644</f>
        <v>0</v>
      </c>
      <c r="L641" s="322">
        <f>Councils!L644</f>
        <v>0</v>
      </c>
      <c r="M641" s="323">
        <f>Councils!M644</f>
        <v>0</v>
      </c>
      <c r="N641" s="322">
        <f>Councils!O644</f>
        <v>0</v>
      </c>
      <c r="O641" s="322">
        <f>Councils!P644</f>
        <v>0</v>
      </c>
      <c r="P641" s="322">
        <f>Councils!Q644</f>
        <v>0</v>
      </c>
      <c r="Q641" s="322">
        <f>Councils!R644</f>
        <v>0</v>
      </c>
      <c r="R641" s="322">
        <f>Councils!S644</f>
        <v>1</v>
      </c>
      <c r="S641" s="322">
        <f>Councils!T644</f>
        <v>1</v>
      </c>
      <c r="T641" s="322">
        <f>Councils!U644</f>
        <v>0</v>
      </c>
      <c r="U641" s="323">
        <f>Councils!V644</f>
        <v>0</v>
      </c>
      <c r="V641" s="376">
        <v>85</v>
      </c>
      <c r="W641" s="377">
        <f t="shared" si="9"/>
        <v>1</v>
      </c>
      <c r="X641" s="378" t="str">
        <f>IF(ISNA(VLOOKUP($A641,GA!$A$1:$D$834,3,0))," ",VLOOKUP($A641,GA!$A$1:$D$834,3,0))</f>
        <v>Rangel</v>
      </c>
      <c r="Y641" s="379" t="str">
        <f>IF(ISNA(VLOOKUP($A641,Dormant_Councils!$A$1:$E$811,5,0)),"No",VLOOKUP($A641,Dormant_Councils!$A$1:$E$811,5,0))</f>
        <v>No</v>
      </c>
      <c r="Z641" s="381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22" t="str">
        <f>Councils!C645</f>
        <v>102</v>
      </c>
      <c r="C642" s="322" t="str">
        <f>Councils!D645</f>
        <v>Ferris</v>
      </c>
      <c r="D642" s="322" t="str">
        <f>IF(ISNA(VLOOKUP($V642,DD_Info!$A$1:$E$221,3,0)),0,VLOOKUP($V642,DD_Info!$A$1:$E$221,3,0))</f>
        <v>Dallas</v>
      </c>
      <c r="E642" s="322">
        <f>Councils!E645</f>
        <v>47</v>
      </c>
      <c r="F642" s="322">
        <f>Councils!F645</f>
        <v>3</v>
      </c>
      <c r="G642" s="322">
        <f>Councils!G645</f>
        <v>0</v>
      </c>
      <c r="H642" s="322">
        <f>Councils!H645</f>
        <v>0</v>
      </c>
      <c r="I642" s="322">
        <f>Councils!I645</f>
        <v>0</v>
      </c>
      <c r="J642" s="322">
        <f>Councils!J645</f>
        <v>0</v>
      </c>
      <c r="K642" s="322">
        <f>Councils!K645</f>
        <v>0</v>
      </c>
      <c r="L642" s="322">
        <f>Councils!L645</f>
        <v>0</v>
      </c>
      <c r="M642" s="323">
        <f>Councils!M645</f>
        <v>0</v>
      </c>
      <c r="N642" s="322">
        <f>Councils!O645</f>
        <v>0</v>
      </c>
      <c r="O642" s="322">
        <f>Councils!P645</f>
        <v>0</v>
      </c>
      <c r="P642" s="322">
        <f>Councils!Q645</f>
        <v>0</v>
      </c>
      <c r="Q642" s="322">
        <f>Councils!R645</f>
        <v>0</v>
      </c>
      <c r="R642" s="322">
        <f>Councils!S645</f>
        <v>0</v>
      </c>
      <c r="S642" s="322">
        <f>Councils!T645</f>
        <v>0</v>
      </c>
      <c r="T642" s="322">
        <f>Councils!U645</f>
        <v>0</v>
      </c>
      <c r="U642" s="323">
        <f>Councils!V645</f>
        <v>0</v>
      </c>
      <c r="V642" s="376">
        <v>102</v>
      </c>
      <c r="W642" s="377">
        <f t="shared" si="9"/>
        <v>3</v>
      </c>
      <c r="X642" s="378" t="str">
        <f>IF(ISNA(VLOOKUP($A642,GA!$A$1:$D$834,3,0))," ",VLOOKUP($A642,GA!$A$1:$D$834,3,0))</f>
        <v>Regan</v>
      </c>
      <c r="Y642" s="379" t="str">
        <f>IF(ISNA(VLOOKUP($A642,Dormant_Councils!$A$1:$E$811,5,0)),"No",VLOOKUP($A642,Dormant_Councils!$A$1:$E$811,5,0))</f>
        <v>No</v>
      </c>
      <c r="Z642" s="381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22" t="str">
        <f>Councils!C646</f>
        <v>141</v>
      </c>
      <c r="C643" s="322" t="str">
        <f>Councils!D646</f>
        <v>Waco</v>
      </c>
      <c r="D643" s="322" t="str">
        <f>IF(ISNA(VLOOKUP($V643,DD_Info!$A$1:$E$221,3,0)),0,VLOOKUP($V643,DD_Info!$A$1:$E$221,3,0))</f>
        <v>Austin</v>
      </c>
      <c r="E643" s="322">
        <f>Councils!E646</f>
        <v>187</v>
      </c>
      <c r="F643" s="322">
        <f>Councils!F646</f>
        <v>9</v>
      </c>
      <c r="G643" s="322">
        <f>Councils!G646</f>
        <v>0</v>
      </c>
      <c r="H643" s="322">
        <f>Councils!H646</f>
        <v>0</v>
      </c>
      <c r="I643" s="322">
        <f>Councils!I646</f>
        <v>0</v>
      </c>
      <c r="J643" s="322">
        <f>Councils!J646</f>
        <v>1</v>
      </c>
      <c r="K643" s="322">
        <f>Councils!K646</f>
        <v>1</v>
      </c>
      <c r="L643" s="322">
        <f>Councils!L646</f>
        <v>0</v>
      </c>
      <c r="M643" s="323">
        <f>Councils!M646</f>
        <v>0</v>
      </c>
      <c r="N643" s="322">
        <f>Councils!O646</f>
        <v>0</v>
      </c>
      <c r="O643" s="322">
        <f>Councils!P646</f>
        <v>0</v>
      </c>
      <c r="P643" s="322">
        <f>Councils!Q646</f>
        <v>0</v>
      </c>
      <c r="Q643" s="322">
        <f>Councils!R646</f>
        <v>0</v>
      </c>
      <c r="R643" s="322">
        <f>Councils!S646</f>
        <v>2</v>
      </c>
      <c r="S643" s="322">
        <f>Councils!T646</f>
        <v>0</v>
      </c>
      <c r="T643" s="322">
        <f>Councils!U646</f>
        <v>2</v>
      </c>
      <c r="U643" s="323">
        <f>Councils!V646</f>
        <v>0</v>
      </c>
      <c r="V643" s="376">
        <v>141</v>
      </c>
      <c r="W643" s="377">
        <f t="shared" ref="W643:W706" si="10">_xlfn.IFS($E643&gt;=140,1,$E643&gt;65,2,$E643&lt;=65,3)</f>
        <v>1</v>
      </c>
      <c r="X643" s="378" t="str">
        <f>IF(ISNA(VLOOKUP($A643,GA!$A$1:$D$834,3,0))," ",VLOOKUP($A643,GA!$A$1:$D$834,3,0))</f>
        <v>Rangel</v>
      </c>
      <c r="Y643" s="379" t="str">
        <f>IF(ISNA(VLOOKUP($A643,Dormant_Councils!$A$1:$E$811,5,0)),"No",VLOOKUP($A643,Dormant_Councils!$A$1:$E$811,5,0))</f>
        <v>No</v>
      </c>
      <c r="Z643" s="381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22" t="str">
        <f>Councils!C647</f>
        <v>192</v>
      </c>
      <c r="C644" s="322" t="str">
        <f>Councils!D647</f>
        <v>Meyersville</v>
      </c>
      <c r="D644" s="322" t="str">
        <f>IF(ISNA(VLOOKUP($V644,DD_Info!$A$1:$E$221,3,0)),0,VLOOKUP($V644,DD_Info!$A$1:$E$221,3,0))</f>
        <v>Victoria</v>
      </c>
      <c r="E644" s="322">
        <f>Councils!E647</f>
        <v>52</v>
      </c>
      <c r="F644" s="322">
        <f>Councils!F647</f>
        <v>3</v>
      </c>
      <c r="G644" s="322">
        <f>Councils!G647</f>
        <v>0</v>
      </c>
      <c r="H644" s="322">
        <f>Councils!H647</f>
        <v>0</v>
      </c>
      <c r="I644" s="322">
        <f>Councils!I647</f>
        <v>0</v>
      </c>
      <c r="J644" s="322">
        <f>Councils!J647</f>
        <v>0</v>
      </c>
      <c r="K644" s="322">
        <f>Councils!K647</f>
        <v>0</v>
      </c>
      <c r="L644" s="322">
        <f>Councils!L647</f>
        <v>0</v>
      </c>
      <c r="M644" s="323">
        <f>Councils!M647</f>
        <v>0</v>
      </c>
      <c r="N644" s="322">
        <f>Councils!O647</f>
        <v>0</v>
      </c>
      <c r="O644" s="322">
        <f>Councils!P647</f>
        <v>0</v>
      </c>
      <c r="P644" s="322">
        <f>Councils!Q647</f>
        <v>0</v>
      </c>
      <c r="Q644" s="322">
        <f>Councils!R647</f>
        <v>0</v>
      </c>
      <c r="R644" s="322">
        <f>Councils!S647</f>
        <v>0</v>
      </c>
      <c r="S644" s="322">
        <f>Councils!T647</f>
        <v>0</v>
      </c>
      <c r="T644" s="322">
        <f>Councils!U647</f>
        <v>0</v>
      </c>
      <c r="U644" s="323">
        <f>Councils!V647</f>
        <v>0</v>
      </c>
      <c r="V644" s="376">
        <v>192</v>
      </c>
      <c r="W644" s="377">
        <f t="shared" si="10"/>
        <v>3</v>
      </c>
      <c r="X644" s="378" t="str">
        <f>IF(ISNA(VLOOKUP($A644,GA!$A$1:$D$834,3,0))," ",VLOOKUP($A644,GA!$A$1:$D$834,3,0))</f>
        <v>Supak</v>
      </c>
      <c r="Y644" s="379" t="str">
        <f>IF(ISNA(VLOOKUP($A644,Dormant_Councils!$A$1:$E$811,5,0)),"No",VLOOKUP($A644,Dormant_Councils!$A$1:$E$811,5,0))</f>
        <v>No</v>
      </c>
      <c r="Z644" s="381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22" t="str">
        <f>Councils!C648</f>
        <v>062</v>
      </c>
      <c r="C645" s="322" t="str">
        <f>Councils!D648</f>
        <v>San Antonio</v>
      </c>
      <c r="D645" s="322" t="str">
        <f>IF(ISNA(VLOOKUP($V645,DD_Info!$A$1:$E$221,3,0)),0,VLOOKUP($V645,DD_Info!$A$1:$E$221,3,0))</f>
        <v>San Antonio</v>
      </c>
      <c r="E645" s="322">
        <f>Councils!E648</f>
        <v>43</v>
      </c>
      <c r="F645" s="322">
        <f>Councils!F648</f>
        <v>3</v>
      </c>
      <c r="G645" s="322">
        <f>Councils!G648</f>
        <v>0</v>
      </c>
      <c r="H645" s="322">
        <f>Councils!H648</f>
        <v>0</v>
      </c>
      <c r="I645" s="322">
        <f>Councils!I648</f>
        <v>0</v>
      </c>
      <c r="J645" s="322">
        <f>Councils!J648</f>
        <v>0</v>
      </c>
      <c r="K645" s="322">
        <f>Councils!K648</f>
        <v>0</v>
      </c>
      <c r="L645" s="322">
        <f>Councils!L648</f>
        <v>0</v>
      </c>
      <c r="M645" s="323">
        <f>Councils!M648</f>
        <v>0</v>
      </c>
      <c r="N645" s="322">
        <f>Councils!O648</f>
        <v>0</v>
      </c>
      <c r="O645" s="322">
        <f>Councils!P648</f>
        <v>0</v>
      </c>
      <c r="P645" s="322">
        <f>Councils!Q648</f>
        <v>0</v>
      </c>
      <c r="Q645" s="322">
        <f>Councils!R648</f>
        <v>0</v>
      </c>
      <c r="R645" s="322">
        <f>Councils!S648</f>
        <v>0</v>
      </c>
      <c r="S645" s="322">
        <f>Councils!T648</f>
        <v>0</v>
      </c>
      <c r="T645" s="322">
        <f>Councils!U648</f>
        <v>0</v>
      </c>
      <c r="U645" s="323">
        <f>Councils!V648</f>
        <v>0</v>
      </c>
      <c r="V645" s="376">
        <v>62</v>
      </c>
      <c r="W645" s="377">
        <f t="shared" si="10"/>
        <v>3</v>
      </c>
      <c r="X645" s="378" t="str">
        <f>IF(ISNA(VLOOKUP($A645,GA!$A$1:$D$834,3,0))," ",VLOOKUP($A645,GA!$A$1:$D$834,3,0))</f>
        <v>Dougherty</v>
      </c>
      <c r="Y645" s="379" t="str">
        <f>IF(ISNA(VLOOKUP($A645,Dormant_Councils!$A$1:$E$811,5,0)),"No",VLOOKUP($A645,Dormant_Councils!$A$1:$E$811,5,0))</f>
        <v>Dormant</v>
      </c>
      <c r="Z645" s="381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22" t="str">
        <f>Councils!C649</f>
        <v>111</v>
      </c>
      <c r="C646" s="322" t="str">
        <f>Councils!D649</f>
        <v>Allen</v>
      </c>
      <c r="D646" s="322" t="str">
        <f>IF(ISNA(VLOOKUP($V646,DD_Info!$A$1:$E$221,3,0)),0,VLOOKUP($V646,DD_Info!$A$1:$E$221,3,0))</f>
        <v>Dallas</v>
      </c>
      <c r="E646" s="322">
        <f>Councils!E649</f>
        <v>226</v>
      </c>
      <c r="F646" s="322">
        <f>Councils!F649</f>
        <v>11</v>
      </c>
      <c r="G646" s="322">
        <f>Councils!G649</f>
        <v>0</v>
      </c>
      <c r="H646" s="322">
        <f>Councils!H649</f>
        <v>0</v>
      </c>
      <c r="I646" s="322">
        <f>Councils!I649</f>
        <v>0</v>
      </c>
      <c r="J646" s="322">
        <f>Councils!J649</f>
        <v>1</v>
      </c>
      <c r="K646" s="322">
        <f>Councils!K649</f>
        <v>26</v>
      </c>
      <c r="L646" s="322">
        <f>Councils!L649</f>
        <v>-25</v>
      </c>
      <c r="M646" s="323">
        <f>Councils!M649</f>
        <v>0</v>
      </c>
      <c r="N646" s="322">
        <f>Councils!O649</f>
        <v>0</v>
      </c>
      <c r="O646" s="322">
        <f>Councils!P649</f>
        <v>1</v>
      </c>
      <c r="P646" s="322">
        <f>Councils!Q649</f>
        <v>0</v>
      </c>
      <c r="Q646" s="322">
        <f>Councils!R649</f>
        <v>1</v>
      </c>
      <c r="R646" s="322">
        <f>Councils!S649</f>
        <v>2</v>
      </c>
      <c r="S646" s="322">
        <f>Councils!T649</f>
        <v>6</v>
      </c>
      <c r="T646" s="322">
        <f>Councils!U649</f>
        <v>-4</v>
      </c>
      <c r="U646" s="323">
        <f>Councils!V649</f>
        <v>0</v>
      </c>
      <c r="V646" s="376">
        <v>111</v>
      </c>
      <c r="W646" s="377">
        <f t="shared" si="10"/>
        <v>1</v>
      </c>
      <c r="X646" s="378" t="str">
        <f>IF(ISNA(VLOOKUP($A646,GA!$A$1:$D$834,3,0))," ",VLOOKUP($A646,GA!$A$1:$D$834,3,0))</f>
        <v>Regan</v>
      </c>
      <c r="Y646" s="379" t="str">
        <f>IF(ISNA(VLOOKUP($A646,Dormant_Councils!$A$1:$E$811,5,0)),"No",VLOOKUP($A646,Dormant_Councils!$A$1:$E$811,5,0))</f>
        <v>No</v>
      </c>
      <c r="Z646" s="381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22" t="str">
        <f>Councils!C650</f>
        <v>113</v>
      </c>
      <c r="C647" s="322" t="str">
        <f>Councils!D650</f>
        <v>Dallas</v>
      </c>
      <c r="D647" s="322" t="str">
        <f>IF(ISNA(VLOOKUP($V647,DD_Info!$A$1:$E$221,3,0)),0,VLOOKUP($V647,DD_Info!$A$1:$E$221,3,0))</f>
        <v>Dallas</v>
      </c>
      <c r="E647" s="322">
        <f>Councils!E650</f>
        <v>36</v>
      </c>
      <c r="F647" s="322">
        <f>Councils!F650</f>
        <v>3</v>
      </c>
      <c r="G647" s="322">
        <f>Councils!G650</f>
        <v>0</v>
      </c>
      <c r="H647" s="322">
        <f>Councils!H650</f>
        <v>0</v>
      </c>
      <c r="I647" s="322">
        <f>Councils!I650</f>
        <v>0</v>
      </c>
      <c r="J647" s="322">
        <f>Councils!J650</f>
        <v>0</v>
      </c>
      <c r="K647" s="322">
        <f>Councils!K650</f>
        <v>0</v>
      </c>
      <c r="L647" s="322">
        <f>Councils!L650</f>
        <v>0</v>
      </c>
      <c r="M647" s="323">
        <f>Councils!M650</f>
        <v>0</v>
      </c>
      <c r="N647" s="322">
        <f>Councils!O650</f>
        <v>0</v>
      </c>
      <c r="O647" s="322">
        <f>Councils!P650</f>
        <v>0</v>
      </c>
      <c r="P647" s="322">
        <f>Councils!Q650</f>
        <v>0</v>
      </c>
      <c r="Q647" s="322">
        <f>Councils!R650</f>
        <v>0</v>
      </c>
      <c r="R647" s="322">
        <f>Councils!S650</f>
        <v>0</v>
      </c>
      <c r="S647" s="322">
        <f>Councils!T650</f>
        <v>0</v>
      </c>
      <c r="T647" s="322">
        <f>Councils!U650</f>
        <v>0</v>
      </c>
      <c r="U647" s="323">
        <f>Councils!V650</f>
        <v>0</v>
      </c>
      <c r="V647" s="376">
        <v>113</v>
      </c>
      <c r="W647" s="377">
        <f t="shared" si="10"/>
        <v>3</v>
      </c>
      <c r="X647" s="378" t="str">
        <f>IF(ISNA(VLOOKUP($A647,GA!$A$1:$D$834,3,0))," ",VLOOKUP($A647,GA!$A$1:$D$834,3,0))</f>
        <v>Regan</v>
      </c>
      <c r="Y647" s="379" t="str">
        <f>IF(ISNA(VLOOKUP($A647,Dormant_Councils!$A$1:$E$811,5,0)),"No",VLOOKUP($A647,Dormant_Councils!$A$1:$E$811,5,0))</f>
        <v>No</v>
      </c>
      <c r="Z647" s="381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22" t="str">
        <f>Councils!C651</f>
        <v>124</v>
      </c>
      <c r="C648" s="322" t="str">
        <f>Councils!D651</f>
        <v>Orangefield</v>
      </c>
      <c r="D648" s="322" t="str">
        <f>IF(ISNA(VLOOKUP($V648,DD_Info!$A$1:$E$221,3,0)),0,VLOOKUP($V648,DD_Info!$A$1:$E$221,3,0))</f>
        <v>Beaumont</v>
      </c>
      <c r="E648" s="322">
        <f>Councils!E651</f>
        <v>55</v>
      </c>
      <c r="F648" s="322">
        <f>Councils!F651</f>
        <v>3</v>
      </c>
      <c r="G648" s="322">
        <f>Councils!G651</f>
        <v>0</v>
      </c>
      <c r="H648" s="322">
        <f>Councils!H651</f>
        <v>0</v>
      </c>
      <c r="I648" s="322">
        <f>Councils!I651</f>
        <v>0</v>
      </c>
      <c r="J648" s="322">
        <f>Councils!J651</f>
        <v>0</v>
      </c>
      <c r="K648" s="322">
        <f>Councils!K651</f>
        <v>0</v>
      </c>
      <c r="L648" s="322">
        <f>Councils!L651</f>
        <v>0</v>
      </c>
      <c r="M648" s="323">
        <f>Councils!M651</f>
        <v>0</v>
      </c>
      <c r="N648" s="322">
        <f>Councils!O651</f>
        <v>0</v>
      </c>
      <c r="O648" s="322">
        <f>Councils!P651</f>
        <v>0</v>
      </c>
      <c r="P648" s="322">
        <f>Councils!Q651</f>
        <v>0</v>
      </c>
      <c r="Q648" s="322">
        <f>Councils!R651</f>
        <v>0</v>
      </c>
      <c r="R648" s="322">
        <f>Councils!S651</f>
        <v>0</v>
      </c>
      <c r="S648" s="322">
        <f>Councils!T651</f>
        <v>0</v>
      </c>
      <c r="T648" s="322">
        <f>Councils!U651</f>
        <v>0</v>
      </c>
      <c r="U648" s="323">
        <f>Councils!V651</f>
        <v>0</v>
      </c>
      <c r="V648" s="376">
        <v>124</v>
      </c>
      <c r="W648" s="377">
        <f t="shared" si="10"/>
        <v>3</v>
      </c>
      <c r="X648" s="378" t="str">
        <f>IF(ISNA(VLOOKUP($A648,GA!$A$1:$D$834,3,0))," ",VLOOKUP($A648,GA!$A$1:$D$834,3,0))</f>
        <v>Rangel</v>
      </c>
      <c r="Y648" s="379" t="str">
        <f>IF(ISNA(VLOOKUP($A648,Dormant_Councils!$A$1:$E$811,5,0)),"No",VLOOKUP($A648,Dormant_Councils!$A$1:$E$811,5,0))</f>
        <v>No</v>
      </c>
      <c r="Z648" s="381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22" t="str">
        <f>Councils!C652</f>
        <v>107</v>
      </c>
      <c r="C649" s="322" t="str">
        <f>Councils!D652</f>
        <v>Talty</v>
      </c>
      <c r="D649" s="322" t="str">
        <f>IF(ISNA(VLOOKUP($V649,DD_Info!$A$1:$E$221,3,0)),0,VLOOKUP($V649,DD_Info!$A$1:$E$221,3,0))</f>
        <v>Dallas</v>
      </c>
      <c r="E649" s="322">
        <f>Councils!E652</f>
        <v>162</v>
      </c>
      <c r="F649" s="322">
        <f>Councils!F652</f>
        <v>8</v>
      </c>
      <c r="G649" s="322">
        <f>Councils!G652</f>
        <v>0</v>
      </c>
      <c r="H649" s="322">
        <f>Councils!H652</f>
        <v>0</v>
      </c>
      <c r="I649" s="322">
        <f>Councils!I652</f>
        <v>0</v>
      </c>
      <c r="J649" s="322">
        <f>Councils!J652</f>
        <v>1</v>
      </c>
      <c r="K649" s="322">
        <f>Councils!K652</f>
        <v>0</v>
      </c>
      <c r="L649" s="322">
        <f>Councils!L652</f>
        <v>1</v>
      </c>
      <c r="M649" s="323">
        <f>Councils!M652</f>
        <v>12.5</v>
      </c>
      <c r="N649" s="322">
        <f>Councils!O652</f>
        <v>0</v>
      </c>
      <c r="O649" s="322">
        <f>Councils!P652</f>
        <v>0</v>
      </c>
      <c r="P649" s="322">
        <f>Councils!Q652</f>
        <v>0</v>
      </c>
      <c r="Q649" s="322">
        <f>Councils!R652</f>
        <v>0</v>
      </c>
      <c r="R649" s="322">
        <f>Councils!S652</f>
        <v>1</v>
      </c>
      <c r="S649" s="322">
        <f>Councils!T652</f>
        <v>1</v>
      </c>
      <c r="T649" s="322">
        <f>Councils!U652</f>
        <v>0</v>
      </c>
      <c r="U649" s="323">
        <f>Councils!V652</f>
        <v>0</v>
      </c>
      <c r="V649" s="376">
        <v>107</v>
      </c>
      <c r="W649" s="377">
        <f t="shared" si="10"/>
        <v>1</v>
      </c>
      <c r="X649" s="378" t="str">
        <f>IF(ISNA(VLOOKUP($A649,GA!$A$1:$D$834,3,0))," ",VLOOKUP($A649,GA!$A$1:$D$834,3,0))</f>
        <v>Regan</v>
      </c>
      <c r="Y649" s="379" t="str">
        <f>IF(ISNA(VLOOKUP($A649,Dormant_Councils!$A$1:$E$811,5,0)),"No",VLOOKUP($A649,Dormant_Councils!$A$1:$E$811,5,0))</f>
        <v>No</v>
      </c>
      <c r="Z649" s="381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22" t="str">
        <f>Councils!C653</f>
        <v>201</v>
      </c>
      <c r="C650" s="322" t="str">
        <f>Councils!D653</f>
        <v>Amarillo</v>
      </c>
      <c r="D650" s="322" t="str">
        <f>IF(ISNA(VLOOKUP($V650,DD_Info!$A$1:$E$221,3,0)),0,VLOOKUP($V650,DD_Info!$A$1:$E$221,3,0))</f>
        <v>Amarillo</v>
      </c>
      <c r="E650" s="322">
        <f>Councils!E653</f>
        <v>52</v>
      </c>
      <c r="F650" s="322">
        <f>Councils!F653</f>
        <v>3</v>
      </c>
      <c r="G650" s="322">
        <f>Councils!G653</f>
        <v>0</v>
      </c>
      <c r="H650" s="322">
        <f>Councils!H653</f>
        <v>0</v>
      </c>
      <c r="I650" s="322">
        <f>Councils!I653</f>
        <v>0</v>
      </c>
      <c r="J650" s="322">
        <f>Councils!J653</f>
        <v>1</v>
      </c>
      <c r="K650" s="322">
        <f>Councils!K653</f>
        <v>0</v>
      </c>
      <c r="L650" s="322">
        <f>Councils!L653</f>
        <v>1</v>
      </c>
      <c r="M650" s="323">
        <f>Councils!M653</f>
        <v>33.33</v>
      </c>
      <c r="N650" s="322">
        <f>Councils!O653</f>
        <v>0</v>
      </c>
      <c r="O650" s="322">
        <f>Councils!P653</f>
        <v>0</v>
      </c>
      <c r="P650" s="322">
        <f>Councils!Q653</f>
        <v>0</v>
      </c>
      <c r="Q650" s="322">
        <f>Councils!R653</f>
        <v>0</v>
      </c>
      <c r="R650" s="322">
        <f>Councils!S653</f>
        <v>0</v>
      </c>
      <c r="S650" s="322">
        <f>Councils!T653</f>
        <v>0</v>
      </c>
      <c r="T650" s="322">
        <f>Councils!U653</f>
        <v>0</v>
      </c>
      <c r="U650" s="323">
        <f>Councils!V653</f>
        <v>0</v>
      </c>
      <c r="V650" s="376">
        <v>201</v>
      </c>
      <c r="W650" s="377">
        <f t="shared" si="10"/>
        <v>3</v>
      </c>
      <c r="X650" s="378" t="str">
        <f>IF(ISNA(VLOOKUP($A650,GA!$A$1:$D$834,3,0))," ",VLOOKUP($A650,GA!$A$1:$D$834,3,0))</f>
        <v>Payne</v>
      </c>
      <c r="Y650" s="379" t="str">
        <f>IF(ISNA(VLOOKUP($A650,Dormant_Councils!$A$1:$E$811,5,0)),"No",VLOOKUP($A650,Dormant_Councils!$A$1:$E$811,5,0))</f>
        <v>No</v>
      </c>
      <c r="Z650" s="381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22" t="str">
        <f>Councils!C654</f>
        <v>218</v>
      </c>
      <c r="C651" s="322" t="str">
        <f>Councils!D654</f>
        <v>Progreso</v>
      </c>
      <c r="D651" s="322" t="str">
        <f>IF(ISNA(VLOOKUP($V651,DD_Info!$A$1:$E$221,3,0)),0,VLOOKUP($V651,DD_Info!$A$1:$E$221,3,0))</f>
        <v>Brownsville</v>
      </c>
      <c r="E651" s="322">
        <f>Councils!E654</f>
        <v>28</v>
      </c>
      <c r="F651" s="322">
        <f>Councils!F654</f>
        <v>3</v>
      </c>
      <c r="G651" s="322">
        <f>Councils!G654</f>
        <v>0</v>
      </c>
      <c r="H651" s="322">
        <f>Councils!H654</f>
        <v>0</v>
      </c>
      <c r="I651" s="322">
        <f>Councils!I654</f>
        <v>0</v>
      </c>
      <c r="J651" s="322">
        <f>Councils!J654</f>
        <v>0</v>
      </c>
      <c r="K651" s="322">
        <f>Councils!K654</f>
        <v>0</v>
      </c>
      <c r="L651" s="322">
        <f>Councils!L654</f>
        <v>0</v>
      </c>
      <c r="M651" s="323">
        <f>Councils!M654</f>
        <v>0</v>
      </c>
      <c r="N651" s="322">
        <f>Councils!O654</f>
        <v>0</v>
      </c>
      <c r="O651" s="322">
        <f>Councils!P654</f>
        <v>0</v>
      </c>
      <c r="P651" s="322">
        <f>Councils!Q654</f>
        <v>0</v>
      </c>
      <c r="Q651" s="322">
        <f>Councils!R654</f>
        <v>0</v>
      </c>
      <c r="R651" s="322">
        <f>Councils!S654</f>
        <v>0</v>
      </c>
      <c r="S651" s="322">
        <f>Councils!T654</f>
        <v>0</v>
      </c>
      <c r="T651" s="322">
        <f>Councils!U654</f>
        <v>0</v>
      </c>
      <c r="U651" s="323">
        <f>Councils!V654</f>
        <v>0</v>
      </c>
      <c r="V651" s="376">
        <v>218</v>
      </c>
      <c r="W651" s="377">
        <f t="shared" si="10"/>
        <v>3</v>
      </c>
      <c r="X651" s="378" t="str">
        <f>IF(ISNA(VLOOKUP($A651,GA!$A$1:$D$834,3,0))," ",VLOOKUP($A651,GA!$A$1:$D$834,3,0))</f>
        <v>Carlin</v>
      </c>
      <c r="Y651" s="379" t="str">
        <f>IF(ISNA(VLOOKUP($A651,Dormant_Councils!$A$1:$E$811,5,0)),"No",VLOOKUP($A651,Dormant_Councils!$A$1:$E$811,5,0))</f>
        <v>Dormant</v>
      </c>
      <c r="Z651" s="381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22" t="str">
        <f>Councils!C655</f>
        <v>138</v>
      </c>
      <c r="C652" s="322" t="str">
        <f>Councils!D655</f>
        <v>Trinity</v>
      </c>
      <c r="D652" s="322" t="str">
        <f>IF(ISNA(VLOOKUP($V652,DD_Info!$A$1:$E$221,3,0)),0,VLOOKUP($V652,DD_Info!$A$1:$E$221,3,0))</f>
        <v>Tyler</v>
      </c>
      <c r="E652" s="322">
        <f>Councils!E655</f>
        <v>36</v>
      </c>
      <c r="F652" s="322">
        <f>Councils!F655</f>
        <v>3</v>
      </c>
      <c r="G652" s="322">
        <f>Councils!G655</f>
        <v>0</v>
      </c>
      <c r="H652" s="322">
        <f>Councils!H655</f>
        <v>0</v>
      </c>
      <c r="I652" s="322">
        <f>Councils!I655</f>
        <v>0</v>
      </c>
      <c r="J652" s="322">
        <f>Councils!J655</f>
        <v>0</v>
      </c>
      <c r="K652" s="322">
        <f>Councils!K655</f>
        <v>0</v>
      </c>
      <c r="L652" s="322">
        <f>Councils!L655</f>
        <v>0</v>
      </c>
      <c r="M652" s="323">
        <f>Councils!M655</f>
        <v>0</v>
      </c>
      <c r="N652" s="322">
        <f>Councils!O655</f>
        <v>0</v>
      </c>
      <c r="O652" s="322">
        <f>Councils!P655</f>
        <v>0</v>
      </c>
      <c r="P652" s="322">
        <f>Councils!Q655</f>
        <v>0</v>
      </c>
      <c r="Q652" s="322">
        <f>Councils!R655</f>
        <v>0</v>
      </c>
      <c r="R652" s="322">
        <f>Councils!S655</f>
        <v>0</v>
      </c>
      <c r="S652" s="322">
        <f>Councils!T655</f>
        <v>0</v>
      </c>
      <c r="T652" s="322">
        <f>Councils!U655</f>
        <v>0</v>
      </c>
      <c r="U652" s="323">
        <f>Councils!V655</f>
        <v>0</v>
      </c>
      <c r="V652" s="376">
        <v>138</v>
      </c>
      <c r="W652" s="377">
        <f t="shared" si="10"/>
        <v>3</v>
      </c>
      <c r="X652" s="378" t="str">
        <f>IF(ISNA(VLOOKUP($A652,GA!$A$1:$D$834,3,0))," ",VLOOKUP($A652,GA!$A$1:$D$834,3,0))</f>
        <v>Regan</v>
      </c>
      <c r="Y652" s="379" t="str">
        <f>IF(ISNA(VLOOKUP($A652,Dormant_Councils!$A$1:$E$811,5,0)),"No",VLOOKUP($A652,Dormant_Councils!$A$1:$E$811,5,0))</f>
        <v>No</v>
      </c>
      <c r="Z652" s="381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22" t="str">
        <f>Councils!C656</f>
        <v>075</v>
      </c>
      <c r="C653" s="322" t="str">
        <f>Councils!D656</f>
        <v>Rosenberg</v>
      </c>
      <c r="D653" s="322" t="str">
        <f>IF(ISNA(VLOOKUP($V653,DD_Info!$A$1:$E$221,3,0)),0,VLOOKUP($V653,DD_Info!$A$1:$E$221,3,0))</f>
        <v>Galv/Hous</v>
      </c>
      <c r="E653" s="322">
        <f>Councils!E656</f>
        <v>138</v>
      </c>
      <c r="F653" s="322">
        <f>Councils!F656</f>
        <v>7</v>
      </c>
      <c r="G653" s="322">
        <f>Councils!G656</f>
        <v>0</v>
      </c>
      <c r="H653" s="322">
        <f>Councils!H656</f>
        <v>0</v>
      </c>
      <c r="I653" s="322">
        <f>Councils!I656</f>
        <v>0</v>
      </c>
      <c r="J653" s="322">
        <f>Councils!J656</f>
        <v>0</v>
      </c>
      <c r="K653" s="322">
        <f>Councils!K656</f>
        <v>0</v>
      </c>
      <c r="L653" s="322">
        <f>Councils!L656</f>
        <v>0</v>
      </c>
      <c r="M653" s="323">
        <f>Councils!M656</f>
        <v>0</v>
      </c>
      <c r="N653" s="322">
        <f>Councils!O656</f>
        <v>0</v>
      </c>
      <c r="O653" s="322">
        <f>Councils!P656</f>
        <v>0</v>
      </c>
      <c r="P653" s="322">
        <f>Councils!Q656</f>
        <v>0</v>
      </c>
      <c r="Q653" s="322">
        <f>Councils!R656</f>
        <v>0</v>
      </c>
      <c r="R653" s="322">
        <f>Councils!S656</f>
        <v>1</v>
      </c>
      <c r="S653" s="322">
        <f>Councils!T656</f>
        <v>1</v>
      </c>
      <c r="T653" s="322">
        <f>Councils!U656</f>
        <v>0</v>
      </c>
      <c r="U653" s="323">
        <f>Councils!V656</f>
        <v>0</v>
      </c>
      <c r="V653" s="376">
        <v>75</v>
      </c>
      <c r="W653" s="377">
        <f t="shared" si="10"/>
        <v>2</v>
      </c>
      <c r="X653" s="378" t="str">
        <f>IF(ISNA(VLOOKUP($A653,GA!$A$1:$D$834,3,0))," ",VLOOKUP($A653,GA!$A$1:$D$834,3,0))</f>
        <v>Supak</v>
      </c>
      <c r="Y653" s="379" t="str">
        <f>IF(ISNA(VLOOKUP($A653,Dormant_Councils!$A$1:$E$811,5,0)),"No",VLOOKUP($A653,Dormant_Councils!$A$1:$E$811,5,0))</f>
        <v>No</v>
      </c>
      <c r="Z653" s="381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22" t="str">
        <f>Councils!C657</f>
        <v>107</v>
      </c>
      <c r="C654" s="322" t="str">
        <f>Councils!D657</f>
        <v>Mesquite</v>
      </c>
      <c r="D654" s="322" t="str">
        <f>IF(ISNA(VLOOKUP($V654,DD_Info!$A$1:$E$221,3,0)),0,VLOOKUP($V654,DD_Info!$A$1:$E$221,3,0))</f>
        <v>Dallas</v>
      </c>
      <c r="E654" s="322">
        <f>Councils!E657</f>
        <v>120</v>
      </c>
      <c r="F654" s="322">
        <f>Councils!F657</f>
        <v>6</v>
      </c>
      <c r="G654" s="322">
        <f>Councils!G657</f>
        <v>0</v>
      </c>
      <c r="H654" s="322">
        <f>Councils!H657</f>
        <v>0</v>
      </c>
      <c r="I654" s="322">
        <f>Councils!I657</f>
        <v>0</v>
      </c>
      <c r="J654" s="322">
        <f>Councils!J657</f>
        <v>0</v>
      </c>
      <c r="K654" s="322">
        <f>Councils!K657</f>
        <v>0</v>
      </c>
      <c r="L654" s="322">
        <f>Councils!L657</f>
        <v>0</v>
      </c>
      <c r="M654" s="323">
        <f>Councils!M657</f>
        <v>0</v>
      </c>
      <c r="N654" s="322">
        <f>Councils!O657</f>
        <v>0</v>
      </c>
      <c r="O654" s="322">
        <f>Councils!P657</f>
        <v>0</v>
      </c>
      <c r="P654" s="322">
        <f>Councils!Q657</f>
        <v>1</v>
      </c>
      <c r="Q654" s="322">
        <f>Councils!R657</f>
        <v>-1</v>
      </c>
      <c r="R654" s="322">
        <f>Councils!S657</f>
        <v>0</v>
      </c>
      <c r="S654" s="322">
        <f>Councils!T657</f>
        <v>1</v>
      </c>
      <c r="T654" s="322">
        <f>Councils!U657</f>
        <v>-1</v>
      </c>
      <c r="U654" s="323">
        <f>Councils!V657</f>
        <v>0</v>
      </c>
      <c r="V654" s="376">
        <v>107</v>
      </c>
      <c r="W654" s="377">
        <f t="shared" si="10"/>
        <v>2</v>
      </c>
      <c r="X654" s="378" t="str">
        <f>IF(ISNA(VLOOKUP($A654,GA!$A$1:$D$834,3,0))," ",VLOOKUP($A654,GA!$A$1:$D$834,3,0))</f>
        <v>Regan</v>
      </c>
      <c r="Y654" s="379" t="str">
        <f>IF(ISNA(VLOOKUP($A654,Dormant_Councils!$A$1:$E$811,5,0)),"No",VLOOKUP($A654,Dormant_Councils!$A$1:$E$811,5,0))</f>
        <v>No</v>
      </c>
      <c r="Z654" s="381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22" t="str">
        <f>Councils!C658</f>
        <v>076</v>
      </c>
      <c r="C655" s="322" t="str">
        <f>Councils!D658</f>
        <v>Houston</v>
      </c>
      <c r="D655" s="322" t="str">
        <f>IF(ISNA(VLOOKUP($V655,DD_Info!$A$1:$E$221,3,0)),0,VLOOKUP($V655,DD_Info!$A$1:$E$221,3,0))</f>
        <v>Galv/Hous</v>
      </c>
      <c r="E655" s="322">
        <f>Councils!E658</f>
        <v>68</v>
      </c>
      <c r="F655" s="322">
        <f>Councils!F658</f>
        <v>3</v>
      </c>
      <c r="G655" s="322">
        <f>Councils!G658</f>
        <v>0</v>
      </c>
      <c r="H655" s="322">
        <f>Councils!H658</f>
        <v>0</v>
      </c>
      <c r="I655" s="322">
        <f>Councils!I658</f>
        <v>0</v>
      </c>
      <c r="J655" s="322">
        <f>Councils!J658</f>
        <v>0</v>
      </c>
      <c r="K655" s="322">
        <f>Councils!K658</f>
        <v>0</v>
      </c>
      <c r="L655" s="322">
        <f>Councils!L658</f>
        <v>0</v>
      </c>
      <c r="M655" s="323">
        <f>Councils!M658</f>
        <v>0</v>
      </c>
      <c r="N655" s="322">
        <f>Councils!O658</f>
        <v>0</v>
      </c>
      <c r="O655" s="322">
        <f>Councils!P658</f>
        <v>0</v>
      </c>
      <c r="P655" s="322">
        <f>Councils!Q658</f>
        <v>0</v>
      </c>
      <c r="Q655" s="322">
        <f>Councils!R658</f>
        <v>0</v>
      </c>
      <c r="R655" s="322">
        <f>Councils!S658</f>
        <v>2</v>
      </c>
      <c r="S655" s="322">
        <f>Councils!T658</f>
        <v>1</v>
      </c>
      <c r="T655" s="322">
        <f>Councils!U658</f>
        <v>1</v>
      </c>
      <c r="U655" s="323">
        <f>Councils!V658</f>
        <v>0</v>
      </c>
      <c r="V655" s="376">
        <v>76</v>
      </c>
      <c r="W655" s="377">
        <f t="shared" si="10"/>
        <v>2</v>
      </c>
      <c r="X655" s="378" t="str">
        <f>IF(ISNA(VLOOKUP($A655,GA!$A$1:$D$834,3,0))," ",VLOOKUP($A655,GA!$A$1:$D$834,3,0))</f>
        <v>Supak</v>
      </c>
      <c r="Y655" s="379" t="str">
        <f>IF(ISNA(VLOOKUP($A655,Dormant_Councils!$A$1:$E$811,5,0)),"No",VLOOKUP($A655,Dormant_Councils!$A$1:$E$811,5,0))</f>
        <v>No</v>
      </c>
      <c r="Z655" s="381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22" t="str">
        <f>Councils!C659</f>
        <v>092</v>
      </c>
      <c r="C656" s="322" t="str">
        <f>Councils!D659</f>
        <v>New Caney</v>
      </c>
      <c r="D656" s="322" t="str">
        <f>IF(ISNA(VLOOKUP($V656,DD_Info!$A$1:$E$221,3,0)),0,VLOOKUP($V656,DD_Info!$A$1:$E$221,3,0))</f>
        <v>Galv/Hous</v>
      </c>
      <c r="E656" s="322">
        <f>Councils!E659</f>
        <v>79</v>
      </c>
      <c r="F656" s="322">
        <f>Councils!F659</f>
        <v>4</v>
      </c>
      <c r="G656" s="322">
        <f>Councils!G659</f>
        <v>0</v>
      </c>
      <c r="H656" s="322">
        <f>Councils!H659</f>
        <v>0</v>
      </c>
      <c r="I656" s="322">
        <f>Councils!I659</f>
        <v>0</v>
      </c>
      <c r="J656" s="322">
        <f>Councils!J659</f>
        <v>3</v>
      </c>
      <c r="K656" s="322">
        <f>Councils!K659</f>
        <v>0</v>
      </c>
      <c r="L656" s="322">
        <f>Councils!L659</f>
        <v>3</v>
      </c>
      <c r="M656" s="323">
        <f>Councils!M659</f>
        <v>75</v>
      </c>
      <c r="N656" s="322">
        <f>Councils!O659</f>
        <v>0</v>
      </c>
      <c r="O656" s="322">
        <f>Councils!P659</f>
        <v>0</v>
      </c>
      <c r="P656" s="322">
        <f>Councils!Q659</f>
        <v>0</v>
      </c>
      <c r="Q656" s="322">
        <f>Councils!R659</f>
        <v>0</v>
      </c>
      <c r="R656" s="322">
        <f>Councils!S659</f>
        <v>0</v>
      </c>
      <c r="S656" s="322">
        <f>Councils!T659</f>
        <v>0</v>
      </c>
      <c r="T656" s="322">
        <f>Councils!U659</f>
        <v>0</v>
      </c>
      <c r="U656" s="323">
        <f>Councils!V659</f>
        <v>0</v>
      </c>
      <c r="V656" s="376">
        <v>92</v>
      </c>
      <c r="W656" s="377">
        <f t="shared" si="10"/>
        <v>2</v>
      </c>
      <c r="X656" s="378" t="str">
        <f>IF(ISNA(VLOOKUP($A656,GA!$A$1:$D$834,3,0))," ",VLOOKUP($A656,GA!$A$1:$D$834,3,0))</f>
        <v>Rangel</v>
      </c>
      <c r="Y656" s="379" t="str">
        <f>IF(ISNA(VLOOKUP($A656,Dormant_Councils!$A$1:$E$811,5,0)),"No",VLOOKUP($A656,Dormant_Councils!$A$1:$E$811,5,0))</f>
        <v>No</v>
      </c>
      <c r="Z656" s="381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22" t="str">
        <f>Councils!C660</f>
        <v>218</v>
      </c>
      <c r="C657" s="322" t="str">
        <f>Councils!D660</f>
        <v>Mercedes</v>
      </c>
      <c r="D657" s="322" t="str">
        <f>IF(ISNA(VLOOKUP($V657,DD_Info!$A$1:$E$221,3,0)),0,VLOOKUP($V657,DD_Info!$A$1:$E$221,3,0))</f>
        <v>Brownsville</v>
      </c>
      <c r="E657" s="322">
        <f>Councils!E660</f>
        <v>25</v>
      </c>
      <c r="F657" s="322">
        <f>Councils!F660</f>
        <v>3</v>
      </c>
      <c r="G657" s="322">
        <f>Councils!G660</f>
        <v>0</v>
      </c>
      <c r="H657" s="322">
        <f>Councils!H660</f>
        <v>0</v>
      </c>
      <c r="I657" s="322">
        <f>Councils!I660</f>
        <v>0</v>
      </c>
      <c r="J657" s="322">
        <f>Councils!J660</f>
        <v>0</v>
      </c>
      <c r="K657" s="322">
        <f>Councils!K660</f>
        <v>0</v>
      </c>
      <c r="L657" s="322">
        <f>Councils!L660</f>
        <v>0</v>
      </c>
      <c r="M657" s="323">
        <f>Councils!M660</f>
        <v>0</v>
      </c>
      <c r="N657" s="322">
        <f>Councils!O660</f>
        <v>0</v>
      </c>
      <c r="O657" s="322">
        <f>Councils!P660</f>
        <v>0</v>
      </c>
      <c r="P657" s="322">
        <f>Councils!Q660</f>
        <v>0</v>
      </c>
      <c r="Q657" s="322">
        <f>Councils!R660</f>
        <v>0</v>
      </c>
      <c r="R657" s="322">
        <f>Councils!S660</f>
        <v>0</v>
      </c>
      <c r="S657" s="322">
        <f>Councils!T660</f>
        <v>0</v>
      </c>
      <c r="T657" s="322">
        <f>Councils!U660</f>
        <v>0</v>
      </c>
      <c r="U657" s="323">
        <f>Councils!V660</f>
        <v>0</v>
      </c>
      <c r="V657" s="376">
        <v>218</v>
      </c>
      <c r="W657" s="377">
        <f t="shared" si="10"/>
        <v>3</v>
      </c>
      <c r="X657" s="378" t="str">
        <f>IF(ISNA(VLOOKUP($A657,GA!$A$1:$D$834,3,0))," ",VLOOKUP($A657,GA!$A$1:$D$834,3,0))</f>
        <v>Carlin</v>
      </c>
      <c r="Y657" s="379" t="str">
        <f>IF(ISNA(VLOOKUP($A657,Dormant_Councils!$A$1:$E$811,5,0)),"No",VLOOKUP($A657,Dormant_Councils!$A$1:$E$811,5,0))</f>
        <v>Dormant</v>
      </c>
      <c r="Z657" s="381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22" t="str">
        <f>Councils!C661</f>
        <v>143</v>
      </c>
      <c r="C658" s="322" t="str">
        <f>Councils!D661</f>
        <v>Salado</v>
      </c>
      <c r="D658" s="322" t="str">
        <f>IF(ISNA(VLOOKUP($V658,DD_Info!$A$1:$E$221,3,0)),0,VLOOKUP($V658,DD_Info!$A$1:$E$221,3,0))</f>
        <v>Austin</v>
      </c>
      <c r="E658" s="322">
        <f>Councils!E661</f>
        <v>38</v>
      </c>
      <c r="F658" s="322">
        <f>Councils!F661</f>
        <v>3</v>
      </c>
      <c r="G658" s="322">
        <f>Councils!G661</f>
        <v>0</v>
      </c>
      <c r="H658" s="322">
        <f>Councils!H661</f>
        <v>0</v>
      </c>
      <c r="I658" s="322">
        <f>Councils!I661</f>
        <v>0</v>
      </c>
      <c r="J658" s="322">
        <f>Councils!J661</f>
        <v>1</v>
      </c>
      <c r="K658" s="322">
        <f>Councils!K661</f>
        <v>0</v>
      </c>
      <c r="L658" s="322">
        <f>Councils!L661</f>
        <v>1</v>
      </c>
      <c r="M658" s="323">
        <f>Councils!M661</f>
        <v>33.33</v>
      </c>
      <c r="N658" s="322">
        <f>Councils!O661</f>
        <v>0</v>
      </c>
      <c r="O658" s="322">
        <f>Councils!P661</f>
        <v>0</v>
      </c>
      <c r="P658" s="322">
        <f>Councils!Q661</f>
        <v>0</v>
      </c>
      <c r="Q658" s="322">
        <f>Councils!R661</f>
        <v>0</v>
      </c>
      <c r="R658" s="322">
        <f>Councils!S661</f>
        <v>0</v>
      </c>
      <c r="S658" s="322">
        <f>Councils!T661</f>
        <v>0</v>
      </c>
      <c r="T658" s="322">
        <f>Councils!U661</f>
        <v>0</v>
      </c>
      <c r="U658" s="323">
        <f>Councils!V661</f>
        <v>0</v>
      </c>
      <c r="V658" s="376">
        <v>143</v>
      </c>
      <c r="W658" s="377">
        <f t="shared" si="10"/>
        <v>3</v>
      </c>
      <c r="X658" s="378" t="str">
        <f>IF(ISNA(VLOOKUP($A658,GA!$A$1:$D$834,3,0))," ",VLOOKUP($A658,GA!$A$1:$D$834,3,0))</f>
        <v>Britten</v>
      </c>
      <c r="Y658" s="379" t="str">
        <f>IF(ISNA(VLOOKUP($A658,Dormant_Councils!$A$1:$E$811,5,0)),"No",VLOOKUP($A658,Dormant_Councils!$A$1:$E$811,5,0))</f>
        <v>No</v>
      </c>
      <c r="Z658" s="381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22" t="str">
        <f>Councils!C662</f>
        <v>213</v>
      </c>
      <c r="C659" s="322" t="str">
        <f>Councils!D662</f>
        <v>Weslaco</v>
      </c>
      <c r="D659" s="322" t="str">
        <f>IF(ISNA(VLOOKUP($V659,DD_Info!$A$1:$E$221,3,0)),0,VLOOKUP($V659,DD_Info!$A$1:$E$221,3,0))</f>
        <v>Brownsville</v>
      </c>
      <c r="E659" s="322">
        <f>Councils!E662</f>
        <v>126</v>
      </c>
      <c r="F659" s="322">
        <f>Councils!F662</f>
        <v>6</v>
      </c>
      <c r="G659" s="322">
        <f>Councils!G662</f>
        <v>0</v>
      </c>
      <c r="H659" s="322">
        <f>Councils!H662</f>
        <v>0</v>
      </c>
      <c r="I659" s="322">
        <f>Councils!I662</f>
        <v>0</v>
      </c>
      <c r="J659" s="322">
        <f>Councils!J662</f>
        <v>0</v>
      </c>
      <c r="K659" s="322">
        <f>Councils!K662</f>
        <v>0</v>
      </c>
      <c r="L659" s="322">
        <f>Councils!L662</f>
        <v>0</v>
      </c>
      <c r="M659" s="323">
        <f>Councils!M662</f>
        <v>0</v>
      </c>
      <c r="N659" s="322">
        <f>Councils!O662</f>
        <v>0</v>
      </c>
      <c r="O659" s="322">
        <f>Councils!P662</f>
        <v>0</v>
      </c>
      <c r="P659" s="322">
        <f>Councils!Q662</f>
        <v>0</v>
      </c>
      <c r="Q659" s="322">
        <f>Councils!R662</f>
        <v>0</v>
      </c>
      <c r="R659" s="322">
        <f>Councils!S662</f>
        <v>1</v>
      </c>
      <c r="S659" s="322">
        <f>Councils!T662</f>
        <v>0</v>
      </c>
      <c r="T659" s="322">
        <f>Councils!U662</f>
        <v>1</v>
      </c>
      <c r="U659" s="323">
        <f>Councils!V662</f>
        <v>0</v>
      </c>
      <c r="V659" s="376">
        <v>213</v>
      </c>
      <c r="W659" s="377">
        <f t="shared" si="10"/>
        <v>2</v>
      </c>
      <c r="X659" s="378" t="str">
        <f>IF(ISNA(VLOOKUP($A659,GA!$A$1:$D$834,3,0))," ",VLOOKUP($A659,GA!$A$1:$D$834,3,0))</f>
        <v>Carlin</v>
      </c>
      <c r="Y659" s="379" t="str">
        <f>IF(ISNA(VLOOKUP($A659,Dormant_Councils!$A$1:$E$811,5,0)),"No",VLOOKUP($A659,Dormant_Councils!$A$1:$E$811,5,0))</f>
        <v>No</v>
      </c>
      <c r="Z659" s="381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22" t="str">
        <f>Councils!C663</f>
        <v>162</v>
      </c>
      <c r="C660" s="322" t="str">
        <f>Councils!D663</f>
        <v>Kingsland</v>
      </c>
      <c r="D660" s="322" t="str">
        <f>IF(ISNA(VLOOKUP($V660,DD_Info!$A$1:$E$221,3,0)),0,VLOOKUP($V660,DD_Info!$A$1:$E$221,3,0))</f>
        <v>Austin</v>
      </c>
      <c r="E660" s="322">
        <f>Councils!E663</f>
        <v>26</v>
      </c>
      <c r="F660" s="322">
        <f>Councils!F663</f>
        <v>3</v>
      </c>
      <c r="G660" s="322">
        <f>Councils!G663</f>
        <v>0</v>
      </c>
      <c r="H660" s="322">
        <f>Councils!H663</f>
        <v>0</v>
      </c>
      <c r="I660" s="322">
        <f>Councils!I663</f>
        <v>0</v>
      </c>
      <c r="J660" s="322">
        <f>Councils!J663</f>
        <v>0</v>
      </c>
      <c r="K660" s="322">
        <f>Councils!K663</f>
        <v>0</v>
      </c>
      <c r="L660" s="322">
        <f>Councils!L663</f>
        <v>0</v>
      </c>
      <c r="M660" s="323">
        <f>Councils!M663</f>
        <v>0</v>
      </c>
      <c r="N660" s="322">
        <f>Councils!O663</f>
        <v>0</v>
      </c>
      <c r="O660" s="322">
        <f>Councils!P663</f>
        <v>0</v>
      </c>
      <c r="P660" s="322">
        <f>Councils!Q663</f>
        <v>0</v>
      </c>
      <c r="Q660" s="322">
        <f>Councils!R663</f>
        <v>0</v>
      </c>
      <c r="R660" s="322">
        <f>Councils!S663</f>
        <v>0</v>
      </c>
      <c r="S660" s="322">
        <f>Councils!T663</f>
        <v>0</v>
      </c>
      <c r="T660" s="322">
        <f>Councils!U663</f>
        <v>0</v>
      </c>
      <c r="U660" s="323">
        <f>Councils!V663</f>
        <v>0</v>
      </c>
      <c r="V660" s="376">
        <v>160</v>
      </c>
      <c r="W660" s="377">
        <f t="shared" si="10"/>
        <v>3</v>
      </c>
      <c r="X660" s="378" t="str">
        <f>IF(ISNA(VLOOKUP($A660,GA!$A$1:$D$834,3,0))," ",VLOOKUP($A660,GA!$A$1:$D$834,3,0))</f>
        <v>Rangel</v>
      </c>
      <c r="Y660" s="379" t="str">
        <f>IF(ISNA(VLOOKUP($A660,Dormant_Councils!$A$1:$E$811,5,0)),"No",VLOOKUP($A660,Dormant_Councils!$A$1:$E$811,5,0))</f>
        <v>Dormant</v>
      </c>
      <c r="Z660" s="381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22" t="str">
        <f>Councils!C664</f>
        <v>169</v>
      </c>
      <c r="C661" s="322" t="str">
        <f>Councils!D664</f>
        <v>Corpus Christi</v>
      </c>
      <c r="D661" s="322" t="str">
        <f>IF(ISNA(VLOOKUP($V661,DD_Info!$A$1:$E$221,3,0)),0,VLOOKUP($V661,DD_Info!$A$1:$E$221,3,0))</f>
        <v>Corpus Christi</v>
      </c>
      <c r="E661" s="322">
        <f>Councils!E664</f>
        <v>82</v>
      </c>
      <c r="F661" s="322">
        <f>Councils!F664</f>
        <v>4</v>
      </c>
      <c r="G661" s="322">
        <f>Councils!G664</f>
        <v>0</v>
      </c>
      <c r="H661" s="322">
        <f>Councils!H664</f>
        <v>0</v>
      </c>
      <c r="I661" s="322">
        <f>Councils!I664</f>
        <v>0</v>
      </c>
      <c r="J661" s="322">
        <f>Councils!J664</f>
        <v>2</v>
      </c>
      <c r="K661" s="322">
        <f>Councils!K664</f>
        <v>0</v>
      </c>
      <c r="L661" s="322">
        <f>Councils!L664</f>
        <v>2</v>
      </c>
      <c r="M661" s="323">
        <f>Councils!M664</f>
        <v>50</v>
      </c>
      <c r="N661" s="322">
        <f>Councils!O664</f>
        <v>0</v>
      </c>
      <c r="O661" s="322">
        <f>Councils!P664</f>
        <v>0</v>
      </c>
      <c r="P661" s="322">
        <f>Councils!Q664</f>
        <v>0</v>
      </c>
      <c r="Q661" s="322">
        <f>Councils!R664</f>
        <v>0</v>
      </c>
      <c r="R661" s="322">
        <f>Councils!S664</f>
        <v>0</v>
      </c>
      <c r="S661" s="322">
        <f>Councils!T664</f>
        <v>1</v>
      </c>
      <c r="T661" s="322">
        <f>Councils!U664</f>
        <v>-1</v>
      </c>
      <c r="U661" s="323">
        <f>Councils!V664</f>
        <v>0</v>
      </c>
      <c r="V661" s="376">
        <v>169</v>
      </c>
      <c r="W661" s="377">
        <f t="shared" si="10"/>
        <v>2</v>
      </c>
      <c r="X661" s="378" t="str">
        <f>IF(ISNA(VLOOKUP($A661,GA!$A$1:$D$834,3,0))," ",VLOOKUP($A661,GA!$A$1:$D$834,3,0))</f>
        <v>Carlin</v>
      </c>
      <c r="Y661" s="379" t="str">
        <f>IF(ISNA(VLOOKUP($A661,Dormant_Councils!$A$1:$E$811,5,0)),"No",VLOOKUP($A661,Dormant_Councils!$A$1:$E$811,5,0))</f>
        <v>No</v>
      </c>
      <c r="Z661" s="381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22" t="str">
        <f>Councils!C665</f>
        <v>160</v>
      </c>
      <c r="C662" s="322" t="str">
        <f>Councils!D665</f>
        <v>Marble Falls</v>
      </c>
      <c r="D662" s="322" t="str">
        <f>IF(ISNA(VLOOKUP($V662,DD_Info!$A$1:$E$221,3,0)),0,VLOOKUP($V662,DD_Info!$A$1:$E$221,3,0))</f>
        <v>Austin</v>
      </c>
      <c r="E662" s="322">
        <f>Councils!E665</f>
        <v>71</v>
      </c>
      <c r="F662" s="322">
        <f>Councils!F665</f>
        <v>3</v>
      </c>
      <c r="G662" s="322">
        <f>Councils!G665</f>
        <v>0</v>
      </c>
      <c r="H662" s="322">
        <f>Councils!H665</f>
        <v>0</v>
      </c>
      <c r="I662" s="322">
        <f>Councils!I665</f>
        <v>0</v>
      </c>
      <c r="J662" s="322">
        <f>Councils!J665</f>
        <v>0</v>
      </c>
      <c r="K662" s="322">
        <f>Councils!K665</f>
        <v>0</v>
      </c>
      <c r="L662" s="322">
        <f>Councils!L665</f>
        <v>0</v>
      </c>
      <c r="M662" s="323">
        <f>Councils!M665</f>
        <v>0</v>
      </c>
      <c r="N662" s="322">
        <f>Councils!O665</f>
        <v>0</v>
      </c>
      <c r="O662" s="322">
        <f>Councils!P665</f>
        <v>0</v>
      </c>
      <c r="P662" s="322">
        <f>Councils!Q665</f>
        <v>0</v>
      </c>
      <c r="Q662" s="322">
        <f>Councils!R665</f>
        <v>0</v>
      </c>
      <c r="R662" s="322">
        <f>Councils!S665</f>
        <v>0</v>
      </c>
      <c r="S662" s="322">
        <f>Councils!T665</f>
        <v>1</v>
      </c>
      <c r="T662" s="322">
        <f>Councils!U665</f>
        <v>-1</v>
      </c>
      <c r="U662" s="323">
        <f>Councils!V665</f>
        <v>0</v>
      </c>
      <c r="V662" s="376">
        <v>160</v>
      </c>
      <c r="W662" s="377">
        <f t="shared" si="10"/>
        <v>2</v>
      </c>
      <c r="X662" s="378" t="str">
        <f>IF(ISNA(VLOOKUP($A662,GA!$A$1:$D$834,3,0))," ",VLOOKUP($A662,GA!$A$1:$D$834,3,0))</f>
        <v>Rangel</v>
      </c>
      <c r="Y662" s="379" t="str">
        <f>IF(ISNA(VLOOKUP($A662,Dormant_Councils!$A$1:$E$811,5,0)),"No",VLOOKUP($A662,Dormant_Councils!$A$1:$E$811,5,0))</f>
        <v>No</v>
      </c>
      <c r="Z662" s="381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22" t="str">
        <f>Councils!C666</f>
        <v>177</v>
      </c>
      <c r="C663" s="322" t="str">
        <f>Councils!D666</f>
        <v>Banquete</v>
      </c>
      <c r="D663" s="322" t="str">
        <f>IF(ISNA(VLOOKUP($V663,DD_Info!$A$1:$E$221,3,0)),0,VLOOKUP($V663,DD_Info!$A$1:$E$221,3,0))</f>
        <v>Corpus Christi</v>
      </c>
      <c r="E663" s="322">
        <f>Councils!E666</f>
        <v>66</v>
      </c>
      <c r="F663" s="322">
        <f>Councils!F666</f>
        <v>3</v>
      </c>
      <c r="G663" s="322">
        <f>Councils!G666</f>
        <v>0</v>
      </c>
      <c r="H663" s="322">
        <f>Councils!H666</f>
        <v>0</v>
      </c>
      <c r="I663" s="322">
        <f>Councils!I666</f>
        <v>0</v>
      </c>
      <c r="J663" s="322">
        <f>Councils!J666</f>
        <v>0</v>
      </c>
      <c r="K663" s="322">
        <f>Councils!K666</f>
        <v>0</v>
      </c>
      <c r="L663" s="322">
        <f>Councils!L666</f>
        <v>0</v>
      </c>
      <c r="M663" s="323">
        <f>Councils!M666</f>
        <v>0</v>
      </c>
      <c r="N663" s="322">
        <f>Councils!O666</f>
        <v>0</v>
      </c>
      <c r="O663" s="322">
        <f>Councils!P666</f>
        <v>0</v>
      </c>
      <c r="P663" s="322">
        <f>Councils!Q666</f>
        <v>0</v>
      </c>
      <c r="Q663" s="322">
        <f>Councils!R666</f>
        <v>0</v>
      </c>
      <c r="R663" s="322">
        <f>Councils!S666</f>
        <v>0</v>
      </c>
      <c r="S663" s="322">
        <f>Councils!T666</f>
        <v>0</v>
      </c>
      <c r="T663" s="322">
        <f>Councils!U666</f>
        <v>0</v>
      </c>
      <c r="U663" s="323">
        <f>Councils!V666</f>
        <v>0</v>
      </c>
      <c r="V663" s="376">
        <v>177</v>
      </c>
      <c r="W663" s="377">
        <f t="shared" si="10"/>
        <v>2</v>
      </c>
      <c r="X663" s="378" t="str">
        <f>IF(ISNA(VLOOKUP($A663,GA!$A$1:$D$834,3,0))," ",VLOOKUP($A663,GA!$A$1:$D$834,3,0))</f>
        <v>Carlin</v>
      </c>
      <c r="Y663" s="379" t="str">
        <f>IF(ISNA(VLOOKUP($A663,Dormant_Councils!$A$1:$E$811,5,0)),"No",VLOOKUP($A663,Dormant_Councils!$A$1:$E$811,5,0))</f>
        <v>Dormant</v>
      </c>
      <c r="Z663" s="381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22" t="str">
        <f>Councils!C667</f>
        <v>219</v>
      </c>
      <c r="C664" s="322" t="str">
        <f>Councils!D667</f>
        <v>Mc Allen</v>
      </c>
      <c r="D664" s="322" t="str">
        <f>IF(ISNA(VLOOKUP($V664,DD_Info!$A$1:$E$221,3,0)),0,VLOOKUP($V664,DD_Info!$A$1:$E$221,3,0))</f>
        <v>Brownsville</v>
      </c>
      <c r="E664" s="322">
        <f>Councils!E667</f>
        <v>27</v>
      </c>
      <c r="F664" s="322">
        <f>Councils!F667</f>
        <v>3</v>
      </c>
      <c r="G664" s="322">
        <f>Councils!G667</f>
        <v>0</v>
      </c>
      <c r="H664" s="322">
        <f>Councils!H667</f>
        <v>0</v>
      </c>
      <c r="I664" s="322">
        <f>Councils!I667</f>
        <v>0</v>
      </c>
      <c r="J664" s="322">
        <f>Councils!J667</f>
        <v>0</v>
      </c>
      <c r="K664" s="322">
        <f>Councils!K667</f>
        <v>0</v>
      </c>
      <c r="L664" s="322">
        <f>Councils!L667</f>
        <v>0</v>
      </c>
      <c r="M664" s="323">
        <f>Councils!M667</f>
        <v>0</v>
      </c>
      <c r="N664" s="322">
        <f>Councils!O667</f>
        <v>0</v>
      </c>
      <c r="O664" s="322">
        <f>Councils!P667</f>
        <v>0</v>
      </c>
      <c r="P664" s="322">
        <f>Councils!Q667</f>
        <v>0</v>
      </c>
      <c r="Q664" s="322">
        <f>Councils!R667</f>
        <v>0</v>
      </c>
      <c r="R664" s="322">
        <f>Councils!S667</f>
        <v>0</v>
      </c>
      <c r="S664" s="322">
        <f>Councils!T667</f>
        <v>0</v>
      </c>
      <c r="T664" s="322">
        <f>Councils!U667</f>
        <v>0</v>
      </c>
      <c r="U664" s="323">
        <f>Councils!V667</f>
        <v>0</v>
      </c>
      <c r="V664" s="376">
        <v>219</v>
      </c>
      <c r="W664" s="377">
        <f t="shared" si="10"/>
        <v>3</v>
      </c>
      <c r="X664" s="378" t="str">
        <f>IF(ISNA(VLOOKUP($A664,GA!$A$1:$D$834,3,0))," ",VLOOKUP($A664,GA!$A$1:$D$834,3,0))</f>
        <v>Carlin</v>
      </c>
      <c r="Y664" s="379" t="str">
        <f>IF(ISNA(VLOOKUP($A664,Dormant_Councils!$A$1:$E$811,5,0)),"No",VLOOKUP($A664,Dormant_Councils!$A$1:$E$811,5,0))</f>
        <v>Dormant</v>
      </c>
      <c r="Z664" s="381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22" t="str">
        <f>Councils!C668</f>
        <v>031</v>
      </c>
      <c r="C665" s="322" t="str">
        <f>Councils!D668</f>
        <v>Ft Worth</v>
      </c>
      <c r="D665" s="322" t="str">
        <f>IF(ISNA(VLOOKUP($V665,DD_Info!$A$1:$E$221,3,0)),0,VLOOKUP($V665,DD_Info!$A$1:$E$221,3,0))</f>
        <v>Fort Worth</v>
      </c>
      <c r="E665" s="322">
        <f>Councils!E668</f>
        <v>21</v>
      </c>
      <c r="F665" s="322">
        <f>Councils!F668</f>
        <v>3</v>
      </c>
      <c r="G665" s="322">
        <f>Councils!G668</f>
        <v>0</v>
      </c>
      <c r="H665" s="322">
        <f>Councils!H668</f>
        <v>0</v>
      </c>
      <c r="I665" s="322">
        <f>Councils!I668</f>
        <v>0</v>
      </c>
      <c r="J665" s="322">
        <f>Councils!J668</f>
        <v>0</v>
      </c>
      <c r="K665" s="322">
        <f>Councils!K668</f>
        <v>0</v>
      </c>
      <c r="L665" s="322">
        <f>Councils!L668</f>
        <v>0</v>
      </c>
      <c r="M665" s="323">
        <f>Councils!M668</f>
        <v>0</v>
      </c>
      <c r="N665" s="322">
        <f>Councils!O668</f>
        <v>0</v>
      </c>
      <c r="O665" s="322">
        <f>Councils!P668</f>
        <v>0</v>
      </c>
      <c r="P665" s="322">
        <f>Councils!Q668</f>
        <v>0</v>
      </c>
      <c r="Q665" s="322">
        <f>Councils!R668</f>
        <v>0</v>
      </c>
      <c r="R665" s="322">
        <f>Councils!S668</f>
        <v>0</v>
      </c>
      <c r="S665" s="322">
        <f>Councils!T668</f>
        <v>0</v>
      </c>
      <c r="T665" s="322">
        <f>Councils!U668</f>
        <v>0</v>
      </c>
      <c r="U665" s="323">
        <f>Councils!V668</f>
        <v>0</v>
      </c>
      <c r="V665" s="376">
        <v>31</v>
      </c>
      <c r="W665" s="377">
        <f t="shared" si="10"/>
        <v>3</v>
      </c>
      <c r="X665" s="378" t="str">
        <f>IF(ISNA(VLOOKUP($A665,GA!$A$1:$D$834,3,0))," ",VLOOKUP($A665,GA!$A$1:$D$834,3,0))</f>
        <v>Stark</v>
      </c>
      <c r="Y665" s="379" t="str">
        <f>IF(ISNA(VLOOKUP($A665,Dormant_Councils!$A$1:$E$811,5,0)),"No",VLOOKUP($A665,Dormant_Councils!$A$1:$E$811,5,0))</f>
        <v>Dormant</v>
      </c>
      <c r="Z665" s="381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22" t="str">
        <f>Councils!C669</f>
        <v>113</v>
      </c>
      <c r="C666" s="322" t="str">
        <f>Councils!D669</f>
        <v>Dallas</v>
      </c>
      <c r="D666" s="322" t="str">
        <f>IF(ISNA(VLOOKUP($V666,DD_Info!$A$1:$E$221,3,0)),0,VLOOKUP($V666,DD_Info!$A$1:$E$221,3,0))</f>
        <v>Dallas</v>
      </c>
      <c r="E666" s="322">
        <f>Councils!E669</f>
        <v>102</v>
      </c>
      <c r="F666" s="322">
        <f>Councils!F669</f>
        <v>5</v>
      </c>
      <c r="G666" s="322">
        <f>Councils!G669</f>
        <v>0</v>
      </c>
      <c r="H666" s="322">
        <f>Councils!H669</f>
        <v>0</v>
      </c>
      <c r="I666" s="322">
        <f>Councils!I669</f>
        <v>0</v>
      </c>
      <c r="J666" s="322">
        <f>Councils!J669</f>
        <v>0</v>
      </c>
      <c r="K666" s="322">
        <f>Councils!K669</f>
        <v>0</v>
      </c>
      <c r="L666" s="322">
        <f>Councils!L669</f>
        <v>0</v>
      </c>
      <c r="M666" s="323">
        <f>Councils!M669</f>
        <v>0</v>
      </c>
      <c r="N666" s="322">
        <f>Councils!O669</f>
        <v>0</v>
      </c>
      <c r="O666" s="322">
        <f>Councils!P669</f>
        <v>0</v>
      </c>
      <c r="P666" s="322">
        <f>Councils!Q669</f>
        <v>0</v>
      </c>
      <c r="Q666" s="322">
        <f>Councils!R669</f>
        <v>0</v>
      </c>
      <c r="R666" s="322">
        <f>Councils!S669</f>
        <v>2</v>
      </c>
      <c r="S666" s="322">
        <f>Councils!T669</f>
        <v>0</v>
      </c>
      <c r="T666" s="322">
        <f>Councils!U669</f>
        <v>2</v>
      </c>
      <c r="U666" s="323">
        <f>Councils!V669</f>
        <v>0</v>
      </c>
      <c r="V666" s="376">
        <v>113</v>
      </c>
      <c r="W666" s="377">
        <f t="shared" si="10"/>
        <v>2</v>
      </c>
      <c r="X666" s="378" t="str">
        <f>IF(ISNA(VLOOKUP($A666,GA!$A$1:$D$834,3,0))," ",VLOOKUP($A666,GA!$A$1:$D$834,3,0))</f>
        <v>Regan</v>
      </c>
      <c r="Y666" s="379" t="str">
        <f>IF(ISNA(VLOOKUP($A666,Dormant_Councils!$A$1:$E$811,5,0)),"No",VLOOKUP($A666,Dormant_Councils!$A$1:$E$811,5,0))</f>
        <v>No</v>
      </c>
      <c r="Z666" s="381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22" t="str">
        <f>Councils!C670</f>
        <v>010</v>
      </c>
      <c r="C667" s="322" t="str">
        <f>Councils!D670</f>
        <v>El Paso</v>
      </c>
      <c r="D667" s="322" t="str">
        <f>IF(ISNA(VLOOKUP($V667,DD_Info!$A$1:$E$221,3,0)),0,VLOOKUP($V667,DD_Info!$A$1:$E$221,3,0))</f>
        <v>El Paso</v>
      </c>
      <c r="E667" s="322">
        <f>Councils!E670</f>
        <v>60</v>
      </c>
      <c r="F667" s="322">
        <f>Councils!F670</f>
        <v>3</v>
      </c>
      <c r="G667" s="322">
        <f>Councils!G670</f>
        <v>0</v>
      </c>
      <c r="H667" s="322">
        <f>Councils!H670</f>
        <v>0</v>
      </c>
      <c r="I667" s="322">
        <f>Councils!I670</f>
        <v>0</v>
      </c>
      <c r="J667" s="322">
        <f>Councils!J670</f>
        <v>0</v>
      </c>
      <c r="K667" s="322">
        <f>Councils!K670</f>
        <v>0</v>
      </c>
      <c r="L667" s="322">
        <f>Councils!L670</f>
        <v>0</v>
      </c>
      <c r="M667" s="323">
        <f>Councils!M670</f>
        <v>0</v>
      </c>
      <c r="N667" s="322">
        <f>Councils!O670</f>
        <v>0</v>
      </c>
      <c r="O667" s="322">
        <f>Councils!P670</f>
        <v>0</v>
      </c>
      <c r="P667" s="322">
        <f>Councils!Q670</f>
        <v>0</v>
      </c>
      <c r="Q667" s="322">
        <f>Councils!R670</f>
        <v>0</v>
      </c>
      <c r="R667" s="322">
        <f>Councils!S670</f>
        <v>0</v>
      </c>
      <c r="S667" s="322">
        <f>Councils!T670</f>
        <v>0</v>
      </c>
      <c r="T667" s="322">
        <f>Councils!U670</f>
        <v>0</v>
      </c>
      <c r="U667" s="323">
        <f>Councils!V670</f>
        <v>0</v>
      </c>
      <c r="V667" s="376">
        <v>10</v>
      </c>
      <c r="W667" s="377">
        <f t="shared" si="10"/>
        <v>3</v>
      </c>
      <c r="X667" s="378" t="str">
        <f>IF(ISNA(VLOOKUP($A667,GA!$A$1:$D$834,3,0))," ",VLOOKUP($A667,GA!$A$1:$D$834,3,0))</f>
        <v>Payne</v>
      </c>
      <c r="Y667" s="379" t="str">
        <f>IF(ISNA(VLOOKUP($A667,Dormant_Councils!$A$1:$E$811,5,0)),"No",VLOOKUP($A667,Dormant_Councils!$A$1:$E$811,5,0))</f>
        <v>No</v>
      </c>
      <c r="Z667" s="381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22" t="str">
        <f>Councils!C671</f>
        <v>087</v>
      </c>
      <c r="C668" s="322" t="str">
        <f>Councils!D671</f>
        <v>Houston</v>
      </c>
      <c r="D668" s="322" t="str">
        <f>IF(ISNA(VLOOKUP($V668,DD_Info!$A$1:$E$221,3,0)),0,VLOOKUP($V668,DD_Info!$A$1:$E$221,3,0))</f>
        <v>Galv/Hous</v>
      </c>
      <c r="E668" s="322">
        <f>Councils!E671</f>
        <v>117</v>
      </c>
      <c r="F668" s="322">
        <f>Councils!F671</f>
        <v>6</v>
      </c>
      <c r="G668" s="322">
        <f>Councils!G671</f>
        <v>1</v>
      </c>
      <c r="H668" s="322">
        <f>Councils!H671</f>
        <v>0</v>
      </c>
      <c r="I668" s="322">
        <f>Councils!I671</f>
        <v>1</v>
      </c>
      <c r="J668" s="322">
        <f>Councils!J671</f>
        <v>7</v>
      </c>
      <c r="K668" s="322">
        <f>Councils!K671</f>
        <v>0</v>
      </c>
      <c r="L668" s="322">
        <f>Councils!L671</f>
        <v>7</v>
      </c>
      <c r="M668" s="323">
        <f>Councils!M671</f>
        <v>116.67</v>
      </c>
      <c r="N668" s="322">
        <f>Councils!O671</f>
        <v>0</v>
      </c>
      <c r="O668" s="322">
        <f>Councils!P671</f>
        <v>0</v>
      </c>
      <c r="P668" s="322">
        <f>Councils!Q671</f>
        <v>0</v>
      </c>
      <c r="Q668" s="322">
        <f>Councils!R671</f>
        <v>0</v>
      </c>
      <c r="R668" s="322">
        <f>Councils!S671</f>
        <v>1</v>
      </c>
      <c r="S668" s="322">
        <f>Councils!T671</f>
        <v>0</v>
      </c>
      <c r="T668" s="322">
        <f>Councils!U671</f>
        <v>1</v>
      </c>
      <c r="U668" s="323">
        <f>Councils!V671</f>
        <v>0</v>
      </c>
      <c r="V668" s="376">
        <v>87</v>
      </c>
      <c r="W668" s="377">
        <f t="shared" si="10"/>
        <v>2</v>
      </c>
      <c r="X668" s="378" t="str">
        <f>IF(ISNA(VLOOKUP($A668,GA!$A$1:$D$834,3,0))," ",VLOOKUP($A668,GA!$A$1:$D$834,3,0))</f>
        <v>Supak</v>
      </c>
      <c r="Y668" s="379" t="str">
        <f>IF(ISNA(VLOOKUP($A668,Dormant_Councils!$A$1:$E$811,5,0)),"No",VLOOKUP($A668,Dormant_Councils!$A$1:$E$811,5,0))</f>
        <v>No</v>
      </c>
      <c r="Z668" s="381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22" t="str">
        <f>Councils!C672</f>
        <v>019</v>
      </c>
      <c r="C669" s="322" t="str">
        <f>Councils!D672</f>
        <v>Arlington</v>
      </c>
      <c r="D669" s="322" t="str">
        <f>IF(ISNA(VLOOKUP($V669,DD_Info!$A$1:$E$221,3,0)),0,VLOOKUP($V669,DD_Info!$A$1:$E$221,3,0))</f>
        <v>Fort Worth</v>
      </c>
      <c r="E669" s="322">
        <f>Councils!E672</f>
        <v>80</v>
      </c>
      <c r="F669" s="322">
        <f>Councils!F672</f>
        <v>4</v>
      </c>
      <c r="G669" s="322">
        <f>Councils!G672</f>
        <v>0</v>
      </c>
      <c r="H669" s="322">
        <f>Councils!H672</f>
        <v>0</v>
      </c>
      <c r="I669" s="322">
        <f>Councils!I672</f>
        <v>0</v>
      </c>
      <c r="J669" s="322">
        <f>Councils!J672</f>
        <v>0</v>
      </c>
      <c r="K669" s="322">
        <f>Councils!K672</f>
        <v>0</v>
      </c>
      <c r="L669" s="322">
        <f>Councils!L672</f>
        <v>0</v>
      </c>
      <c r="M669" s="323">
        <f>Councils!M672</f>
        <v>0</v>
      </c>
      <c r="N669" s="322">
        <f>Councils!O672</f>
        <v>0</v>
      </c>
      <c r="O669" s="322">
        <f>Councils!P672</f>
        <v>0</v>
      </c>
      <c r="P669" s="322">
        <f>Councils!Q672</f>
        <v>1</v>
      </c>
      <c r="Q669" s="322">
        <f>Councils!R672</f>
        <v>-1</v>
      </c>
      <c r="R669" s="322">
        <f>Councils!S672</f>
        <v>1</v>
      </c>
      <c r="S669" s="322">
        <f>Councils!T672</f>
        <v>1</v>
      </c>
      <c r="T669" s="322">
        <f>Councils!U672</f>
        <v>0</v>
      </c>
      <c r="U669" s="323">
        <f>Councils!V672</f>
        <v>0</v>
      </c>
      <c r="V669" s="376">
        <v>19</v>
      </c>
      <c r="W669" s="377">
        <f t="shared" si="10"/>
        <v>2</v>
      </c>
      <c r="X669" s="378" t="str">
        <f>IF(ISNA(VLOOKUP($A669,GA!$A$1:$D$834,3,0))," ",VLOOKUP($A669,GA!$A$1:$D$834,3,0))</f>
        <v>Stark</v>
      </c>
      <c r="Y669" s="379" t="str">
        <f>IF(ISNA(VLOOKUP($A669,Dormant_Councils!$A$1:$E$811,5,0)),"No",VLOOKUP($A669,Dormant_Councils!$A$1:$E$811,5,0))</f>
        <v>No</v>
      </c>
      <c r="Z669" s="381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22" t="str">
        <f>Councils!C673</f>
        <v>030</v>
      </c>
      <c r="C670" s="322" t="str">
        <f>Councils!D673</f>
        <v>Carrollton</v>
      </c>
      <c r="D670" s="322" t="str">
        <f>IF(ISNA(VLOOKUP($V670,DD_Info!$A$1:$E$221,3,0)),0,VLOOKUP($V670,DD_Info!$A$1:$E$221,3,0))</f>
        <v>Fort Worth</v>
      </c>
      <c r="E670" s="322">
        <f>Councils!E673</f>
        <v>135</v>
      </c>
      <c r="F670" s="322">
        <f>Councils!F673</f>
        <v>6</v>
      </c>
      <c r="G670" s="322">
        <f>Councils!G673</f>
        <v>0</v>
      </c>
      <c r="H670" s="322">
        <f>Councils!H673</f>
        <v>0</v>
      </c>
      <c r="I670" s="322">
        <f>Councils!I673</f>
        <v>0</v>
      </c>
      <c r="J670" s="322">
        <f>Councils!J673</f>
        <v>3</v>
      </c>
      <c r="K670" s="322">
        <f>Councils!K673</f>
        <v>0</v>
      </c>
      <c r="L670" s="322">
        <f>Councils!L673</f>
        <v>3</v>
      </c>
      <c r="M670" s="323">
        <f>Councils!M673</f>
        <v>50</v>
      </c>
      <c r="N670" s="322">
        <f>Councils!O673</f>
        <v>0</v>
      </c>
      <c r="O670" s="322">
        <f>Councils!P673</f>
        <v>0</v>
      </c>
      <c r="P670" s="322">
        <f>Councils!Q673</f>
        <v>0</v>
      </c>
      <c r="Q670" s="322">
        <f>Councils!R673</f>
        <v>0</v>
      </c>
      <c r="R670" s="322">
        <f>Councils!S673</f>
        <v>0</v>
      </c>
      <c r="S670" s="322">
        <f>Councils!T673</f>
        <v>0</v>
      </c>
      <c r="T670" s="322">
        <f>Councils!U673</f>
        <v>0</v>
      </c>
      <c r="U670" s="323">
        <f>Councils!V673</f>
        <v>0</v>
      </c>
      <c r="V670" s="376">
        <v>30</v>
      </c>
      <c r="W670" s="377">
        <f t="shared" si="10"/>
        <v>2</v>
      </c>
      <c r="X670" s="378" t="str">
        <f>IF(ISNA(VLOOKUP($A670,GA!$A$1:$D$834,3,0))," ",VLOOKUP($A670,GA!$A$1:$D$834,3,0))</f>
        <v>Regan</v>
      </c>
      <c r="Y670" s="379" t="str">
        <f>IF(ISNA(VLOOKUP($A670,Dormant_Councils!$A$1:$E$811,5,0)),"No",VLOOKUP($A670,Dormant_Councils!$A$1:$E$811,5,0))</f>
        <v>No</v>
      </c>
      <c r="Z670" s="381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22" t="str">
        <f>Councils!C674</f>
        <v>176</v>
      </c>
      <c r="C671" s="322" t="str">
        <f>Councils!D674</f>
        <v>Ben Bolt</v>
      </c>
      <c r="D671" s="322" t="str">
        <f>IF(ISNA(VLOOKUP($V671,DD_Info!$A$1:$E$221,3,0)),0,VLOOKUP($V671,DD_Info!$A$1:$E$221,3,0))</f>
        <v>Corpus Christi</v>
      </c>
      <c r="E671" s="322">
        <f>Councils!E674</f>
        <v>56</v>
      </c>
      <c r="F671" s="322">
        <f>Councils!F674</f>
        <v>3</v>
      </c>
      <c r="G671" s="322">
        <f>Councils!G674</f>
        <v>0</v>
      </c>
      <c r="H671" s="322">
        <f>Councils!H674</f>
        <v>0</v>
      </c>
      <c r="I671" s="322">
        <f>Councils!I674</f>
        <v>0</v>
      </c>
      <c r="J671" s="322">
        <f>Councils!J674</f>
        <v>0</v>
      </c>
      <c r="K671" s="322">
        <f>Councils!K674</f>
        <v>0</v>
      </c>
      <c r="L671" s="322">
        <f>Councils!L674</f>
        <v>0</v>
      </c>
      <c r="M671" s="323">
        <f>Councils!M674</f>
        <v>0</v>
      </c>
      <c r="N671" s="322">
        <f>Councils!O674</f>
        <v>0</v>
      </c>
      <c r="O671" s="322">
        <f>Councils!P674</f>
        <v>0</v>
      </c>
      <c r="P671" s="322">
        <f>Councils!Q674</f>
        <v>0</v>
      </c>
      <c r="Q671" s="322">
        <f>Councils!R674</f>
        <v>0</v>
      </c>
      <c r="R671" s="322">
        <f>Councils!S674</f>
        <v>0</v>
      </c>
      <c r="S671" s="322">
        <f>Councils!T674</f>
        <v>0</v>
      </c>
      <c r="T671" s="322">
        <f>Councils!U674</f>
        <v>0</v>
      </c>
      <c r="U671" s="323">
        <f>Councils!V674</f>
        <v>0</v>
      </c>
      <c r="V671" s="376">
        <v>176</v>
      </c>
      <c r="W671" s="377">
        <f t="shared" si="10"/>
        <v>3</v>
      </c>
      <c r="X671" s="378" t="str">
        <f>IF(ISNA(VLOOKUP($A671,GA!$A$1:$D$834,3,0))," ",VLOOKUP($A671,GA!$A$1:$D$834,3,0))</f>
        <v>Carlin</v>
      </c>
      <c r="Y671" s="379" t="str">
        <f>IF(ISNA(VLOOKUP($A671,Dormant_Councils!$A$1:$E$811,5,0)),"No",VLOOKUP($A671,Dormant_Councils!$A$1:$E$811,5,0))</f>
        <v>No</v>
      </c>
      <c r="Z671" s="381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22" t="str">
        <f>Councils!C675</f>
        <v>232</v>
      </c>
      <c r="C672" s="322" t="str">
        <f>Councils!D675</f>
        <v>Laredo</v>
      </c>
      <c r="D672" s="322" t="str">
        <f>IF(ISNA(VLOOKUP($V672,DD_Info!$A$1:$E$221,3,0)),0,VLOOKUP($V672,DD_Info!$A$1:$E$221,3,0))</f>
        <v>Laredo</v>
      </c>
      <c r="E672" s="322">
        <f>Councils!E675</f>
        <v>53</v>
      </c>
      <c r="F672" s="322">
        <f>Councils!F675</f>
        <v>3</v>
      </c>
      <c r="G672" s="322">
        <f>Councils!G675</f>
        <v>0</v>
      </c>
      <c r="H672" s="322">
        <f>Councils!H675</f>
        <v>0</v>
      </c>
      <c r="I672" s="322">
        <f>Councils!I675</f>
        <v>0</v>
      </c>
      <c r="J672" s="322">
        <f>Councils!J675</f>
        <v>0</v>
      </c>
      <c r="K672" s="322">
        <f>Councils!K675</f>
        <v>0</v>
      </c>
      <c r="L672" s="322">
        <f>Councils!L675</f>
        <v>0</v>
      </c>
      <c r="M672" s="323">
        <f>Councils!M675</f>
        <v>0</v>
      </c>
      <c r="N672" s="322">
        <f>Councils!O675</f>
        <v>0</v>
      </c>
      <c r="O672" s="322">
        <f>Councils!P675</f>
        <v>0</v>
      </c>
      <c r="P672" s="322">
        <f>Councils!Q675</f>
        <v>0</v>
      </c>
      <c r="Q672" s="322">
        <f>Councils!R675</f>
        <v>0</v>
      </c>
      <c r="R672" s="322">
        <f>Councils!S675</f>
        <v>0</v>
      </c>
      <c r="S672" s="322">
        <f>Councils!T675</f>
        <v>0</v>
      </c>
      <c r="T672" s="322">
        <f>Councils!U675</f>
        <v>0</v>
      </c>
      <c r="U672" s="323">
        <f>Councils!V675</f>
        <v>0</v>
      </c>
      <c r="V672" s="376">
        <v>232</v>
      </c>
      <c r="W672" s="377">
        <f t="shared" si="10"/>
        <v>3</v>
      </c>
      <c r="X672" s="378" t="str">
        <f>IF(ISNA(VLOOKUP($A672,GA!$A$1:$D$834,3,0))," ",VLOOKUP($A672,GA!$A$1:$D$834,3,0))</f>
        <v>Carlin</v>
      </c>
      <c r="Y672" s="379" t="str">
        <f>IF(ISNA(VLOOKUP($A672,Dormant_Councils!$A$1:$E$811,5,0)),"No",VLOOKUP($A672,Dormant_Councils!$A$1:$E$811,5,0))</f>
        <v>Dormant</v>
      </c>
      <c r="Z672" s="381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22" t="str">
        <f>Councils!C676</f>
        <v>243</v>
      </c>
      <c r="C673" s="322" t="str">
        <f>Councils!D676</f>
        <v>Lubbock</v>
      </c>
      <c r="D673" s="322" t="str">
        <f>IF(ISNA(VLOOKUP($V673,DD_Info!$A$1:$E$221,3,0)),0,VLOOKUP($V673,DD_Info!$A$1:$E$221,3,0))</f>
        <v>Lubbock</v>
      </c>
      <c r="E673" s="322">
        <f>Councils!E676</f>
        <v>156</v>
      </c>
      <c r="F673" s="322">
        <f>Councils!F676</f>
        <v>7</v>
      </c>
      <c r="G673" s="322">
        <f>Councils!G676</f>
        <v>0</v>
      </c>
      <c r="H673" s="322">
        <f>Councils!H676</f>
        <v>0</v>
      </c>
      <c r="I673" s="322">
        <f>Councils!I676</f>
        <v>0</v>
      </c>
      <c r="J673" s="322">
        <f>Councils!J676</f>
        <v>2</v>
      </c>
      <c r="K673" s="322">
        <f>Councils!K676</f>
        <v>0</v>
      </c>
      <c r="L673" s="322">
        <f>Councils!L676</f>
        <v>2</v>
      </c>
      <c r="M673" s="323">
        <f>Councils!M676</f>
        <v>28.57</v>
      </c>
      <c r="N673" s="322">
        <f>Councils!O676</f>
        <v>0</v>
      </c>
      <c r="O673" s="322">
        <f>Councils!P676</f>
        <v>0</v>
      </c>
      <c r="P673" s="322">
        <f>Councils!Q676</f>
        <v>0</v>
      </c>
      <c r="Q673" s="322">
        <f>Councils!R676</f>
        <v>0</v>
      </c>
      <c r="R673" s="322">
        <f>Councils!S676</f>
        <v>1</v>
      </c>
      <c r="S673" s="322">
        <f>Councils!T676</f>
        <v>1</v>
      </c>
      <c r="T673" s="322">
        <f>Councils!U676</f>
        <v>0</v>
      </c>
      <c r="U673" s="323">
        <f>Councils!V676</f>
        <v>0</v>
      </c>
      <c r="V673" s="376">
        <v>243</v>
      </c>
      <c r="W673" s="377">
        <f t="shared" si="10"/>
        <v>1</v>
      </c>
      <c r="X673" s="378" t="str">
        <f>IF(ISNA(VLOOKUP($A673,GA!$A$1:$D$834,3,0))," ",VLOOKUP($A673,GA!$A$1:$D$834,3,0))</f>
        <v>Payne</v>
      </c>
      <c r="Y673" s="379" t="str">
        <f>IF(ISNA(VLOOKUP($A673,Dormant_Councils!$A$1:$E$811,5,0)),"No",VLOOKUP($A673,Dormant_Councils!$A$1:$E$811,5,0))</f>
        <v>No</v>
      </c>
      <c r="Z673" s="381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22" t="str">
        <f>Councils!C677</f>
        <v>153</v>
      </c>
      <c r="C674" s="322" t="str">
        <f>Councils!D677</f>
        <v>Creedmoor</v>
      </c>
      <c r="D674" s="322" t="str">
        <f>IF(ISNA(VLOOKUP($V674,DD_Info!$A$1:$E$221,3,0)),0,VLOOKUP($V674,DD_Info!$A$1:$E$221,3,0))</f>
        <v>Austin</v>
      </c>
      <c r="E674" s="322">
        <f>Councils!E677</f>
        <v>42</v>
      </c>
      <c r="F674" s="322">
        <f>Councils!F677</f>
        <v>3</v>
      </c>
      <c r="G674" s="322">
        <f>Councils!G677</f>
        <v>0</v>
      </c>
      <c r="H674" s="322">
        <f>Councils!H677</f>
        <v>0</v>
      </c>
      <c r="I674" s="322">
        <f>Councils!I677</f>
        <v>0</v>
      </c>
      <c r="J674" s="322">
        <f>Councils!J677</f>
        <v>0</v>
      </c>
      <c r="K674" s="322">
        <f>Councils!K677</f>
        <v>0</v>
      </c>
      <c r="L674" s="322">
        <f>Councils!L677</f>
        <v>0</v>
      </c>
      <c r="M674" s="323">
        <f>Councils!M677</f>
        <v>0</v>
      </c>
      <c r="N674" s="322">
        <f>Councils!O677</f>
        <v>0</v>
      </c>
      <c r="O674" s="322">
        <f>Councils!P677</f>
        <v>0</v>
      </c>
      <c r="P674" s="322">
        <f>Councils!Q677</f>
        <v>0</v>
      </c>
      <c r="Q674" s="322">
        <f>Councils!R677</f>
        <v>0</v>
      </c>
      <c r="R674" s="322">
        <f>Councils!S677</f>
        <v>0</v>
      </c>
      <c r="S674" s="322">
        <f>Councils!T677</f>
        <v>1</v>
      </c>
      <c r="T674" s="322">
        <f>Councils!U677</f>
        <v>-1</v>
      </c>
      <c r="U674" s="323">
        <f>Councils!V677</f>
        <v>0</v>
      </c>
      <c r="V674" s="376">
        <v>153</v>
      </c>
      <c r="W674" s="377">
        <f t="shared" si="10"/>
        <v>3</v>
      </c>
      <c r="X674" s="378" t="str">
        <f>IF(ISNA(VLOOKUP($A674,GA!$A$1:$D$834,3,0))," ",VLOOKUP($A674,GA!$A$1:$D$834,3,0))</f>
        <v>Rangel</v>
      </c>
      <c r="Y674" s="379" t="str">
        <f>IF(ISNA(VLOOKUP($A674,Dormant_Councils!$A$1:$E$811,5,0)),"No",VLOOKUP($A674,Dormant_Councils!$A$1:$E$811,5,0))</f>
        <v>No</v>
      </c>
      <c r="Z674" s="381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22" t="str">
        <f>Councils!C678</f>
        <v>026</v>
      </c>
      <c r="C675" s="322" t="str">
        <f>Councils!D678</f>
        <v>Arlington</v>
      </c>
      <c r="D675" s="322" t="str">
        <f>IF(ISNA(VLOOKUP($V675,DD_Info!$A$1:$E$221,3,0)),0,VLOOKUP($V675,DD_Info!$A$1:$E$221,3,0))</f>
        <v>Fort Worth</v>
      </c>
      <c r="E675" s="322">
        <f>Councils!E678</f>
        <v>210</v>
      </c>
      <c r="F675" s="322">
        <f>Councils!F678</f>
        <v>10</v>
      </c>
      <c r="G675" s="322">
        <f>Councils!G678</f>
        <v>0</v>
      </c>
      <c r="H675" s="322">
        <f>Councils!H678</f>
        <v>0</v>
      </c>
      <c r="I675" s="322">
        <f>Councils!I678</f>
        <v>0</v>
      </c>
      <c r="J675" s="322">
        <f>Councils!J678</f>
        <v>0</v>
      </c>
      <c r="K675" s="322">
        <f>Councils!K678</f>
        <v>25</v>
      </c>
      <c r="L675" s="322">
        <f>Councils!L678</f>
        <v>-25</v>
      </c>
      <c r="M675" s="323">
        <f>Councils!M678</f>
        <v>0</v>
      </c>
      <c r="N675" s="322">
        <f>Councils!O678</f>
        <v>0</v>
      </c>
      <c r="O675" s="322">
        <f>Councils!P678</f>
        <v>0</v>
      </c>
      <c r="P675" s="322">
        <f>Councils!Q678</f>
        <v>0</v>
      </c>
      <c r="Q675" s="322">
        <f>Councils!R678</f>
        <v>0</v>
      </c>
      <c r="R675" s="322">
        <f>Councils!S678</f>
        <v>1</v>
      </c>
      <c r="S675" s="322">
        <f>Councils!T678</f>
        <v>6</v>
      </c>
      <c r="T675" s="322">
        <f>Councils!U678</f>
        <v>-5</v>
      </c>
      <c r="U675" s="323">
        <f>Councils!V678</f>
        <v>0</v>
      </c>
      <c r="V675" s="376">
        <v>26</v>
      </c>
      <c r="W675" s="377">
        <f t="shared" si="10"/>
        <v>1</v>
      </c>
      <c r="X675" s="378" t="str">
        <f>IF(ISNA(VLOOKUP($A675,GA!$A$1:$D$834,3,0))," ",VLOOKUP($A675,GA!$A$1:$D$834,3,0))</f>
        <v>Stark</v>
      </c>
      <c r="Y675" s="379" t="str">
        <f>IF(ISNA(VLOOKUP($A675,Dormant_Councils!$A$1:$E$811,5,0)),"No",VLOOKUP($A675,Dormant_Councils!$A$1:$E$811,5,0))</f>
        <v>No</v>
      </c>
      <c r="Z675" s="381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22" t="str">
        <f>Councils!C679</f>
        <v>126</v>
      </c>
      <c r="C676" s="322" t="str">
        <f>Councils!D679</f>
        <v>Mont Belvieu</v>
      </c>
      <c r="D676" s="322" t="str">
        <f>IF(ISNA(VLOOKUP($V676,DD_Info!$A$1:$E$221,3,0)),0,VLOOKUP($V676,DD_Info!$A$1:$E$221,3,0))</f>
        <v>Beaumont</v>
      </c>
      <c r="E676" s="322">
        <f>Councils!E679</f>
        <v>99</v>
      </c>
      <c r="F676" s="322">
        <f>Councils!F679</f>
        <v>5</v>
      </c>
      <c r="G676" s="322">
        <f>Councils!G679</f>
        <v>0</v>
      </c>
      <c r="H676" s="322">
        <f>Councils!H679</f>
        <v>0</v>
      </c>
      <c r="I676" s="322">
        <f>Councils!I679</f>
        <v>0</v>
      </c>
      <c r="J676" s="322">
        <f>Councils!J679</f>
        <v>1</v>
      </c>
      <c r="K676" s="322">
        <f>Councils!K679</f>
        <v>0</v>
      </c>
      <c r="L676" s="322">
        <f>Councils!L679</f>
        <v>1</v>
      </c>
      <c r="M676" s="323">
        <f>Councils!M679</f>
        <v>20</v>
      </c>
      <c r="N676" s="322">
        <f>Councils!O679</f>
        <v>0</v>
      </c>
      <c r="O676" s="322">
        <f>Councils!P679</f>
        <v>0</v>
      </c>
      <c r="P676" s="322">
        <f>Councils!Q679</f>
        <v>1</v>
      </c>
      <c r="Q676" s="322">
        <f>Councils!R679</f>
        <v>-1</v>
      </c>
      <c r="R676" s="322">
        <f>Councils!S679</f>
        <v>0</v>
      </c>
      <c r="S676" s="322">
        <f>Councils!T679</f>
        <v>2</v>
      </c>
      <c r="T676" s="322">
        <f>Councils!U679</f>
        <v>-2</v>
      </c>
      <c r="U676" s="323">
        <f>Councils!V679</f>
        <v>0</v>
      </c>
      <c r="V676" s="376">
        <v>126</v>
      </c>
      <c r="W676" s="377">
        <f t="shared" si="10"/>
        <v>2</v>
      </c>
      <c r="X676" s="378" t="str">
        <f>IF(ISNA(VLOOKUP($A676,GA!$A$1:$D$834,3,0))," ",VLOOKUP($A676,GA!$A$1:$D$834,3,0))</f>
        <v>Rangel</v>
      </c>
      <c r="Y676" s="379" t="str">
        <f>IF(ISNA(VLOOKUP($A676,Dormant_Councils!$A$1:$E$811,5,0)),"No",VLOOKUP($A676,Dormant_Councils!$A$1:$E$811,5,0))</f>
        <v>No</v>
      </c>
      <c r="Z676" s="381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22" t="str">
        <f>Councils!C680</f>
        <v>224</v>
      </c>
      <c r="C677" s="322" t="str">
        <f>Councils!D680</f>
        <v>San Angelo</v>
      </c>
      <c r="D677" s="322" t="str">
        <f>IF(ISNA(VLOOKUP($V677,DD_Info!$A$1:$E$221,3,0)),0,VLOOKUP($V677,DD_Info!$A$1:$E$221,3,0))</f>
        <v>San Angelo</v>
      </c>
      <c r="E677" s="322">
        <f>Councils!E680</f>
        <v>121</v>
      </c>
      <c r="F677" s="322">
        <f>Councils!F680</f>
        <v>6</v>
      </c>
      <c r="G677" s="322">
        <f>Councils!G680</f>
        <v>0</v>
      </c>
      <c r="H677" s="322">
        <f>Councils!H680</f>
        <v>0</v>
      </c>
      <c r="I677" s="322">
        <f>Councils!I680</f>
        <v>0</v>
      </c>
      <c r="J677" s="322">
        <f>Councils!J680</f>
        <v>1</v>
      </c>
      <c r="K677" s="322">
        <f>Councils!K680</f>
        <v>0</v>
      </c>
      <c r="L677" s="322">
        <f>Councils!L680</f>
        <v>1</v>
      </c>
      <c r="M677" s="323">
        <f>Councils!M680</f>
        <v>16.670000000000002</v>
      </c>
      <c r="N677" s="322">
        <f>Councils!O680</f>
        <v>0</v>
      </c>
      <c r="O677" s="322">
        <f>Councils!P680</f>
        <v>1</v>
      </c>
      <c r="P677" s="322">
        <f>Councils!Q680</f>
        <v>0</v>
      </c>
      <c r="Q677" s="322">
        <f>Councils!R680</f>
        <v>1</v>
      </c>
      <c r="R677" s="322">
        <f>Councils!S680</f>
        <v>1</v>
      </c>
      <c r="S677" s="322">
        <f>Councils!T680</f>
        <v>0</v>
      </c>
      <c r="T677" s="322">
        <f>Councils!U680</f>
        <v>1</v>
      </c>
      <c r="U677" s="323">
        <f>Councils!V680</f>
        <v>0</v>
      </c>
      <c r="V677" s="376">
        <v>224</v>
      </c>
      <c r="W677" s="377">
        <f t="shared" si="10"/>
        <v>2</v>
      </c>
      <c r="X677" s="378" t="str">
        <f>IF(ISNA(VLOOKUP($A677,GA!$A$1:$D$834,3,0))," ",VLOOKUP($A677,GA!$A$1:$D$834,3,0))</f>
        <v>Payne</v>
      </c>
      <c r="Y677" s="379" t="str">
        <f>IF(ISNA(VLOOKUP($A677,Dormant_Councils!$A$1:$E$811,5,0)),"No",VLOOKUP($A677,Dormant_Councils!$A$1:$E$811,5,0))</f>
        <v>No</v>
      </c>
      <c r="Z677" s="381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22" t="str">
        <f>Councils!C681</f>
        <v>108</v>
      </c>
      <c r="C678" s="322" t="str">
        <f>Councils!D681</f>
        <v>Dallas</v>
      </c>
      <c r="D678" s="322" t="str">
        <f>IF(ISNA(VLOOKUP($V678,DD_Info!$A$1:$E$221,3,0)),0,VLOOKUP($V678,DD_Info!$A$1:$E$221,3,0))</f>
        <v>Dallas</v>
      </c>
      <c r="E678" s="322">
        <f>Councils!E681</f>
        <v>338</v>
      </c>
      <c r="F678" s="322">
        <f>Councils!F681</f>
        <v>17</v>
      </c>
      <c r="G678" s="322">
        <f>Councils!G681</f>
        <v>0</v>
      </c>
      <c r="H678" s="322">
        <f>Councils!H681</f>
        <v>0</v>
      </c>
      <c r="I678" s="322">
        <f>Councils!I681</f>
        <v>0</v>
      </c>
      <c r="J678" s="322">
        <f>Councils!J681</f>
        <v>0</v>
      </c>
      <c r="K678" s="322">
        <f>Councils!K681</f>
        <v>0</v>
      </c>
      <c r="L678" s="322">
        <f>Councils!L681</f>
        <v>0</v>
      </c>
      <c r="M678" s="323">
        <f>Councils!M681</f>
        <v>0</v>
      </c>
      <c r="N678" s="322">
        <f>Councils!O681</f>
        <v>0</v>
      </c>
      <c r="O678" s="322">
        <f>Councils!P681</f>
        <v>0</v>
      </c>
      <c r="P678" s="322">
        <f>Councils!Q681</f>
        <v>1</v>
      </c>
      <c r="Q678" s="322">
        <f>Councils!R681</f>
        <v>-1</v>
      </c>
      <c r="R678" s="322">
        <f>Councils!S681</f>
        <v>2</v>
      </c>
      <c r="S678" s="322">
        <f>Councils!T681</f>
        <v>1</v>
      </c>
      <c r="T678" s="322">
        <f>Councils!U681</f>
        <v>1</v>
      </c>
      <c r="U678" s="323">
        <f>Councils!V681</f>
        <v>0</v>
      </c>
      <c r="V678" s="376">
        <v>108</v>
      </c>
      <c r="W678" s="377">
        <f t="shared" si="10"/>
        <v>1</v>
      </c>
      <c r="X678" s="378" t="str">
        <f>IF(ISNA(VLOOKUP($A678,GA!$A$1:$D$834,3,0))," ",VLOOKUP($A678,GA!$A$1:$D$834,3,0))</f>
        <v>Regan</v>
      </c>
      <c r="Y678" s="379" t="str">
        <f>IF(ISNA(VLOOKUP($A678,Dormant_Councils!$A$1:$E$811,5,0)),"No",VLOOKUP($A678,Dormant_Councils!$A$1:$E$811,5,0))</f>
        <v>No</v>
      </c>
      <c r="Z678" s="381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22" t="str">
        <f>Councils!C682</f>
        <v>044</v>
      </c>
      <c r="C679" s="322" t="str">
        <f>Councils!D682</f>
        <v>San Antonio</v>
      </c>
      <c r="D679" s="322" t="str">
        <f>IF(ISNA(VLOOKUP($V679,DD_Info!$A$1:$E$221,3,0)),0,VLOOKUP($V679,DD_Info!$A$1:$E$221,3,0))</f>
        <v>San Antonio</v>
      </c>
      <c r="E679" s="322">
        <f>Councils!E682</f>
        <v>96</v>
      </c>
      <c r="F679" s="322">
        <f>Councils!F682</f>
        <v>5</v>
      </c>
      <c r="G679" s="322">
        <f>Councils!G682</f>
        <v>0</v>
      </c>
      <c r="H679" s="322">
        <f>Councils!H682</f>
        <v>0</v>
      </c>
      <c r="I679" s="322">
        <f>Councils!I682</f>
        <v>0</v>
      </c>
      <c r="J679" s="322">
        <f>Councils!J682</f>
        <v>0</v>
      </c>
      <c r="K679" s="322">
        <f>Councils!K682</f>
        <v>0</v>
      </c>
      <c r="L679" s="322">
        <f>Councils!L682</f>
        <v>0</v>
      </c>
      <c r="M679" s="323">
        <f>Councils!M682</f>
        <v>0</v>
      </c>
      <c r="N679" s="322">
        <f>Councils!O682</f>
        <v>0</v>
      </c>
      <c r="O679" s="322">
        <f>Councils!P682</f>
        <v>0</v>
      </c>
      <c r="P679" s="322">
        <f>Councils!Q682</f>
        <v>0</v>
      </c>
      <c r="Q679" s="322">
        <f>Councils!R682</f>
        <v>0</v>
      </c>
      <c r="R679" s="322">
        <f>Councils!S682</f>
        <v>0</v>
      </c>
      <c r="S679" s="322">
        <f>Councils!T682</f>
        <v>0</v>
      </c>
      <c r="T679" s="322">
        <f>Councils!U682</f>
        <v>0</v>
      </c>
      <c r="U679" s="323">
        <f>Councils!V682</f>
        <v>0</v>
      </c>
      <c r="V679" s="376">
        <v>44</v>
      </c>
      <c r="W679" s="377">
        <f t="shared" si="10"/>
        <v>2</v>
      </c>
      <c r="X679" s="378" t="str">
        <f>IF(ISNA(VLOOKUP($A679,GA!$A$1:$D$834,3,0))," ",VLOOKUP($A679,GA!$A$1:$D$834,3,0))</f>
        <v>Dougherty</v>
      </c>
      <c r="Y679" s="379" t="str">
        <f>IF(ISNA(VLOOKUP($A679,Dormant_Councils!$A$1:$E$811,5,0)),"No",VLOOKUP($A679,Dormant_Councils!$A$1:$E$811,5,0))</f>
        <v>No</v>
      </c>
      <c r="Z679" s="381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22" t="str">
        <f>Councils!C683</f>
        <v>147</v>
      </c>
      <c r="C680" s="322" t="str">
        <f>Councils!D683</f>
        <v>Fort Hood</v>
      </c>
      <c r="D680" s="322" t="str">
        <f>IF(ISNA(VLOOKUP($V680,DD_Info!$A$1:$E$221,3,0)),0,VLOOKUP($V680,DD_Info!$A$1:$E$221,3,0))</f>
        <v>Austin</v>
      </c>
      <c r="E680" s="322">
        <f>Councils!E683</f>
        <v>80</v>
      </c>
      <c r="F680" s="322">
        <f>Councils!F683</f>
        <v>4</v>
      </c>
      <c r="G680" s="322">
        <f>Councils!G683</f>
        <v>0</v>
      </c>
      <c r="H680" s="322">
        <f>Councils!H683</f>
        <v>0</v>
      </c>
      <c r="I680" s="322">
        <f>Councils!I683</f>
        <v>0</v>
      </c>
      <c r="J680" s="322">
        <f>Councils!J683</f>
        <v>0</v>
      </c>
      <c r="K680" s="322">
        <f>Councils!K683</f>
        <v>0</v>
      </c>
      <c r="L680" s="322">
        <f>Councils!L683</f>
        <v>0</v>
      </c>
      <c r="M680" s="323">
        <f>Councils!M683</f>
        <v>0</v>
      </c>
      <c r="N680" s="322">
        <f>Councils!O683</f>
        <v>0</v>
      </c>
      <c r="O680" s="322">
        <f>Councils!P683</f>
        <v>0</v>
      </c>
      <c r="P680" s="322">
        <f>Councils!Q683</f>
        <v>0</v>
      </c>
      <c r="Q680" s="322">
        <f>Councils!R683</f>
        <v>0</v>
      </c>
      <c r="R680" s="322">
        <f>Councils!S683</f>
        <v>1</v>
      </c>
      <c r="S680" s="322">
        <f>Councils!T683</f>
        <v>3</v>
      </c>
      <c r="T680" s="322">
        <f>Councils!U683</f>
        <v>-2</v>
      </c>
      <c r="U680" s="323">
        <f>Councils!V683</f>
        <v>0</v>
      </c>
      <c r="V680" s="376">
        <v>147</v>
      </c>
      <c r="W680" s="377">
        <f t="shared" si="10"/>
        <v>2</v>
      </c>
      <c r="X680" s="378" t="str">
        <f>IF(ISNA(VLOOKUP($A680,GA!$A$1:$D$834,3,0))," ",VLOOKUP($A680,GA!$A$1:$D$834,3,0))</f>
        <v>Rangel</v>
      </c>
      <c r="Y680" s="379" t="str">
        <f>IF(ISNA(VLOOKUP($A680,Dormant_Councils!$A$1:$E$811,5,0)),"No",VLOOKUP($A680,Dormant_Councils!$A$1:$E$811,5,0))</f>
        <v>No</v>
      </c>
      <c r="Z680" s="381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22" t="str">
        <f>Councils!C684</f>
        <v>061</v>
      </c>
      <c r="C681" s="322" t="str">
        <f>Councils!D684</f>
        <v>Alamo Hts, San Antonio</v>
      </c>
      <c r="D681" s="322" t="str">
        <f>IF(ISNA(VLOOKUP($V681,DD_Info!$A$1:$E$221,3,0)),0,VLOOKUP($V681,DD_Info!$A$1:$E$221,3,0))</f>
        <v>San Antonio</v>
      </c>
      <c r="E681" s="322">
        <f>Councils!E684</f>
        <v>55</v>
      </c>
      <c r="F681" s="322">
        <f>Councils!F684</f>
        <v>3</v>
      </c>
      <c r="G681" s="322">
        <f>Councils!G684</f>
        <v>0</v>
      </c>
      <c r="H681" s="322">
        <f>Councils!H684</f>
        <v>0</v>
      </c>
      <c r="I681" s="322">
        <f>Councils!I684</f>
        <v>0</v>
      </c>
      <c r="J681" s="322">
        <f>Councils!J684</f>
        <v>0</v>
      </c>
      <c r="K681" s="322">
        <f>Councils!K684</f>
        <v>0</v>
      </c>
      <c r="L681" s="322">
        <f>Councils!L684</f>
        <v>0</v>
      </c>
      <c r="M681" s="323">
        <f>Councils!M684</f>
        <v>0</v>
      </c>
      <c r="N681" s="322">
        <f>Councils!O684</f>
        <v>0</v>
      </c>
      <c r="O681" s="322">
        <f>Councils!P684</f>
        <v>0</v>
      </c>
      <c r="P681" s="322">
        <f>Councils!Q684</f>
        <v>0</v>
      </c>
      <c r="Q681" s="322">
        <f>Councils!R684</f>
        <v>0</v>
      </c>
      <c r="R681" s="322">
        <f>Councils!S684</f>
        <v>0</v>
      </c>
      <c r="S681" s="322">
        <f>Councils!T684</f>
        <v>1</v>
      </c>
      <c r="T681" s="322">
        <f>Councils!U684</f>
        <v>-1</v>
      </c>
      <c r="U681" s="323">
        <f>Councils!V684</f>
        <v>0</v>
      </c>
      <c r="V681" s="376">
        <v>61</v>
      </c>
      <c r="W681" s="377">
        <f t="shared" si="10"/>
        <v>3</v>
      </c>
      <c r="X681" s="378" t="str">
        <f>IF(ISNA(VLOOKUP($A681,GA!$A$1:$D$834,3,0))," ",VLOOKUP($A681,GA!$A$1:$D$834,3,0))</f>
        <v>Dougherty</v>
      </c>
      <c r="Y681" s="379" t="str">
        <f>IF(ISNA(VLOOKUP($A681,Dormant_Councils!$A$1:$E$811,5,0)),"No",VLOOKUP($A681,Dormant_Councils!$A$1:$E$811,5,0))</f>
        <v>Dormant</v>
      </c>
      <c r="Z681" s="381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22" t="str">
        <f>Councils!C685</f>
        <v>142</v>
      </c>
      <c r="C682" s="322" t="str">
        <f>Councils!D685</f>
        <v>Waco</v>
      </c>
      <c r="D682" s="322" t="str">
        <f>IF(ISNA(VLOOKUP($V682,DD_Info!$A$1:$E$221,3,0)),0,VLOOKUP($V682,DD_Info!$A$1:$E$221,3,0))</f>
        <v>Austin</v>
      </c>
      <c r="E682" s="322">
        <f>Councils!E685</f>
        <v>80</v>
      </c>
      <c r="F682" s="322">
        <f>Councils!F685</f>
        <v>4</v>
      </c>
      <c r="G682" s="322">
        <f>Councils!G685</f>
        <v>0</v>
      </c>
      <c r="H682" s="322">
        <f>Councils!H685</f>
        <v>0</v>
      </c>
      <c r="I682" s="322">
        <f>Councils!I685</f>
        <v>0</v>
      </c>
      <c r="J682" s="322">
        <f>Councils!J685</f>
        <v>7</v>
      </c>
      <c r="K682" s="322">
        <f>Councils!K685</f>
        <v>4</v>
      </c>
      <c r="L682" s="322">
        <f>Councils!L685</f>
        <v>3</v>
      </c>
      <c r="M682" s="323">
        <f>Councils!M685</f>
        <v>75</v>
      </c>
      <c r="N682" s="322">
        <f>Councils!O685</f>
        <v>0</v>
      </c>
      <c r="O682" s="322">
        <f>Councils!P685</f>
        <v>0</v>
      </c>
      <c r="P682" s="322">
        <f>Councils!Q685</f>
        <v>0</v>
      </c>
      <c r="Q682" s="322">
        <f>Councils!R685</f>
        <v>0</v>
      </c>
      <c r="R682" s="322">
        <f>Councils!S685</f>
        <v>5</v>
      </c>
      <c r="S682" s="322">
        <f>Councils!T685</f>
        <v>0</v>
      </c>
      <c r="T682" s="322">
        <f>Councils!U685</f>
        <v>5</v>
      </c>
      <c r="U682" s="323">
        <f>Councils!V685</f>
        <v>0</v>
      </c>
      <c r="V682" s="376">
        <v>142</v>
      </c>
      <c r="W682" s="377">
        <f t="shared" si="10"/>
        <v>2</v>
      </c>
      <c r="X682" s="378" t="str">
        <f>IF(ISNA(VLOOKUP($A682,GA!$A$1:$D$834,3,0))," ",VLOOKUP($A682,GA!$A$1:$D$834,3,0))</f>
        <v>Rangel</v>
      </c>
      <c r="Y682" s="379" t="str">
        <f>IF(ISNA(VLOOKUP($A682,Dormant_Councils!$A$1:$E$811,5,0)),"No",VLOOKUP($A682,Dormant_Councils!$A$1:$E$811,5,0))</f>
        <v>No</v>
      </c>
      <c r="Z682" s="381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22" t="str">
        <f>Councils!C686</f>
        <v>087</v>
      </c>
      <c r="C683" s="322" t="str">
        <f>Councils!D686</f>
        <v>Houston</v>
      </c>
      <c r="D683" s="322" t="str">
        <f>IF(ISNA(VLOOKUP($V683,DD_Info!$A$1:$E$221,3,0)),0,VLOOKUP($V683,DD_Info!$A$1:$E$221,3,0))</f>
        <v>Galv/Hous</v>
      </c>
      <c r="E683" s="322">
        <f>Councils!E686</f>
        <v>79</v>
      </c>
      <c r="F683" s="322">
        <f>Councils!F686</f>
        <v>4</v>
      </c>
      <c r="G683" s="322">
        <f>Councils!G686</f>
        <v>0</v>
      </c>
      <c r="H683" s="322">
        <f>Councils!H686</f>
        <v>0</v>
      </c>
      <c r="I683" s="322">
        <f>Councils!I686</f>
        <v>0</v>
      </c>
      <c r="J683" s="322">
        <f>Councils!J686</f>
        <v>2</v>
      </c>
      <c r="K683" s="322">
        <f>Councils!K686</f>
        <v>0</v>
      </c>
      <c r="L683" s="322">
        <f>Councils!L686</f>
        <v>2</v>
      </c>
      <c r="M683" s="323">
        <f>Councils!M686</f>
        <v>50</v>
      </c>
      <c r="N683" s="322">
        <f>Councils!O686</f>
        <v>0</v>
      </c>
      <c r="O683" s="322">
        <f>Councils!P686</f>
        <v>0</v>
      </c>
      <c r="P683" s="322">
        <f>Councils!Q686</f>
        <v>0</v>
      </c>
      <c r="Q683" s="322">
        <f>Councils!R686</f>
        <v>0</v>
      </c>
      <c r="R683" s="322">
        <f>Councils!S686</f>
        <v>0</v>
      </c>
      <c r="S683" s="322">
        <f>Councils!T686</f>
        <v>1</v>
      </c>
      <c r="T683" s="322">
        <f>Councils!U686</f>
        <v>-1</v>
      </c>
      <c r="U683" s="323">
        <f>Councils!V686</f>
        <v>0</v>
      </c>
      <c r="V683" s="376">
        <v>87</v>
      </c>
      <c r="W683" s="377">
        <f t="shared" si="10"/>
        <v>2</v>
      </c>
      <c r="X683" s="378" t="str">
        <f>IF(ISNA(VLOOKUP($A683,GA!$A$1:$D$834,3,0))," ",VLOOKUP($A683,GA!$A$1:$D$834,3,0))</f>
        <v>Rangel</v>
      </c>
      <c r="Y683" s="379" t="str">
        <f>IF(ISNA(VLOOKUP($A683,Dormant_Councils!$A$1:$E$811,5,0)),"No",VLOOKUP($A683,Dormant_Councils!$A$1:$E$811,5,0))</f>
        <v>No</v>
      </c>
      <c r="Z683" s="381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22" t="str">
        <f>Councils!C687</f>
        <v>091</v>
      </c>
      <c r="C684" s="322" t="str">
        <f>Councils!D687</f>
        <v>Houston</v>
      </c>
      <c r="D684" s="322" t="str">
        <f>IF(ISNA(VLOOKUP($V684,DD_Info!$A$1:$E$221,3,0)),0,VLOOKUP($V684,DD_Info!$A$1:$E$221,3,0))</f>
        <v>Galv/Hous</v>
      </c>
      <c r="E684" s="322">
        <f>Councils!E687</f>
        <v>47</v>
      </c>
      <c r="F684" s="322">
        <f>Councils!F687</f>
        <v>3</v>
      </c>
      <c r="G684" s="322">
        <f>Councils!G687</f>
        <v>0</v>
      </c>
      <c r="H684" s="322">
        <f>Councils!H687</f>
        <v>0</v>
      </c>
      <c r="I684" s="322">
        <f>Councils!I687</f>
        <v>0</v>
      </c>
      <c r="J684" s="322">
        <f>Councils!J687</f>
        <v>0</v>
      </c>
      <c r="K684" s="322">
        <f>Councils!K687</f>
        <v>0</v>
      </c>
      <c r="L684" s="322">
        <f>Councils!L687</f>
        <v>0</v>
      </c>
      <c r="M684" s="323">
        <f>Councils!M687</f>
        <v>0</v>
      </c>
      <c r="N684" s="322">
        <f>Councils!O687</f>
        <v>0</v>
      </c>
      <c r="O684" s="322">
        <f>Councils!P687</f>
        <v>0</v>
      </c>
      <c r="P684" s="322">
        <f>Councils!Q687</f>
        <v>2</v>
      </c>
      <c r="Q684" s="322">
        <f>Councils!R687</f>
        <v>-2</v>
      </c>
      <c r="R684" s="322">
        <f>Councils!S687</f>
        <v>0</v>
      </c>
      <c r="S684" s="322">
        <f>Councils!T687</f>
        <v>2</v>
      </c>
      <c r="T684" s="322">
        <f>Councils!U687</f>
        <v>-2</v>
      </c>
      <c r="U684" s="323">
        <f>Councils!V687</f>
        <v>0</v>
      </c>
      <c r="V684" s="376">
        <v>91</v>
      </c>
      <c r="W684" s="377">
        <f t="shared" si="10"/>
        <v>3</v>
      </c>
      <c r="X684" s="378" t="str">
        <f>IF(ISNA(VLOOKUP($A684,GA!$A$1:$D$834,3,0))," ",VLOOKUP($A684,GA!$A$1:$D$834,3,0))</f>
        <v>Rangel</v>
      </c>
      <c r="Y684" s="379" t="str">
        <f>IF(ISNA(VLOOKUP($A684,Dormant_Councils!$A$1:$E$811,5,0)),"No",VLOOKUP($A684,Dormant_Councils!$A$1:$E$811,5,0))</f>
        <v>No</v>
      </c>
      <c r="Z684" s="381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22" t="str">
        <f>Councils!C688</f>
        <v>231</v>
      </c>
      <c r="C685" s="322" t="str">
        <f>Councils!D688</f>
        <v>La Pryor</v>
      </c>
      <c r="D685" s="322" t="str">
        <f>IF(ISNA(VLOOKUP($V685,DD_Info!$A$1:$E$221,3,0)),0,VLOOKUP($V685,DD_Info!$A$1:$E$221,3,0))</f>
        <v>Laredo</v>
      </c>
      <c r="E685" s="322">
        <f>Councils!E688</f>
        <v>34</v>
      </c>
      <c r="F685" s="322">
        <f>Councils!F688</f>
        <v>3</v>
      </c>
      <c r="G685" s="322">
        <f>Councils!G688</f>
        <v>0</v>
      </c>
      <c r="H685" s="322">
        <f>Councils!H688</f>
        <v>0</v>
      </c>
      <c r="I685" s="322">
        <f>Councils!I688</f>
        <v>0</v>
      </c>
      <c r="J685" s="322">
        <f>Councils!J688</f>
        <v>0</v>
      </c>
      <c r="K685" s="322">
        <f>Councils!K688</f>
        <v>0</v>
      </c>
      <c r="L685" s="322">
        <f>Councils!L688</f>
        <v>0</v>
      </c>
      <c r="M685" s="323">
        <f>Councils!M688</f>
        <v>0</v>
      </c>
      <c r="N685" s="322">
        <f>Councils!O688</f>
        <v>0</v>
      </c>
      <c r="O685" s="322">
        <f>Councils!P688</f>
        <v>0</v>
      </c>
      <c r="P685" s="322">
        <f>Councils!Q688</f>
        <v>0</v>
      </c>
      <c r="Q685" s="322">
        <f>Councils!R688</f>
        <v>0</v>
      </c>
      <c r="R685" s="322">
        <f>Councils!S688</f>
        <v>0</v>
      </c>
      <c r="S685" s="322">
        <f>Councils!T688</f>
        <v>0</v>
      </c>
      <c r="T685" s="322">
        <f>Councils!U688</f>
        <v>0</v>
      </c>
      <c r="U685" s="323">
        <f>Councils!V688</f>
        <v>0</v>
      </c>
      <c r="V685" s="376">
        <v>231</v>
      </c>
      <c r="W685" s="377">
        <f t="shared" si="10"/>
        <v>3</v>
      </c>
      <c r="X685" s="378" t="str">
        <f>IF(ISNA(VLOOKUP($A685,GA!$A$1:$D$834,3,0))," ",VLOOKUP($A685,GA!$A$1:$D$834,3,0))</f>
        <v>Carlin</v>
      </c>
      <c r="Y685" s="379" t="str">
        <f>IF(ISNA(VLOOKUP($A685,Dormant_Councils!$A$1:$E$811,5,0)),"No",VLOOKUP($A685,Dormant_Councils!$A$1:$E$811,5,0))</f>
        <v>No</v>
      </c>
      <c r="Z685" s="381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22" t="str">
        <f>Councils!C689</f>
        <v>178</v>
      </c>
      <c r="C686" s="322" t="str">
        <f>Councils!D689</f>
        <v>Agua Dulce</v>
      </c>
      <c r="D686" s="322" t="str">
        <f>IF(ISNA(VLOOKUP($V686,DD_Info!$A$1:$E$221,3,0)),0,VLOOKUP($V686,DD_Info!$A$1:$E$221,3,0))</f>
        <v>Corpus Christi</v>
      </c>
      <c r="E686" s="322">
        <f>Councils!E689</f>
        <v>38</v>
      </c>
      <c r="F686" s="322">
        <f>Councils!F689</f>
        <v>3</v>
      </c>
      <c r="G686" s="322">
        <f>Councils!G689</f>
        <v>0</v>
      </c>
      <c r="H686" s="322">
        <f>Councils!H689</f>
        <v>0</v>
      </c>
      <c r="I686" s="322">
        <f>Councils!I689</f>
        <v>0</v>
      </c>
      <c r="J686" s="322">
        <f>Councils!J689</f>
        <v>0</v>
      </c>
      <c r="K686" s="322">
        <f>Councils!K689</f>
        <v>0</v>
      </c>
      <c r="L686" s="322">
        <f>Councils!L689</f>
        <v>0</v>
      </c>
      <c r="M686" s="323">
        <f>Councils!M689</f>
        <v>0</v>
      </c>
      <c r="N686" s="322">
        <f>Councils!O689</f>
        <v>0</v>
      </c>
      <c r="O686" s="322">
        <f>Councils!P689</f>
        <v>0</v>
      </c>
      <c r="P686" s="322">
        <f>Councils!Q689</f>
        <v>1</v>
      </c>
      <c r="Q686" s="322">
        <f>Councils!R689</f>
        <v>-1</v>
      </c>
      <c r="R686" s="322">
        <f>Councils!S689</f>
        <v>0</v>
      </c>
      <c r="S686" s="322">
        <f>Councils!T689</f>
        <v>1</v>
      </c>
      <c r="T686" s="322">
        <f>Councils!U689</f>
        <v>-1</v>
      </c>
      <c r="U686" s="323">
        <f>Councils!V689</f>
        <v>0</v>
      </c>
      <c r="V686" s="376">
        <v>178</v>
      </c>
      <c r="W686" s="377">
        <f t="shared" si="10"/>
        <v>3</v>
      </c>
      <c r="X686" s="378" t="str">
        <f>IF(ISNA(VLOOKUP($A686,GA!$A$1:$D$834,3,0))," ",VLOOKUP($A686,GA!$A$1:$D$834,3,0))</f>
        <v>Carlin</v>
      </c>
      <c r="Y686" s="379" t="str">
        <f>IF(ISNA(VLOOKUP($A686,Dormant_Councils!$A$1:$E$811,5,0)),"No",VLOOKUP($A686,Dormant_Councils!$A$1:$E$811,5,0))</f>
        <v>No</v>
      </c>
      <c r="Z686" s="381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22" t="str">
        <f>Councils!C690</f>
        <v>044</v>
      </c>
      <c r="C687" s="322" t="str">
        <f>Councils!D690</f>
        <v>San Antonio</v>
      </c>
      <c r="D687" s="322" t="str">
        <f>IF(ISNA(VLOOKUP($V687,DD_Info!$A$1:$E$221,3,0)),0,VLOOKUP($V687,DD_Info!$A$1:$E$221,3,0))</f>
        <v>San Antonio</v>
      </c>
      <c r="E687" s="322">
        <f>Councils!E690</f>
        <v>168</v>
      </c>
      <c r="F687" s="322">
        <f>Councils!F690</f>
        <v>8</v>
      </c>
      <c r="G687" s="322">
        <f>Councils!G690</f>
        <v>0</v>
      </c>
      <c r="H687" s="322">
        <f>Councils!H690</f>
        <v>18</v>
      </c>
      <c r="I687" s="322">
        <f>Councils!I690</f>
        <v>-18</v>
      </c>
      <c r="J687" s="322">
        <f>Councils!J690</f>
        <v>2</v>
      </c>
      <c r="K687" s="322">
        <f>Councils!K690</f>
        <v>18</v>
      </c>
      <c r="L687" s="322">
        <f>Councils!L690</f>
        <v>-16</v>
      </c>
      <c r="M687" s="323">
        <f>Councils!M690</f>
        <v>0</v>
      </c>
      <c r="N687" s="322">
        <f>Councils!O690</f>
        <v>0</v>
      </c>
      <c r="O687" s="322">
        <f>Councils!P690</f>
        <v>0</v>
      </c>
      <c r="P687" s="322">
        <f>Councils!Q690</f>
        <v>1</v>
      </c>
      <c r="Q687" s="322">
        <f>Councils!R690</f>
        <v>-1</v>
      </c>
      <c r="R687" s="322">
        <f>Councils!S690</f>
        <v>2</v>
      </c>
      <c r="S687" s="322">
        <f>Councils!T690</f>
        <v>2</v>
      </c>
      <c r="T687" s="322">
        <f>Councils!U690</f>
        <v>0</v>
      </c>
      <c r="U687" s="323">
        <f>Councils!V690</f>
        <v>0</v>
      </c>
      <c r="V687" s="376">
        <v>44</v>
      </c>
      <c r="W687" s="377">
        <f t="shared" si="10"/>
        <v>1</v>
      </c>
      <c r="X687" s="378" t="str">
        <f>IF(ISNA(VLOOKUP($A687,GA!$A$1:$D$834,3,0))," ",VLOOKUP($A687,GA!$A$1:$D$834,3,0))</f>
        <v>Dougherty</v>
      </c>
      <c r="Y687" s="379" t="str">
        <f>IF(ISNA(VLOOKUP($A687,Dormant_Councils!$A$1:$E$811,5,0)),"No",VLOOKUP($A687,Dormant_Councils!$A$1:$E$811,5,0))</f>
        <v>No</v>
      </c>
      <c r="Z687" s="381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22" t="str">
        <f>Councils!C691</f>
        <v>121</v>
      </c>
      <c r="C688" s="322" t="str">
        <f>Councils!D691</f>
        <v>Jasper</v>
      </c>
      <c r="D688" s="322" t="str">
        <f>IF(ISNA(VLOOKUP($V688,DD_Info!$A$1:$E$221,3,0)),0,VLOOKUP($V688,DD_Info!$A$1:$E$221,3,0))</f>
        <v>Beaumont</v>
      </c>
      <c r="E688" s="322">
        <f>Councils!E691</f>
        <v>57</v>
      </c>
      <c r="F688" s="322">
        <f>Councils!F691</f>
        <v>3</v>
      </c>
      <c r="G688" s="322">
        <f>Councils!G691</f>
        <v>0</v>
      </c>
      <c r="H688" s="322">
        <f>Councils!H691</f>
        <v>0</v>
      </c>
      <c r="I688" s="322">
        <f>Councils!I691</f>
        <v>0</v>
      </c>
      <c r="J688" s="322">
        <f>Councils!J691</f>
        <v>3</v>
      </c>
      <c r="K688" s="322">
        <f>Councils!K691</f>
        <v>0</v>
      </c>
      <c r="L688" s="322">
        <f>Councils!L691</f>
        <v>3</v>
      </c>
      <c r="M688" s="323">
        <f>Councils!M691</f>
        <v>100</v>
      </c>
      <c r="N688" s="322">
        <f>Councils!O691</f>
        <v>0</v>
      </c>
      <c r="O688" s="322">
        <f>Councils!P691</f>
        <v>0</v>
      </c>
      <c r="P688" s="322">
        <f>Councils!Q691</f>
        <v>0</v>
      </c>
      <c r="Q688" s="322">
        <f>Councils!R691</f>
        <v>0</v>
      </c>
      <c r="R688" s="322">
        <f>Councils!S691</f>
        <v>0</v>
      </c>
      <c r="S688" s="322">
        <f>Councils!T691</f>
        <v>0</v>
      </c>
      <c r="T688" s="322">
        <f>Councils!U691</f>
        <v>0</v>
      </c>
      <c r="U688" s="323">
        <f>Councils!V691</f>
        <v>0</v>
      </c>
      <c r="V688" s="376">
        <v>121</v>
      </c>
      <c r="W688" s="377">
        <f t="shared" si="10"/>
        <v>3</v>
      </c>
      <c r="X688" s="378" t="str">
        <f>IF(ISNA(VLOOKUP($A688,GA!$A$1:$D$834,3,0))," ",VLOOKUP($A688,GA!$A$1:$D$834,3,0))</f>
        <v>Rangel</v>
      </c>
      <c r="Y688" s="379" t="str">
        <f>IF(ISNA(VLOOKUP($A688,Dormant_Councils!$A$1:$E$811,5,0)),"No",VLOOKUP($A688,Dormant_Councils!$A$1:$E$811,5,0))</f>
        <v>No</v>
      </c>
      <c r="Z688" s="381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22" t="str">
        <f>Councils!C692</f>
        <v>227</v>
      </c>
      <c r="C689" s="322" t="str">
        <f>Councils!D692</f>
        <v>Brady</v>
      </c>
      <c r="D689" s="322" t="str">
        <f>IF(ISNA(VLOOKUP($V689,DD_Info!$A$1:$E$221,3,0)),0,VLOOKUP($V689,DD_Info!$A$1:$E$221,3,0))</f>
        <v>San Angelo</v>
      </c>
      <c r="E689" s="322">
        <f>Councils!E692</f>
        <v>72</v>
      </c>
      <c r="F689" s="322">
        <f>Councils!F692</f>
        <v>4</v>
      </c>
      <c r="G689" s="322">
        <f>Councils!G692</f>
        <v>0</v>
      </c>
      <c r="H689" s="322">
        <f>Councils!H692</f>
        <v>0</v>
      </c>
      <c r="I689" s="322">
        <f>Councils!I692</f>
        <v>0</v>
      </c>
      <c r="J689" s="322">
        <f>Councils!J692</f>
        <v>0</v>
      </c>
      <c r="K689" s="322">
        <f>Councils!K692</f>
        <v>0</v>
      </c>
      <c r="L689" s="322">
        <f>Councils!L692</f>
        <v>0</v>
      </c>
      <c r="M689" s="323">
        <f>Councils!M692</f>
        <v>0</v>
      </c>
      <c r="N689" s="322">
        <f>Councils!O692</f>
        <v>0</v>
      </c>
      <c r="O689" s="322">
        <f>Councils!P692</f>
        <v>0</v>
      </c>
      <c r="P689" s="322">
        <f>Councils!Q692</f>
        <v>0</v>
      </c>
      <c r="Q689" s="322">
        <f>Councils!R692</f>
        <v>0</v>
      </c>
      <c r="R689" s="322">
        <f>Councils!S692</f>
        <v>0</v>
      </c>
      <c r="S689" s="322">
        <f>Councils!T692</f>
        <v>1</v>
      </c>
      <c r="T689" s="322">
        <f>Councils!U692</f>
        <v>-1</v>
      </c>
      <c r="U689" s="323">
        <f>Councils!V692</f>
        <v>0</v>
      </c>
      <c r="V689" s="376">
        <v>227</v>
      </c>
      <c r="W689" s="377">
        <f t="shared" si="10"/>
        <v>2</v>
      </c>
      <c r="X689" s="378" t="str">
        <f>IF(ISNA(VLOOKUP($A689,GA!$A$1:$D$834,3,0))," ",VLOOKUP($A689,GA!$A$1:$D$834,3,0))</f>
        <v>Payne</v>
      </c>
      <c r="Y689" s="379" t="str">
        <f>IF(ISNA(VLOOKUP($A689,Dormant_Councils!$A$1:$E$811,5,0)),"No",VLOOKUP($A689,Dormant_Councils!$A$1:$E$811,5,0))</f>
        <v>No</v>
      </c>
      <c r="Z689" s="381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22" t="str">
        <f>Councils!C693</f>
        <v>124</v>
      </c>
      <c r="C690" s="322" t="str">
        <f>Councils!D693</f>
        <v>Orange</v>
      </c>
      <c r="D690" s="322" t="str">
        <f>IF(ISNA(VLOOKUP($V690,DD_Info!$A$1:$E$221,3,0)),0,VLOOKUP($V690,DD_Info!$A$1:$E$221,3,0))</f>
        <v>Beaumont</v>
      </c>
      <c r="E690" s="322">
        <f>Councils!E693</f>
        <v>102</v>
      </c>
      <c r="F690" s="322">
        <f>Councils!F693</f>
        <v>5</v>
      </c>
      <c r="G690" s="322">
        <f>Councils!G693</f>
        <v>0</v>
      </c>
      <c r="H690" s="322">
        <f>Councils!H693</f>
        <v>0</v>
      </c>
      <c r="I690" s="322">
        <f>Councils!I693</f>
        <v>0</v>
      </c>
      <c r="J690" s="322">
        <f>Councils!J693</f>
        <v>0</v>
      </c>
      <c r="K690" s="322">
        <f>Councils!K693</f>
        <v>1</v>
      </c>
      <c r="L690" s="322">
        <f>Councils!L693</f>
        <v>-1</v>
      </c>
      <c r="M690" s="323">
        <f>Councils!M693</f>
        <v>0</v>
      </c>
      <c r="N690" s="322">
        <f>Councils!O693</f>
        <v>0</v>
      </c>
      <c r="O690" s="322">
        <f>Councils!P693</f>
        <v>0</v>
      </c>
      <c r="P690" s="322">
        <f>Councils!Q693</f>
        <v>0</v>
      </c>
      <c r="Q690" s="322">
        <f>Councils!R693</f>
        <v>0</v>
      </c>
      <c r="R690" s="322">
        <f>Councils!S693</f>
        <v>0</v>
      </c>
      <c r="S690" s="322">
        <f>Councils!T693</f>
        <v>3</v>
      </c>
      <c r="T690" s="322">
        <f>Councils!U693</f>
        <v>-3</v>
      </c>
      <c r="U690" s="323">
        <f>Councils!V693</f>
        <v>0</v>
      </c>
      <c r="V690" s="376">
        <v>124</v>
      </c>
      <c r="W690" s="377">
        <f t="shared" si="10"/>
        <v>2</v>
      </c>
      <c r="X690" s="378" t="str">
        <f>IF(ISNA(VLOOKUP($A690,GA!$A$1:$D$834,3,0))," ",VLOOKUP($A690,GA!$A$1:$D$834,3,0))</f>
        <v>Rangel</v>
      </c>
      <c r="Y690" s="379" t="str">
        <f>IF(ISNA(VLOOKUP($A690,Dormant_Councils!$A$1:$E$811,5,0)),"No",VLOOKUP($A690,Dormant_Councils!$A$1:$E$811,5,0))</f>
        <v>No</v>
      </c>
      <c r="Z690" s="381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22" t="str">
        <f>Councils!C694</f>
        <v>233</v>
      </c>
      <c r="C691" s="322" t="str">
        <f>Councils!D694</f>
        <v>Laredo</v>
      </c>
      <c r="D691" s="322" t="str">
        <f>IF(ISNA(VLOOKUP($V691,DD_Info!$A$1:$E$221,3,0)),0,VLOOKUP($V691,DD_Info!$A$1:$E$221,3,0))</f>
        <v>Laredo</v>
      </c>
      <c r="E691" s="322">
        <f>Councils!E694</f>
        <v>77</v>
      </c>
      <c r="F691" s="322">
        <f>Councils!F694</f>
        <v>4</v>
      </c>
      <c r="G691" s="322">
        <f>Councils!G694</f>
        <v>0</v>
      </c>
      <c r="H691" s="322">
        <f>Councils!H694</f>
        <v>0</v>
      </c>
      <c r="I691" s="322">
        <f>Councils!I694</f>
        <v>0</v>
      </c>
      <c r="J691" s="322">
        <f>Councils!J694</f>
        <v>0</v>
      </c>
      <c r="K691" s="322">
        <f>Councils!K694</f>
        <v>0</v>
      </c>
      <c r="L691" s="322">
        <f>Councils!L694</f>
        <v>0</v>
      </c>
      <c r="M691" s="323">
        <f>Councils!M694</f>
        <v>0</v>
      </c>
      <c r="N691" s="322">
        <f>Councils!O694</f>
        <v>0</v>
      </c>
      <c r="O691" s="322">
        <f>Councils!P694</f>
        <v>0</v>
      </c>
      <c r="P691" s="322">
        <f>Councils!Q694</f>
        <v>0</v>
      </c>
      <c r="Q691" s="322">
        <f>Councils!R694</f>
        <v>0</v>
      </c>
      <c r="R691" s="322">
        <f>Councils!S694</f>
        <v>0</v>
      </c>
      <c r="S691" s="322">
        <f>Councils!T694</f>
        <v>0</v>
      </c>
      <c r="T691" s="322">
        <f>Councils!U694</f>
        <v>0</v>
      </c>
      <c r="U691" s="323">
        <f>Councils!V694</f>
        <v>0</v>
      </c>
      <c r="V691" s="376">
        <v>233</v>
      </c>
      <c r="W691" s="377">
        <f t="shared" si="10"/>
        <v>2</v>
      </c>
      <c r="X691" s="378" t="str">
        <f>IF(ISNA(VLOOKUP($A691,GA!$A$1:$D$834,3,0))," ",VLOOKUP($A691,GA!$A$1:$D$834,3,0))</f>
        <v>Carlin</v>
      </c>
      <c r="Y691" s="379" t="str">
        <f>IF(ISNA(VLOOKUP($A691,Dormant_Councils!$A$1:$E$811,5,0)),"No",VLOOKUP($A691,Dormant_Councils!$A$1:$E$811,5,0))</f>
        <v>No</v>
      </c>
      <c r="Z691" s="381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22" t="str">
        <f>Councils!C695</f>
        <v>219</v>
      </c>
      <c r="C692" s="322" t="str">
        <f>Councils!D695</f>
        <v>Mission</v>
      </c>
      <c r="D692" s="322" t="str">
        <f>IF(ISNA(VLOOKUP($V692,DD_Info!$A$1:$E$221,3,0)),0,VLOOKUP($V692,DD_Info!$A$1:$E$221,3,0))</f>
        <v>Brownsville</v>
      </c>
      <c r="E692" s="322">
        <f>Councils!E695</f>
        <v>36</v>
      </c>
      <c r="F692" s="322">
        <f>Councils!F695</f>
        <v>3</v>
      </c>
      <c r="G692" s="322">
        <f>Councils!G695</f>
        <v>0</v>
      </c>
      <c r="H692" s="322">
        <f>Councils!H695</f>
        <v>0</v>
      </c>
      <c r="I692" s="322">
        <f>Councils!I695</f>
        <v>0</v>
      </c>
      <c r="J692" s="322">
        <f>Councils!J695</f>
        <v>0</v>
      </c>
      <c r="K692" s="322">
        <f>Councils!K695</f>
        <v>0</v>
      </c>
      <c r="L692" s="322">
        <f>Councils!L695</f>
        <v>0</v>
      </c>
      <c r="M692" s="323">
        <f>Councils!M695</f>
        <v>0</v>
      </c>
      <c r="N692" s="322">
        <f>Councils!O695</f>
        <v>0</v>
      </c>
      <c r="O692" s="322">
        <f>Councils!P695</f>
        <v>0</v>
      </c>
      <c r="P692" s="322">
        <f>Councils!Q695</f>
        <v>0</v>
      </c>
      <c r="Q692" s="322">
        <f>Councils!R695</f>
        <v>0</v>
      </c>
      <c r="R692" s="322">
        <f>Councils!S695</f>
        <v>0</v>
      </c>
      <c r="S692" s="322">
        <f>Councils!T695</f>
        <v>0</v>
      </c>
      <c r="T692" s="322">
        <f>Councils!U695</f>
        <v>0</v>
      </c>
      <c r="U692" s="323">
        <f>Councils!V695</f>
        <v>0</v>
      </c>
      <c r="V692" s="376">
        <v>219</v>
      </c>
      <c r="W692" s="377">
        <f t="shared" si="10"/>
        <v>3</v>
      </c>
      <c r="X692" s="378" t="str">
        <f>IF(ISNA(VLOOKUP($A692,GA!$A$1:$D$834,3,0))," ",VLOOKUP($A692,GA!$A$1:$D$834,3,0))</f>
        <v>Carlin</v>
      </c>
      <c r="Y692" s="379" t="str">
        <f>IF(ISNA(VLOOKUP($A692,Dormant_Councils!$A$1:$E$811,5,0)),"No",VLOOKUP($A692,Dormant_Councils!$A$1:$E$811,5,0))</f>
        <v>Dormant</v>
      </c>
      <c r="Z692" s="381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22" t="str">
        <f>Councils!C696</f>
        <v>163</v>
      </c>
      <c r="C693" s="322" t="str">
        <f>Councils!D696</f>
        <v>Westphalia</v>
      </c>
      <c r="D693" s="322" t="str">
        <f>IF(ISNA(VLOOKUP($V693,DD_Info!$A$1:$E$221,3,0)),0,VLOOKUP($V693,DD_Info!$A$1:$E$221,3,0))</f>
        <v>Austin</v>
      </c>
      <c r="E693" s="322">
        <f>Councils!E696</f>
        <v>127</v>
      </c>
      <c r="F693" s="322">
        <f>Councils!F696</f>
        <v>6</v>
      </c>
      <c r="G693" s="322">
        <f>Councils!G696</f>
        <v>0</v>
      </c>
      <c r="H693" s="322">
        <f>Councils!H696</f>
        <v>0</v>
      </c>
      <c r="I693" s="322">
        <f>Councils!I696</f>
        <v>0</v>
      </c>
      <c r="J693" s="322">
        <f>Councils!J696</f>
        <v>3</v>
      </c>
      <c r="K693" s="322">
        <f>Councils!K696</f>
        <v>0</v>
      </c>
      <c r="L693" s="322">
        <f>Councils!L696</f>
        <v>3</v>
      </c>
      <c r="M693" s="323">
        <f>Councils!M696</f>
        <v>50</v>
      </c>
      <c r="N693" s="322">
        <f>Councils!O696</f>
        <v>0</v>
      </c>
      <c r="O693" s="322">
        <f>Councils!P696</f>
        <v>0</v>
      </c>
      <c r="P693" s="322">
        <f>Councils!Q696</f>
        <v>0</v>
      </c>
      <c r="Q693" s="322">
        <f>Councils!R696</f>
        <v>0</v>
      </c>
      <c r="R693" s="322">
        <f>Councils!S696</f>
        <v>0</v>
      </c>
      <c r="S693" s="322">
        <f>Councils!T696</f>
        <v>0</v>
      </c>
      <c r="T693" s="322">
        <f>Councils!U696</f>
        <v>0</v>
      </c>
      <c r="U693" s="323">
        <f>Councils!V696</f>
        <v>0</v>
      </c>
      <c r="V693" s="376">
        <v>163</v>
      </c>
      <c r="W693" s="377">
        <f t="shared" si="10"/>
        <v>2</v>
      </c>
      <c r="X693" s="378" t="str">
        <f>IF(ISNA(VLOOKUP($A693,GA!$A$1:$D$834,3,0))," ",VLOOKUP($A693,GA!$A$1:$D$834,3,0))</f>
        <v>Rangel</v>
      </c>
      <c r="Y693" s="379" t="str">
        <f>IF(ISNA(VLOOKUP($A693,Dormant_Councils!$A$1:$E$811,5,0)),"No",VLOOKUP($A693,Dormant_Councils!$A$1:$E$811,5,0))</f>
        <v>No</v>
      </c>
      <c r="Z693" s="381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22" t="str">
        <f>Councils!C697</f>
        <v>151</v>
      </c>
      <c r="C694" s="322" t="str">
        <f>Councils!D697</f>
        <v>Austin</v>
      </c>
      <c r="D694" s="322" t="str">
        <f>IF(ISNA(VLOOKUP($V694,DD_Info!$A$1:$E$221,3,0)),0,VLOOKUP($V694,DD_Info!$A$1:$E$221,3,0))</f>
        <v>Austin</v>
      </c>
      <c r="E694" s="322">
        <f>Councils!E697</f>
        <v>119</v>
      </c>
      <c r="F694" s="322">
        <f>Councils!F697</f>
        <v>6</v>
      </c>
      <c r="G694" s="322">
        <f>Councils!G697</f>
        <v>0</v>
      </c>
      <c r="H694" s="322">
        <f>Councils!H697</f>
        <v>0</v>
      </c>
      <c r="I694" s="322">
        <f>Councils!I697</f>
        <v>0</v>
      </c>
      <c r="J694" s="322">
        <f>Councils!J697</f>
        <v>4</v>
      </c>
      <c r="K694" s="322">
        <f>Councils!K697</f>
        <v>0</v>
      </c>
      <c r="L694" s="322">
        <f>Councils!L697</f>
        <v>4</v>
      </c>
      <c r="M694" s="323">
        <f>Councils!M697</f>
        <v>66.67</v>
      </c>
      <c r="N694" s="322">
        <f>Councils!O697</f>
        <v>0</v>
      </c>
      <c r="O694" s="322">
        <f>Councils!P697</f>
        <v>0</v>
      </c>
      <c r="P694" s="322">
        <f>Councils!Q697</f>
        <v>0</v>
      </c>
      <c r="Q694" s="322">
        <f>Councils!R697</f>
        <v>0</v>
      </c>
      <c r="R694" s="322">
        <f>Councils!S697</f>
        <v>1</v>
      </c>
      <c r="S694" s="322">
        <f>Councils!T697</f>
        <v>0</v>
      </c>
      <c r="T694" s="322">
        <f>Councils!U697</f>
        <v>1</v>
      </c>
      <c r="U694" s="323">
        <f>Councils!V697</f>
        <v>0</v>
      </c>
      <c r="V694" s="376">
        <v>151</v>
      </c>
      <c r="W694" s="377">
        <f t="shared" si="10"/>
        <v>2</v>
      </c>
      <c r="X694" s="378" t="str">
        <f>IF(ISNA(VLOOKUP($A694,GA!$A$1:$D$834,3,0))," ",VLOOKUP($A694,GA!$A$1:$D$834,3,0))</f>
        <v>Rangel</v>
      </c>
      <c r="Y694" s="379" t="str">
        <f>IF(ISNA(VLOOKUP($A694,Dormant_Councils!$A$1:$E$811,5,0)),"No",VLOOKUP($A694,Dormant_Councils!$A$1:$E$811,5,0))</f>
        <v>No</v>
      </c>
      <c r="Z694" s="381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22" t="str">
        <f>Councils!C698</f>
        <v>096</v>
      </c>
      <c r="C695" s="322" t="str">
        <f>Councils!D698</f>
        <v>Houston</v>
      </c>
      <c r="D695" s="322" t="str">
        <f>IF(ISNA(VLOOKUP($V695,DD_Info!$A$1:$E$221,3,0)),0,VLOOKUP($V695,DD_Info!$A$1:$E$221,3,0))</f>
        <v>Galv/Hous</v>
      </c>
      <c r="E695" s="322">
        <f>Councils!E698</f>
        <v>172</v>
      </c>
      <c r="F695" s="322">
        <f>Councils!F698</f>
        <v>9</v>
      </c>
      <c r="G695" s="322">
        <f>Councils!G698</f>
        <v>0</v>
      </c>
      <c r="H695" s="322">
        <f>Councils!H698</f>
        <v>0</v>
      </c>
      <c r="I695" s="322">
        <f>Councils!I698</f>
        <v>0</v>
      </c>
      <c r="J695" s="322">
        <f>Councils!J698</f>
        <v>0</v>
      </c>
      <c r="K695" s="322">
        <f>Councils!K698</f>
        <v>0</v>
      </c>
      <c r="L695" s="322">
        <f>Councils!L698</f>
        <v>0</v>
      </c>
      <c r="M695" s="323">
        <f>Councils!M698</f>
        <v>0</v>
      </c>
      <c r="N695" s="322">
        <f>Councils!O698</f>
        <v>0</v>
      </c>
      <c r="O695" s="322">
        <f>Councils!P698</f>
        <v>0</v>
      </c>
      <c r="P695" s="322">
        <f>Councils!Q698</f>
        <v>0</v>
      </c>
      <c r="Q695" s="322">
        <f>Councils!R698</f>
        <v>0</v>
      </c>
      <c r="R695" s="322">
        <f>Councils!S698</f>
        <v>0</v>
      </c>
      <c r="S695" s="322">
        <f>Councils!T698</f>
        <v>0</v>
      </c>
      <c r="T695" s="322">
        <f>Councils!U698</f>
        <v>0</v>
      </c>
      <c r="U695" s="323">
        <f>Councils!V698</f>
        <v>0</v>
      </c>
      <c r="V695" s="376">
        <v>96</v>
      </c>
      <c r="W695" s="377">
        <f t="shared" si="10"/>
        <v>1</v>
      </c>
      <c r="X695" s="378" t="str">
        <f>IF(ISNA(VLOOKUP($A695,GA!$A$1:$D$834,3,0))," ",VLOOKUP($A695,GA!$A$1:$D$834,3,0))</f>
        <v>Rangel</v>
      </c>
      <c r="Y695" s="379" t="str">
        <f>IF(ISNA(VLOOKUP($A695,Dormant_Councils!$A$1:$E$811,5,0)),"No",VLOOKUP($A695,Dormant_Councils!$A$1:$E$811,5,0))</f>
        <v>Dormant</v>
      </c>
      <c r="Z695" s="381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22" t="str">
        <f>Councils!C699</f>
        <v>235</v>
      </c>
      <c r="C696" s="322" t="str">
        <f>Councils!D699</f>
        <v>Cotulla</v>
      </c>
      <c r="D696" s="322" t="str">
        <f>IF(ISNA(VLOOKUP($V696,DD_Info!$A$1:$E$221,3,0)),0,VLOOKUP($V696,DD_Info!$A$1:$E$221,3,0))</f>
        <v>Laredo</v>
      </c>
      <c r="E696" s="322">
        <f>Councils!E699</f>
        <v>51</v>
      </c>
      <c r="F696" s="322">
        <f>Councils!F699</f>
        <v>3</v>
      </c>
      <c r="G696" s="322">
        <f>Councils!G699</f>
        <v>0</v>
      </c>
      <c r="H696" s="322">
        <f>Councils!H699</f>
        <v>0</v>
      </c>
      <c r="I696" s="322">
        <f>Councils!I699</f>
        <v>0</v>
      </c>
      <c r="J696" s="322">
        <f>Councils!J699</f>
        <v>0</v>
      </c>
      <c r="K696" s="322">
        <f>Councils!K699</f>
        <v>0</v>
      </c>
      <c r="L696" s="322">
        <f>Councils!L699</f>
        <v>0</v>
      </c>
      <c r="M696" s="323">
        <f>Councils!M699</f>
        <v>0</v>
      </c>
      <c r="N696" s="322">
        <f>Councils!O699</f>
        <v>0</v>
      </c>
      <c r="O696" s="322">
        <f>Councils!P699</f>
        <v>0</v>
      </c>
      <c r="P696" s="322">
        <f>Councils!Q699</f>
        <v>0</v>
      </c>
      <c r="Q696" s="322">
        <f>Councils!R699</f>
        <v>0</v>
      </c>
      <c r="R696" s="322">
        <f>Councils!S699</f>
        <v>0</v>
      </c>
      <c r="S696" s="322">
        <f>Councils!T699</f>
        <v>0</v>
      </c>
      <c r="T696" s="322">
        <f>Councils!U699</f>
        <v>0</v>
      </c>
      <c r="U696" s="323">
        <f>Councils!V699</f>
        <v>0</v>
      </c>
      <c r="V696" s="376">
        <v>235</v>
      </c>
      <c r="W696" s="377">
        <f t="shared" si="10"/>
        <v>3</v>
      </c>
      <c r="X696" s="378" t="str">
        <f>IF(ISNA(VLOOKUP($A696,GA!$A$1:$D$834,3,0))," ",VLOOKUP($A696,GA!$A$1:$D$834,3,0))</f>
        <v>Carlin</v>
      </c>
      <c r="Y696" s="379" t="str">
        <f>IF(ISNA(VLOOKUP($A696,Dormant_Councils!$A$1:$E$811,5,0)),"No",VLOOKUP($A696,Dormant_Councils!$A$1:$E$811,5,0))</f>
        <v>No</v>
      </c>
      <c r="Z696" s="381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22" t="str">
        <f>Councils!C700</f>
        <v>057</v>
      </c>
      <c r="C697" s="322" t="str">
        <f>Councils!D700</f>
        <v>Leming</v>
      </c>
      <c r="D697" s="322" t="str">
        <f>IF(ISNA(VLOOKUP($V697,DD_Info!$A$1:$E$221,3,0)),0,VLOOKUP($V697,DD_Info!$A$1:$E$221,3,0))</f>
        <v>San Antonio</v>
      </c>
      <c r="E697" s="322">
        <f>Councils!E700</f>
        <v>35</v>
      </c>
      <c r="F697" s="322">
        <f>Councils!F700</f>
        <v>3</v>
      </c>
      <c r="G697" s="322">
        <f>Councils!G700</f>
        <v>0</v>
      </c>
      <c r="H697" s="322">
        <f>Councils!H700</f>
        <v>0</v>
      </c>
      <c r="I697" s="322">
        <f>Councils!I700</f>
        <v>0</v>
      </c>
      <c r="J697" s="322">
        <f>Councils!J700</f>
        <v>0</v>
      </c>
      <c r="K697" s="322">
        <f>Councils!K700</f>
        <v>0</v>
      </c>
      <c r="L697" s="322">
        <f>Councils!L700</f>
        <v>0</v>
      </c>
      <c r="M697" s="323">
        <f>Councils!M700</f>
        <v>0</v>
      </c>
      <c r="N697" s="322">
        <f>Councils!O700</f>
        <v>0</v>
      </c>
      <c r="O697" s="322">
        <f>Councils!P700</f>
        <v>0</v>
      </c>
      <c r="P697" s="322">
        <f>Councils!Q700</f>
        <v>0</v>
      </c>
      <c r="Q697" s="322">
        <f>Councils!R700</f>
        <v>0</v>
      </c>
      <c r="R697" s="322">
        <f>Councils!S700</f>
        <v>0</v>
      </c>
      <c r="S697" s="322">
        <f>Councils!T700</f>
        <v>0</v>
      </c>
      <c r="T697" s="322">
        <f>Councils!U700</f>
        <v>0</v>
      </c>
      <c r="U697" s="323">
        <f>Councils!V700</f>
        <v>0</v>
      </c>
      <c r="V697" s="376">
        <v>57</v>
      </c>
      <c r="W697" s="377">
        <f t="shared" si="10"/>
        <v>3</v>
      </c>
      <c r="X697" s="378" t="str">
        <f>IF(ISNA(VLOOKUP($A697,GA!$A$1:$D$834,3,0))," ",VLOOKUP($A697,GA!$A$1:$D$834,3,0))</f>
        <v>Dougherty</v>
      </c>
      <c r="Y697" s="379" t="str">
        <f>IF(ISNA(VLOOKUP($A697,Dormant_Councils!$A$1:$E$811,5,0)),"No",VLOOKUP($A697,Dormant_Councils!$A$1:$E$811,5,0))</f>
        <v>Dormant</v>
      </c>
      <c r="Z697" s="381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22" t="str">
        <f>Councils!C701</f>
        <v>169</v>
      </c>
      <c r="C698" s="322" t="str">
        <f>Councils!D701</f>
        <v>Corpus Christi</v>
      </c>
      <c r="D698" s="322" t="str">
        <f>IF(ISNA(VLOOKUP($V698,DD_Info!$A$1:$E$221,3,0)),0,VLOOKUP($V698,DD_Info!$A$1:$E$221,3,0))</f>
        <v>Corpus Christi</v>
      </c>
      <c r="E698" s="322">
        <f>Councils!E701</f>
        <v>28</v>
      </c>
      <c r="F698" s="322">
        <f>Councils!F701</f>
        <v>3</v>
      </c>
      <c r="G698" s="322">
        <f>Councils!G701</f>
        <v>0</v>
      </c>
      <c r="H698" s="322">
        <f>Councils!H701</f>
        <v>0</v>
      </c>
      <c r="I698" s="322">
        <f>Councils!I701</f>
        <v>0</v>
      </c>
      <c r="J698" s="322">
        <f>Councils!J701</f>
        <v>0</v>
      </c>
      <c r="K698" s="322">
        <f>Councils!K701</f>
        <v>0</v>
      </c>
      <c r="L698" s="322">
        <f>Councils!L701</f>
        <v>0</v>
      </c>
      <c r="M698" s="323">
        <f>Councils!M701</f>
        <v>0</v>
      </c>
      <c r="N698" s="322">
        <f>Councils!O701</f>
        <v>0</v>
      </c>
      <c r="O698" s="322">
        <f>Councils!P701</f>
        <v>0</v>
      </c>
      <c r="P698" s="322">
        <f>Councils!Q701</f>
        <v>0</v>
      </c>
      <c r="Q698" s="322">
        <f>Councils!R701</f>
        <v>0</v>
      </c>
      <c r="R698" s="322">
        <f>Councils!S701</f>
        <v>0</v>
      </c>
      <c r="S698" s="322">
        <f>Councils!T701</f>
        <v>0</v>
      </c>
      <c r="T698" s="322">
        <f>Councils!U701</f>
        <v>0</v>
      </c>
      <c r="U698" s="323">
        <f>Councils!V701</f>
        <v>0</v>
      </c>
      <c r="V698" s="376">
        <v>169</v>
      </c>
      <c r="W698" s="377">
        <f t="shared" si="10"/>
        <v>3</v>
      </c>
      <c r="X698" s="378" t="str">
        <f>IF(ISNA(VLOOKUP($A698,GA!$A$1:$D$834,3,0))," ",VLOOKUP($A698,GA!$A$1:$D$834,3,0))</f>
        <v>Carlin</v>
      </c>
      <c r="Y698" s="379" t="str">
        <f>IF(ISNA(VLOOKUP($A698,Dormant_Councils!$A$1:$E$811,5,0)),"No",VLOOKUP($A698,Dormant_Councils!$A$1:$E$811,5,0))</f>
        <v>Dormant</v>
      </c>
      <c r="Z698" s="381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22" t="str">
        <f>Councils!C702</f>
        <v>210</v>
      </c>
      <c r="C699" s="322" t="str">
        <f>Councils!D702</f>
        <v>Brownsville</v>
      </c>
      <c r="D699" s="322" t="str">
        <f>IF(ISNA(VLOOKUP($V699,DD_Info!$A$1:$E$221,3,0)),0,VLOOKUP($V699,DD_Info!$A$1:$E$221,3,0))</f>
        <v>Brownsville</v>
      </c>
      <c r="E699" s="322">
        <f>Councils!E702</f>
        <v>78</v>
      </c>
      <c r="F699" s="322">
        <f>Councils!F702</f>
        <v>4</v>
      </c>
      <c r="G699" s="322">
        <f>Councils!G702</f>
        <v>2</v>
      </c>
      <c r="H699" s="322">
        <f>Councils!H702</f>
        <v>0</v>
      </c>
      <c r="I699" s="322">
        <f>Councils!I702</f>
        <v>2</v>
      </c>
      <c r="J699" s="322">
        <f>Councils!J702</f>
        <v>3</v>
      </c>
      <c r="K699" s="322">
        <f>Councils!K702</f>
        <v>0</v>
      </c>
      <c r="L699" s="322">
        <f>Councils!L702</f>
        <v>3</v>
      </c>
      <c r="M699" s="323">
        <f>Councils!M702</f>
        <v>75</v>
      </c>
      <c r="N699" s="322">
        <f>Councils!O702</f>
        <v>0</v>
      </c>
      <c r="O699" s="322">
        <f>Councils!P702</f>
        <v>0</v>
      </c>
      <c r="P699" s="322">
        <f>Councils!Q702</f>
        <v>0</v>
      </c>
      <c r="Q699" s="322">
        <f>Councils!R702</f>
        <v>0</v>
      </c>
      <c r="R699" s="322">
        <f>Councils!S702</f>
        <v>0</v>
      </c>
      <c r="S699" s="322">
        <f>Councils!T702</f>
        <v>0</v>
      </c>
      <c r="T699" s="322">
        <f>Councils!U702</f>
        <v>0</v>
      </c>
      <c r="U699" s="323">
        <f>Councils!V702</f>
        <v>0</v>
      </c>
      <c r="V699" s="376">
        <v>210</v>
      </c>
      <c r="W699" s="377">
        <f t="shared" si="10"/>
        <v>2</v>
      </c>
      <c r="X699" s="378" t="str">
        <f>IF(ISNA(VLOOKUP($A699,GA!$A$1:$D$834,3,0))," ",VLOOKUP($A699,GA!$A$1:$D$834,3,0))</f>
        <v>Carlin</v>
      </c>
      <c r="Y699" s="379" t="str">
        <f>IF(ISNA(VLOOKUP($A699,Dormant_Councils!$A$1:$E$811,5,0)),"No",VLOOKUP($A699,Dormant_Councils!$A$1:$E$811,5,0))</f>
        <v>No</v>
      </c>
      <c r="Z699" s="381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22" t="str">
        <f>Councils!C703</f>
        <v>156</v>
      </c>
      <c r="C700" s="322" t="str">
        <f>Councils!D703</f>
        <v>Lakeway</v>
      </c>
      <c r="D700" s="322" t="str">
        <f>IF(ISNA(VLOOKUP($V700,DD_Info!$A$1:$E$221,3,0)),0,VLOOKUP($V700,DD_Info!$A$1:$E$221,3,0))</f>
        <v>Austin</v>
      </c>
      <c r="E700" s="322">
        <f>Councils!E703</f>
        <v>119</v>
      </c>
      <c r="F700" s="322">
        <f>Councils!F703</f>
        <v>6</v>
      </c>
      <c r="G700" s="322">
        <f>Councils!G703</f>
        <v>4</v>
      </c>
      <c r="H700" s="322">
        <f>Councils!H703</f>
        <v>0</v>
      </c>
      <c r="I700" s="322">
        <f>Councils!I703</f>
        <v>4</v>
      </c>
      <c r="J700" s="322">
        <f>Councils!J703</f>
        <v>9</v>
      </c>
      <c r="K700" s="322">
        <f>Councils!K703</f>
        <v>2</v>
      </c>
      <c r="L700" s="322">
        <f>Councils!L703</f>
        <v>7</v>
      </c>
      <c r="M700" s="323">
        <f>Councils!M703</f>
        <v>116.67</v>
      </c>
      <c r="N700" s="322">
        <f>Councils!O703</f>
        <v>0</v>
      </c>
      <c r="O700" s="322">
        <f>Councils!P703</f>
        <v>0</v>
      </c>
      <c r="P700" s="322">
        <f>Councils!Q703</f>
        <v>0</v>
      </c>
      <c r="Q700" s="322">
        <f>Councils!R703</f>
        <v>0</v>
      </c>
      <c r="R700" s="322">
        <f>Councils!S703</f>
        <v>2</v>
      </c>
      <c r="S700" s="322">
        <f>Councils!T703</f>
        <v>1</v>
      </c>
      <c r="T700" s="322">
        <f>Councils!U703</f>
        <v>1</v>
      </c>
      <c r="U700" s="323">
        <f>Councils!V703</f>
        <v>0</v>
      </c>
      <c r="V700" s="376">
        <v>156</v>
      </c>
      <c r="W700" s="377">
        <f t="shared" si="10"/>
        <v>2</v>
      </c>
      <c r="X700" s="378" t="str">
        <f>IF(ISNA(VLOOKUP($A700,GA!$A$1:$D$834,3,0))," ",VLOOKUP($A700,GA!$A$1:$D$834,3,0))</f>
        <v>Rangel</v>
      </c>
      <c r="Y700" s="379" t="str">
        <f>IF(ISNA(VLOOKUP($A700,Dormant_Councils!$A$1:$E$811,5,0)),"No",VLOOKUP($A700,Dormant_Councils!$A$1:$E$811,5,0))</f>
        <v>No</v>
      </c>
      <c r="Z700" s="381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22" t="str">
        <f>Councils!C704</f>
        <v>228</v>
      </c>
      <c r="C701" s="322" t="str">
        <f>Councils!D704</f>
        <v>Abilene</v>
      </c>
      <c r="D701" s="322" t="str">
        <f>IF(ISNA(VLOOKUP($V701,DD_Info!$A$1:$E$221,3,0)),0,VLOOKUP($V701,DD_Info!$A$1:$E$221,3,0))</f>
        <v>San Angelo</v>
      </c>
      <c r="E701" s="322">
        <f>Councils!E704</f>
        <v>65</v>
      </c>
      <c r="F701" s="322">
        <f>Councils!F704</f>
        <v>3</v>
      </c>
      <c r="G701" s="322">
        <f>Councils!G704</f>
        <v>0</v>
      </c>
      <c r="H701" s="322">
        <f>Councils!H704</f>
        <v>0</v>
      </c>
      <c r="I701" s="322">
        <f>Councils!I704</f>
        <v>0</v>
      </c>
      <c r="J701" s="322">
        <f>Councils!J704</f>
        <v>0</v>
      </c>
      <c r="K701" s="322">
        <f>Councils!K704</f>
        <v>0</v>
      </c>
      <c r="L701" s="322">
        <f>Councils!L704</f>
        <v>0</v>
      </c>
      <c r="M701" s="323">
        <f>Councils!M704</f>
        <v>0</v>
      </c>
      <c r="N701" s="322">
        <f>Councils!O704</f>
        <v>0</v>
      </c>
      <c r="O701" s="322">
        <f>Councils!P704</f>
        <v>0</v>
      </c>
      <c r="P701" s="322">
        <f>Councils!Q704</f>
        <v>0</v>
      </c>
      <c r="Q701" s="322">
        <f>Councils!R704</f>
        <v>0</v>
      </c>
      <c r="R701" s="322">
        <f>Councils!S704</f>
        <v>0</v>
      </c>
      <c r="S701" s="322">
        <f>Councils!T704</f>
        <v>0</v>
      </c>
      <c r="T701" s="322">
        <f>Councils!U704</f>
        <v>0</v>
      </c>
      <c r="U701" s="323">
        <f>Councils!V704</f>
        <v>0</v>
      </c>
      <c r="V701" s="376">
        <v>228</v>
      </c>
      <c r="W701" s="377">
        <f t="shared" si="10"/>
        <v>3</v>
      </c>
      <c r="X701" s="378" t="str">
        <f>IF(ISNA(VLOOKUP($A701,GA!$A$1:$D$834,3,0))," ",VLOOKUP($A701,GA!$A$1:$D$834,3,0))</f>
        <v>Payne</v>
      </c>
      <c r="Y701" s="379" t="str">
        <f>IF(ISNA(VLOOKUP($A701,Dormant_Councils!$A$1:$E$811,5,0)),"No",VLOOKUP($A701,Dormant_Councils!$A$1:$E$811,5,0))</f>
        <v>No</v>
      </c>
      <c r="Z701" s="381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22" t="str">
        <f>Councils!C705</f>
        <v>155</v>
      </c>
      <c r="C702" s="322" t="str">
        <f>Councils!D705</f>
        <v>Austin</v>
      </c>
      <c r="D702" s="322" t="str">
        <f>IF(ISNA(VLOOKUP($V702,DD_Info!$A$1:$E$221,3,0)),0,VLOOKUP($V702,DD_Info!$A$1:$E$221,3,0))</f>
        <v>Austin</v>
      </c>
      <c r="E702" s="322">
        <f>Councils!E705</f>
        <v>157</v>
      </c>
      <c r="F702" s="322">
        <f>Councils!F705</f>
        <v>8</v>
      </c>
      <c r="G702" s="322">
        <f>Councils!G705</f>
        <v>0</v>
      </c>
      <c r="H702" s="322">
        <f>Councils!H705</f>
        <v>0</v>
      </c>
      <c r="I702" s="322">
        <f>Councils!I705</f>
        <v>0</v>
      </c>
      <c r="J702" s="322">
        <f>Councils!J705</f>
        <v>0</v>
      </c>
      <c r="K702" s="322">
        <f>Councils!K705</f>
        <v>0</v>
      </c>
      <c r="L702" s="322">
        <f>Councils!L705</f>
        <v>0</v>
      </c>
      <c r="M702" s="323">
        <f>Councils!M705</f>
        <v>0</v>
      </c>
      <c r="N702" s="322">
        <f>Councils!O705</f>
        <v>0</v>
      </c>
      <c r="O702" s="322">
        <f>Councils!P705</f>
        <v>0</v>
      </c>
      <c r="P702" s="322">
        <f>Councils!Q705</f>
        <v>0</v>
      </c>
      <c r="Q702" s="322">
        <f>Councils!R705</f>
        <v>0</v>
      </c>
      <c r="R702" s="322">
        <f>Councils!S705</f>
        <v>0</v>
      </c>
      <c r="S702" s="322">
        <f>Councils!T705</f>
        <v>2</v>
      </c>
      <c r="T702" s="322">
        <f>Councils!U705</f>
        <v>-2</v>
      </c>
      <c r="U702" s="323">
        <f>Councils!V705</f>
        <v>0</v>
      </c>
      <c r="V702" s="376">
        <v>155</v>
      </c>
      <c r="W702" s="377">
        <f t="shared" si="10"/>
        <v>1</v>
      </c>
      <c r="X702" s="378" t="str">
        <f>IF(ISNA(VLOOKUP($A702,GA!$A$1:$D$834,3,0))," ",VLOOKUP($A702,GA!$A$1:$D$834,3,0))</f>
        <v>Rangel</v>
      </c>
      <c r="Y702" s="379" t="str">
        <f>IF(ISNA(VLOOKUP($A702,Dormant_Councils!$A$1:$E$811,5,0)),"No",VLOOKUP($A702,Dormant_Councils!$A$1:$E$811,5,0))</f>
        <v>No</v>
      </c>
      <c r="Z702" s="381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22" t="str">
        <f>Councils!C706</f>
        <v>098</v>
      </c>
      <c r="C703" s="322" t="str">
        <f>Councils!D706</f>
        <v>Houston</v>
      </c>
      <c r="D703" s="322" t="str">
        <f>IF(ISNA(VLOOKUP($V703,DD_Info!$A$1:$E$221,3,0)),0,VLOOKUP($V703,DD_Info!$A$1:$E$221,3,0))</f>
        <v>Galv/Hous</v>
      </c>
      <c r="E703" s="322">
        <f>Councils!E706</f>
        <v>106</v>
      </c>
      <c r="F703" s="322">
        <f>Councils!F706</f>
        <v>5</v>
      </c>
      <c r="G703" s="322">
        <f>Councils!G706</f>
        <v>0</v>
      </c>
      <c r="H703" s="322">
        <f>Councils!H706</f>
        <v>0</v>
      </c>
      <c r="I703" s="322">
        <f>Councils!I706</f>
        <v>0</v>
      </c>
      <c r="J703" s="322">
        <f>Councils!J706</f>
        <v>0</v>
      </c>
      <c r="K703" s="322">
        <f>Councils!K706</f>
        <v>0</v>
      </c>
      <c r="L703" s="322">
        <f>Councils!L706</f>
        <v>0</v>
      </c>
      <c r="M703" s="323">
        <f>Councils!M706</f>
        <v>0</v>
      </c>
      <c r="N703" s="322">
        <f>Councils!O706</f>
        <v>0</v>
      </c>
      <c r="O703" s="322">
        <f>Councils!P706</f>
        <v>0</v>
      </c>
      <c r="P703" s="322">
        <f>Councils!Q706</f>
        <v>1</v>
      </c>
      <c r="Q703" s="322">
        <f>Councils!R706</f>
        <v>-1</v>
      </c>
      <c r="R703" s="322">
        <f>Councils!S706</f>
        <v>0</v>
      </c>
      <c r="S703" s="322">
        <f>Councils!T706</f>
        <v>1</v>
      </c>
      <c r="T703" s="322">
        <f>Councils!U706</f>
        <v>-1</v>
      </c>
      <c r="U703" s="323">
        <f>Councils!V706</f>
        <v>0</v>
      </c>
      <c r="V703" s="376">
        <v>98</v>
      </c>
      <c r="W703" s="377">
        <f t="shared" si="10"/>
        <v>2</v>
      </c>
      <c r="X703" s="378" t="str">
        <f>IF(ISNA(VLOOKUP($A703,GA!$A$1:$D$834,3,0))," ",VLOOKUP($A703,GA!$A$1:$D$834,3,0))</f>
        <v>Supak</v>
      </c>
      <c r="Y703" s="379" t="str">
        <f>IF(ISNA(VLOOKUP($A703,Dormant_Councils!$A$1:$E$811,5,0)),"No",VLOOKUP($A703,Dormant_Councils!$A$1:$E$811,5,0))</f>
        <v>Dormant</v>
      </c>
      <c r="Z703" s="381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22" t="str">
        <f>Councils!C707</f>
        <v>166</v>
      </c>
      <c r="C704" s="322" t="str">
        <f>Councils!D707</f>
        <v>Beeville</v>
      </c>
      <c r="D704" s="322" t="str">
        <f>IF(ISNA(VLOOKUP($V704,DD_Info!$A$1:$E$221,3,0)),0,VLOOKUP($V704,DD_Info!$A$1:$E$221,3,0))</f>
        <v>Corpus Christi</v>
      </c>
      <c r="E704" s="322">
        <f>Councils!E707</f>
        <v>34</v>
      </c>
      <c r="F704" s="322">
        <f>Councils!F707</f>
        <v>3</v>
      </c>
      <c r="G704" s="322">
        <f>Councils!G707</f>
        <v>0</v>
      </c>
      <c r="H704" s="322">
        <f>Councils!H707</f>
        <v>0</v>
      </c>
      <c r="I704" s="322">
        <f>Councils!I707</f>
        <v>0</v>
      </c>
      <c r="J704" s="322">
        <f>Councils!J707</f>
        <v>0</v>
      </c>
      <c r="K704" s="322">
        <f>Councils!K707</f>
        <v>0</v>
      </c>
      <c r="L704" s="322">
        <f>Councils!L707</f>
        <v>0</v>
      </c>
      <c r="M704" s="323">
        <f>Councils!M707</f>
        <v>0</v>
      </c>
      <c r="N704" s="322">
        <f>Councils!O707</f>
        <v>0</v>
      </c>
      <c r="O704" s="322">
        <f>Councils!P707</f>
        <v>0</v>
      </c>
      <c r="P704" s="322">
        <f>Councils!Q707</f>
        <v>0</v>
      </c>
      <c r="Q704" s="322">
        <f>Councils!R707</f>
        <v>0</v>
      </c>
      <c r="R704" s="322">
        <f>Councils!S707</f>
        <v>0</v>
      </c>
      <c r="S704" s="322">
        <f>Councils!T707</f>
        <v>0</v>
      </c>
      <c r="T704" s="322">
        <f>Councils!U707</f>
        <v>0</v>
      </c>
      <c r="U704" s="323">
        <f>Councils!V707</f>
        <v>0</v>
      </c>
      <c r="V704" s="376">
        <v>166</v>
      </c>
      <c r="W704" s="377">
        <f t="shared" si="10"/>
        <v>3</v>
      </c>
      <c r="X704" s="378" t="str">
        <f>IF(ISNA(VLOOKUP($A704,GA!$A$1:$D$834,3,0))," ",VLOOKUP($A704,GA!$A$1:$D$834,3,0))</f>
        <v>Carlin</v>
      </c>
      <c r="Y704" s="379" t="str">
        <f>IF(ISNA(VLOOKUP($A704,Dormant_Councils!$A$1:$E$811,5,0)),"No",VLOOKUP($A704,Dormant_Councils!$A$1:$E$811,5,0))</f>
        <v>No</v>
      </c>
      <c r="Z704" s="381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22" t="str">
        <f>Councils!C708</f>
        <v>236</v>
      </c>
      <c r="C705" s="322" t="str">
        <f>Councils!D708</f>
        <v>Laredo</v>
      </c>
      <c r="D705" s="322" t="str">
        <f>IF(ISNA(VLOOKUP($V705,DD_Info!$A$1:$E$221,3,0)),0,VLOOKUP($V705,DD_Info!$A$1:$E$221,3,0))</f>
        <v>Laredo</v>
      </c>
      <c r="E705" s="322">
        <f>Councils!E708</f>
        <v>54</v>
      </c>
      <c r="F705" s="322">
        <f>Councils!F708</f>
        <v>3</v>
      </c>
      <c r="G705" s="322">
        <f>Councils!G708</f>
        <v>0</v>
      </c>
      <c r="H705" s="322">
        <f>Councils!H708</f>
        <v>0</v>
      </c>
      <c r="I705" s="322">
        <f>Councils!I708</f>
        <v>0</v>
      </c>
      <c r="J705" s="322">
        <f>Councils!J708</f>
        <v>1</v>
      </c>
      <c r="K705" s="322">
        <f>Councils!K708</f>
        <v>0</v>
      </c>
      <c r="L705" s="322">
        <f>Councils!L708</f>
        <v>1</v>
      </c>
      <c r="M705" s="323">
        <f>Councils!M708</f>
        <v>33.33</v>
      </c>
      <c r="N705" s="322">
        <f>Councils!O708</f>
        <v>0</v>
      </c>
      <c r="O705" s="322">
        <f>Councils!P708</f>
        <v>0</v>
      </c>
      <c r="P705" s="322">
        <f>Councils!Q708</f>
        <v>0</v>
      </c>
      <c r="Q705" s="322">
        <f>Councils!R708</f>
        <v>0</v>
      </c>
      <c r="R705" s="322">
        <f>Councils!S708</f>
        <v>0</v>
      </c>
      <c r="S705" s="322">
        <f>Councils!T708</f>
        <v>1</v>
      </c>
      <c r="T705" s="322">
        <f>Councils!U708</f>
        <v>-1</v>
      </c>
      <c r="U705" s="323">
        <f>Councils!V708</f>
        <v>0</v>
      </c>
      <c r="V705" s="376">
        <v>236</v>
      </c>
      <c r="W705" s="377">
        <f t="shared" si="10"/>
        <v>3</v>
      </c>
      <c r="X705" s="378" t="str">
        <f>IF(ISNA(VLOOKUP($A705,GA!$A$1:$D$834,3,0))," ",VLOOKUP($A705,GA!$A$1:$D$834,3,0))</f>
        <v>Carlin</v>
      </c>
      <c r="Y705" s="379" t="str">
        <f>IF(ISNA(VLOOKUP($A705,Dormant_Councils!$A$1:$E$811,5,0)),"No",VLOOKUP($A705,Dormant_Councils!$A$1:$E$811,5,0))</f>
        <v>No</v>
      </c>
      <c r="Z705" s="381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22" t="str">
        <f>Councils!C709</f>
        <v>157</v>
      </c>
      <c r="C706" s="322" t="str">
        <f>Councils!D709</f>
        <v>Austin</v>
      </c>
      <c r="D706" s="322" t="str">
        <f>IF(ISNA(VLOOKUP($V706,DD_Info!$A$1:$E$221,3,0)),0,VLOOKUP($V706,DD_Info!$A$1:$E$221,3,0))</f>
        <v>Austin</v>
      </c>
      <c r="E706" s="322">
        <f>Councils!E709</f>
        <v>82</v>
      </c>
      <c r="F706" s="322">
        <f>Councils!F709</f>
        <v>4</v>
      </c>
      <c r="G706" s="322">
        <f>Councils!G709</f>
        <v>0</v>
      </c>
      <c r="H706" s="322">
        <f>Councils!H709</f>
        <v>0</v>
      </c>
      <c r="I706" s="322">
        <f>Councils!I709</f>
        <v>0</v>
      </c>
      <c r="J706" s="322">
        <f>Councils!J709</f>
        <v>0</v>
      </c>
      <c r="K706" s="322">
        <f>Councils!K709</f>
        <v>0</v>
      </c>
      <c r="L706" s="322">
        <f>Councils!L709</f>
        <v>0</v>
      </c>
      <c r="M706" s="323">
        <f>Councils!M709</f>
        <v>0</v>
      </c>
      <c r="N706" s="322">
        <f>Councils!O709</f>
        <v>0</v>
      </c>
      <c r="O706" s="322">
        <f>Councils!P709</f>
        <v>0</v>
      </c>
      <c r="P706" s="322">
        <f>Councils!Q709</f>
        <v>0</v>
      </c>
      <c r="Q706" s="322">
        <f>Councils!R709</f>
        <v>0</v>
      </c>
      <c r="R706" s="322">
        <f>Councils!S709</f>
        <v>0</v>
      </c>
      <c r="S706" s="322">
        <f>Councils!T709</f>
        <v>0</v>
      </c>
      <c r="T706" s="322">
        <f>Councils!U709</f>
        <v>0</v>
      </c>
      <c r="U706" s="323">
        <f>Councils!V709</f>
        <v>0</v>
      </c>
      <c r="V706" s="376">
        <v>157</v>
      </c>
      <c r="W706" s="377">
        <f t="shared" si="10"/>
        <v>2</v>
      </c>
      <c r="X706" s="378" t="str">
        <f>IF(ISNA(VLOOKUP($A706,GA!$A$1:$D$834,3,0))," ",VLOOKUP($A706,GA!$A$1:$D$834,3,0))</f>
        <v>Britten</v>
      </c>
      <c r="Y706" s="379" t="str">
        <f>IF(ISNA(VLOOKUP($A706,Dormant_Councils!$A$1:$E$811,5,0)),"No",VLOOKUP($A706,Dormant_Councils!$A$1:$E$811,5,0))</f>
        <v>No</v>
      </c>
      <c r="Z706" s="381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22" t="str">
        <f>Councils!C710</f>
        <v>058</v>
      </c>
      <c r="C707" s="322" t="str">
        <f>Councils!D710</f>
        <v>San Antonio</v>
      </c>
      <c r="D707" s="322" t="str">
        <f>IF(ISNA(VLOOKUP($V707,DD_Info!$A$1:$E$221,3,0)),0,VLOOKUP($V707,DD_Info!$A$1:$E$221,3,0))</f>
        <v>San Antonio</v>
      </c>
      <c r="E707" s="322">
        <f>Councils!E710</f>
        <v>67</v>
      </c>
      <c r="F707" s="322">
        <f>Councils!F710</f>
        <v>3</v>
      </c>
      <c r="G707" s="322">
        <f>Councils!G710</f>
        <v>0</v>
      </c>
      <c r="H707" s="322">
        <f>Councils!H710</f>
        <v>0</v>
      </c>
      <c r="I707" s="322">
        <f>Councils!I710</f>
        <v>0</v>
      </c>
      <c r="J707" s="322">
        <f>Councils!J710</f>
        <v>0</v>
      </c>
      <c r="K707" s="322">
        <f>Councils!K710</f>
        <v>0</v>
      </c>
      <c r="L707" s="322">
        <f>Councils!L710</f>
        <v>0</v>
      </c>
      <c r="M707" s="323">
        <f>Councils!M710</f>
        <v>0</v>
      </c>
      <c r="N707" s="322">
        <f>Councils!O710</f>
        <v>0</v>
      </c>
      <c r="O707" s="322">
        <f>Councils!P710</f>
        <v>1</v>
      </c>
      <c r="P707" s="322">
        <f>Councils!Q710</f>
        <v>0</v>
      </c>
      <c r="Q707" s="322">
        <f>Councils!R710</f>
        <v>1</v>
      </c>
      <c r="R707" s="322">
        <f>Councils!S710</f>
        <v>1</v>
      </c>
      <c r="S707" s="322">
        <f>Councils!T710</f>
        <v>0</v>
      </c>
      <c r="T707" s="322">
        <f>Councils!U710</f>
        <v>1</v>
      </c>
      <c r="U707" s="323">
        <f>Councils!V710</f>
        <v>0</v>
      </c>
      <c r="V707" s="376">
        <v>58</v>
      </c>
      <c r="W707" s="377">
        <f t="shared" ref="W707:W770" si="11">_xlfn.IFS($E707&gt;=140,1,$E707&gt;65,2,$E707&lt;=65,3)</f>
        <v>2</v>
      </c>
      <c r="X707" s="378" t="str">
        <f>IF(ISNA(VLOOKUP($A707,GA!$A$1:$D$834,3,0))," ",VLOOKUP($A707,GA!$A$1:$D$834,3,0))</f>
        <v>Dougherty</v>
      </c>
      <c r="Y707" s="379" t="str">
        <f>IF(ISNA(VLOOKUP($A707,Dormant_Councils!$A$1:$E$811,5,0)),"No",VLOOKUP($A707,Dormant_Councils!$A$1:$E$811,5,0))</f>
        <v>No</v>
      </c>
      <c r="Z707" s="381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22" t="str">
        <f>Councils!C711</f>
        <v>215</v>
      </c>
      <c r="C708" s="322" t="str">
        <f>Councils!D711</f>
        <v>Mission</v>
      </c>
      <c r="D708" s="322" t="str">
        <f>IF(ISNA(VLOOKUP($V708,DD_Info!$A$1:$E$221,3,0)),0,VLOOKUP($V708,DD_Info!$A$1:$E$221,3,0))</f>
        <v>Brownsville</v>
      </c>
      <c r="E708" s="322">
        <f>Councils!E711</f>
        <v>66</v>
      </c>
      <c r="F708" s="322">
        <f>Councils!F711</f>
        <v>3</v>
      </c>
      <c r="G708" s="322">
        <f>Councils!G711</f>
        <v>0</v>
      </c>
      <c r="H708" s="322">
        <f>Councils!H711</f>
        <v>0</v>
      </c>
      <c r="I708" s="322">
        <f>Councils!I711</f>
        <v>0</v>
      </c>
      <c r="J708" s="322">
        <f>Councils!J711</f>
        <v>0</v>
      </c>
      <c r="K708" s="322">
        <f>Councils!K711</f>
        <v>0</v>
      </c>
      <c r="L708" s="322">
        <f>Councils!L711</f>
        <v>0</v>
      </c>
      <c r="M708" s="323">
        <f>Councils!M711</f>
        <v>0</v>
      </c>
      <c r="N708" s="322">
        <f>Councils!O711</f>
        <v>0</v>
      </c>
      <c r="O708" s="322">
        <f>Councils!P711</f>
        <v>0</v>
      </c>
      <c r="P708" s="322">
        <f>Councils!Q711</f>
        <v>1</v>
      </c>
      <c r="Q708" s="322">
        <f>Councils!R711</f>
        <v>-1</v>
      </c>
      <c r="R708" s="322">
        <f>Councils!S711</f>
        <v>0</v>
      </c>
      <c r="S708" s="322">
        <f>Councils!T711</f>
        <v>1</v>
      </c>
      <c r="T708" s="322">
        <f>Councils!U711</f>
        <v>-1</v>
      </c>
      <c r="U708" s="323">
        <f>Councils!V711</f>
        <v>0</v>
      </c>
      <c r="V708" s="376">
        <v>215</v>
      </c>
      <c r="W708" s="377">
        <f t="shared" si="11"/>
        <v>2</v>
      </c>
      <c r="X708" s="378" t="str">
        <f>IF(ISNA(VLOOKUP($A708,GA!$A$1:$D$834,3,0))," ",VLOOKUP($A708,GA!$A$1:$D$834,3,0))</f>
        <v>Carlin</v>
      </c>
      <c r="Y708" s="379" t="str">
        <f>IF(ISNA(VLOOKUP($A708,Dormant_Councils!$A$1:$E$811,5,0)),"No",VLOOKUP($A708,Dormant_Councils!$A$1:$E$811,5,0))</f>
        <v>No</v>
      </c>
      <c r="Z708" s="381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22" t="str">
        <f>Councils!C712</f>
        <v>234</v>
      </c>
      <c r="C709" s="322" t="str">
        <f>Councils!D712</f>
        <v>Laredo</v>
      </c>
      <c r="D709" s="322" t="str">
        <f>IF(ISNA(VLOOKUP($V709,DD_Info!$A$1:$E$221,3,0)),0,VLOOKUP($V709,DD_Info!$A$1:$E$221,3,0))</f>
        <v>Laredo</v>
      </c>
      <c r="E709" s="322">
        <f>Councils!E712</f>
        <v>36</v>
      </c>
      <c r="F709" s="322">
        <f>Councils!F712</f>
        <v>3</v>
      </c>
      <c r="G709" s="322">
        <f>Councils!G712</f>
        <v>0</v>
      </c>
      <c r="H709" s="322">
        <f>Councils!H712</f>
        <v>0</v>
      </c>
      <c r="I709" s="322">
        <f>Councils!I712</f>
        <v>0</v>
      </c>
      <c r="J709" s="322">
        <f>Councils!J712</f>
        <v>8</v>
      </c>
      <c r="K709" s="322">
        <f>Councils!K712</f>
        <v>0</v>
      </c>
      <c r="L709" s="322">
        <f>Councils!L712</f>
        <v>8</v>
      </c>
      <c r="M709" s="323">
        <f>Councils!M712</f>
        <v>266.67</v>
      </c>
      <c r="N709" s="322">
        <f>Councils!O712</f>
        <v>0</v>
      </c>
      <c r="O709" s="322">
        <f>Councils!P712</f>
        <v>0</v>
      </c>
      <c r="P709" s="322">
        <f>Councils!Q712</f>
        <v>0</v>
      </c>
      <c r="Q709" s="322">
        <f>Councils!R712</f>
        <v>0</v>
      </c>
      <c r="R709" s="322">
        <f>Councils!S712</f>
        <v>0</v>
      </c>
      <c r="S709" s="322">
        <f>Councils!T712</f>
        <v>0</v>
      </c>
      <c r="T709" s="322">
        <f>Councils!U712</f>
        <v>0</v>
      </c>
      <c r="U709" s="323">
        <f>Councils!V712</f>
        <v>0</v>
      </c>
      <c r="V709" s="376">
        <v>234</v>
      </c>
      <c r="W709" s="377">
        <f t="shared" si="11"/>
        <v>3</v>
      </c>
      <c r="X709" s="378" t="str">
        <f>IF(ISNA(VLOOKUP($A709,GA!$A$1:$D$834,3,0))," ",VLOOKUP($A709,GA!$A$1:$D$834,3,0))</f>
        <v>Carlin</v>
      </c>
      <c r="Y709" s="379" t="str">
        <f>IF(ISNA(VLOOKUP($A709,Dormant_Councils!$A$1:$E$811,5,0)),"No",VLOOKUP($A709,Dormant_Councils!$A$1:$E$811,5,0))</f>
        <v>Dormant</v>
      </c>
      <c r="Z709" s="381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22" t="str">
        <f>Councils!C713</f>
        <v>021</v>
      </c>
      <c r="C710" s="322" t="str">
        <f>Councils!D713</f>
        <v>Bowie/Henrietta/Montague/Nocon</v>
      </c>
      <c r="D710" s="322" t="str">
        <f>IF(ISNA(VLOOKUP($V710,DD_Info!$A$1:$E$221,3,0)),0,VLOOKUP($V710,DD_Info!$A$1:$E$221,3,0))</f>
        <v>Fort Worth</v>
      </c>
      <c r="E710" s="322">
        <f>Councils!E713</f>
        <v>67</v>
      </c>
      <c r="F710" s="322">
        <f>Councils!F713</f>
        <v>3</v>
      </c>
      <c r="G710" s="322">
        <f>Councils!G713</f>
        <v>0</v>
      </c>
      <c r="H710" s="322">
        <f>Councils!H713</f>
        <v>0</v>
      </c>
      <c r="I710" s="322">
        <f>Councils!I713</f>
        <v>0</v>
      </c>
      <c r="J710" s="322">
        <f>Councils!J713</f>
        <v>1</v>
      </c>
      <c r="K710" s="322">
        <f>Councils!K713</f>
        <v>0</v>
      </c>
      <c r="L710" s="322">
        <f>Councils!L713</f>
        <v>1</v>
      </c>
      <c r="M710" s="323">
        <f>Councils!M713</f>
        <v>33.33</v>
      </c>
      <c r="N710" s="322">
        <f>Councils!O713</f>
        <v>0</v>
      </c>
      <c r="O710" s="322">
        <f>Councils!P713</f>
        <v>0</v>
      </c>
      <c r="P710" s="322">
        <f>Councils!Q713</f>
        <v>0</v>
      </c>
      <c r="Q710" s="322">
        <f>Councils!R713</f>
        <v>0</v>
      </c>
      <c r="R710" s="322">
        <f>Councils!S713</f>
        <v>1</v>
      </c>
      <c r="S710" s="322">
        <f>Councils!T713</f>
        <v>0</v>
      </c>
      <c r="T710" s="322">
        <f>Councils!U713</f>
        <v>1</v>
      </c>
      <c r="U710" s="323">
        <f>Councils!V713</f>
        <v>0</v>
      </c>
      <c r="V710" s="376">
        <v>21</v>
      </c>
      <c r="W710" s="377">
        <f t="shared" si="11"/>
        <v>2</v>
      </c>
      <c r="X710" s="378" t="str">
        <f>IF(ISNA(VLOOKUP($A710,GA!$A$1:$D$834,3,0))," ",VLOOKUP($A710,GA!$A$1:$D$834,3,0))</f>
        <v>Stark</v>
      </c>
      <c r="Y710" s="379" t="str">
        <f>IF(ISNA(VLOOKUP($A710,Dormant_Councils!$A$1:$E$811,5,0)),"No",VLOOKUP($A710,Dormant_Councils!$A$1:$E$811,5,0))</f>
        <v>No</v>
      </c>
      <c r="Z710" s="381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22" t="str">
        <f>Councils!C714</f>
        <v>123</v>
      </c>
      <c r="C711" s="322" t="str">
        <f>Councils!D714</f>
        <v>Port Arthur</v>
      </c>
      <c r="D711" s="322" t="str">
        <f>IF(ISNA(VLOOKUP($V711,DD_Info!$A$1:$E$221,3,0)),0,VLOOKUP($V711,DD_Info!$A$1:$E$221,3,0))</f>
        <v>Beaumont</v>
      </c>
      <c r="E711" s="322">
        <f>Councils!E714</f>
        <v>52</v>
      </c>
      <c r="F711" s="322">
        <f>Councils!F714</f>
        <v>3</v>
      </c>
      <c r="G711" s="322">
        <f>Councils!G714</f>
        <v>0</v>
      </c>
      <c r="H711" s="322">
        <f>Councils!H714</f>
        <v>0</v>
      </c>
      <c r="I711" s="322">
        <f>Councils!I714</f>
        <v>0</v>
      </c>
      <c r="J711" s="322">
        <f>Councils!J714</f>
        <v>0</v>
      </c>
      <c r="K711" s="322">
        <f>Councils!K714</f>
        <v>0</v>
      </c>
      <c r="L711" s="322">
        <f>Councils!L714</f>
        <v>0</v>
      </c>
      <c r="M711" s="323">
        <f>Councils!M714</f>
        <v>0</v>
      </c>
      <c r="N711" s="322">
        <f>Councils!O714</f>
        <v>0</v>
      </c>
      <c r="O711" s="322">
        <f>Councils!P714</f>
        <v>0</v>
      </c>
      <c r="P711" s="322">
        <f>Councils!Q714</f>
        <v>0</v>
      </c>
      <c r="Q711" s="322">
        <f>Councils!R714</f>
        <v>0</v>
      </c>
      <c r="R711" s="322">
        <f>Councils!S714</f>
        <v>0</v>
      </c>
      <c r="S711" s="322">
        <f>Councils!T714</f>
        <v>0</v>
      </c>
      <c r="T711" s="322">
        <f>Councils!U714</f>
        <v>0</v>
      </c>
      <c r="U711" s="323">
        <f>Councils!V714</f>
        <v>0</v>
      </c>
      <c r="V711" s="376">
        <v>123</v>
      </c>
      <c r="W711" s="377">
        <f t="shared" si="11"/>
        <v>3</v>
      </c>
      <c r="X711" s="378" t="str">
        <f>IF(ISNA(VLOOKUP($A711,GA!$A$1:$D$834,3,0))," ",VLOOKUP($A711,GA!$A$1:$D$834,3,0))</f>
        <v>Rangel</v>
      </c>
      <c r="Y711" s="379" t="str">
        <f>IF(ISNA(VLOOKUP($A711,Dormant_Councils!$A$1:$E$811,5,0)),"No",VLOOKUP($A711,Dormant_Councils!$A$1:$E$811,5,0))</f>
        <v>Dormant</v>
      </c>
      <c r="Z711" s="381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22" t="str">
        <f>Councils!C715</f>
        <v>166</v>
      </c>
      <c r="C712" s="322" t="str">
        <f>Councils!D715</f>
        <v>Skidmore</v>
      </c>
      <c r="D712" s="322" t="str">
        <f>IF(ISNA(VLOOKUP($V712,DD_Info!$A$1:$E$221,3,0)),0,VLOOKUP($V712,DD_Info!$A$1:$E$221,3,0))</f>
        <v>Corpus Christi</v>
      </c>
      <c r="E712" s="322">
        <f>Councils!E715</f>
        <v>34</v>
      </c>
      <c r="F712" s="322">
        <f>Councils!F715</f>
        <v>3</v>
      </c>
      <c r="G712" s="322">
        <f>Councils!G715</f>
        <v>0</v>
      </c>
      <c r="H712" s="322">
        <f>Councils!H715</f>
        <v>0</v>
      </c>
      <c r="I712" s="322">
        <f>Councils!I715</f>
        <v>0</v>
      </c>
      <c r="J712" s="322">
        <f>Councils!J715</f>
        <v>0</v>
      </c>
      <c r="K712" s="322">
        <f>Councils!K715</f>
        <v>0</v>
      </c>
      <c r="L712" s="322">
        <f>Councils!L715</f>
        <v>0</v>
      </c>
      <c r="M712" s="323">
        <f>Councils!M715</f>
        <v>0</v>
      </c>
      <c r="N712" s="322">
        <f>Councils!O715</f>
        <v>0</v>
      </c>
      <c r="O712" s="322">
        <f>Councils!P715</f>
        <v>0</v>
      </c>
      <c r="P712" s="322">
        <f>Councils!Q715</f>
        <v>0</v>
      </c>
      <c r="Q712" s="322">
        <f>Councils!R715</f>
        <v>0</v>
      </c>
      <c r="R712" s="322">
        <f>Councils!S715</f>
        <v>0</v>
      </c>
      <c r="S712" s="322">
        <f>Councils!T715</f>
        <v>0</v>
      </c>
      <c r="T712" s="322">
        <f>Councils!U715</f>
        <v>0</v>
      </c>
      <c r="U712" s="323">
        <f>Councils!V715</f>
        <v>0</v>
      </c>
      <c r="V712" s="376">
        <v>166</v>
      </c>
      <c r="W712" s="377">
        <f t="shared" si="11"/>
        <v>3</v>
      </c>
      <c r="X712" s="378" t="str">
        <f>IF(ISNA(VLOOKUP($A712,GA!$A$1:$D$834,3,0))," ",VLOOKUP($A712,GA!$A$1:$D$834,3,0))</f>
        <v>Carlin</v>
      </c>
      <c r="Y712" s="379" t="str">
        <f>IF(ISNA(VLOOKUP($A712,Dormant_Councils!$A$1:$E$811,5,0)),"No",VLOOKUP($A712,Dormant_Councils!$A$1:$E$811,5,0))</f>
        <v>Dormant</v>
      </c>
      <c r="Z712" s="381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22" t="str">
        <f>Councils!C716</f>
        <v>223</v>
      </c>
      <c r="C713" s="322" t="str">
        <f>Councils!D716</f>
        <v>Andrews</v>
      </c>
      <c r="D713" s="322" t="str">
        <f>IF(ISNA(VLOOKUP($V713,DD_Info!$A$1:$E$221,3,0)),0,VLOOKUP($V713,DD_Info!$A$1:$E$221,3,0))</f>
        <v>San Angelo</v>
      </c>
      <c r="E713" s="322">
        <f>Councils!E716</f>
        <v>81</v>
      </c>
      <c r="F713" s="322">
        <f>Councils!F716</f>
        <v>4</v>
      </c>
      <c r="G713" s="322">
        <f>Councils!G716</f>
        <v>0</v>
      </c>
      <c r="H713" s="322">
        <f>Councils!H716</f>
        <v>0</v>
      </c>
      <c r="I713" s="322">
        <f>Councils!I716</f>
        <v>0</v>
      </c>
      <c r="J713" s="322">
        <f>Councils!J716</f>
        <v>0</v>
      </c>
      <c r="K713" s="322">
        <f>Councils!K716</f>
        <v>0</v>
      </c>
      <c r="L713" s="322">
        <f>Councils!L716</f>
        <v>0</v>
      </c>
      <c r="M713" s="323">
        <f>Councils!M716</f>
        <v>0</v>
      </c>
      <c r="N713" s="322">
        <f>Councils!O716</f>
        <v>0</v>
      </c>
      <c r="O713" s="322">
        <f>Councils!P716</f>
        <v>0</v>
      </c>
      <c r="P713" s="322">
        <f>Councils!Q716</f>
        <v>0</v>
      </c>
      <c r="Q713" s="322">
        <f>Councils!R716</f>
        <v>0</v>
      </c>
      <c r="R713" s="322">
        <f>Councils!S716</f>
        <v>0</v>
      </c>
      <c r="S713" s="322">
        <f>Councils!T716</f>
        <v>1</v>
      </c>
      <c r="T713" s="322">
        <f>Councils!U716</f>
        <v>-1</v>
      </c>
      <c r="U713" s="323">
        <f>Councils!V716</f>
        <v>0</v>
      </c>
      <c r="V713" s="376">
        <v>223</v>
      </c>
      <c r="W713" s="377">
        <f t="shared" si="11"/>
        <v>2</v>
      </c>
      <c r="X713" s="378" t="str">
        <f>IF(ISNA(VLOOKUP($A713,GA!$A$1:$D$834,3,0))," ",VLOOKUP($A713,GA!$A$1:$D$834,3,0))</f>
        <v>Payne</v>
      </c>
      <c r="Y713" s="379" t="str">
        <f>IF(ISNA(VLOOKUP($A713,Dormant_Councils!$A$1:$E$811,5,0)),"No",VLOOKUP($A713,Dormant_Councils!$A$1:$E$811,5,0))</f>
        <v>No</v>
      </c>
      <c r="Z713" s="381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22" t="str">
        <f>Councils!C717</f>
        <v>008</v>
      </c>
      <c r="C714" s="322" t="str">
        <f>Councils!D717</f>
        <v>El Paso</v>
      </c>
      <c r="D714" s="322" t="str">
        <f>IF(ISNA(VLOOKUP($V714,DD_Info!$A$1:$E$221,3,0)),0,VLOOKUP($V714,DD_Info!$A$1:$E$221,3,0))</f>
        <v>El Paso</v>
      </c>
      <c r="E714" s="322">
        <f>Councils!E717</f>
        <v>77</v>
      </c>
      <c r="F714" s="322">
        <f>Councils!F717</f>
        <v>4</v>
      </c>
      <c r="G714" s="322">
        <f>Councils!G717</f>
        <v>1</v>
      </c>
      <c r="H714" s="322">
        <f>Councils!H717</f>
        <v>0</v>
      </c>
      <c r="I714" s="322">
        <f>Councils!I717</f>
        <v>1</v>
      </c>
      <c r="J714" s="322">
        <f>Councils!J717</f>
        <v>2</v>
      </c>
      <c r="K714" s="322">
        <f>Councils!K717</f>
        <v>0</v>
      </c>
      <c r="L714" s="322">
        <f>Councils!L717</f>
        <v>2</v>
      </c>
      <c r="M714" s="323">
        <f>Councils!M717</f>
        <v>50</v>
      </c>
      <c r="N714" s="322">
        <f>Councils!O717</f>
        <v>0</v>
      </c>
      <c r="O714" s="322">
        <f>Councils!P717</f>
        <v>1</v>
      </c>
      <c r="P714" s="322">
        <f>Councils!Q717</f>
        <v>0</v>
      </c>
      <c r="Q714" s="322">
        <f>Councils!R717</f>
        <v>1</v>
      </c>
      <c r="R714" s="322">
        <f>Councils!S717</f>
        <v>3</v>
      </c>
      <c r="S714" s="322">
        <f>Councils!T717</f>
        <v>0</v>
      </c>
      <c r="T714" s="322">
        <f>Councils!U717</f>
        <v>3</v>
      </c>
      <c r="U714" s="323">
        <f>Councils!V717</f>
        <v>0</v>
      </c>
      <c r="V714" s="376">
        <v>8</v>
      </c>
      <c r="W714" s="377">
        <f t="shared" si="11"/>
        <v>2</v>
      </c>
      <c r="X714" s="378" t="str">
        <f>IF(ISNA(VLOOKUP($A714,GA!$A$1:$D$834,3,0))," ",VLOOKUP($A714,GA!$A$1:$D$834,3,0))</f>
        <v>Payne</v>
      </c>
      <c r="Y714" s="379" t="str">
        <f>IF(ISNA(VLOOKUP($A714,Dormant_Councils!$A$1:$E$811,5,0)),"No",VLOOKUP($A714,Dormant_Councils!$A$1:$E$811,5,0))</f>
        <v>No</v>
      </c>
      <c r="Z714" s="381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22" t="str">
        <f>Councils!C718</f>
        <v>246</v>
      </c>
      <c r="C715" s="322" t="str">
        <f>Councils!D718</f>
        <v>Lubbock</v>
      </c>
      <c r="D715" s="322" t="str">
        <f>IF(ISNA(VLOOKUP($V715,DD_Info!$A$1:$E$221,3,0)),0,VLOOKUP($V715,DD_Info!$A$1:$E$221,3,0))</f>
        <v>Lubbock</v>
      </c>
      <c r="E715" s="322">
        <f>Councils!E718</f>
        <v>142</v>
      </c>
      <c r="F715" s="322">
        <f>Councils!F718</f>
        <v>7</v>
      </c>
      <c r="G715" s="322">
        <f>Councils!G718</f>
        <v>0</v>
      </c>
      <c r="H715" s="322">
        <f>Councils!H718</f>
        <v>0</v>
      </c>
      <c r="I715" s="322">
        <f>Councils!I718</f>
        <v>0</v>
      </c>
      <c r="J715" s="322">
        <f>Councils!J718</f>
        <v>13</v>
      </c>
      <c r="K715" s="322">
        <f>Councils!K718</f>
        <v>0</v>
      </c>
      <c r="L715" s="322">
        <f>Councils!L718</f>
        <v>13</v>
      </c>
      <c r="M715" s="323">
        <f>Councils!M718</f>
        <v>185.71</v>
      </c>
      <c r="N715" s="322">
        <f>Councils!O718</f>
        <v>0</v>
      </c>
      <c r="O715" s="322">
        <f>Councils!P718</f>
        <v>1</v>
      </c>
      <c r="P715" s="322">
        <f>Councils!Q718</f>
        <v>0</v>
      </c>
      <c r="Q715" s="322">
        <f>Councils!R718</f>
        <v>1</v>
      </c>
      <c r="R715" s="322">
        <f>Councils!S718</f>
        <v>2</v>
      </c>
      <c r="S715" s="322">
        <f>Councils!T718</f>
        <v>0</v>
      </c>
      <c r="T715" s="322">
        <f>Councils!U718</f>
        <v>2</v>
      </c>
      <c r="U715" s="323">
        <f>Councils!V718</f>
        <v>0</v>
      </c>
      <c r="V715" s="376">
        <v>246</v>
      </c>
      <c r="W715" s="377">
        <f t="shared" si="11"/>
        <v>1</v>
      </c>
      <c r="X715" s="378" t="str">
        <f>IF(ISNA(VLOOKUP($A715,GA!$A$1:$D$834,3,0))," ",VLOOKUP($A715,GA!$A$1:$D$834,3,0))</f>
        <v>Payne</v>
      </c>
      <c r="Y715" s="379" t="str">
        <f>IF(ISNA(VLOOKUP($A715,Dormant_Councils!$A$1:$E$811,5,0)),"No",VLOOKUP($A715,Dormant_Councils!$A$1:$E$811,5,0))</f>
        <v>No</v>
      </c>
      <c r="Z715" s="381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22" t="str">
        <f>Councils!C719</f>
        <v>125</v>
      </c>
      <c r="C716" s="322" t="str">
        <f>Councils!D719</f>
        <v>China</v>
      </c>
      <c r="D716" s="322" t="str">
        <f>IF(ISNA(VLOOKUP($V716,DD_Info!$A$1:$E$221,3,0)),0,VLOOKUP($V716,DD_Info!$A$1:$E$221,3,0))</f>
        <v>Beaumont</v>
      </c>
      <c r="E716" s="322">
        <f>Councils!E719</f>
        <v>59</v>
      </c>
      <c r="F716" s="322">
        <f>Councils!F719</f>
        <v>3</v>
      </c>
      <c r="G716" s="322">
        <f>Councils!G719</f>
        <v>0</v>
      </c>
      <c r="H716" s="322">
        <f>Councils!H719</f>
        <v>0</v>
      </c>
      <c r="I716" s="322">
        <f>Councils!I719</f>
        <v>0</v>
      </c>
      <c r="J716" s="322">
        <f>Councils!J719</f>
        <v>0</v>
      </c>
      <c r="K716" s="322">
        <f>Councils!K719</f>
        <v>0</v>
      </c>
      <c r="L716" s="322">
        <f>Councils!L719</f>
        <v>0</v>
      </c>
      <c r="M716" s="323">
        <f>Councils!M719</f>
        <v>0</v>
      </c>
      <c r="N716" s="322">
        <f>Councils!O719</f>
        <v>0</v>
      </c>
      <c r="O716" s="322">
        <f>Councils!P719</f>
        <v>0</v>
      </c>
      <c r="P716" s="322">
        <f>Councils!Q719</f>
        <v>0</v>
      </c>
      <c r="Q716" s="322">
        <f>Councils!R719</f>
        <v>0</v>
      </c>
      <c r="R716" s="322">
        <f>Councils!S719</f>
        <v>0</v>
      </c>
      <c r="S716" s="322">
        <f>Councils!T719</f>
        <v>0</v>
      </c>
      <c r="T716" s="322">
        <f>Councils!U719</f>
        <v>0</v>
      </c>
      <c r="U716" s="323">
        <f>Councils!V719</f>
        <v>0</v>
      </c>
      <c r="V716" s="376">
        <v>125</v>
      </c>
      <c r="W716" s="377">
        <f t="shared" si="11"/>
        <v>3</v>
      </c>
      <c r="X716" s="378" t="str">
        <f>IF(ISNA(VLOOKUP($A716,GA!$A$1:$D$834,3,0))," ",VLOOKUP($A716,GA!$A$1:$D$834,3,0))</f>
        <v>Rangel</v>
      </c>
      <c r="Y716" s="379" t="str">
        <f>IF(ISNA(VLOOKUP($A716,Dormant_Councils!$A$1:$E$811,5,0)),"No",VLOOKUP($A716,Dormant_Councils!$A$1:$E$811,5,0))</f>
        <v>No</v>
      </c>
      <c r="Z716" s="381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22" t="str">
        <f>Councils!C720</f>
        <v>093</v>
      </c>
      <c r="C717" s="322" t="str">
        <f>Councils!D720</f>
        <v>Spring</v>
      </c>
      <c r="D717" s="322" t="str">
        <f>IF(ISNA(VLOOKUP($V717,DD_Info!$A$1:$E$221,3,0)),0,VLOOKUP($V717,DD_Info!$A$1:$E$221,3,0))</f>
        <v>Galv/Hous</v>
      </c>
      <c r="E717" s="322">
        <f>Councils!E720</f>
        <v>228</v>
      </c>
      <c r="F717" s="322">
        <f>Councils!F720</f>
        <v>11</v>
      </c>
      <c r="G717" s="322">
        <f>Councils!G720</f>
        <v>1</v>
      </c>
      <c r="H717" s="322">
        <f>Councils!H720</f>
        <v>1</v>
      </c>
      <c r="I717" s="322">
        <f>Councils!I720</f>
        <v>0</v>
      </c>
      <c r="J717" s="322">
        <f>Councils!J720</f>
        <v>8</v>
      </c>
      <c r="K717" s="322">
        <f>Councils!K720</f>
        <v>1</v>
      </c>
      <c r="L717" s="322">
        <f>Councils!L720</f>
        <v>7</v>
      </c>
      <c r="M717" s="323">
        <f>Councils!M720</f>
        <v>63.64</v>
      </c>
      <c r="N717" s="322">
        <f>Councils!O720</f>
        <v>0</v>
      </c>
      <c r="O717" s="322">
        <f>Councils!P720</f>
        <v>0</v>
      </c>
      <c r="P717" s="322">
        <f>Councils!Q720</f>
        <v>0</v>
      </c>
      <c r="Q717" s="322">
        <f>Councils!R720</f>
        <v>0</v>
      </c>
      <c r="R717" s="322">
        <f>Councils!S720</f>
        <v>0</v>
      </c>
      <c r="S717" s="322">
        <f>Councils!T720</f>
        <v>1</v>
      </c>
      <c r="T717" s="322">
        <f>Councils!U720</f>
        <v>-1</v>
      </c>
      <c r="U717" s="323">
        <f>Councils!V720</f>
        <v>0</v>
      </c>
      <c r="V717" s="376">
        <v>93</v>
      </c>
      <c r="W717" s="377">
        <f t="shared" si="11"/>
        <v>1</v>
      </c>
      <c r="X717" s="378" t="str">
        <f>IF(ISNA(VLOOKUP($A717,GA!$A$1:$D$834,3,0))," ",VLOOKUP($A717,GA!$A$1:$D$834,3,0))</f>
        <v>Rangel</v>
      </c>
      <c r="Y717" s="379" t="str">
        <f>IF(ISNA(VLOOKUP($A717,Dormant_Councils!$A$1:$E$811,5,0)),"No",VLOOKUP($A717,Dormant_Councils!$A$1:$E$811,5,0))</f>
        <v>No</v>
      </c>
      <c r="Z717" s="381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22" t="str">
        <f>Councils!C721</f>
        <v>028</v>
      </c>
      <c r="C718" s="322" t="str">
        <f>Councils!D721</f>
        <v>Arlington</v>
      </c>
      <c r="D718" s="322" t="str">
        <f>IF(ISNA(VLOOKUP($V718,DD_Info!$A$1:$E$221,3,0)),0,VLOOKUP($V718,DD_Info!$A$1:$E$221,3,0))</f>
        <v>Fort Worth</v>
      </c>
      <c r="E718" s="322">
        <f>Councils!E721</f>
        <v>121</v>
      </c>
      <c r="F718" s="322">
        <f>Councils!F721</f>
        <v>6</v>
      </c>
      <c r="G718" s="322">
        <f>Councils!G721</f>
        <v>0</v>
      </c>
      <c r="H718" s="322">
        <f>Councils!H721</f>
        <v>0</v>
      </c>
      <c r="I718" s="322">
        <f>Councils!I721</f>
        <v>0</v>
      </c>
      <c r="J718" s="322">
        <f>Councils!J721</f>
        <v>0</v>
      </c>
      <c r="K718" s="322">
        <f>Councils!K721</f>
        <v>0</v>
      </c>
      <c r="L718" s="322">
        <f>Councils!L721</f>
        <v>0</v>
      </c>
      <c r="M718" s="323">
        <f>Councils!M721</f>
        <v>0</v>
      </c>
      <c r="N718" s="322">
        <f>Councils!O721</f>
        <v>0</v>
      </c>
      <c r="O718" s="322">
        <f>Councils!P721</f>
        <v>0</v>
      </c>
      <c r="P718" s="322">
        <f>Councils!Q721</f>
        <v>0</v>
      </c>
      <c r="Q718" s="322">
        <f>Councils!R721</f>
        <v>0</v>
      </c>
      <c r="R718" s="322">
        <f>Councils!S721</f>
        <v>0</v>
      </c>
      <c r="S718" s="322">
        <f>Councils!T721</f>
        <v>0</v>
      </c>
      <c r="T718" s="322">
        <f>Councils!U721</f>
        <v>0</v>
      </c>
      <c r="U718" s="323">
        <f>Councils!V721</f>
        <v>0</v>
      </c>
      <c r="V718" s="376">
        <v>28</v>
      </c>
      <c r="W718" s="377">
        <f t="shared" si="11"/>
        <v>2</v>
      </c>
      <c r="X718" s="378" t="str">
        <f>IF(ISNA(VLOOKUP($A718,GA!$A$1:$D$834,3,0))," ",VLOOKUP($A718,GA!$A$1:$D$834,3,0))</f>
        <v>Stark</v>
      </c>
      <c r="Y718" s="379" t="str">
        <f>IF(ISNA(VLOOKUP($A718,Dormant_Councils!$A$1:$E$811,5,0)),"No",VLOOKUP($A718,Dormant_Councils!$A$1:$E$811,5,0))</f>
        <v>No</v>
      </c>
      <c r="Z718" s="381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22" t="str">
        <f>Councils!C722</f>
        <v>112</v>
      </c>
      <c r="C719" s="322" t="str">
        <f>Councils!D722</f>
        <v>Dallas</v>
      </c>
      <c r="D719" s="322" t="str">
        <f>IF(ISNA(VLOOKUP($V719,DD_Info!$A$1:$E$221,3,0)),0,VLOOKUP($V719,DD_Info!$A$1:$E$221,3,0))</f>
        <v>Dallas</v>
      </c>
      <c r="E719" s="322">
        <f>Councils!E722</f>
        <v>123</v>
      </c>
      <c r="F719" s="322">
        <f>Councils!F722</f>
        <v>6</v>
      </c>
      <c r="G719" s="322">
        <f>Councils!G722</f>
        <v>1</v>
      </c>
      <c r="H719" s="322">
        <f>Councils!H722</f>
        <v>0</v>
      </c>
      <c r="I719" s="322">
        <f>Councils!I722</f>
        <v>1</v>
      </c>
      <c r="J719" s="322">
        <f>Councils!J722</f>
        <v>4</v>
      </c>
      <c r="K719" s="322">
        <f>Councils!K722</f>
        <v>0</v>
      </c>
      <c r="L719" s="322">
        <f>Councils!L722</f>
        <v>4</v>
      </c>
      <c r="M719" s="323">
        <f>Councils!M722</f>
        <v>66.67</v>
      </c>
      <c r="N719" s="322">
        <f>Councils!O722</f>
        <v>0</v>
      </c>
      <c r="O719" s="322">
        <f>Councils!P722</f>
        <v>0</v>
      </c>
      <c r="P719" s="322">
        <f>Councils!Q722</f>
        <v>0</v>
      </c>
      <c r="Q719" s="322">
        <f>Councils!R722</f>
        <v>0</v>
      </c>
      <c r="R719" s="322">
        <f>Councils!S722</f>
        <v>1</v>
      </c>
      <c r="S719" s="322">
        <f>Councils!T722</f>
        <v>0</v>
      </c>
      <c r="T719" s="322">
        <f>Councils!U722</f>
        <v>1</v>
      </c>
      <c r="U719" s="323">
        <f>Councils!V722</f>
        <v>0</v>
      </c>
      <c r="V719" s="376">
        <v>112</v>
      </c>
      <c r="W719" s="377">
        <f t="shared" si="11"/>
        <v>2</v>
      </c>
      <c r="X719" s="378" t="str">
        <f>IF(ISNA(VLOOKUP($A719,GA!$A$1:$D$834,3,0))," ",VLOOKUP($A719,GA!$A$1:$D$834,3,0))</f>
        <v>Regan</v>
      </c>
      <c r="Y719" s="379" t="str">
        <f>IF(ISNA(VLOOKUP($A719,Dormant_Councils!$A$1:$E$811,5,0)),"No",VLOOKUP($A719,Dormant_Councils!$A$1:$E$811,5,0))</f>
        <v>No</v>
      </c>
      <c r="Z719" s="381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22" t="str">
        <f>Councils!C723</f>
        <v>005</v>
      </c>
      <c r="C720" s="322" t="str">
        <f>Councils!D723</f>
        <v>Ft Bliss</v>
      </c>
      <c r="D720" s="322" t="str">
        <f>IF(ISNA(VLOOKUP($V720,DD_Info!$A$1:$E$221,3,0)),0,VLOOKUP($V720,DD_Info!$A$1:$E$221,3,0))</f>
        <v>El Paso</v>
      </c>
      <c r="E720" s="322">
        <f>Councils!E723</f>
        <v>79</v>
      </c>
      <c r="F720" s="322">
        <f>Councils!F723</f>
        <v>4</v>
      </c>
      <c r="G720" s="322">
        <f>Councils!G723</f>
        <v>0</v>
      </c>
      <c r="H720" s="322">
        <f>Councils!H723</f>
        <v>0</v>
      </c>
      <c r="I720" s="322">
        <f>Councils!I723</f>
        <v>0</v>
      </c>
      <c r="J720" s="322">
        <f>Councils!J723</f>
        <v>4</v>
      </c>
      <c r="K720" s="322">
        <f>Councils!K723</f>
        <v>1</v>
      </c>
      <c r="L720" s="322">
        <f>Councils!L723</f>
        <v>3</v>
      </c>
      <c r="M720" s="323">
        <f>Councils!M723</f>
        <v>75</v>
      </c>
      <c r="N720" s="322">
        <f>Councils!O723</f>
        <v>0</v>
      </c>
      <c r="O720" s="322">
        <f>Councils!P723</f>
        <v>0</v>
      </c>
      <c r="P720" s="322">
        <f>Councils!Q723</f>
        <v>0</v>
      </c>
      <c r="Q720" s="322">
        <f>Councils!R723</f>
        <v>0</v>
      </c>
      <c r="R720" s="322">
        <f>Councils!S723</f>
        <v>0</v>
      </c>
      <c r="S720" s="322">
        <f>Councils!T723</f>
        <v>1</v>
      </c>
      <c r="T720" s="322">
        <f>Councils!U723</f>
        <v>-1</v>
      </c>
      <c r="U720" s="323">
        <f>Councils!V723</f>
        <v>0</v>
      </c>
      <c r="V720" s="376">
        <v>5</v>
      </c>
      <c r="W720" s="377">
        <f t="shared" si="11"/>
        <v>2</v>
      </c>
      <c r="X720" s="378" t="str">
        <f>IF(ISNA(VLOOKUP($A720,GA!$A$1:$D$834,3,0))," ",VLOOKUP($A720,GA!$A$1:$D$834,3,0))</f>
        <v>Payne</v>
      </c>
      <c r="Y720" s="379" t="str">
        <f>IF(ISNA(VLOOKUP($A720,Dormant_Councils!$A$1:$E$811,5,0)),"No",VLOOKUP($A720,Dormant_Councils!$A$1:$E$811,5,0))</f>
        <v>No</v>
      </c>
      <c r="Z720" s="381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22" t="str">
        <f>Councils!C724</f>
        <v>079</v>
      </c>
      <c r="C721" s="322" t="str">
        <f>Councils!D724</f>
        <v>Missouri City</v>
      </c>
      <c r="D721" s="322" t="str">
        <f>IF(ISNA(VLOOKUP($V721,DD_Info!$A$1:$E$221,3,0)),0,VLOOKUP($V721,DD_Info!$A$1:$E$221,3,0))</f>
        <v>Galv/Hous</v>
      </c>
      <c r="E721" s="322">
        <f>Councils!E724</f>
        <v>193</v>
      </c>
      <c r="F721" s="322">
        <f>Councils!F724</f>
        <v>10</v>
      </c>
      <c r="G721" s="322">
        <f>Councils!G724</f>
        <v>0</v>
      </c>
      <c r="H721" s="322">
        <f>Councils!H724</f>
        <v>0</v>
      </c>
      <c r="I721" s="322">
        <f>Councils!I724</f>
        <v>0</v>
      </c>
      <c r="J721" s="322">
        <f>Councils!J724</f>
        <v>2</v>
      </c>
      <c r="K721" s="322">
        <f>Councils!K724</f>
        <v>0</v>
      </c>
      <c r="L721" s="322">
        <f>Councils!L724</f>
        <v>2</v>
      </c>
      <c r="M721" s="323">
        <f>Councils!M724</f>
        <v>20</v>
      </c>
      <c r="N721" s="322">
        <f>Councils!O724</f>
        <v>0</v>
      </c>
      <c r="O721" s="322">
        <f>Councils!P724</f>
        <v>0</v>
      </c>
      <c r="P721" s="322">
        <f>Councils!Q724</f>
        <v>0</v>
      </c>
      <c r="Q721" s="322">
        <f>Councils!R724</f>
        <v>0</v>
      </c>
      <c r="R721" s="322">
        <f>Councils!S724</f>
        <v>0</v>
      </c>
      <c r="S721" s="322">
        <f>Councils!T724</f>
        <v>0</v>
      </c>
      <c r="T721" s="322">
        <f>Councils!U724</f>
        <v>0</v>
      </c>
      <c r="U721" s="323">
        <f>Councils!V724</f>
        <v>0</v>
      </c>
      <c r="V721" s="376">
        <v>79</v>
      </c>
      <c r="W721" s="377">
        <f t="shared" si="11"/>
        <v>1</v>
      </c>
      <c r="X721" s="378" t="str">
        <f>IF(ISNA(VLOOKUP($A721,GA!$A$1:$D$834,3,0))," ",VLOOKUP($A721,GA!$A$1:$D$834,3,0))</f>
        <v>Supak</v>
      </c>
      <c r="Y721" s="379" t="str">
        <f>IF(ISNA(VLOOKUP($A721,Dormant_Councils!$A$1:$E$811,5,0)),"No",VLOOKUP($A721,Dormant_Councils!$A$1:$E$811,5,0))</f>
        <v>No</v>
      </c>
      <c r="Z721" s="381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22" t="str">
        <f>Councils!C725</f>
        <v>135</v>
      </c>
      <c r="C722" s="322" t="str">
        <f>Councils!D725</f>
        <v>Flint</v>
      </c>
      <c r="D722" s="322" t="str">
        <f>IF(ISNA(VLOOKUP($V722,DD_Info!$A$1:$E$221,3,0)),0,VLOOKUP($V722,DD_Info!$A$1:$E$221,3,0))</f>
        <v>Tyler</v>
      </c>
      <c r="E722" s="322">
        <f>Councils!E725</f>
        <v>119</v>
      </c>
      <c r="F722" s="322">
        <f>Councils!F725</f>
        <v>6</v>
      </c>
      <c r="G722" s="322">
        <f>Councils!G725</f>
        <v>0</v>
      </c>
      <c r="H722" s="322">
        <f>Councils!H725</f>
        <v>0</v>
      </c>
      <c r="I722" s="322">
        <f>Councils!I725</f>
        <v>0</v>
      </c>
      <c r="J722" s="322">
        <f>Councils!J725</f>
        <v>2</v>
      </c>
      <c r="K722" s="322">
        <f>Councils!K725</f>
        <v>2</v>
      </c>
      <c r="L722" s="322">
        <f>Councils!L725</f>
        <v>0</v>
      </c>
      <c r="M722" s="323">
        <f>Councils!M725</f>
        <v>0</v>
      </c>
      <c r="N722" s="322">
        <f>Councils!O725</f>
        <v>0</v>
      </c>
      <c r="O722" s="322">
        <f>Councils!P725</f>
        <v>0</v>
      </c>
      <c r="P722" s="322">
        <f>Councils!Q725</f>
        <v>0</v>
      </c>
      <c r="Q722" s="322">
        <f>Councils!R725</f>
        <v>0</v>
      </c>
      <c r="R722" s="322">
        <f>Councils!S725</f>
        <v>1</v>
      </c>
      <c r="S722" s="322">
        <f>Councils!T725</f>
        <v>0</v>
      </c>
      <c r="T722" s="322">
        <f>Councils!U725</f>
        <v>1</v>
      </c>
      <c r="U722" s="323">
        <f>Councils!V725</f>
        <v>0</v>
      </c>
      <c r="V722" s="376">
        <v>135</v>
      </c>
      <c r="W722" s="377">
        <f t="shared" si="11"/>
        <v>2</v>
      </c>
      <c r="X722" s="378" t="str">
        <f>IF(ISNA(VLOOKUP($A722,GA!$A$1:$D$834,3,0))," ",VLOOKUP($A722,GA!$A$1:$D$834,3,0))</f>
        <v>Regan</v>
      </c>
      <c r="Y722" s="379" t="str">
        <f>IF(ISNA(VLOOKUP($A722,Dormant_Councils!$A$1:$E$811,5,0)),"No",VLOOKUP($A722,Dormant_Councils!$A$1:$E$811,5,0))</f>
        <v>No</v>
      </c>
      <c r="Z722" s="381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22" t="str">
        <f>Councils!C726</f>
        <v>150</v>
      </c>
      <c r="C723" s="322" t="str">
        <f>Councils!D726</f>
        <v>Manor</v>
      </c>
      <c r="D723" s="322" t="str">
        <f>IF(ISNA(VLOOKUP($V723,DD_Info!$A$1:$E$221,3,0)),0,VLOOKUP($V723,DD_Info!$A$1:$E$221,3,0))</f>
        <v>Austin</v>
      </c>
      <c r="E723" s="322">
        <f>Councils!E726</f>
        <v>58</v>
      </c>
      <c r="F723" s="322">
        <f>Councils!F726</f>
        <v>3</v>
      </c>
      <c r="G723" s="322">
        <f>Councils!G726</f>
        <v>0</v>
      </c>
      <c r="H723" s="322">
        <f>Councils!H726</f>
        <v>0</v>
      </c>
      <c r="I723" s="322">
        <f>Councils!I726</f>
        <v>0</v>
      </c>
      <c r="J723" s="322">
        <f>Councils!J726</f>
        <v>0</v>
      </c>
      <c r="K723" s="322">
        <f>Councils!K726</f>
        <v>0</v>
      </c>
      <c r="L723" s="322">
        <f>Councils!L726</f>
        <v>0</v>
      </c>
      <c r="M723" s="323">
        <f>Councils!M726</f>
        <v>0</v>
      </c>
      <c r="N723" s="322">
        <f>Councils!O726</f>
        <v>0</v>
      </c>
      <c r="O723" s="322">
        <f>Councils!P726</f>
        <v>0</v>
      </c>
      <c r="P723" s="322">
        <f>Councils!Q726</f>
        <v>1</v>
      </c>
      <c r="Q723" s="322">
        <f>Councils!R726</f>
        <v>-1</v>
      </c>
      <c r="R723" s="322">
        <f>Councils!S726</f>
        <v>0</v>
      </c>
      <c r="S723" s="322">
        <f>Councils!T726</f>
        <v>1</v>
      </c>
      <c r="T723" s="322">
        <f>Councils!U726</f>
        <v>-1</v>
      </c>
      <c r="U723" s="323">
        <f>Councils!V726</f>
        <v>0</v>
      </c>
      <c r="V723" s="376">
        <v>150</v>
      </c>
      <c r="W723" s="377">
        <f t="shared" si="11"/>
        <v>3</v>
      </c>
      <c r="X723" s="378" t="str">
        <f>IF(ISNA(VLOOKUP($A723,GA!$A$1:$D$834,3,0))," ",VLOOKUP($A723,GA!$A$1:$D$834,3,0))</f>
        <v>Britten</v>
      </c>
      <c r="Y723" s="379" t="str">
        <f>IF(ISNA(VLOOKUP($A723,Dormant_Councils!$A$1:$E$811,5,0)),"No",VLOOKUP($A723,Dormant_Councils!$A$1:$E$811,5,0))</f>
        <v>No</v>
      </c>
      <c r="Z723" s="381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22" t="str">
        <f>Councils!C727</f>
        <v>032</v>
      </c>
      <c r="C724" s="322" t="str">
        <f>Councils!D727</f>
        <v>Fort Worth</v>
      </c>
      <c r="D724" s="322" t="str">
        <f>IF(ISNA(VLOOKUP($V724,DD_Info!$A$1:$E$221,3,0)),0,VLOOKUP($V724,DD_Info!$A$1:$E$221,3,0))</f>
        <v>Fort Worth</v>
      </c>
      <c r="E724" s="322">
        <f>Councils!E727</f>
        <v>207</v>
      </c>
      <c r="F724" s="322">
        <f>Councils!F727</f>
        <v>10</v>
      </c>
      <c r="G724" s="322">
        <f>Councils!G727</f>
        <v>0</v>
      </c>
      <c r="H724" s="322">
        <f>Councils!H727</f>
        <v>0</v>
      </c>
      <c r="I724" s="322">
        <f>Councils!I727</f>
        <v>0</v>
      </c>
      <c r="J724" s="322">
        <f>Councils!J727</f>
        <v>2</v>
      </c>
      <c r="K724" s="322">
        <f>Councils!K727</f>
        <v>0</v>
      </c>
      <c r="L724" s="322">
        <f>Councils!L727</f>
        <v>2</v>
      </c>
      <c r="M724" s="323">
        <f>Councils!M727</f>
        <v>20</v>
      </c>
      <c r="N724" s="322">
        <f>Councils!O727</f>
        <v>0</v>
      </c>
      <c r="O724" s="322">
        <f>Councils!P727</f>
        <v>0</v>
      </c>
      <c r="P724" s="322">
        <f>Councils!Q727</f>
        <v>0</v>
      </c>
      <c r="Q724" s="322">
        <f>Councils!R727</f>
        <v>0</v>
      </c>
      <c r="R724" s="322">
        <f>Councils!S727</f>
        <v>1</v>
      </c>
      <c r="S724" s="322">
        <f>Councils!T727</f>
        <v>0</v>
      </c>
      <c r="T724" s="322">
        <f>Councils!U727</f>
        <v>1</v>
      </c>
      <c r="U724" s="323">
        <f>Councils!V727</f>
        <v>0</v>
      </c>
      <c r="V724" s="376">
        <v>32</v>
      </c>
      <c r="W724" s="377">
        <f t="shared" si="11"/>
        <v>1</v>
      </c>
      <c r="X724" s="378" t="str">
        <f>IF(ISNA(VLOOKUP($A724,GA!$A$1:$D$834,3,0))," ",VLOOKUP($A724,GA!$A$1:$D$834,3,0))</f>
        <v>Stark</v>
      </c>
      <c r="Y724" s="379" t="str">
        <f>IF(ISNA(VLOOKUP($A724,Dormant_Councils!$A$1:$E$811,5,0)),"No",VLOOKUP($A724,Dormant_Councils!$A$1:$E$811,5,0))</f>
        <v>No</v>
      </c>
      <c r="Z724" s="381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22" t="str">
        <f>Councils!C728</f>
        <v>042</v>
      </c>
      <c r="C725" s="322" t="str">
        <f>Councils!D728</f>
        <v>Leon Springs</v>
      </c>
      <c r="D725" s="322" t="str">
        <f>IF(ISNA(VLOOKUP($V725,DD_Info!$A$1:$E$221,3,0)),0,VLOOKUP($V725,DD_Info!$A$1:$E$221,3,0))</f>
        <v>San Antonio</v>
      </c>
      <c r="E725" s="322">
        <f>Councils!E728</f>
        <v>151</v>
      </c>
      <c r="F725" s="322">
        <f>Councils!F728</f>
        <v>7</v>
      </c>
      <c r="G725" s="322">
        <f>Councils!G728</f>
        <v>0</v>
      </c>
      <c r="H725" s="322">
        <f>Councils!H728</f>
        <v>0</v>
      </c>
      <c r="I725" s="322">
        <f>Councils!I728</f>
        <v>0</v>
      </c>
      <c r="J725" s="322">
        <f>Councils!J728</f>
        <v>2</v>
      </c>
      <c r="K725" s="322">
        <f>Councils!K728</f>
        <v>0</v>
      </c>
      <c r="L725" s="322">
        <f>Councils!L728</f>
        <v>2</v>
      </c>
      <c r="M725" s="323">
        <f>Councils!M728</f>
        <v>28.57</v>
      </c>
      <c r="N725" s="322">
        <f>Councils!O728</f>
        <v>0</v>
      </c>
      <c r="O725" s="322">
        <f>Councils!P728</f>
        <v>0</v>
      </c>
      <c r="P725" s="322">
        <f>Councils!Q728</f>
        <v>0</v>
      </c>
      <c r="Q725" s="322">
        <f>Councils!R728</f>
        <v>0</v>
      </c>
      <c r="R725" s="322">
        <f>Councils!S728</f>
        <v>1</v>
      </c>
      <c r="S725" s="322">
        <f>Councils!T728</f>
        <v>1</v>
      </c>
      <c r="T725" s="322">
        <f>Councils!U728</f>
        <v>0</v>
      </c>
      <c r="U725" s="323">
        <f>Councils!V728</f>
        <v>0</v>
      </c>
      <c r="V725" s="376">
        <v>42</v>
      </c>
      <c r="W725" s="377">
        <f t="shared" si="11"/>
        <v>1</v>
      </c>
      <c r="X725" s="378" t="str">
        <f>IF(ISNA(VLOOKUP($A725,GA!$A$1:$D$834,3,0))," ",VLOOKUP($A725,GA!$A$1:$D$834,3,0))</f>
        <v>Dougherty</v>
      </c>
      <c r="Y725" s="379" t="str">
        <f>IF(ISNA(VLOOKUP($A725,Dormant_Councils!$A$1:$E$811,5,0)),"No",VLOOKUP($A725,Dormant_Councils!$A$1:$E$811,5,0))</f>
        <v>No</v>
      </c>
      <c r="Z725" s="381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22" t="str">
        <f>Councils!C729</f>
        <v>083</v>
      </c>
      <c r="C726" s="322" t="str">
        <f>Councils!D729</f>
        <v>Houston</v>
      </c>
      <c r="D726" s="322" t="str">
        <f>IF(ISNA(VLOOKUP($V726,DD_Info!$A$1:$E$221,3,0)),0,VLOOKUP($V726,DD_Info!$A$1:$E$221,3,0))</f>
        <v>Galv/Hous</v>
      </c>
      <c r="E726" s="322">
        <f>Councils!E729</f>
        <v>197</v>
      </c>
      <c r="F726" s="322">
        <f>Councils!F729</f>
        <v>10</v>
      </c>
      <c r="G726" s="322">
        <f>Councils!G729</f>
        <v>0</v>
      </c>
      <c r="H726" s="322">
        <f>Councils!H729</f>
        <v>3</v>
      </c>
      <c r="I726" s="322">
        <f>Councils!I729</f>
        <v>-3</v>
      </c>
      <c r="J726" s="322">
        <f>Councils!J729</f>
        <v>0</v>
      </c>
      <c r="K726" s="322">
        <f>Councils!K729</f>
        <v>4</v>
      </c>
      <c r="L726" s="322">
        <f>Councils!L729</f>
        <v>-4</v>
      </c>
      <c r="M726" s="323">
        <f>Councils!M729</f>
        <v>0</v>
      </c>
      <c r="N726" s="322">
        <f>Councils!O729</f>
        <v>0</v>
      </c>
      <c r="O726" s="322">
        <f>Councils!P729</f>
        <v>1</v>
      </c>
      <c r="P726" s="322">
        <f>Councils!Q729</f>
        <v>0</v>
      </c>
      <c r="Q726" s="322">
        <f>Councils!R729</f>
        <v>1</v>
      </c>
      <c r="R726" s="322">
        <f>Councils!S729</f>
        <v>1</v>
      </c>
      <c r="S726" s="322">
        <f>Councils!T729</f>
        <v>3</v>
      </c>
      <c r="T726" s="322">
        <f>Councils!U729</f>
        <v>-2</v>
      </c>
      <c r="U726" s="323">
        <f>Councils!V729</f>
        <v>0</v>
      </c>
      <c r="V726" s="376">
        <v>83</v>
      </c>
      <c r="W726" s="377">
        <f t="shared" si="11"/>
        <v>1</v>
      </c>
      <c r="X726" s="378" t="str">
        <f>IF(ISNA(VLOOKUP($A726,GA!$A$1:$D$834,3,0))," ",VLOOKUP($A726,GA!$A$1:$D$834,3,0))</f>
        <v>Supak</v>
      </c>
      <c r="Y726" s="379" t="str">
        <f>IF(ISNA(VLOOKUP($A726,Dormant_Councils!$A$1:$E$811,5,0)),"No",VLOOKUP($A726,Dormant_Councils!$A$1:$E$811,5,0))</f>
        <v>No</v>
      </c>
      <c r="Z726" s="381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22" t="str">
        <f>Councils!C730</f>
        <v>171</v>
      </c>
      <c r="C727" s="322" t="str">
        <f>Councils!D730</f>
        <v>Port Aransas</v>
      </c>
      <c r="D727" s="322" t="str">
        <f>IF(ISNA(VLOOKUP($V727,DD_Info!$A$1:$E$221,3,0)),0,VLOOKUP($V727,DD_Info!$A$1:$E$221,3,0))</f>
        <v>Corpus Christi</v>
      </c>
      <c r="E727" s="322">
        <f>Councils!E730</f>
        <v>36</v>
      </c>
      <c r="F727" s="322">
        <f>Councils!F730</f>
        <v>3</v>
      </c>
      <c r="G727" s="322">
        <f>Councils!G730</f>
        <v>0</v>
      </c>
      <c r="H727" s="322">
        <f>Councils!H730</f>
        <v>0</v>
      </c>
      <c r="I727" s="322">
        <f>Councils!I730</f>
        <v>0</v>
      </c>
      <c r="J727" s="322">
        <f>Councils!J730</f>
        <v>3</v>
      </c>
      <c r="K727" s="322">
        <f>Councils!K730</f>
        <v>0</v>
      </c>
      <c r="L727" s="322">
        <f>Councils!L730</f>
        <v>3</v>
      </c>
      <c r="M727" s="323">
        <f>Councils!M730</f>
        <v>100</v>
      </c>
      <c r="N727" s="322">
        <f>Councils!O730</f>
        <v>0</v>
      </c>
      <c r="O727" s="322">
        <f>Councils!P730</f>
        <v>0</v>
      </c>
      <c r="P727" s="322">
        <f>Councils!Q730</f>
        <v>0</v>
      </c>
      <c r="Q727" s="322">
        <f>Councils!R730</f>
        <v>0</v>
      </c>
      <c r="R727" s="322">
        <f>Councils!S730</f>
        <v>0</v>
      </c>
      <c r="S727" s="322">
        <f>Councils!T730</f>
        <v>0</v>
      </c>
      <c r="T727" s="322">
        <f>Councils!U730</f>
        <v>0</v>
      </c>
      <c r="U727" s="323">
        <f>Councils!V730</f>
        <v>0</v>
      </c>
      <c r="V727" s="376">
        <v>171</v>
      </c>
      <c r="W727" s="377">
        <f t="shared" si="11"/>
        <v>3</v>
      </c>
      <c r="X727" s="378" t="str">
        <f>IF(ISNA(VLOOKUP($A727,GA!$A$1:$D$834,3,0))," ",VLOOKUP($A727,GA!$A$1:$D$834,3,0))</f>
        <v>Carlin</v>
      </c>
      <c r="Y727" s="379" t="str">
        <f>IF(ISNA(VLOOKUP($A727,Dormant_Councils!$A$1:$E$811,5,0)),"No",VLOOKUP($A727,Dormant_Councils!$A$1:$E$811,5,0))</f>
        <v>No</v>
      </c>
      <c r="Z727" s="381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22" t="str">
        <f>Councils!C731</f>
        <v>159</v>
      </c>
      <c r="C728" s="322" t="str">
        <f>Councils!D731</f>
        <v>Uhland</v>
      </c>
      <c r="D728" s="322" t="str">
        <f>IF(ISNA(VLOOKUP($V728,DD_Info!$A$1:$E$221,3,0)),0,VLOOKUP($V728,DD_Info!$A$1:$E$221,3,0))</f>
        <v>Austin</v>
      </c>
      <c r="E728" s="322">
        <f>Councils!E731</f>
        <v>35</v>
      </c>
      <c r="F728" s="322">
        <f>Councils!F731</f>
        <v>3</v>
      </c>
      <c r="G728" s="322">
        <f>Councils!G731</f>
        <v>0</v>
      </c>
      <c r="H728" s="322">
        <f>Councils!H731</f>
        <v>0</v>
      </c>
      <c r="I728" s="322">
        <f>Councils!I731</f>
        <v>0</v>
      </c>
      <c r="J728" s="322">
        <f>Councils!J731</f>
        <v>0</v>
      </c>
      <c r="K728" s="322">
        <f>Councils!K731</f>
        <v>0</v>
      </c>
      <c r="L728" s="322">
        <f>Councils!L731</f>
        <v>0</v>
      </c>
      <c r="M728" s="323">
        <f>Councils!M731</f>
        <v>0</v>
      </c>
      <c r="N728" s="322">
        <f>Councils!O731</f>
        <v>0</v>
      </c>
      <c r="O728" s="322">
        <f>Councils!P731</f>
        <v>0</v>
      </c>
      <c r="P728" s="322">
        <f>Councils!Q731</f>
        <v>0</v>
      </c>
      <c r="Q728" s="322">
        <f>Councils!R731</f>
        <v>0</v>
      </c>
      <c r="R728" s="322">
        <f>Councils!S731</f>
        <v>0</v>
      </c>
      <c r="S728" s="322">
        <f>Councils!T731</f>
        <v>0</v>
      </c>
      <c r="T728" s="322">
        <f>Councils!U731</f>
        <v>0</v>
      </c>
      <c r="U728" s="323">
        <f>Councils!V731</f>
        <v>0</v>
      </c>
      <c r="V728" s="376">
        <v>159</v>
      </c>
      <c r="W728" s="377">
        <f t="shared" si="11"/>
        <v>3</v>
      </c>
      <c r="X728" s="378" t="str">
        <f>IF(ISNA(VLOOKUP($A728,GA!$A$1:$D$834,3,0))," ",VLOOKUP($A728,GA!$A$1:$D$834,3,0))</f>
        <v>Rangel</v>
      </c>
      <c r="Y728" s="379" t="str">
        <f>IF(ISNA(VLOOKUP($A728,Dormant_Councils!$A$1:$E$811,5,0)),"No",VLOOKUP($A728,Dormant_Councils!$A$1:$E$811,5,0))</f>
        <v>Dormant</v>
      </c>
      <c r="Z728" s="381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22" t="str">
        <f>Councils!C732</f>
        <v>166</v>
      </c>
      <c r="C729" s="322" t="str">
        <f>Councils!D732</f>
        <v>Beeville</v>
      </c>
      <c r="D729" s="322" t="str">
        <f>IF(ISNA(VLOOKUP($V729,DD_Info!$A$1:$E$221,3,0)),0,VLOOKUP($V729,DD_Info!$A$1:$E$221,3,0))</f>
        <v>Corpus Christi</v>
      </c>
      <c r="E729" s="322">
        <f>Councils!E732</f>
        <v>50</v>
      </c>
      <c r="F729" s="322">
        <f>Councils!F732</f>
        <v>3</v>
      </c>
      <c r="G729" s="322">
        <f>Councils!G732</f>
        <v>0</v>
      </c>
      <c r="H729" s="322">
        <f>Councils!H732</f>
        <v>0</v>
      </c>
      <c r="I729" s="322">
        <f>Councils!I732</f>
        <v>0</v>
      </c>
      <c r="J729" s="322">
        <f>Councils!J732</f>
        <v>0</v>
      </c>
      <c r="K729" s="322">
        <f>Councils!K732</f>
        <v>0</v>
      </c>
      <c r="L729" s="322">
        <f>Councils!L732</f>
        <v>0</v>
      </c>
      <c r="M729" s="323">
        <f>Councils!M732</f>
        <v>0</v>
      </c>
      <c r="N729" s="322">
        <f>Councils!O732</f>
        <v>0</v>
      </c>
      <c r="O729" s="322">
        <f>Councils!P732</f>
        <v>0</v>
      </c>
      <c r="P729" s="322">
        <f>Councils!Q732</f>
        <v>0</v>
      </c>
      <c r="Q729" s="322">
        <f>Councils!R732</f>
        <v>0</v>
      </c>
      <c r="R729" s="322">
        <f>Councils!S732</f>
        <v>0</v>
      </c>
      <c r="S729" s="322">
        <f>Councils!T732</f>
        <v>0</v>
      </c>
      <c r="T729" s="322">
        <f>Councils!U732</f>
        <v>0</v>
      </c>
      <c r="U729" s="323">
        <f>Councils!V732</f>
        <v>0</v>
      </c>
      <c r="V729" s="376">
        <v>166</v>
      </c>
      <c r="W729" s="377">
        <f t="shared" si="11"/>
        <v>3</v>
      </c>
      <c r="X729" s="378" t="str">
        <f>IF(ISNA(VLOOKUP($A729,GA!$A$1:$D$834,3,0))," ",VLOOKUP($A729,GA!$A$1:$D$834,3,0))</f>
        <v>Carlin</v>
      </c>
      <c r="Y729" s="379" t="str">
        <f>IF(ISNA(VLOOKUP($A729,Dormant_Councils!$A$1:$E$811,5,0)),"No",VLOOKUP($A729,Dormant_Councils!$A$1:$E$811,5,0))</f>
        <v>No</v>
      </c>
      <c r="Z729" s="381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22" t="str">
        <f>Councils!C733</f>
        <v>175</v>
      </c>
      <c r="C730" s="322" t="str">
        <f>Councils!D733</f>
        <v>Sinton</v>
      </c>
      <c r="D730" s="322" t="str">
        <f>IF(ISNA(VLOOKUP($V730,DD_Info!$A$1:$E$221,3,0)),0,VLOOKUP($V730,DD_Info!$A$1:$E$221,3,0))</f>
        <v>Corpus Christi</v>
      </c>
      <c r="E730" s="322">
        <f>Councils!E733</f>
        <v>59</v>
      </c>
      <c r="F730" s="322">
        <f>Councils!F733</f>
        <v>3</v>
      </c>
      <c r="G730" s="322">
        <f>Councils!G733</f>
        <v>0</v>
      </c>
      <c r="H730" s="322">
        <f>Councils!H733</f>
        <v>0</v>
      </c>
      <c r="I730" s="322">
        <f>Councils!I733</f>
        <v>0</v>
      </c>
      <c r="J730" s="322">
        <f>Councils!J733</f>
        <v>0</v>
      </c>
      <c r="K730" s="322">
        <f>Councils!K733</f>
        <v>0</v>
      </c>
      <c r="L730" s="322">
        <f>Councils!L733</f>
        <v>0</v>
      </c>
      <c r="M730" s="323">
        <f>Councils!M733</f>
        <v>0</v>
      </c>
      <c r="N730" s="322">
        <f>Councils!O733</f>
        <v>0</v>
      </c>
      <c r="O730" s="322">
        <f>Councils!P733</f>
        <v>0</v>
      </c>
      <c r="P730" s="322">
        <f>Councils!Q733</f>
        <v>0</v>
      </c>
      <c r="Q730" s="322">
        <f>Councils!R733</f>
        <v>0</v>
      </c>
      <c r="R730" s="322">
        <f>Councils!S733</f>
        <v>0</v>
      </c>
      <c r="S730" s="322">
        <f>Councils!T733</f>
        <v>1</v>
      </c>
      <c r="T730" s="322">
        <f>Councils!U733</f>
        <v>-1</v>
      </c>
      <c r="U730" s="323">
        <f>Councils!V733</f>
        <v>0</v>
      </c>
      <c r="V730" s="376">
        <v>175</v>
      </c>
      <c r="W730" s="377">
        <f t="shared" si="11"/>
        <v>3</v>
      </c>
      <c r="X730" s="378" t="str">
        <f>IF(ISNA(VLOOKUP($A730,GA!$A$1:$D$834,3,0))," ",VLOOKUP($A730,GA!$A$1:$D$834,3,0))</f>
        <v>Carlin</v>
      </c>
      <c r="Y730" s="379" t="str">
        <f>IF(ISNA(VLOOKUP($A730,Dormant_Councils!$A$1:$E$811,5,0)),"No",VLOOKUP($A730,Dormant_Councils!$A$1:$E$811,5,0))</f>
        <v>No</v>
      </c>
      <c r="Z730" s="381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22" t="str">
        <f>Councils!C734</f>
        <v>Unassigned</v>
      </c>
      <c r="C731" s="322" t="str">
        <f>Councils!D734</f>
        <v>Denton</v>
      </c>
      <c r="D731" s="322">
        <f>IF(ISNA(VLOOKUP($V731,DD_Info!$A$1:$E$221,3,0)),0,VLOOKUP($V731,DD_Info!$A$1:$E$221,3,0))</f>
        <v>0</v>
      </c>
      <c r="E731" s="322">
        <f>Councils!E734</f>
        <v>0</v>
      </c>
      <c r="F731" s="322">
        <f>Councils!F734</f>
        <v>0</v>
      </c>
      <c r="G731" s="322">
        <f>Councils!G734</f>
        <v>0</v>
      </c>
      <c r="H731" s="322">
        <f>Councils!H734</f>
        <v>0</v>
      </c>
      <c r="I731" s="322">
        <f>Councils!I734</f>
        <v>0</v>
      </c>
      <c r="J731" s="322">
        <f>Councils!J734</f>
        <v>0</v>
      </c>
      <c r="K731" s="322">
        <f>Councils!K734</f>
        <v>0</v>
      </c>
      <c r="L731" s="322">
        <f>Councils!L734</f>
        <v>0</v>
      </c>
      <c r="M731" s="323">
        <f>Councils!M734</f>
        <v>0</v>
      </c>
      <c r="N731" s="322">
        <f>Councils!O734</f>
        <v>0</v>
      </c>
      <c r="O731" s="322">
        <f>Councils!P734</f>
        <v>0</v>
      </c>
      <c r="P731" s="322">
        <f>Councils!Q734</f>
        <v>0</v>
      </c>
      <c r="Q731" s="322">
        <f>Councils!R734</f>
        <v>0</v>
      </c>
      <c r="R731" s="322">
        <f>Councils!S734</f>
        <v>0</v>
      </c>
      <c r="S731" s="322">
        <f>Councils!T734</f>
        <v>0</v>
      </c>
      <c r="T731" s="322">
        <f>Councils!U734</f>
        <v>0</v>
      </c>
      <c r="U731" s="323">
        <f>Councils!V734</f>
        <v>0</v>
      </c>
      <c r="V731" s="45" t="s">
        <v>93</v>
      </c>
      <c r="W731" s="377">
        <f t="shared" si="11"/>
        <v>3</v>
      </c>
      <c r="X731" s="378" t="str">
        <f>IF(ISNA(VLOOKUP($A731,GA!$A$1:$D$834,3,0))," ",VLOOKUP($A731,GA!$A$1:$D$834,3,0))</f>
        <v>Stark</v>
      </c>
      <c r="Y731" s="379" t="str">
        <f>IF(ISNA(VLOOKUP($A731,Dormant_Councils!$A$1:$E$811,5,0)),"No",VLOOKUP($A731,Dormant_Councils!$A$1:$E$811,5,0))</f>
        <v>No</v>
      </c>
      <c r="Z731" s="381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22" t="str">
        <f>Councils!C735</f>
        <v>238</v>
      </c>
      <c r="C732" s="322" t="str">
        <f>Councils!D735</f>
        <v>Rio Bravo/El Cenizo</v>
      </c>
      <c r="D732" s="322" t="str">
        <f>IF(ISNA(VLOOKUP($V732,DD_Info!$A$1:$E$221,3,0)),0,VLOOKUP($V732,DD_Info!$A$1:$E$221,3,0))</f>
        <v>Laredo</v>
      </c>
      <c r="E732" s="322">
        <f>Councils!E735</f>
        <v>32</v>
      </c>
      <c r="F732" s="322">
        <f>Councils!F735</f>
        <v>3</v>
      </c>
      <c r="G732" s="322">
        <f>Councils!G735</f>
        <v>0</v>
      </c>
      <c r="H732" s="322">
        <f>Councils!H735</f>
        <v>0</v>
      </c>
      <c r="I732" s="322">
        <f>Councils!I735</f>
        <v>0</v>
      </c>
      <c r="J732" s="322">
        <f>Councils!J735</f>
        <v>0</v>
      </c>
      <c r="K732" s="322">
        <f>Councils!K735</f>
        <v>0</v>
      </c>
      <c r="L732" s="322">
        <f>Councils!L735</f>
        <v>0</v>
      </c>
      <c r="M732" s="323">
        <f>Councils!M735</f>
        <v>0</v>
      </c>
      <c r="N732" s="322">
        <f>Councils!O735</f>
        <v>0</v>
      </c>
      <c r="O732" s="322">
        <f>Councils!P735</f>
        <v>0</v>
      </c>
      <c r="P732" s="322">
        <f>Councils!Q735</f>
        <v>0</v>
      </c>
      <c r="Q732" s="322">
        <f>Councils!R735</f>
        <v>0</v>
      </c>
      <c r="R732" s="322">
        <f>Councils!S735</f>
        <v>0</v>
      </c>
      <c r="S732" s="322">
        <f>Councils!T735</f>
        <v>0</v>
      </c>
      <c r="T732" s="322">
        <f>Councils!U735</f>
        <v>0</v>
      </c>
      <c r="U732" s="323">
        <f>Councils!V735</f>
        <v>0</v>
      </c>
      <c r="V732" s="376">
        <v>238</v>
      </c>
      <c r="W732" s="377">
        <f t="shared" si="11"/>
        <v>3</v>
      </c>
      <c r="X732" s="378" t="str">
        <f>IF(ISNA(VLOOKUP($A732,GA!$A$1:$D$834,3,0))," ",VLOOKUP($A732,GA!$A$1:$D$834,3,0))</f>
        <v>Carlin</v>
      </c>
      <c r="Y732" s="379" t="str">
        <f>IF(ISNA(VLOOKUP($A732,Dormant_Councils!$A$1:$E$811,5,0)),"No",VLOOKUP($A732,Dormant_Councils!$A$1:$E$811,5,0))</f>
        <v>Dormant</v>
      </c>
      <c r="Z732" s="381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22" t="str">
        <f>Councils!C736</f>
        <v>112</v>
      </c>
      <c r="C733" s="322" t="str">
        <f>Councils!D736</f>
        <v>Dallas</v>
      </c>
      <c r="D733" s="322" t="str">
        <f>IF(ISNA(VLOOKUP($V733,DD_Info!$A$1:$E$221,3,0)),0,VLOOKUP($V733,DD_Info!$A$1:$E$221,3,0))</f>
        <v>Dallas</v>
      </c>
      <c r="E733" s="322">
        <f>Councils!E736</f>
        <v>53</v>
      </c>
      <c r="F733" s="322">
        <f>Councils!F736</f>
        <v>3</v>
      </c>
      <c r="G733" s="322">
        <f>Councils!G736</f>
        <v>0</v>
      </c>
      <c r="H733" s="322">
        <f>Councils!H736</f>
        <v>0</v>
      </c>
      <c r="I733" s="322">
        <f>Councils!I736</f>
        <v>0</v>
      </c>
      <c r="J733" s="322">
        <f>Councils!J736</f>
        <v>2</v>
      </c>
      <c r="K733" s="322">
        <f>Councils!K736</f>
        <v>0</v>
      </c>
      <c r="L733" s="322">
        <f>Councils!L736</f>
        <v>2</v>
      </c>
      <c r="M733" s="323">
        <f>Councils!M736</f>
        <v>66.67</v>
      </c>
      <c r="N733" s="322">
        <f>Councils!O736</f>
        <v>0</v>
      </c>
      <c r="O733" s="322">
        <f>Councils!P736</f>
        <v>0</v>
      </c>
      <c r="P733" s="322">
        <f>Councils!Q736</f>
        <v>0</v>
      </c>
      <c r="Q733" s="322">
        <f>Councils!R736</f>
        <v>0</v>
      </c>
      <c r="R733" s="322">
        <f>Councils!S736</f>
        <v>0</v>
      </c>
      <c r="S733" s="322">
        <f>Councils!T736</f>
        <v>0</v>
      </c>
      <c r="T733" s="322">
        <f>Councils!U736</f>
        <v>0</v>
      </c>
      <c r="U733" s="323">
        <f>Councils!V736</f>
        <v>0</v>
      </c>
      <c r="V733" s="376">
        <v>112</v>
      </c>
      <c r="W733" s="377">
        <f t="shared" si="11"/>
        <v>3</v>
      </c>
      <c r="X733" s="378" t="str">
        <f>IF(ISNA(VLOOKUP($A733,GA!$A$1:$D$834,3,0))," ",VLOOKUP($A733,GA!$A$1:$D$834,3,0))</f>
        <v>Regan</v>
      </c>
      <c r="Y733" s="379" t="str">
        <f>IF(ISNA(VLOOKUP($A733,Dormant_Councils!$A$1:$E$811,5,0)),"No",VLOOKUP($A733,Dormant_Councils!$A$1:$E$811,5,0))</f>
        <v>No</v>
      </c>
      <c r="Z733" s="381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22" t="str">
        <f>Councils!C737</f>
        <v>160</v>
      </c>
      <c r="C734" s="322" t="str">
        <f>Councils!D737</f>
        <v>Blanco</v>
      </c>
      <c r="D734" s="322" t="str">
        <f>IF(ISNA(VLOOKUP($V734,DD_Info!$A$1:$E$221,3,0)),0,VLOOKUP($V734,DD_Info!$A$1:$E$221,3,0))</f>
        <v>Austin</v>
      </c>
      <c r="E734" s="322">
        <f>Councils!E737</f>
        <v>70</v>
      </c>
      <c r="F734" s="322">
        <f>Councils!F737</f>
        <v>4</v>
      </c>
      <c r="G734" s="322">
        <f>Councils!G737</f>
        <v>0</v>
      </c>
      <c r="H734" s="322">
        <f>Councils!H737</f>
        <v>0</v>
      </c>
      <c r="I734" s="322">
        <f>Councils!I737</f>
        <v>0</v>
      </c>
      <c r="J734" s="322">
        <f>Councils!J737</f>
        <v>0</v>
      </c>
      <c r="K734" s="322">
        <f>Councils!K737</f>
        <v>0</v>
      </c>
      <c r="L734" s="322">
        <f>Councils!L737</f>
        <v>0</v>
      </c>
      <c r="M734" s="323">
        <f>Councils!M737</f>
        <v>0</v>
      </c>
      <c r="N734" s="322">
        <f>Councils!O737</f>
        <v>0</v>
      </c>
      <c r="O734" s="322">
        <f>Councils!P737</f>
        <v>0</v>
      </c>
      <c r="P734" s="322">
        <f>Councils!Q737</f>
        <v>1</v>
      </c>
      <c r="Q734" s="322">
        <f>Councils!R737</f>
        <v>-1</v>
      </c>
      <c r="R734" s="322">
        <f>Councils!S737</f>
        <v>0</v>
      </c>
      <c r="S734" s="322">
        <f>Councils!T737</f>
        <v>1</v>
      </c>
      <c r="T734" s="322">
        <f>Councils!U737</f>
        <v>-1</v>
      </c>
      <c r="U734" s="323">
        <f>Councils!V737</f>
        <v>0</v>
      </c>
      <c r="V734" s="376">
        <v>160</v>
      </c>
      <c r="W734" s="377">
        <f t="shared" si="11"/>
        <v>2</v>
      </c>
      <c r="X734" s="378" t="str">
        <f>IF(ISNA(VLOOKUP($A734,GA!$A$1:$D$834,3,0))," ",VLOOKUP($A734,GA!$A$1:$D$834,3,0))</f>
        <v>Rangel</v>
      </c>
      <c r="Y734" s="379" t="str">
        <f>IF(ISNA(VLOOKUP($A734,Dormant_Councils!$A$1:$E$811,5,0)),"No",VLOOKUP($A734,Dormant_Councils!$A$1:$E$811,5,0))</f>
        <v>No</v>
      </c>
      <c r="Z734" s="381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22" t="str">
        <f>Councils!C738</f>
        <v>116</v>
      </c>
      <c r="C735" s="322" t="str">
        <f>Councils!D738</f>
        <v>Irving</v>
      </c>
      <c r="D735" s="322" t="str">
        <f>IF(ISNA(VLOOKUP($V735,DD_Info!$A$1:$E$221,3,0)),0,VLOOKUP($V735,DD_Info!$A$1:$E$221,3,0))</f>
        <v>Dallas</v>
      </c>
      <c r="E735" s="322">
        <f>Councils!E738</f>
        <v>39</v>
      </c>
      <c r="F735" s="322">
        <f>Councils!F738</f>
        <v>3</v>
      </c>
      <c r="G735" s="322">
        <f>Councils!G738</f>
        <v>0</v>
      </c>
      <c r="H735" s="322">
        <f>Councils!H738</f>
        <v>0</v>
      </c>
      <c r="I735" s="322">
        <f>Councils!I738</f>
        <v>0</v>
      </c>
      <c r="J735" s="322">
        <f>Councils!J738</f>
        <v>0</v>
      </c>
      <c r="K735" s="322">
        <f>Councils!K738</f>
        <v>0</v>
      </c>
      <c r="L735" s="322">
        <f>Councils!L738</f>
        <v>0</v>
      </c>
      <c r="M735" s="323">
        <f>Councils!M738</f>
        <v>0</v>
      </c>
      <c r="N735" s="322">
        <f>Councils!O738</f>
        <v>0</v>
      </c>
      <c r="O735" s="322">
        <f>Councils!P738</f>
        <v>0</v>
      </c>
      <c r="P735" s="322">
        <f>Councils!Q738</f>
        <v>0</v>
      </c>
      <c r="Q735" s="322">
        <f>Councils!R738</f>
        <v>0</v>
      </c>
      <c r="R735" s="322">
        <f>Councils!S738</f>
        <v>0</v>
      </c>
      <c r="S735" s="322">
        <f>Councils!T738</f>
        <v>0</v>
      </c>
      <c r="T735" s="322">
        <f>Councils!U738</f>
        <v>0</v>
      </c>
      <c r="U735" s="323">
        <f>Councils!V738</f>
        <v>0</v>
      </c>
      <c r="V735" s="376">
        <v>116</v>
      </c>
      <c r="W735" s="377">
        <f t="shared" si="11"/>
        <v>3</v>
      </c>
      <c r="X735" s="378" t="str">
        <f>IF(ISNA(VLOOKUP($A735,GA!$A$1:$D$834,3,0))," ",VLOOKUP($A735,GA!$A$1:$D$834,3,0))</f>
        <v>Regan</v>
      </c>
      <c r="Y735" s="379" t="str">
        <f>IF(ISNA(VLOOKUP($A735,Dormant_Councils!$A$1:$E$811,5,0)),"No",VLOOKUP($A735,Dormant_Councils!$A$1:$E$811,5,0))</f>
        <v>Dormant</v>
      </c>
      <c r="Z735" s="381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22" t="str">
        <f>Councils!C739</f>
        <v>152</v>
      </c>
      <c r="C736" s="322" t="str">
        <f>Councils!D739</f>
        <v>Bastrop</v>
      </c>
      <c r="D736" s="322" t="str">
        <f>IF(ISNA(VLOOKUP($V736,DD_Info!$A$1:$E$221,3,0)),0,VLOOKUP($V736,DD_Info!$A$1:$E$221,3,0))</f>
        <v>Austin</v>
      </c>
      <c r="E736" s="322">
        <f>Councils!E739</f>
        <v>123</v>
      </c>
      <c r="F736" s="322">
        <f>Councils!F739</f>
        <v>6</v>
      </c>
      <c r="G736" s="322">
        <f>Councils!G739</f>
        <v>0</v>
      </c>
      <c r="H736" s="322">
        <f>Councils!H739</f>
        <v>0</v>
      </c>
      <c r="I736" s="322">
        <f>Councils!I739</f>
        <v>0</v>
      </c>
      <c r="J736" s="322">
        <f>Councils!J739</f>
        <v>1</v>
      </c>
      <c r="K736" s="322">
        <f>Councils!K739</f>
        <v>0</v>
      </c>
      <c r="L736" s="322">
        <f>Councils!L739</f>
        <v>1</v>
      </c>
      <c r="M736" s="323">
        <f>Councils!M739</f>
        <v>16.670000000000002</v>
      </c>
      <c r="N736" s="322">
        <f>Councils!O739</f>
        <v>0</v>
      </c>
      <c r="O736" s="322">
        <f>Councils!P739</f>
        <v>0</v>
      </c>
      <c r="P736" s="322">
        <f>Councils!Q739</f>
        <v>1</v>
      </c>
      <c r="Q736" s="322">
        <f>Councils!R739</f>
        <v>-1</v>
      </c>
      <c r="R736" s="322">
        <f>Councils!S739</f>
        <v>1</v>
      </c>
      <c r="S736" s="322">
        <f>Councils!T739</f>
        <v>2</v>
      </c>
      <c r="T736" s="322">
        <f>Councils!U739</f>
        <v>-1</v>
      </c>
      <c r="U736" s="323">
        <f>Councils!V739</f>
        <v>0</v>
      </c>
      <c r="V736" s="376">
        <v>152</v>
      </c>
      <c r="W736" s="377">
        <f t="shared" si="11"/>
        <v>2</v>
      </c>
      <c r="X736" s="378" t="str">
        <f>IF(ISNA(VLOOKUP($A736,GA!$A$1:$D$834,3,0))," ",VLOOKUP($A736,GA!$A$1:$D$834,3,0))</f>
        <v>Rangel</v>
      </c>
      <c r="Y736" s="379" t="str">
        <f>IF(ISNA(VLOOKUP($A736,Dormant_Councils!$A$1:$E$811,5,0)),"No",VLOOKUP($A736,Dormant_Councils!$A$1:$E$811,5,0))</f>
        <v>No</v>
      </c>
      <c r="Z736" s="381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22" t="str">
        <f>Councils!C740</f>
        <v>006</v>
      </c>
      <c r="C737" s="322" t="str">
        <f>Councils!D740</f>
        <v>El Paso</v>
      </c>
      <c r="D737" s="322" t="str">
        <f>IF(ISNA(VLOOKUP($V737,DD_Info!$A$1:$E$221,3,0)),0,VLOOKUP($V737,DD_Info!$A$1:$E$221,3,0))</f>
        <v>El Paso</v>
      </c>
      <c r="E737" s="322">
        <f>Councils!E740</f>
        <v>137</v>
      </c>
      <c r="F737" s="322">
        <f>Councils!F740</f>
        <v>7</v>
      </c>
      <c r="G737" s="322">
        <f>Councils!G740</f>
        <v>0</v>
      </c>
      <c r="H737" s="322">
        <f>Councils!H740</f>
        <v>0</v>
      </c>
      <c r="I737" s="322">
        <f>Councils!I740</f>
        <v>0</v>
      </c>
      <c r="J737" s="322">
        <f>Councils!J740</f>
        <v>2</v>
      </c>
      <c r="K737" s="322">
        <f>Councils!K740</f>
        <v>3</v>
      </c>
      <c r="L737" s="322">
        <f>Councils!L740</f>
        <v>-1</v>
      </c>
      <c r="M737" s="323">
        <f>Councils!M740</f>
        <v>0</v>
      </c>
      <c r="N737" s="322">
        <f>Councils!O740</f>
        <v>0</v>
      </c>
      <c r="O737" s="322">
        <f>Councils!P740</f>
        <v>0</v>
      </c>
      <c r="P737" s="322">
        <f>Councils!Q740</f>
        <v>0</v>
      </c>
      <c r="Q737" s="322">
        <f>Councils!R740</f>
        <v>0</v>
      </c>
      <c r="R737" s="322">
        <f>Councils!S740</f>
        <v>0</v>
      </c>
      <c r="S737" s="322">
        <f>Councils!T740</f>
        <v>0</v>
      </c>
      <c r="T737" s="322">
        <f>Councils!U740</f>
        <v>0</v>
      </c>
      <c r="U737" s="323">
        <f>Councils!V740</f>
        <v>0</v>
      </c>
      <c r="V737" s="376">
        <v>6</v>
      </c>
      <c r="W737" s="377">
        <f t="shared" si="11"/>
        <v>2</v>
      </c>
      <c r="X737" s="378" t="str">
        <f>IF(ISNA(VLOOKUP($A737,GA!$A$1:$D$834,3,0))," ",VLOOKUP($A737,GA!$A$1:$D$834,3,0))</f>
        <v>Payne</v>
      </c>
      <c r="Y737" s="379" t="str">
        <f>IF(ISNA(VLOOKUP($A737,Dormant_Councils!$A$1:$E$811,5,0)),"No",VLOOKUP($A737,Dormant_Councils!$A$1:$E$811,5,0))</f>
        <v>No</v>
      </c>
      <c r="Z737" s="381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22" t="str">
        <f>Councils!C741</f>
        <v>108</v>
      </c>
      <c r="C738" s="322" t="str">
        <f>Councils!D741</f>
        <v>Irving</v>
      </c>
      <c r="D738" s="322" t="str">
        <f>IF(ISNA(VLOOKUP($V738,DD_Info!$A$1:$E$221,3,0)),0,VLOOKUP($V738,DD_Info!$A$1:$E$221,3,0))</f>
        <v>Dallas</v>
      </c>
      <c r="E738" s="322">
        <f>Councils!E741</f>
        <v>125</v>
      </c>
      <c r="F738" s="322">
        <f>Councils!F741</f>
        <v>6</v>
      </c>
      <c r="G738" s="322">
        <f>Councils!G741</f>
        <v>1</v>
      </c>
      <c r="H738" s="322">
        <f>Councils!H741</f>
        <v>0</v>
      </c>
      <c r="I738" s="322">
        <f>Councils!I741</f>
        <v>1</v>
      </c>
      <c r="J738" s="322">
        <f>Councils!J741</f>
        <v>3</v>
      </c>
      <c r="K738" s="322">
        <f>Councils!K741</f>
        <v>0</v>
      </c>
      <c r="L738" s="322">
        <f>Councils!L741</f>
        <v>3</v>
      </c>
      <c r="M738" s="323">
        <f>Councils!M741</f>
        <v>50</v>
      </c>
      <c r="N738" s="322">
        <f>Councils!O741</f>
        <v>0</v>
      </c>
      <c r="O738" s="322">
        <f>Councils!P741</f>
        <v>1</v>
      </c>
      <c r="P738" s="322">
        <f>Councils!Q741</f>
        <v>0</v>
      </c>
      <c r="Q738" s="322">
        <f>Councils!R741</f>
        <v>1</v>
      </c>
      <c r="R738" s="322">
        <f>Councils!S741</f>
        <v>4</v>
      </c>
      <c r="S738" s="322">
        <f>Councils!T741</f>
        <v>1</v>
      </c>
      <c r="T738" s="322">
        <f>Councils!U741</f>
        <v>3</v>
      </c>
      <c r="U738" s="323">
        <f>Councils!V741</f>
        <v>0</v>
      </c>
      <c r="V738" s="376">
        <v>108</v>
      </c>
      <c r="W738" s="377">
        <f t="shared" si="11"/>
        <v>2</v>
      </c>
      <c r="X738" s="378" t="str">
        <f>IF(ISNA(VLOOKUP($A738,GA!$A$1:$D$834,3,0))," ",VLOOKUP($A738,GA!$A$1:$D$834,3,0))</f>
        <v>Regan</v>
      </c>
      <c r="Y738" s="379" t="str">
        <f>IF(ISNA(VLOOKUP($A738,Dormant_Councils!$A$1:$E$811,5,0)),"No",VLOOKUP($A738,Dormant_Councils!$A$1:$E$811,5,0))</f>
        <v>No</v>
      </c>
      <c r="Z738" s="381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22" t="str">
        <f>Councils!C742</f>
        <v>039</v>
      </c>
      <c r="C739" s="322" t="str">
        <f>Councils!D742</f>
        <v>San Antonio</v>
      </c>
      <c r="D739" s="322" t="str">
        <f>IF(ISNA(VLOOKUP($V739,DD_Info!$A$1:$E$221,3,0)),0,VLOOKUP($V739,DD_Info!$A$1:$E$221,3,0))</f>
        <v>San Antonio</v>
      </c>
      <c r="E739" s="322">
        <f>Councils!E742</f>
        <v>38</v>
      </c>
      <c r="F739" s="322">
        <f>Councils!F742</f>
        <v>3</v>
      </c>
      <c r="G739" s="322">
        <f>Councils!G742</f>
        <v>0</v>
      </c>
      <c r="H739" s="322">
        <f>Councils!H742</f>
        <v>0</v>
      </c>
      <c r="I739" s="322">
        <f>Councils!I742</f>
        <v>0</v>
      </c>
      <c r="J739" s="322">
        <f>Councils!J742</f>
        <v>0</v>
      </c>
      <c r="K739" s="322">
        <f>Councils!K742</f>
        <v>0</v>
      </c>
      <c r="L739" s="322">
        <f>Councils!L742</f>
        <v>0</v>
      </c>
      <c r="M739" s="323">
        <f>Councils!M742</f>
        <v>0</v>
      </c>
      <c r="N739" s="322">
        <f>Councils!O742</f>
        <v>0</v>
      </c>
      <c r="O739" s="322">
        <f>Councils!P742</f>
        <v>0</v>
      </c>
      <c r="P739" s="322">
        <f>Councils!Q742</f>
        <v>0</v>
      </c>
      <c r="Q739" s="322">
        <f>Councils!R742</f>
        <v>0</v>
      </c>
      <c r="R739" s="322">
        <f>Councils!S742</f>
        <v>0</v>
      </c>
      <c r="S739" s="322">
        <f>Councils!T742</f>
        <v>0</v>
      </c>
      <c r="T739" s="322">
        <f>Councils!U742</f>
        <v>0</v>
      </c>
      <c r="U739" s="323">
        <f>Councils!V742</f>
        <v>0</v>
      </c>
      <c r="V739" s="376">
        <v>39</v>
      </c>
      <c r="W739" s="377">
        <f t="shared" si="11"/>
        <v>3</v>
      </c>
      <c r="X739" s="378" t="str">
        <f>IF(ISNA(VLOOKUP($A739,GA!$A$1:$D$834,3,0))," ",VLOOKUP($A739,GA!$A$1:$D$834,3,0))</f>
        <v>Dougherty</v>
      </c>
      <c r="Y739" s="379" t="str">
        <f>IF(ISNA(VLOOKUP($A739,Dormant_Councils!$A$1:$E$811,5,0)),"No",VLOOKUP($A739,Dormant_Councils!$A$1:$E$811,5,0))</f>
        <v>No</v>
      </c>
      <c r="Z739" s="381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22" t="str">
        <f>Councils!C743</f>
        <v>077</v>
      </c>
      <c r="C740" s="322" t="str">
        <f>Councils!D743</f>
        <v>Channelview</v>
      </c>
      <c r="D740" s="322" t="str">
        <f>IF(ISNA(VLOOKUP($V740,DD_Info!$A$1:$E$221,3,0)),0,VLOOKUP($V740,DD_Info!$A$1:$E$221,3,0))</f>
        <v>Galv/Hous</v>
      </c>
      <c r="E740" s="322">
        <f>Councils!E743</f>
        <v>85</v>
      </c>
      <c r="F740" s="322">
        <f>Councils!F743</f>
        <v>4</v>
      </c>
      <c r="G740" s="322">
        <f>Councils!G743</f>
        <v>0</v>
      </c>
      <c r="H740" s="322">
        <f>Councils!H743</f>
        <v>0</v>
      </c>
      <c r="I740" s="322">
        <f>Councils!I743</f>
        <v>0</v>
      </c>
      <c r="J740" s="322">
        <f>Councils!J743</f>
        <v>0</v>
      </c>
      <c r="K740" s="322">
        <f>Councils!K743</f>
        <v>0</v>
      </c>
      <c r="L740" s="322">
        <f>Councils!L743</f>
        <v>0</v>
      </c>
      <c r="M740" s="323">
        <f>Councils!M743</f>
        <v>0</v>
      </c>
      <c r="N740" s="322">
        <f>Councils!O743</f>
        <v>0</v>
      </c>
      <c r="O740" s="322">
        <f>Councils!P743</f>
        <v>0</v>
      </c>
      <c r="P740" s="322">
        <f>Councils!Q743</f>
        <v>0</v>
      </c>
      <c r="Q740" s="322">
        <f>Councils!R743</f>
        <v>0</v>
      </c>
      <c r="R740" s="322">
        <f>Councils!S743</f>
        <v>0</v>
      </c>
      <c r="S740" s="322">
        <f>Councils!T743</f>
        <v>0</v>
      </c>
      <c r="T740" s="322">
        <f>Councils!U743</f>
        <v>0</v>
      </c>
      <c r="U740" s="323">
        <f>Councils!V743</f>
        <v>0</v>
      </c>
      <c r="V740" s="376">
        <v>77</v>
      </c>
      <c r="W740" s="377">
        <f t="shared" si="11"/>
        <v>2</v>
      </c>
      <c r="X740" s="378" t="str">
        <f>IF(ISNA(VLOOKUP($A740,GA!$A$1:$D$834,3,0))," ",VLOOKUP($A740,GA!$A$1:$D$834,3,0))</f>
        <v>Rangel</v>
      </c>
      <c r="Y740" s="379" t="str">
        <f>IF(ISNA(VLOOKUP($A740,Dormant_Councils!$A$1:$E$811,5,0)),"No",VLOOKUP($A740,Dormant_Councils!$A$1:$E$811,5,0))</f>
        <v>No</v>
      </c>
      <c r="Z740" s="381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22" t="str">
        <f>Councils!C744</f>
        <v>180</v>
      </c>
      <c r="C741" s="322" t="str">
        <f>Councils!D744</f>
        <v>Corpus Christi</v>
      </c>
      <c r="D741" s="322" t="str">
        <f>IF(ISNA(VLOOKUP($V741,DD_Info!$A$1:$E$221,3,0)),0,VLOOKUP($V741,DD_Info!$A$1:$E$221,3,0))</f>
        <v>Corpus Christi</v>
      </c>
      <c r="E741" s="322">
        <f>Councils!E744</f>
        <v>33</v>
      </c>
      <c r="F741" s="322">
        <f>Councils!F744</f>
        <v>3</v>
      </c>
      <c r="G741" s="322">
        <f>Councils!G744</f>
        <v>0</v>
      </c>
      <c r="H741" s="322">
        <f>Councils!H744</f>
        <v>0</v>
      </c>
      <c r="I741" s="322">
        <f>Councils!I744</f>
        <v>0</v>
      </c>
      <c r="J741" s="322">
        <f>Councils!J744</f>
        <v>0</v>
      </c>
      <c r="K741" s="322">
        <f>Councils!K744</f>
        <v>0</v>
      </c>
      <c r="L741" s="322">
        <f>Councils!L744</f>
        <v>0</v>
      </c>
      <c r="M741" s="323">
        <f>Councils!M744</f>
        <v>0</v>
      </c>
      <c r="N741" s="322">
        <f>Councils!O744</f>
        <v>0</v>
      </c>
      <c r="O741" s="322">
        <f>Councils!P744</f>
        <v>0</v>
      </c>
      <c r="P741" s="322">
        <f>Councils!Q744</f>
        <v>0</v>
      </c>
      <c r="Q741" s="322">
        <f>Councils!R744</f>
        <v>0</v>
      </c>
      <c r="R741" s="322">
        <f>Councils!S744</f>
        <v>0</v>
      </c>
      <c r="S741" s="322">
        <f>Councils!T744</f>
        <v>0</v>
      </c>
      <c r="T741" s="322">
        <f>Councils!U744</f>
        <v>0</v>
      </c>
      <c r="U741" s="323">
        <f>Councils!V744</f>
        <v>0</v>
      </c>
      <c r="V741" s="376">
        <v>180</v>
      </c>
      <c r="W741" s="377">
        <f t="shared" si="11"/>
        <v>3</v>
      </c>
      <c r="X741" s="378" t="str">
        <f>IF(ISNA(VLOOKUP($A741,GA!$A$1:$D$834,3,0))," ",VLOOKUP($A741,GA!$A$1:$D$834,3,0))</f>
        <v>Carlin</v>
      </c>
      <c r="Y741" s="379" t="str">
        <f>IF(ISNA(VLOOKUP($A741,Dormant_Councils!$A$1:$E$811,5,0)),"No",VLOOKUP($A741,Dormant_Councils!$A$1:$E$811,5,0))</f>
        <v>Dormant</v>
      </c>
      <c r="Z741" s="381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22" t="str">
        <f>Councils!C745</f>
        <v>081</v>
      </c>
      <c r="C742" s="322" t="str">
        <f>Councils!D745</f>
        <v>Houston</v>
      </c>
      <c r="D742" s="322" t="str">
        <f>IF(ISNA(VLOOKUP($V742,DD_Info!$A$1:$E$221,3,0)),0,VLOOKUP($V742,DD_Info!$A$1:$E$221,3,0))</f>
        <v>Galv/Hous</v>
      </c>
      <c r="E742" s="322">
        <f>Councils!E745</f>
        <v>59</v>
      </c>
      <c r="F742" s="322">
        <f>Councils!F745</f>
        <v>3</v>
      </c>
      <c r="G742" s="322">
        <f>Councils!G745</f>
        <v>0</v>
      </c>
      <c r="H742" s="322">
        <f>Councils!H745</f>
        <v>0</v>
      </c>
      <c r="I742" s="322">
        <f>Councils!I745</f>
        <v>0</v>
      </c>
      <c r="J742" s="322">
        <f>Councils!J745</f>
        <v>0</v>
      </c>
      <c r="K742" s="322">
        <f>Councils!K745</f>
        <v>0</v>
      </c>
      <c r="L742" s="322">
        <f>Councils!L745</f>
        <v>0</v>
      </c>
      <c r="M742" s="323">
        <f>Councils!M745</f>
        <v>0</v>
      </c>
      <c r="N742" s="322">
        <f>Councils!O745</f>
        <v>0</v>
      </c>
      <c r="O742" s="322">
        <f>Councils!P745</f>
        <v>0</v>
      </c>
      <c r="P742" s="322">
        <f>Councils!Q745</f>
        <v>0</v>
      </c>
      <c r="Q742" s="322">
        <f>Councils!R745</f>
        <v>0</v>
      </c>
      <c r="R742" s="322">
        <f>Councils!S745</f>
        <v>0</v>
      </c>
      <c r="S742" s="322">
        <f>Councils!T745</f>
        <v>0</v>
      </c>
      <c r="T742" s="322">
        <f>Councils!U745</f>
        <v>0</v>
      </c>
      <c r="U742" s="323">
        <f>Councils!V745</f>
        <v>0</v>
      </c>
      <c r="V742" s="376">
        <v>81</v>
      </c>
      <c r="W742" s="377">
        <f t="shared" si="11"/>
        <v>3</v>
      </c>
      <c r="X742" s="378" t="str">
        <f>IF(ISNA(VLOOKUP($A742,GA!$A$1:$D$834,3,0))," ",VLOOKUP($A742,GA!$A$1:$D$834,3,0))</f>
        <v>Rangel</v>
      </c>
      <c r="Y742" s="379" t="str">
        <f>IF(ISNA(VLOOKUP($A742,Dormant_Councils!$A$1:$E$811,5,0)),"No",VLOOKUP($A742,Dormant_Councils!$A$1:$E$811,5,0))</f>
        <v>No</v>
      </c>
      <c r="Z742" s="381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22" t="str">
        <f>Councils!C746</f>
        <v>132</v>
      </c>
      <c r="C743" s="322" t="str">
        <f>Councils!D746</f>
        <v>Holly Lake Ranch</v>
      </c>
      <c r="D743" s="322" t="str">
        <f>IF(ISNA(VLOOKUP($V743,DD_Info!$A$1:$E$221,3,0)),0,VLOOKUP($V743,DD_Info!$A$1:$E$221,3,0))</f>
        <v>Tyler</v>
      </c>
      <c r="E743" s="322">
        <f>Councils!E746</f>
        <v>56</v>
      </c>
      <c r="F743" s="322">
        <f>Councils!F746</f>
        <v>3</v>
      </c>
      <c r="G743" s="322">
        <f>Councils!G746</f>
        <v>0</v>
      </c>
      <c r="H743" s="322">
        <f>Councils!H746</f>
        <v>0</v>
      </c>
      <c r="I743" s="322">
        <f>Councils!I746</f>
        <v>0</v>
      </c>
      <c r="J743" s="322">
        <f>Councils!J746</f>
        <v>1</v>
      </c>
      <c r="K743" s="322">
        <f>Councils!K746</f>
        <v>0</v>
      </c>
      <c r="L743" s="322">
        <f>Councils!L746</f>
        <v>1</v>
      </c>
      <c r="M743" s="323">
        <f>Councils!M746</f>
        <v>33.33</v>
      </c>
      <c r="N743" s="322">
        <f>Councils!O746</f>
        <v>0</v>
      </c>
      <c r="O743" s="322">
        <f>Councils!P746</f>
        <v>0</v>
      </c>
      <c r="P743" s="322">
        <f>Councils!Q746</f>
        <v>0</v>
      </c>
      <c r="Q743" s="322">
        <f>Councils!R746</f>
        <v>0</v>
      </c>
      <c r="R743" s="322">
        <f>Councils!S746</f>
        <v>0</v>
      </c>
      <c r="S743" s="322">
        <f>Councils!T746</f>
        <v>1</v>
      </c>
      <c r="T743" s="322">
        <f>Councils!U746</f>
        <v>-1</v>
      </c>
      <c r="U743" s="323">
        <f>Councils!V746</f>
        <v>0</v>
      </c>
      <c r="V743" s="376">
        <v>132</v>
      </c>
      <c r="W743" s="377">
        <f t="shared" si="11"/>
        <v>3</v>
      </c>
      <c r="X743" s="378" t="str">
        <f>IF(ISNA(VLOOKUP($A743,GA!$A$1:$D$834,3,0))," ",VLOOKUP($A743,GA!$A$1:$D$834,3,0))</f>
        <v>Regan</v>
      </c>
      <c r="Y743" s="379" t="str">
        <f>IF(ISNA(VLOOKUP($A743,Dormant_Councils!$A$1:$E$811,5,0)),"No",VLOOKUP($A743,Dormant_Councils!$A$1:$E$811,5,0))</f>
        <v>No</v>
      </c>
      <c r="Z743" s="381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22" t="str">
        <f>Councils!C747</f>
        <v>206</v>
      </c>
      <c r="C744" s="322" t="str">
        <f>Councils!D747</f>
        <v>Brownsville</v>
      </c>
      <c r="D744" s="322" t="str">
        <f>IF(ISNA(VLOOKUP($V744,DD_Info!$A$1:$E$221,3,0)),0,VLOOKUP($V744,DD_Info!$A$1:$E$221,3,0))</f>
        <v>Brownsville</v>
      </c>
      <c r="E744" s="322">
        <f>Councils!E747</f>
        <v>43</v>
      </c>
      <c r="F744" s="322">
        <f>Councils!F747</f>
        <v>3</v>
      </c>
      <c r="G744" s="322">
        <f>Councils!G747</f>
        <v>0</v>
      </c>
      <c r="H744" s="322">
        <f>Councils!H747</f>
        <v>0</v>
      </c>
      <c r="I744" s="322">
        <f>Councils!I747</f>
        <v>0</v>
      </c>
      <c r="J744" s="322">
        <f>Councils!J747</f>
        <v>0</v>
      </c>
      <c r="K744" s="322">
        <f>Councils!K747</f>
        <v>0</v>
      </c>
      <c r="L744" s="322">
        <f>Councils!L747</f>
        <v>0</v>
      </c>
      <c r="M744" s="323">
        <f>Councils!M747</f>
        <v>0</v>
      </c>
      <c r="N744" s="322">
        <f>Councils!O747</f>
        <v>0</v>
      </c>
      <c r="O744" s="322">
        <f>Councils!P747</f>
        <v>0</v>
      </c>
      <c r="P744" s="322">
        <f>Councils!Q747</f>
        <v>0</v>
      </c>
      <c r="Q744" s="322">
        <f>Councils!R747</f>
        <v>0</v>
      </c>
      <c r="R744" s="322">
        <f>Councils!S747</f>
        <v>0</v>
      </c>
      <c r="S744" s="322">
        <f>Councils!T747</f>
        <v>1</v>
      </c>
      <c r="T744" s="322">
        <f>Councils!U747</f>
        <v>-1</v>
      </c>
      <c r="U744" s="323">
        <f>Councils!V747</f>
        <v>0</v>
      </c>
      <c r="V744" s="376">
        <v>206</v>
      </c>
      <c r="W744" s="377">
        <f t="shared" si="11"/>
        <v>3</v>
      </c>
      <c r="X744" s="378" t="str">
        <f>IF(ISNA(VLOOKUP($A744,GA!$A$1:$D$834,3,0))," ",VLOOKUP($A744,GA!$A$1:$D$834,3,0))</f>
        <v>Carlin</v>
      </c>
      <c r="Y744" s="379" t="str">
        <f>IF(ISNA(VLOOKUP($A744,Dormant_Councils!$A$1:$E$811,5,0)),"No",VLOOKUP($A744,Dormant_Councils!$A$1:$E$811,5,0))</f>
        <v>Dormant</v>
      </c>
      <c r="Z744" s="381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22" t="str">
        <f>Councils!C748</f>
        <v>041</v>
      </c>
      <c r="C745" s="322" t="str">
        <f>Councils!D748</f>
        <v>San Antonio</v>
      </c>
      <c r="D745" s="322" t="str">
        <f>IF(ISNA(VLOOKUP($V745,DD_Info!$A$1:$E$221,3,0)),0,VLOOKUP($V745,DD_Info!$A$1:$E$221,3,0))</f>
        <v>San Antonio</v>
      </c>
      <c r="E745" s="322">
        <f>Councils!E748</f>
        <v>216</v>
      </c>
      <c r="F745" s="322">
        <f>Councils!F748</f>
        <v>11</v>
      </c>
      <c r="G745" s="322">
        <f>Councils!G748</f>
        <v>0</v>
      </c>
      <c r="H745" s="322">
        <f>Councils!H748</f>
        <v>0</v>
      </c>
      <c r="I745" s="322">
        <f>Councils!I748</f>
        <v>0</v>
      </c>
      <c r="J745" s="322">
        <f>Councils!J748</f>
        <v>3</v>
      </c>
      <c r="K745" s="322">
        <f>Councils!K748</f>
        <v>34</v>
      </c>
      <c r="L745" s="322">
        <f>Councils!L748</f>
        <v>-31</v>
      </c>
      <c r="M745" s="323">
        <f>Councils!M748</f>
        <v>0</v>
      </c>
      <c r="N745" s="322">
        <f>Councils!O748</f>
        <v>0</v>
      </c>
      <c r="O745" s="322">
        <f>Councils!P748</f>
        <v>0</v>
      </c>
      <c r="P745" s="322">
        <f>Councils!Q748</f>
        <v>0</v>
      </c>
      <c r="Q745" s="322">
        <f>Councils!R748</f>
        <v>0</v>
      </c>
      <c r="R745" s="322">
        <f>Councils!S748</f>
        <v>1</v>
      </c>
      <c r="S745" s="322">
        <f>Councils!T748</f>
        <v>4</v>
      </c>
      <c r="T745" s="322">
        <f>Councils!U748</f>
        <v>-3</v>
      </c>
      <c r="U745" s="323">
        <f>Councils!V748</f>
        <v>0</v>
      </c>
      <c r="V745" s="376">
        <v>41</v>
      </c>
      <c r="W745" s="377">
        <f t="shared" si="11"/>
        <v>1</v>
      </c>
      <c r="X745" s="378" t="str">
        <f>IF(ISNA(VLOOKUP($A745,GA!$A$1:$D$834,3,0))," ",VLOOKUP($A745,GA!$A$1:$D$834,3,0))</f>
        <v>Dougherty</v>
      </c>
      <c r="Y745" s="379" t="str">
        <f>IF(ISNA(VLOOKUP($A745,Dormant_Councils!$A$1:$E$811,5,0)),"No",VLOOKUP($A745,Dormant_Councils!$A$1:$E$811,5,0))</f>
        <v>No</v>
      </c>
      <c r="Z745" s="381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22" t="str">
        <f>Councils!C749</f>
        <v>232</v>
      </c>
      <c r="C746" s="322" t="str">
        <f>Councils!D749</f>
        <v>Laredo</v>
      </c>
      <c r="D746" s="322" t="str">
        <f>IF(ISNA(VLOOKUP($V746,DD_Info!$A$1:$E$221,3,0)),0,VLOOKUP($V746,DD_Info!$A$1:$E$221,3,0))</f>
        <v>Laredo</v>
      </c>
      <c r="E746" s="322">
        <f>Councils!E749</f>
        <v>39</v>
      </c>
      <c r="F746" s="322">
        <f>Councils!F749</f>
        <v>3</v>
      </c>
      <c r="G746" s="322">
        <f>Councils!G749</f>
        <v>0</v>
      </c>
      <c r="H746" s="322">
        <f>Councils!H749</f>
        <v>0</v>
      </c>
      <c r="I746" s="322">
        <f>Councils!I749</f>
        <v>0</v>
      </c>
      <c r="J746" s="322">
        <f>Councils!J749</f>
        <v>0</v>
      </c>
      <c r="K746" s="322">
        <f>Councils!K749</f>
        <v>0</v>
      </c>
      <c r="L746" s="322">
        <f>Councils!L749</f>
        <v>0</v>
      </c>
      <c r="M746" s="323">
        <f>Councils!M749</f>
        <v>0</v>
      </c>
      <c r="N746" s="322">
        <f>Councils!O749</f>
        <v>0</v>
      </c>
      <c r="O746" s="322">
        <f>Councils!P749</f>
        <v>0</v>
      </c>
      <c r="P746" s="322">
        <f>Councils!Q749</f>
        <v>0</v>
      </c>
      <c r="Q746" s="322">
        <f>Councils!R749</f>
        <v>0</v>
      </c>
      <c r="R746" s="322">
        <f>Councils!S749</f>
        <v>0</v>
      </c>
      <c r="S746" s="322">
        <f>Councils!T749</f>
        <v>0</v>
      </c>
      <c r="T746" s="322">
        <f>Councils!U749</f>
        <v>0</v>
      </c>
      <c r="U746" s="323">
        <f>Councils!V749</f>
        <v>0</v>
      </c>
      <c r="V746" s="376">
        <v>232</v>
      </c>
      <c r="W746" s="377">
        <f t="shared" si="11"/>
        <v>3</v>
      </c>
      <c r="X746" s="378" t="str">
        <f>IF(ISNA(VLOOKUP($A746,GA!$A$1:$D$834,3,0))," ",VLOOKUP($A746,GA!$A$1:$D$834,3,0))</f>
        <v>Carlin</v>
      </c>
      <c r="Y746" s="379" t="str">
        <f>IF(ISNA(VLOOKUP($A746,Dormant_Councils!$A$1:$E$811,5,0)),"No",VLOOKUP($A746,Dormant_Councils!$A$1:$E$811,5,0))</f>
        <v>Dormant</v>
      </c>
      <c r="Z746" s="381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22" t="str">
        <f>Councils!C750</f>
        <v>209</v>
      </c>
      <c r="C747" s="322" t="str">
        <f>Councils!D750</f>
        <v>Edinburg</v>
      </c>
      <c r="D747" s="322" t="str">
        <f>IF(ISNA(VLOOKUP($V747,DD_Info!$A$1:$E$221,3,0)),0,VLOOKUP($V747,DD_Info!$A$1:$E$221,3,0))</f>
        <v>Brownsville</v>
      </c>
      <c r="E747" s="322">
        <f>Councils!E750</f>
        <v>184</v>
      </c>
      <c r="F747" s="322">
        <f>Councils!F750</f>
        <v>9</v>
      </c>
      <c r="G747" s="322">
        <f>Councils!G750</f>
        <v>0</v>
      </c>
      <c r="H747" s="322">
        <f>Councils!H750</f>
        <v>0</v>
      </c>
      <c r="I747" s="322">
        <f>Councils!I750</f>
        <v>0</v>
      </c>
      <c r="J747" s="322">
        <f>Councils!J750</f>
        <v>4</v>
      </c>
      <c r="K747" s="322">
        <f>Councils!K750</f>
        <v>5</v>
      </c>
      <c r="L747" s="322">
        <f>Councils!L750</f>
        <v>-1</v>
      </c>
      <c r="M747" s="323">
        <f>Councils!M750</f>
        <v>0</v>
      </c>
      <c r="N747" s="322">
        <f>Councils!O750</f>
        <v>0</v>
      </c>
      <c r="O747" s="322">
        <f>Councils!P750</f>
        <v>0</v>
      </c>
      <c r="P747" s="322">
        <f>Councils!Q750</f>
        <v>0</v>
      </c>
      <c r="Q747" s="322">
        <f>Councils!R750</f>
        <v>0</v>
      </c>
      <c r="R747" s="322">
        <f>Councils!S750</f>
        <v>0</v>
      </c>
      <c r="S747" s="322">
        <f>Councils!T750</f>
        <v>1</v>
      </c>
      <c r="T747" s="322">
        <f>Councils!U750</f>
        <v>-1</v>
      </c>
      <c r="U747" s="323">
        <f>Councils!V750</f>
        <v>0</v>
      </c>
      <c r="V747" s="376">
        <v>209</v>
      </c>
      <c r="W747" s="377">
        <f t="shared" si="11"/>
        <v>1</v>
      </c>
      <c r="X747" s="378" t="str">
        <f>IF(ISNA(VLOOKUP($A747,GA!$A$1:$D$834,3,0))," ",VLOOKUP($A747,GA!$A$1:$D$834,3,0))</f>
        <v>Carlin</v>
      </c>
      <c r="Y747" s="379" t="str">
        <f>IF(ISNA(VLOOKUP($A747,Dormant_Councils!$A$1:$E$811,5,0)),"No",VLOOKUP($A747,Dormant_Councils!$A$1:$E$811,5,0))</f>
        <v>No</v>
      </c>
      <c r="Z747" s="381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22" t="str">
        <f>Councils!C751</f>
        <v>208</v>
      </c>
      <c r="C748" s="322" t="str">
        <f>Councils!D751</f>
        <v>Harlingen</v>
      </c>
      <c r="D748" s="322" t="str">
        <f>IF(ISNA(VLOOKUP($V748,DD_Info!$A$1:$E$221,3,0)),0,VLOOKUP($V748,DD_Info!$A$1:$E$221,3,0))</f>
        <v>Brownsville</v>
      </c>
      <c r="E748" s="322">
        <f>Councils!E751</f>
        <v>65</v>
      </c>
      <c r="F748" s="322">
        <f>Councils!F751</f>
        <v>3</v>
      </c>
      <c r="G748" s="322">
        <f>Councils!G751</f>
        <v>0</v>
      </c>
      <c r="H748" s="322">
        <f>Councils!H751</f>
        <v>0</v>
      </c>
      <c r="I748" s="322">
        <f>Councils!I751</f>
        <v>0</v>
      </c>
      <c r="J748" s="322">
        <f>Councils!J751</f>
        <v>0</v>
      </c>
      <c r="K748" s="322">
        <f>Councils!K751</f>
        <v>0</v>
      </c>
      <c r="L748" s="322">
        <f>Councils!L751</f>
        <v>0</v>
      </c>
      <c r="M748" s="323">
        <f>Councils!M751</f>
        <v>0</v>
      </c>
      <c r="N748" s="322">
        <f>Councils!O751</f>
        <v>0</v>
      </c>
      <c r="O748" s="322">
        <f>Councils!P751</f>
        <v>0</v>
      </c>
      <c r="P748" s="322">
        <f>Councils!Q751</f>
        <v>0</v>
      </c>
      <c r="Q748" s="322">
        <f>Councils!R751</f>
        <v>0</v>
      </c>
      <c r="R748" s="322">
        <f>Councils!S751</f>
        <v>0</v>
      </c>
      <c r="S748" s="322">
        <f>Councils!T751</f>
        <v>1</v>
      </c>
      <c r="T748" s="322">
        <f>Councils!U751</f>
        <v>-1</v>
      </c>
      <c r="U748" s="323">
        <f>Councils!V751</f>
        <v>0</v>
      </c>
      <c r="V748" s="376">
        <v>208</v>
      </c>
      <c r="W748" s="377">
        <f t="shared" si="11"/>
        <v>3</v>
      </c>
      <c r="X748" s="378" t="str">
        <f>IF(ISNA(VLOOKUP($A748,GA!$A$1:$D$834,3,0))," ",VLOOKUP($A748,GA!$A$1:$D$834,3,0))</f>
        <v>Carlin</v>
      </c>
      <c r="Y748" s="379" t="str">
        <f>IF(ISNA(VLOOKUP($A748,Dormant_Councils!$A$1:$E$811,5,0)),"No",VLOOKUP($A748,Dormant_Councils!$A$1:$E$811,5,0))</f>
        <v>No</v>
      </c>
      <c r="Z748" s="381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22" t="str">
        <f>Councils!C752</f>
        <v>017</v>
      </c>
      <c r="C749" s="322" t="str">
        <f>Councils!D752</f>
        <v>Glen Rose</v>
      </c>
      <c r="D749" s="322" t="str">
        <f>IF(ISNA(VLOOKUP($V749,DD_Info!$A$1:$E$221,3,0)),0,VLOOKUP($V749,DD_Info!$A$1:$E$221,3,0))</f>
        <v>Fort Worth</v>
      </c>
      <c r="E749" s="322">
        <f>Councils!E752</f>
        <v>49</v>
      </c>
      <c r="F749" s="322">
        <f>Councils!F752</f>
        <v>3</v>
      </c>
      <c r="G749" s="322">
        <f>Councils!G752</f>
        <v>0</v>
      </c>
      <c r="H749" s="322">
        <f>Councils!H752</f>
        <v>0</v>
      </c>
      <c r="I749" s="322">
        <f>Councils!I752</f>
        <v>0</v>
      </c>
      <c r="J749" s="322">
        <f>Councils!J752</f>
        <v>1</v>
      </c>
      <c r="K749" s="322">
        <f>Councils!K752</f>
        <v>0</v>
      </c>
      <c r="L749" s="322">
        <f>Councils!L752</f>
        <v>1</v>
      </c>
      <c r="M749" s="323">
        <f>Councils!M752</f>
        <v>33.33</v>
      </c>
      <c r="N749" s="322">
        <f>Councils!O752</f>
        <v>0</v>
      </c>
      <c r="O749" s="322">
        <f>Councils!P752</f>
        <v>0</v>
      </c>
      <c r="P749" s="322">
        <f>Councils!Q752</f>
        <v>0</v>
      </c>
      <c r="Q749" s="322">
        <f>Councils!R752</f>
        <v>0</v>
      </c>
      <c r="R749" s="322">
        <f>Councils!S752</f>
        <v>1</v>
      </c>
      <c r="S749" s="322">
        <f>Councils!T752</f>
        <v>0</v>
      </c>
      <c r="T749" s="322">
        <f>Councils!U752</f>
        <v>1</v>
      </c>
      <c r="U749" s="323">
        <f>Councils!V752</f>
        <v>0</v>
      </c>
      <c r="V749" s="376">
        <v>17</v>
      </c>
      <c r="W749" s="377">
        <f t="shared" si="11"/>
        <v>3</v>
      </c>
      <c r="X749" s="378" t="str">
        <f>IF(ISNA(VLOOKUP($A749,GA!$A$1:$D$834,3,0))," ",VLOOKUP($A749,GA!$A$1:$D$834,3,0))</f>
        <v>Stark</v>
      </c>
      <c r="Y749" s="379" t="str">
        <f>IF(ISNA(VLOOKUP($A749,Dormant_Councils!$A$1:$E$811,5,0)),"No",VLOOKUP($A749,Dormant_Councils!$A$1:$E$811,5,0))</f>
        <v>No</v>
      </c>
      <c r="Z749" s="381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22" t="str">
        <f>Councils!C753</f>
        <v>076</v>
      </c>
      <c r="C750" s="322" t="str">
        <f>Councils!D753</f>
        <v>Houston</v>
      </c>
      <c r="D750" s="322" t="str">
        <f>IF(ISNA(VLOOKUP($V750,DD_Info!$A$1:$E$221,3,0)),0,VLOOKUP($V750,DD_Info!$A$1:$E$221,3,0))</f>
        <v>Galv/Hous</v>
      </c>
      <c r="E750" s="322">
        <f>Councils!E753</f>
        <v>81</v>
      </c>
      <c r="F750" s="322">
        <f>Councils!F753</f>
        <v>4</v>
      </c>
      <c r="G750" s="322">
        <f>Councils!G753</f>
        <v>0</v>
      </c>
      <c r="H750" s="322">
        <f>Councils!H753</f>
        <v>0</v>
      </c>
      <c r="I750" s="322">
        <f>Councils!I753</f>
        <v>0</v>
      </c>
      <c r="J750" s="322">
        <f>Councils!J753</f>
        <v>0</v>
      </c>
      <c r="K750" s="322">
        <f>Councils!K753</f>
        <v>0</v>
      </c>
      <c r="L750" s="322">
        <f>Councils!L753</f>
        <v>0</v>
      </c>
      <c r="M750" s="323">
        <f>Councils!M753</f>
        <v>0</v>
      </c>
      <c r="N750" s="322">
        <f>Councils!O753</f>
        <v>0</v>
      </c>
      <c r="O750" s="322">
        <f>Councils!P753</f>
        <v>0</v>
      </c>
      <c r="P750" s="322">
        <f>Councils!Q753</f>
        <v>1</v>
      </c>
      <c r="Q750" s="322">
        <f>Councils!R753</f>
        <v>-1</v>
      </c>
      <c r="R750" s="322">
        <f>Councils!S753</f>
        <v>1</v>
      </c>
      <c r="S750" s="322">
        <f>Councils!T753</f>
        <v>1</v>
      </c>
      <c r="T750" s="322">
        <f>Councils!U753</f>
        <v>0</v>
      </c>
      <c r="U750" s="323">
        <f>Councils!V753</f>
        <v>0</v>
      </c>
      <c r="V750" s="376">
        <v>76</v>
      </c>
      <c r="W750" s="377">
        <f t="shared" si="11"/>
        <v>2</v>
      </c>
      <c r="X750" s="378" t="str">
        <f>IF(ISNA(VLOOKUP($A750,GA!$A$1:$D$834,3,0))," ",VLOOKUP($A750,GA!$A$1:$D$834,3,0))</f>
        <v>Rangel</v>
      </c>
      <c r="Y750" s="379" t="str">
        <f>IF(ISNA(VLOOKUP($A750,Dormant_Councils!$A$1:$E$811,5,0)),"No",VLOOKUP($A750,Dormant_Councils!$A$1:$E$811,5,0))</f>
        <v>No</v>
      </c>
      <c r="Z750" s="381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22" t="str">
        <f>Councils!C754</f>
        <v>076</v>
      </c>
      <c r="C751" s="322" t="str">
        <f>Councils!D754</f>
        <v>South Houston</v>
      </c>
      <c r="D751" s="322" t="str">
        <f>IF(ISNA(VLOOKUP($V751,DD_Info!$A$1:$E$221,3,0)),0,VLOOKUP($V751,DD_Info!$A$1:$E$221,3,0))</f>
        <v>Galv/Hous</v>
      </c>
      <c r="E751" s="322">
        <f>Councils!E754</f>
        <v>51</v>
      </c>
      <c r="F751" s="322">
        <f>Councils!F754</f>
        <v>3</v>
      </c>
      <c r="G751" s="322">
        <f>Councils!G754</f>
        <v>0</v>
      </c>
      <c r="H751" s="322">
        <f>Councils!H754</f>
        <v>0</v>
      </c>
      <c r="I751" s="322">
        <f>Councils!I754</f>
        <v>0</v>
      </c>
      <c r="J751" s="322">
        <f>Councils!J754</f>
        <v>0</v>
      </c>
      <c r="K751" s="322">
        <f>Councils!K754</f>
        <v>0</v>
      </c>
      <c r="L751" s="322">
        <f>Councils!L754</f>
        <v>0</v>
      </c>
      <c r="M751" s="323">
        <f>Councils!M754</f>
        <v>0</v>
      </c>
      <c r="N751" s="322">
        <f>Councils!O754</f>
        <v>0</v>
      </c>
      <c r="O751" s="322">
        <f>Councils!P754</f>
        <v>0</v>
      </c>
      <c r="P751" s="322">
        <f>Councils!Q754</f>
        <v>0</v>
      </c>
      <c r="Q751" s="322">
        <f>Councils!R754</f>
        <v>0</v>
      </c>
      <c r="R751" s="322">
        <f>Councils!S754</f>
        <v>0</v>
      </c>
      <c r="S751" s="322">
        <f>Councils!T754</f>
        <v>1</v>
      </c>
      <c r="T751" s="322">
        <f>Councils!U754</f>
        <v>-1</v>
      </c>
      <c r="U751" s="323">
        <f>Councils!V754</f>
        <v>0</v>
      </c>
      <c r="V751" s="376">
        <v>76</v>
      </c>
      <c r="W751" s="377">
        <f t="shared" si="11"/>
        <v>3</v>
      </c>
      <c r="X751" s="378" t="str">
        <f>IF(ISNA(VLOOKUP($A751,GA!$A$1:$D$834,3,0))," ",VLOOKUP($A751,GA!$A$1:$D$834,3,0))</f>
        <v>Rangel</v>
      </c>
      <c r="Y751" s="379" t="str">
        <f>IF(ISNA(VLOOKUP($A751,Dormant_Councils!$A$1:$E$811,5,0)),"No",VLOOKUP($A751,Dormant_Councils!$A$1:$E$811,5,0))</f>
        <v>No</v>
      </c>
      <c r="Z751" s="381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22" t="str">
        <f>Councils!C755</f>
        <v>175</v>
      </c>
      <c r="C752" s="322" t="str">
        <f>Councils!D755</f>
        <v>Taft</v>
      </c>
      <c r="D752" s="322" t="str">
        <f>IF(ISNA(VLOOKUP($V752,DD_Info!$A$1:$E$221,3,0)),0,VLOOKUP($V752,DD_Info!$A$1:$E$221,3,0))</f>
        <v>Corpus Christi</v>
      </c>
      <c r="E752" s="322">
        <f>Councils!E755</f>
        <v>36</v>
      </c>
      <c r="F752" s="322">
        <f>Councils!F755</f>
        <v>3</v>
      </c>
      <c r="G752" s="322">
        <f>Councils!G755</f>
        <v>0</v>
      </c>
      <c r="H752" s="322">
        <f>Councils!H755</f>
        <v>0</v>
      </c>
      <c r="I752" s="322">
        <f>Councils!I755</f>
        <v>0</v>
      </c>
      <c r="J752" s="322">
        <f>Councils!J755</f>
        <v>0</v>
      </c>
      <c r="K752" s="322">
        <f>Councils!K755</f>
        <v>0</v>
      </c>
      <c r="L752" s="322">
        <f>Councils!L755</f>
        <v>0</v>
      </c>
      <c r="M752" s="323">
        <f>Councils!M755</f>
        <v>0</v>
      </c>
      <c r="N752" s="322">
        <f>Councils!O755</f>
        <v>0</v>
      </c>
      <c r="O752" s="322">
        <f>Councils!P755</f>
        <v>0</v>
      </c>
      <c r="P752" s="322">
        <f>Councils!Q755</f>
        <v>0</v>
      </c>
      <c r="Q752" s="322">
        <f>Councils!R755</f>
        <v>0</v>
      </c>
      <c r="R752" s="322">
        <f>Councils!S755</f>
        <v>0</v>
      </c>
      <c r="S752" s="322">
        <f>Councils!T755</f>
        <v>0</v>
      </c>
      <c r="T752" s="322">
        <f>Councils!U755</f>
        <v>0</v>
      </c>
      <c r="U752" s="323">
        <f>Councils!V755</f>
        <v>0</v>
      </c>
      <c r="V752" s="376">
        <v>175</v>
      </c>
      <c r="W752" s="377">
        <f t="shared" si="11"/>
        <v>3</v>
      </c>
      <c r="X752" s="378" t="str">
        <f>IF(ISNA(VLOOKUP($A752,GA!$A$1:$D$834,3,0))," ",VLOOKUP($A752,GA!$A$1:$D$834,3,0))</f>
        <v>Carlin</v>
      </c>
      <c r="Y752" s="379" t="str">
        <f>IF(ISNA(VLOOKUP($A752,Dormant_Councils!$A$1:$E$811,5,0)),"No",VLOOKUP($A752,Dormant_Councils!$A$1:$E$811,5,0))</f>
        <v>No</v>
      </c>
      <c r="Z752" s="381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22" t="str">
        <f>Councils!C756</f>
        <v>053</v>
      </c>
      <c r="C753" s="322" t="str">
        <f>Councils!D756</f>
        <v>San Antonio</v>
      </c>
      <c r="D753" s="322" t="str">
        <f>IF(ISNA(VLOOKUP($V753,DD_Info!$A$1:$E$221,3,0)),0,VLOOKUP($V753,DD_Info!$A$1:$E$221,3,0))</f>
        <v>San Antonio</v>
      </c>
      <c r="E753" s="322">
        <f>Councils!E756</f>
        <v>74</v>
      </c>
      <c r="F753" s="322">
        <f>Councils!F756</f>
        <v>4</v>
      </c>
      <c r="G753" s="322">
        <f>Councils!G756</f>
        <v>0</v>
      </c>
      <c r="H753" s="322">
        <f>Councils!H756</f>
        <v>0</v>
      </c>
      <c r="I753" s="322">
        <f>Councils!I756</f>
        <v>0</v>
      </c>
      <c r="J753" s="322">
        <f>Councils!J756</f>
        <v>3</v>
      </c>
      <c r="K753" s="322">
        <f>Councils!K756</f>
        <v>0</v>
      </c>
      <c r="L753" s="322">
        <f>Councils!L756</f>
        <v>3</v>
      </c>
      <c r="M753" s="323">
        <f>Councils!M756</f>
        <v>75</v>
      </c>
      <c r="N753" s="322">
        <f>Councils!O756</f>
        <v>0</v>
      </c>
      <c r="O753" s="322">
        <f>Councils!P756</f>
        <v>0</v>
      </c>
      <c r="P753" s="322">
        <f>Councils!Q756</f>
        <v>0</v>
      </c>
      <c r="Q753" s="322">
        <f>Councils!R756</f>
        <v>0</v>
      </c>
      <c r="R753" s="322">
        <f>Councils!S756</f>
        <v>3</v>
      </c>
      <c r="S753" s="322">
        <f>Councils!T756</f>
        <v>0</v>
      </c>
      <c r="T753" s="322">
        <f>Councils!U756</f>
        <v>3</v>
      </c>
      <c r="U753" s="323">
        <f>Councils!V756</f>
        <v>0</v>
      </c>
      <c r="V753" s="376">
        <v>53</v>
      </c>
      <c r="W753" s="377">
        <f t="shared" si="11"/>
        <v>2</v>
      </c>
      <c r="X753" s="378" t="str">
        <f>IF(ISNA(VLOOKUP($A753,GA!$A$1:$D$834,3,0))," ",VLOOKUP($A753,GA!$A$1:$D$834,3,0))</f>
        <v>Dougherty</v>
      </c>
      <c r="Y753" s="379" t="str">
        <f>IF(ISNA(VLOOKUP($A753,Dormant_Councils!$A$1:$E$811,5,0)),"No",VLOOKUP($A753,Dormant_Councils!$A$1:$E$811,5,0))</f>
        <v>No</v>
      </c>
      <c r="Z753" s="381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22" t="str">
        <f>Councils!C757</f>
        <v>207</v>
      </c>
      <c r="C754" s="322" t="str">
        <f>Councils!D757</f>
        <v>Mcallen</v>
      </c>
      <c r="D754" s="322" t="str">
        <f>IF(ISNA(VLOOKUP($V754,DD_Info!$A$1:$E$221,3,0)),0,VLOOKUP($V754,DD_Info!$A$1:$E$221,3,0))</f>
        <v>Brownsville</v>
      </c>
      <c r="E754" s="322">
        <f>Councils!E757</f>
        <v>140</v>
      </c>
      <c r="F754" s="322">
        <f>Councils!F757</f>
        <v>7</v>
      </c>
      <c r="G754" s="322">
        <f>Councils!G757</f>
        <v>0</v>
      </c>
      <c r="H754" s="322">
        <f>Councils!H757</f>
        <v>0</v>
      </c>
      <c r="I754" s="322">
        <f>Councils!I757</f>
        <v>0</v>
      </c>
      <c r="J754" s="322">
        <f>Councils!J757</f>
        <v>4</v>
      </c>
      <c r="K754" s="322">
        <f>Councils!K757</f>
        <v>0</v>
      </c>
      <c r="L754" s="322">
        <f>Councils!L757</f>
        <v>4</v>
      </c>
      <c r="M754" s="323">
        <f>Councils!M757</f>
        <v>57.14</v>
      </c>
      <c r="N754" s="322">
        <f>Councils!O757</f>
        <v>0</v>
      </c>
      <c r="O754" s="322">
        <f>Councils!P757</f>
        <v>0</v>
      </c>
      <c r="P754" s="322">
        <f>Councils!Q757</f>
        <v>0</v>
      </c>
      <c r="Q754" s="322">
        <f>Councils!R757</f>
        <v>0</v>
      </c>
      <c r="R754" s="322">
        <f>Councils!S757</f>
        <v>1</v>
      </c>
      <c r="S754" s="322">
        <f>Councils!T757</f>
        <v>0</v>
      </c>
      <c r="T754" s="322">
        <f>Councils!U757</f>
        <v>1</v>
      </c>
      <c r="U754" s="323">
        <f>Councils!V757</f>
        <v>0</v>
      </c>
      <c r="V754" s="376">
        <v>207</v>
      </c>
      <c r="W754" s="377">
        <f t="shared" si="11"/>
        <v>1</v>
      </c>
      <c r="X754" s="378" t="str">
        <f>IF(ISNA(VLOOKUP($A754,GA!$A$1:$D$834,3,0))," ",VLOOKUP($A754,GA!$A$1:$D$834,3,0))</f>
        <v>Carlin</v>
      </c>
      <c r="Y754" s="379" t="str">
        <f>IF(ISNA(VLOOKUP($A754,Dormant_Councils!$A$1:$E$811,5,0)),"No",VLOOKUP($A754,Dormant_Councils!$A$1:$E$811,5,0))</f>
        <v>No</v>
      </c>
      <c r="Z754" s="381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22" t="str">
        <f>Councils!C758</f>
        <v>160</v>
      </c>
      <c r="C755" s="322" t="str">
        <f>Councils!D758</f>
        <v>Horseshoe Bay</v>
      </c>
      <c r="D755" s="322" t="str">
        <f>IF(ISNA(VLOOKUP($V755,DD_Info!$A$1:$E$221,3,0)),0,VLOOKUP($V755,DD_Info!$A$1:$E$221,3,0))</f>
        <v>Austin</v>
      </c>
      <c r="E755" s="322">
        <f>Councils!E758</f>
        <v>64</v>
      </c>
      <c r="F755" s="322">
        <f>Councils!F758</f>
        <v>3</v>
      </c>
      <c r="G755" s="322">
        <f>Councils!G758</f>
        <v>0</v>
      </c>
      <c r="H755" s="322">
        <f>Councils!H758</f>
        <v>0</v>
      </c>
      <c r="I755" s="322">
        <f>Councils!I758</f>
        <v>0</v>
      </c>
      <c r="J755" s="322">
        <f>Councils!J758</f>
        <v>0</v>
      </c>
      <c r="K755" s="322">
        <f>Councils!K758</f>
        <v>0</v>
      </c>
      <c r="L755" s="322">
        <f>Councils!L758</f>
        <v>0</v>
      </c>
      <c r="M755" s="323">
        <f>Councils!M758</f>
        <v>0</v>
      </c>
      <c r="N755" s="322">
        <f>Councils!O758</f>
        <v>0</v>
      </c>
      <c r="O755" s="322">
        <f>Councils!P758</f>
        <v>0</v>
      </c>
      <c r="P755" s="322">
        <f>Councils!Q758</f>
        <v>0</v>
      </c>
      <c r="Q755" s="322">
        <f>Councils!R758</f>
        <v>0</v>
      </c>
      <c r="R755" s="322">
        <f>Councils!S758</f>
        <v>0</v>
      </c>
      <c r="S755" s="322">
        <f>Councils!T758</f>
        <v>0</v>
      </c>
      <c r="T755" s="322">
        <f>Councils!U758</f>
        <v>0</v>
      </c>
      <c r="U755" s="323">
        <f>Councils!V758</f>
        <v>0</v>
      </c>
      <c r="V755" s="376">
        <v>160</v>
      </c>
      <c r="W755" s="377">
        <f t="shared" si="11"/>
        <v>3</v>
      </c>
      <c r="X755" s="378" t="str">
        <f>IF(ISNA(VLOOKUP($A755,GA!$A$1:$D$834,3,0))," ",VLOOKUP($A755,GA!$A$1:$D$834,3,0))</f>
        <v>Rangel</v>
      </c>
      <c r="Y755" s="379" t="str">
        <f>IF(ISNA(VLOOKUP($A755,Dormant_Councils!$A$1:$E$811,5,0)),"No",VLOOKUP($A755,Dormant_Councils!$A$1:$E$811,5,0))</f>
        <v>No</v>
      </c>
      <c r="Z755" s="381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22" t="str">
        <f>Councils!C759</f>
        <v>210</v>
      </c>
      <c r="C756" s="322" t="str">
        <f>Councils!D759</f>
        <v>Brownsville</v>
      </c>
      <c r="D756" s="322" t="str">
        <f>IF(ISNA(VLOOKUP($V756,DD_Info!$A$1:$E$221,3,0)),0,VLOOKUP($V756,DD_Info!$A$1:$E$221,3,0))</f>
        <v>Brownsville</v>
      </c>
      <c r="E756" s="322">
        <f>Councils!E759</f>
        <v>174</v>
      </c>
      <c r="F756" s="322">
        <f>Councils!F759</f>
        <v>9</v>
      </c>
      <c r="G756" s="322">
        <f>Councils!G759</f>
        <v>0</v>
      </c>
      <c r="H756" s="322">
        <f>Councils!H759</f>
        <v>0</v>
      </c>
      <c r="I756" s="322">
        <f>Councils!I759</f>
        <v>0</v>
      </c>
      <c r="J756" s="322">
        <f>Councils!J759</f>
        <v>10</v>
      </c>
      <c r="K756" s="322">
        <f>Councils!K759</f>
        <v>0</v>
      </c>
      <c r="L756" s="322">
        <f>Councils!L759</f>
        <v>10</v>
      </c>
      <c r="M756" s="323">
        <f>Councils!M759</f>
        <v>111.11</v>
      </c>
      <c r="N756" s="322">
        <f>Councils!O759</f>
        <v>0</v>
      </c>
      <c r="O756" s="322">
        <f>Councils!P759</f>
        <v>0</v>
      </c>
      <c r="P756" s="322">
        <f>Councils!Q759</f>
        <v>0</v>
      </c>
      <c r="Q756" s="322">
        <f>Councils!R759</f>
        <v>0</v>
      </c>
      <c r="R756" s="322">
        <f>Councils!S759</f>
        <v>2</v>
      </c>
      <c r="S756" s="322">
        <f>Councils!T759</f>
        <v>1</v>
      </c>
      <c r="T756" s="322">
        <f>Councils!U759</f>
        <v>1</v>
      </c>
      <c r="U756" s="323">
        <f>Councils!V759</f>
        <v>0</v>
      </c>
      <c r="V756" s="376">
        <v>210</v>
      </c>
      <c r="W756" s="377">
        <f t="shared" si="11"/>
        <v>1</v>
      </c>
      <c r="X756" s="378" t="str">
        <f>IF(ISNA(VLOOKUP($A756,GA!$A$1:$D$834,3,0))," ",VLOOKUP($A756,GA!$A$1:$D$834,3,0))</f>
        <v>Carlin</v>
      </c>
      <c r="Y756" s="379" t="str">
        <f>IF(ISNA(VLOOKUP($A756,Dormant_Councils!$A$1:$E$811,5,0)),"No",VLOOKUP($A756,Dormant_Councils!$A$1:$E$811,5,0))</f>
        <v>No</v>
      </c>
      <c r="Z756" s="381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22" t="str">
        <f>Councils!C760</f>
        <v>175</v>
      </c>
      <c r="C757" s="322" t="str">
        <f>Councils!D760</f>
        <v>Taft</v>
      </c>
      <c r="D757" s="322" t="str">
        <f>IF(ISNA(VLOOKUP($V757,DD_Info!$A$1:$E$221,3,0)),0,VLOOKUP($V757,DD_Info!$A$1:$E$221,3,0))</f>
        <v>Corpus Christi</v>
      </c>
      <c r="E757" s="322">
        <f>Councils!E760</f>
        <v>52</v>
      </c>
      <c r="F757" s="322">
        <f>Councils!F760</f>
        <v>3</v>
      </c>
      <c r="G757" s="322">
        <f>Councils!G760</f>
        <v>0</v>
      </c>
      <c r="H757" s="322">
        <f>Councils!H760</f>
        <v>0</v>
      </c>
      <c r="I757" s="322">
        <f>Councils!I760</f>
        <v>0</v>
      </c>
      <c r="J757" s="322">
        <f>Councils!J760</f>
        <v>0</v>
      </c>
      <c r="K757" s="322">
        <f>Councils!K760</f>
        <v>0</v>
      </c>
      <c r="L757" s="322">
        <f>Councils!L760</f>
        <v>0</v>
      </c>
      <c r="M757" s="323">
        <f>Councils!M760</f>
        <v>0</v>
      </c>
      <c r="N757" s="322">
        <f>Councils!O760</f>
        <v>0</v>
      </c>
      <c r="O757" s="322">
        <f>Councils!P760</f>
        <v>0</v>
      </c>
      <c r="P757" s="322">
        <f>Councils!Q760</f>
        <v>0</v>
      </c>
      <c r="Q757" s="322">
        <f>Councils!R760</f>
        <v>0</v>
      </c>
      <c r="R757" s="322">
        <f>Councils!S760</f>
        <v>0</v>
      </c>
      <c r="S757" s="322">
        <f>Councils!T760</f>
        <v>0</v>
      </c>
      <c r="T757" s="322">
        <f>Councils!U760</f>
        <v>0</v>
      </c>
      <c r="U757" s="323">
        <f>Councils!V760</f>
        <v>0</v>
      </c>
      <c r="V757" s="376">
        <v>175</v>
      </c>
      <c r="W757" s="377">
        <f t="shared" si="11"/>
        <v>3</v>
      </c>
      <c r="X757" s="378" t="str">
        <f>IF(ISNA(VLOOKUP($A757,GA!$A$1:$D$834,3,0))," ",VLOOKUP($A757,GA!$A$1:$D$834,3,0))</f>
        <v>Carlin</v>
      </c>
      <c r="Y757" s="379" t="str">
        <f>IF(ISNA(VLOOKUP($A757,Dormant_Councils!$A$1:$E$811,5,0)),"No",VLOOKUP($A757,Dormant_Councils!$A$1:$E$811,5,0))</f>
        <v>No</v>
      </c>
      <c r="Z757" s="381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22" t="str">
        <f>Councils!C761</f>
        <v>209</v>
      </c>
      <c r="C758" s="322" t="str">
        <f>Councils!D761</f>
        <v>Edinburg</v>
      </c>
      <c r="D758" s="322" t="str">
        <f>IF(ISNA(VLOOKUP($V758,DD_Info!$A$1:$E$221,3,0)),0,VLOOKUP($V758,DD_Info!$A$1:$E$221,3,0))</f>
        <v>Brownsville</v>
      </c>
      <c r="E758" s="322">
        <f>Councils!E761</f>
        <v>79</v>
      </c>
      <c r="F758" s="322">
        <f>Councils!F761</f>
        <v>4</v>
      </c>
      <c r="G758" s="322">
        <f>Councils!G761</f>
        <v>0</v>
      </c>
      <c r="H758" s="322">
        <f>Councils!H761</f>
        <v>0</v>
      </c>
      <c r="I758" s="322">
        <f>Councils!I761</f>
        <v>0</v>
      </c>
      <c r="J758" s="322">
        <f>Councils!J761</f>
        <v>0</v>
      </c>
      <c r="K758" s="322">
        <f>Councils!K761</f>
        <v>0</v>
      </c>
      <c r="L758" s="322">
        <f>Councils!L761</f>
        <v>0</v>
      </c>
      <c r="M758" s="323">
        <f>Councils!M761</f>
        <v>0</v>
      </c>
      <c r="N758" s="322">
        <f>Councils!O761</f>
        <v>0</v>
      </c>
      <c r="O758" s="322">
        <f>Councils!P761</f>
        <v>0</v>
      </c>
      <c r="P758" s="322">
        <f>Councils!Q761</f>
        <v>0</v>
      </c>
      <c r="Q758" s="322">
        <f>Councils!R761</f>
        <v>0</v>
      </c>
      <c r="R758" s="322">
        <f>Councils!S761</f>
        <v>0</v>
      </c>
      <c r="S758" s="322">
        <f>Councils!T761</f>
        <v>0</v>
      </c>
      <c r="T758" s="322">
        <f>Councils!U761</f>
        <v>0</v>
      </c>
      <c r="U758" s="323">
        <f>Councils!V761</f>
        <v>0</v>
      </c>
      <c r="V758" s="376">
        <v>209</v>
      </c>
      <c r="W758" s="377">
        <f t="shared" si="11"/>
        <v>2</v>
      </c>
      <c r="X758" s="378" t="str">
        <f>IF(ISNA(VLOOKUP($A758,GA!$A$1:$D$834,3,0))," ",VLOOKUP($A758,GA!$A$1:$D$834,3,0))</f>
        <v>Carlin</v>
      </c>
      <c r="Y758" s="379" t="str">
        <f>IF(ISNA(VLOOKUP($A758,Dormant_Councils!$A$1:$E$811,5,0)),"No",VLOOKUP($A758,Dormant_Councils!$A$1:$E$811,5,0))</f>
        <v>No</v>
      </c>
      <c r="Z758" s="381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22" t="str">
        <f>Councils!C762</f>
        <v>001</v>
      </c>
      <c r="C759" s="322" t="str">
        <f>Councils!D762</f>
        <v>El Paso</v>
      </c>
      <c r="D759" s="322" t="str">
        <f>IF(ISNA(VLOOKUP($V759,DD_Info!$A$1:$E$221,3,0)),0,VLOOKUP($V759,DD_Info!$A$1:$E$221,3,0))</f>
        <v>El Paso</v>
      </c>
      <c r="E759" s="322">
        <f>Councils!E762</f>
        <v>36</v>
      </c>
      <c r="F759" s="322">
        <f>Councils!F762</f>
        <v>3</v>
      </c>
      <c r="G759" s="322">
        <f>Councils!G762</f>
        <v>0</v>
      </c>
      <c r="H759" s="322">
        <f>Councils!H762</f>
        <v>0</v>
      </c>
      <c r="I759" s="322">
        <f>Councils!I762</f>
        <v>0</v>
      </c>
      <c r="J759" s="322">
        <f>Councils!J762</f>
        <v>0</v>
      </c>
      <c r="K759" s="322">
        <f>Councils!K762</f>
        <v>0</v>
      </c>
      <c r="L759" s="322">
        <f>Councils!L762</f>
        <v>0</v>
      </c>
      <c r="M759" s="323">
        <f>Councils!M762</f>
        <v>0</v>
      </c>
      <c r="N759" s="322">
        <f>Councils!O762</f>
        <v>0</v>
      </c>
      <c r="O759" s="322">
        <f>Councils!P762</f>
        <v>0</v>
      </c>
      <c r="P759" s="322">
        <f>Councils!Q762</f>
        <v>0</v>
      </c>
      <c r="Q759" s="322">
        <f>Councils!R762</f>
        <v>0</v>
      </c>
      <c r="R759" s="322">
        <f>Councils!S762</f>
        <v>0</v>
      </c>
      <c r="S759" s="322">
        <f>Councils!T762</f>
        <v>0</v>
      </c>
      <c r="T759" s="322">
        <f>Councils!U762</f>
        <v>0</v>
      </c>
      <c r="U759" s="323">
        <f>Councils!V762</f>
        <v>0</v>
      </c>
      <c r="V759" s="376">
        <v>1</v>
      </c>
      <c r="W759" s="377">
        <f t="shared" si="11"/>
        <v>3</v>
      </c>
      <c r="X759" s="378" t="str">
        <f>IF(ISNA(VLOOKUP($A759,GA!$A$1:$D$834,3,0))," ",VLOOKUP($A759,GA!$A$1:$D$834,3,0))</f>
        <v>Payne</v>
      </c>
      <c r="Y759" s="379" t="str">
        <f>IF(ISNA(VLOOKUP($A759,Dormant_Councils!$A$1:$E$811,5,0)),"No",VLOOKUP($A759,Dormant_Councils!$A$1:$E$811,5,0))</f>
        <v>No</v>
      </c>
      <c r="Z759" s="381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22" t="str">
        <f>Councils!C763</f>
        <v>176</v>
      </c>
      <c r="C760" s="322" t="str">
        <f>Councils!D763</f>
        <v>Alice</v>
      </c>
      <c r="D760" s="322" t="str">
        <f>IF(ISNA(VLOOKUP($V760,DD_Info!$A$1:$E$221,3,0)),0,VLOOKUP($V760,DD_Info!$A$1:$E$221,3,0))</f>
        <v>Corpus Christi</v>
      </c>
      <c r="E760" s="322">
        <f>Councils!E763</f>
        <v>40</v>
      </c>
      <c r="F760" s="322">
        <f>Councils!F763</f>
        <v>3</v>
      </c>
      <c r="G760" s="322">
        <f>Councils!G763</f>
        <v>0</v>
      </c>
      <c r="H760" s="322">
        <f>Councils!H763</f>
        <v>0</v>
      </c>
      <c r="I760" s="322">
        <f>Councils!I763</f>
        <v>0</v>
      </c>
      <c r="J760" s="322">
        <f>Councils!J763</f>
        <v>0</v>
      </c>
      <c r="K760" s="322">
        <f>Councils!K763</f>
        <v>0</v>
      </c>
      <c r="L760" s="322">
        <f>Councils!L763</f>
        <v>0</v>
      </c>
      <c r="M760" s="323">
        <f>Councils!M763</f>
        <v>0</v>
      </c>
      <c r="N760" s="322">
        <f>Councils!O763</f>
        <v>0</v>
      </c>
      <c r="O760" s="322">
        <f>Councils!P763</f>
        <v>0</v>
      </c>
      <c r="P760" s="322">
        <f>Councils!Q763</f>
        <v>0</v>
      </c>
      <c r="Q760" s="322">
        <f>Councils!R763</f>
        <v>0</v>
      </c>
      <c r="R760" s="322">
        <f>Councils!S763</f>
        <v>0</v>
      </c>
      <c r="S760" s="322">
        <f>Councils!T763</f>
        <v>1</v>
      </c>
      <c r="T760" s="322">
        <f>Councils!U763</f>
        <v>-1</v>
      </c>
      <c r="U760" s="323">
        <f>Councils!V763</f>
        <v>0</v>
      </c>
      <c r="V760" s="376">
        <v>173</v>
      </c>
      <c r="W760" s="377">
        <f t="shared" si="11"/>
        <v>3</v>
      </c>
      <c r="X760" s="378" t="str">
        <f>IF(ISNA(VLOOKUP($A760,GA!$A$1:$D$834,3,0))," ",VLOOKUP($A760,GA!$A$1:$D$834,3,0))</f>
        <v>Carlin</v>
      </c>
      <c r="Y760" s="379" t="str">
        <f>IF(ISNA(VLOOKUP($A760,Dormant_Councils!$A$1:$E$811,5,0)),"No",VLOOKUP($A760,Dormant_Councils!$A$1:$E$811,5,0))</f>
        <v>No</v>
      </c>
      <c r="Z760" s="381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22" t="str">
        <f>Councils!C764</f>
        <v>211</v>
      </c>
      <c r="C761" s="322" t="str">
        <f>Councils!D764</f>
        <v>La Villa</v>
      </c>
      <c r="D761" s="322" t="str">
        <f>IF(ISNA(VLOOKUP($V761,DD_Info!$A$1:$E$221,3,0)),0,VLOOKUP($V761,DD_Info!$A$1:$E$221,3,0))</f>
        <v>Brownsville</v>
      </c>
      <c r="E761" s="322">
        <f>Councils!E764</f>
        <v>30</v>
      </c>
      <c r="F761" s="322">
        <f>Councils!F764</f>
        <v>3</v>
      </c>
      <c r="G761" s="322">
        <f>Councils!G764</f>
        <v>0</v>
      </c>
      <c r="H761" s="322">
        <f>Councils!H764</f>
        <v>0</v>
      </c>
      <c r="I761" s="322">
        <f>Councils!I764</f>
        <v>0</v>
      </c>
      <c r="J761" s="322">
        <f>Councils!J764</f>
        <v>0</v>
      </c>
      <c r="K761" s="322">
        <f>Councils!K764</f>
        <v>0</v>
      </c>
      <c r="L761" s="322">
        <f>Councils!L764</f>
        <v>0</v>
      </c>
      <c r="M761" s="323">
        <f>Councils!M764</f>
        <v>0</v>
      </c>
      <c r="N761" s="322">
        <f>Councils!O764</f>
        <v>0</v>
      </c>
      <c r="O761" s="322">
        <f>Councils!P764</f>
        <v>0</v>
      </c>
      <c r="P761" s="322">
        <f>Councils!Q764</f>
        <v>0</v>
      </c>
      <c r="Q761" s="322">
        <f>Councils!R764</f>
        <v>0</v>
      </c>
      <c r="R761" s="322">
        <f>Councils!S764</f>
        <v>0</v>
      </c>
      <c r="S761" s="322">
        <f>Councils!T764</f>
        <v>0</v>
      </c>
      <c r="T761" s="322">
        <f>Councils!U764</f>
        <v>0</v>
      </c>
      <c r="U761" s="323">
        <f>Councils!V764</f>
        <v>0</v>
      </c>
      <c r="V761" s="376">
        <v>211</v>
      </c>
      <c r="W761" s="377">
        <f t="shared" si="11"/>
        <v>3</v>
      </c>
      <c r="X761" s="378" t="str">
        <f>IF(ISNA(VLOOKUP($A761,GA!$A$1:$D$834,3,0))," ",VLOOKUP($A761,GA!$A$1:$D$834,3,0))</f>
        <v>Carlin</v>
      </c>
      <c r="Y761" s="379" t="str">
        <f>IF(ISNA(VLOOKUP($A761,Dormant_Councils!$A$1:$E$811,5,0)),"No",VLOOKUP($A761,Dormant_Councils!$A$1:$E$811,5,0))</f>
        <v>No</v>
      </c>
      <c r="Z761" s="381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22" t="str">
        <f>Councils!C765</f>
        <v>197</v>
      </c>
      <c r="C762" s="322" t="str">
        <f>Councils!D765</f>
        <v>Childress</v>
      </c>
      <c r="D762" s="322" t="str">
        <f>IF(ISNA(VLOOKUP($V762,DD_Info!$A$1:$E$221,3,0)),0,VLOOKUP($V762,DD_Info!$A$1:$E$221,3,0))</f>
        <v>Amarillo</v>
      </c>
      <c r="E762" s="322">
        <f>Councils!E765</f>
        <v>38</v>
      </c>
      <c r="F762" s="322">
        <f>Councils!F765</f>
        <v>3</v>
      </c>
      <c r="G762" s="322">
        <f>Councils!G765</f>
        <v>0</v>
      </c>
      <c r="H762" s="322">
        <f>Councils!H765</f>
        <v>0</v>
      </c>
      <c r="I762" s="322">
        <f>Councils!I765</f>
        <v>0</v>
      </c>
      <c r="J762" s="322">
        <f>Councils!J765</f>
        <v>0</v>
      </c>
      <c r="K762" s="322">
        <f>Councils!K765</f>
        <v>0</v>
      </c>
      <c r="L762" s="322">
        <f>Councils!L765</f>
        <v>0</v>
      </c>
      <c r="M762" s="323">
        <f>Councils!M765</f>
        <v>0</v>
      </c>
      <c r="N762" s="322">
        <f>Councils!O765</f>
        <v>0</v>
      </c>
      <c r="O762" s="322">
        <f>Councils!P765</f>
        <v>0</v>
      </c>
      <c r="P762" s="322">
        <f>Councils!Q765</f>
        <v>0</v>
      </c>
      <c r="Q762" s="322">
        <f>Councils!R765</f>
        <v>0</v>
      </c>
      <c r="R762" s="322">
        <f>Councils!S765</f>
        <v>0</v>
      </c>
      <c r="S762" s="322">
        <f>Councils!T765</f>
        <v>0</v>
      </c>
      <c r="T762" s="322">
        <f>Councils!U765</f>
        <v>0</v>
      </c>
      <c r="U762" s="323">
        <f>Councils!V765</f>
        <v>0</v>
      </c>
      <c r="V762" s="376">
        <v>197</v>
      </c>
      <c r="W762" s="377">
        <f t="shared" si="11"/>
        <v>3</v>
      </c>
      <c r="X762" s="378" t="str">
        <f>IF(ISNA(VLOOKUP($A762,GA!$A$1:$D$834,3,0))," ",VLOOKUP($A762,GA!$A$1:$D$834,3,0))</f>
        <v>Payne</v>
      </c>
      <c r="Y762" s="379" t="str">
        <f>IF(ISNA(VLOOKUP($A762,Dormant_Councils!$A$1:$E$811,5,0)),"No",VLOOKUP($A762,Dormant_Councils!$A$1:$E$811,5,0))</f>
        <v>No</v>
      </c>
      <c r="Z762" s="381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22" t="str">
        <f>Councils!C766</f>
        <v>234</v>
      </c>
      <c r="C763" s="322" t="str">
        <f>Councils!D766</f>
        <v>Laredo</v>
      </c>
      <c r="D763" s="322" t="str">
        <f>IF(ISNA(VLOOKUP($V763,DD_Info!$A$1:$E$221,3,0)),0,VLOOKUP($V763,DD_Info!$A$1:$E$221,3,0))</f>
        <v>Laredo</v>
      </c>
      <c r="E763" s="322">
        <f>Councils!E766</f>
        <v>58</v>
      </c>
      <c r="F763" s="322">
        <f>Councils!F766</f>
        <v>3</v>
      </c>
      <c r="G763" s="322">
        <f>Councils!G766</f>
        <v>0</v>
      </c>
      <c r="H763" s="322">
        <f>Councils!H766</f>
        <v>0</v>
      </c>
      <c r="I763" s="322">
        <f>Councils!I766</f>
        <v>0</v>
      </c>
      <c r="J763" s="322">
        <f>Councils!J766</f>
        <v>0</v>
      </c>
      <c r="K763" s="322">
        <f>Councils!K766</f>
        <v>0</v>
      </c>
      <c r="L763" s="322">
        <f>Councils!L766</f>
        <v>0</v>
      </c>
      <c r="M763" s="323">
        <f>Councils!M766</f>
        <v>0</v>
      </c>
      <c r="N763" s="322">
        <f>Councils!O766</f>
        <v>0</v>
      </c>
      <c r="O763" s="322">
        <f>Councils!P766</f>
        <v>0</v>
      </c>
      <c r="P763" s="322">
        <f>Councils!Q766</f>
        <v>0</v>
      </c>
      <c r="Q763" s="322">
        <f>Councils!R766</f>
        <v>0</v>
      </c>
      <c r="R763" s="322">
        <f>Councils!S766</f>
        <v>0</v>
      </c>
      <c r="S763" s="322">
        <f>Councils!T766</f>
        <v>0</v>
      </c>
      <c r="T763" s="322">
        <f>Councils!U766</f>
        <v>0</v>
      </c>
      <c r="U763" s="323">
        <f>Councils!V766</f>
        <v>0</v>
      </c>
      <c r="V763" s="376">
        <v>234</v>
      </c>
      <c r="W763" s="377">
        <f t="shared" si="11"/>
        <v>3</v>
      </c>
      <c r="X763" s="378" t="str">
        <f>IF(ISNA(VLOOKUP($A763,GA!$A$1:$D$834,3,0))," ",VLOOKUP($A763,GA!$A$1:$D$834,3,0))</f>
        <v>Carlin</v>
      </c>
      <c r="Y763" s="379" t="str">
        <f>IF(ISNA(VLOOKUP($A763,Dormant_Councils!$A$1:$E$811,5,0)),"No",VLOOKUP($A763,Dormant_Councils!$A$1:$E$811,5,0))</f>
        <v>No</v>
      </c>
      <c r="Z763" s="381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22" t="str">
        <f>Councils!C767</f>
        <v>024</v>
      </c>
      <c r="C764" s="322" t="str">
        <f>Councils!D767</f>
        <v>Colleyville</v>
      </c>
      <c r="D764" s="322" t="str">
        <f>IF(ISNA(VLOOKUP($V764,DD_Info!$A$1:$E$221,3,0)),0,VLOOKUP($V764,DD_Info!$A$1:$E$221,3,0))</f>
        <v>Fort Worth</v>
      </c>
      <c r="E764" s="322">
        <f>Councils!E767</f>
        <v>159</v>
      </c>
      <c r="F764" s="322">
        <f>Councils!F767</f>
        <v>7</v>
      </c>
      <c r="G764" s="322">
        <f>Councils!G767</f>
        <v>0</v>
      </c>
      <c r="H764" s="322">
        <f>Councils!H767</f>
        <v>1</v>
      </c>
      <c r="I764" s="322">
        <f>Councils!I767</f>
        <v>-1</v>
      </c>
      <c r="J764" s="322">
        <f>Councils!J767</f>
        <v>6</v>
      </c>
      <c r="K764" s="322">
        <f>Councils!K767</f>
        <v>4</v>
      </c>
      <c r="L764" s="322">
        <f>Councils!L767</f>
        <v>2</v>
      </c>
      <c r="M764" s="323">
        <f>Councils!M767</f>
        <v>28.57</v>
      </c>
      <c r="N764" s="322">
        <f>Councils!O767</f>
        <v>0</v>
      </c>
      <c r="O764" s="322">
        <f>Councils!P767</f>
        <v>0</v>
      </c>
      <c r="P764" s="322">
        <f>Councils!Q767</f>
        <v>0</v>
      </c>
      <c r="Q764" s="322">
        <f>Councils!R767</f>
        <v>0</v>
      </c>
      <c r="R764" s="322">
        <f>Councils!S767</f>
        <v>4</v>
      </c>
      <c r="S764" s="322">
        <f>Councils!T767</f>
        <v>3</v>
      </c>
      <c r="T764" s="322">
        <f>Councils!U767</f>
        <v>1</v>
      </c>
      <c r="U764" s="323">
        <f>Councils!V767</f>
        <v>0</v>
      </c>
      <c r="V764" s="376">
        <v>24</v>
      </c>
      <c r="W764" s="377">
        <f t="shared" si="11"/>
        <v>1</v>
      </c>
      <c r="X764" s="378" t="str">
        <f>IF(ISNA(VLOOKUP($A764,GA!$A$1:$D$834,3,0))," ",VLOOKUP($A764,GA!$A$1:$D$834,3,0))</f>
        <v>Stark</v>
      </c>
      <c r="Y764" s="379" t="str">
        <f>IF(ISNA(VLOOKUP($A764,Dormant_Councils!$A$1:$E$811,5,0)),"No",VLOOKUP($A764,Dormant_Councils!$A$1:$E$811,5,0))</f>
        <v>No</v>
      </c>
      <c r="Z764" s="381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22" t="str">
        <f>Councils!C768</f>
        <v>078</v>
      </c>
      <c r="C765" s="322" t="str">
        <f>Councils!D768</f>
        <v>Houston</v>
      </c>
      <c r="D765" s="322" t="str">
        <f>IF(ISNA(VLOOKUP($V765,DD_Info!$A$1:$E$221,3,0)),0,VLOOKUP($V765,DD_Info!$A$1:$E$221,3,0))</f>
        <v>Galv/Hous</v>
      </c>
      <c r="E765" s="322">
        <f>Councils!E768</f>
        <v>60</v>
      </c>
      <c r="F765" s="322">
        <f>Councils!F768</f>
        <v>3</v>
      </c>
      <c r="G765" s="322">
        <f>Councils!G768</f>
        <v>0</v>
      </c>
      <c r="H765" s="322">
        <f>Councils!H768</f>
        <v>0</v>
      </c>
      <c r="I765" s="322">
        <f>Councils!I768</f>
        <v>0</v>
      </c>
      <c r="J765" s="322">
        <f>Councils!J768</f>
        <v>0</v>
      </c>
      <c r="K765" s="322">
        <f>Councils!K768</f>
        <v>0</v>
      </c>
      <c r="L765" s="322">
        <f>Councils!L768</f>
        <v>0</v>
      </c>
      <c r="M765" s="323">
        <f>Councils!M768</f>
        <v>0</v>
      </c>
      <c r="N765" s="322">
        <f>Councils!O768</f>
        <v>0</v>
      </c>
      <c r="O765" s="322">
        <f>Councils!P768</f>
        <v>0</v>
      </c>
      <c r="P765" s="322">
        <f>Councils!Q768</f>
        <v>0</v>
      </c>
      <c r="Q765" s="322">
        <f>Councils!R768</f>
        <v>0</v>
      </c>
      <c r="R765" s="322">
        <f>Councils!S768</f>
        <v>1</v>
      </c>
      <c r="S765" s="322">
        <f>Councils!T768</f>
        <v>0</v>
      </c>
      <c r="T765" s="322">
        <f>Councils!U768</f>
        <v>1</v>
      </c>
      <c r="U765" s="323">
        <f>Councils!V768</f>
        <v>0</v>
      </c>
      <c r="V765" s="376">
        <v>78</v>
      </c>
      <c r="W765" s="377">
        <f t="shared" si="11"/>
        <v>3</v>
      </c>
      <c r="X765" s="378" t="str">
        <f>IF(ISNA(VLOOKUP($A765,GA!$A$1:$D$834,3,0))," ",VLOOKUP($A765,GA!$A$1:$D$834,3,0))</f>
        <v>Rangel</v>
      </c>
      <c r="Y765" s="379" t="str">
        <f>IF(ISNA(VLOOKUP($A765,Dormant_Councils!$A$1:$E$811,5,0)),"No",VLOOKUP($A765,Dormant_Councils!$A$1:$E$811,5,0))</f>
        <v>No</v>
      </c>
      <c r="Z765" s="381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22" t="str">
        <f>Councils!C769</f>
        <v>009</v>
      </c>
      <c r="C766" s="322" t="str">
        <f>Councils!D769</f>
        <v>Fabens</v>
      </c>
      <c r="D766" s="322" t="str">
        <f>IF(ISNA(VLOOKUP($V766,DD_Info!$A$1:$E$221,3,0)),0,VLOOKUP($V766,DD_Info!$A$1:$E$221,3,0))</f>
        <v>El Paso</v>
      </c>
      <c r="E766" s="322">
        <f>Councils!E769</f>
        <v>27</v>
      </c>
      <c r="F766" s="322">
        <f>Councils!F769</f>
        <v>3</v>
      </c>
      <c r="G766" s="322">
        <f>Councils!G769</f>
        <v>0</v>
      </c>
      <c r="H766" s="322">
        <f>Councils!H769</f>
        <v>0</v>
      </c>
      <c r="I766" s="322">
        <f>Councils!I769</f>
        <v>0</v>
      </c>
      <c r="J766" s="322">
        <f>Councils!J769</f>
        <v>0</v>
      </c>
      <c r="K766" s="322">
        <f>Councils!K769</f>
        <v>0</v>
      </c>
      <c r="L766" s="322">
        <f>Councils!L769</f>
        <v>0</v>
      </c>
      <c r="M766" s="323">
        <f>Councils!M769</f>
        <v>0</v>
      </c>
      <c r="N766" s="322">
        <f>Councils!O769</f>
        <v>0</v>
      </c>
      <c r="O766" s="322">
        <f>Councils!P769</f>
        <v>0</v>
      </c>
      <c r="P766" s="322">
        <f>Councils!Q769</f>
        <v>1</v>
      </c>
      <c r="Q766" s="322">
        <f>Councils!R769</f>
        <v>-1</v>
      </c>
      <c r="R766" s="322">
        <f>Councils!S769</f>
        <v>0</v>
      </c>
      <c r="S766" s="322">
        <f>Councils!T769</f>
        <v>1</v>
      </c>
      <c r="T766" s="322">
        <f>Councils!U769</f>
        <v>-1</v>
      </c>
      <c r="U766" s="323">
        <f>Councils!V769</f>
        <v>0</v>
      </c>
      <c r="V766" s="376">
        <v>9</v>
      </c>
      <c r="W766" s="377">
        <f t="shared" si="11"/>
        <v>3</v>
      </c>
      <c r="X766" s="378" t="str">
        <f>IF(ISNA(VLOOKUP($A766,GA!$A$1:$D$834,3,0))," ",VLOOKUP($A766,GA!$A$1:$D$834,3,0))</f>
        <v>Payne</v>
      </c>
      <c r="Y766" s="379" t="str">
        <f>IF(ISNA(VLOOKUP($A766,Dormant_Councils!$A$1:$E$811,5,0)),"No",VLOOKUP($A766,Dormant_Councils!$A$1:$E$811,5,0))</f>
        <v>No</v>
      </c>
      <c r="Z766" s="381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22" t="str">
        <f>Councils!C770</f>
        <v>168</v>
      </c>
      <c r="C767" s="322" t="str">
        <f>Councils!D770</f>
        <v>Corpus Christi</v>
      </c>
      <c r="D767" s="322" t="str">
        <f>IF(ISNA(VLOOKUP($V767,DD_Info!$A$1:$E$221,3,0)),0,VLOOKUP($V767,DD_Info!$A$1:$E$221,3,0))</f>
        <v>Corpus Christi</v>
      </c>
      <c r="E767" s="322">
        <f>Councils!E770</f>
        <v>29</v>
      </c>
      <c r="F767" s="322">
        <f>Councils!F770</f>
        <v>3</v>
      </c>
      <c r="G767" s="322">
        <f>Councils!G770</f>
        <v>0</v>
      </c>
      <c r="H767" s="322">
        <f>Councils!H770</f>
        <v>0</v>
      </c>
      <c r="I767" s="322">
        <f>Councils!I770</f>
        <v>0</v>
      </c>
      <c r="J767" s="322">
        <f>Councils!J770</f>
        <v>0</v>
      </c>
      <c r="K767" s="322">
        <f>Councils!K770</f>
        <v>0</v>
      </c>
      <c r="L767" s="322">
        <f>Councils!L770</f>
        <v>0</v>
      </c>
      <c r="M767" s="323">
        <f>Councils!M770</f>
        <v>0</v>
      </c>
      <c r="N767" s="322">
        <f>Councils!O770</f>
        <v>0</v>
      </c>
      <c r="O767" s="322">
        <f>Councils!P770</f>
        <v>0</v>
      </c>
      <c r="P767" s="322">
        <f>Councils!Q770</f>
        <v>0</v>
      </c>
      <c r="Q767" s="322">
        <f>Councils!R770</f>
        <v>0</v>
      </c>
      <c r="R767" s="322">
        <f>Councils!S770</f>
        <v>0</v>
      </c>
      <c r="S767" s="322">
        <f>Councils!T770</f>
        <v>0</v>
      </c>
      <c r="T767" s="322">
        <f>Councils!U770</f>
        <v>0</v>
      </c>
      <c r="U767" s="323">
        <f>Councils!V770</f>
        <v>0</v>
      </c>
      <c r="V767" s="376">
        <v>168</v>
      </c>
      <c r="W767" s="377">
        <f t="shared" si="11"/>
        <v>3</v>
      </c>
      <c r="X767" s="378" t="str">
        <f>IF(ISNA(VLOOKUP($A767,GA!$A$1:$D$834,3,0))," ",VLOOKUP($A767,GA!$A$1:$D$834,3,0))</f>
        <v>Carlin</v>
      </c>
      <c r="Y767" s="379" t="str">
        <f>IF(ISNA(VLOOKUP($A767,Dormant_Councils!$A$1:$E$811,5,0)),"No",VLOOKUP($A767,Dormant_Councils!$A$1:$E$811,5,0))</f>
        <v>Dormant</v>
      </c>
      <c r="Z767" s="381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22" t="str">
        <f>Councils!C771</f>
        <v>104</v>
      </c>
      <c r="C768" s="322" t="str">
        <f>Councils!D771</f>
        <v>Dallas</v>
      </c>
      <c r="D768" s="322" t="str">
        <f>IF(ISNA(VLOOKUP($V768,DD_Info!$A$1:$E$221,3,0)),0,VLOOKUP($V768,DD_Info!$A$1:$E$221,3,0))</f>
        <v>Dallas</v>
      </c>
      <c r="E768" s="322">
        <f>Councils!E771</f>
        <v>54</v>
      </c>
      <c r="F768" s="322">
        <f>Councils!F771</f>
        <v>3</v>
      </c>
      <c r="G768" s="322">
        <f>Councils!G771</f>
        <v>0</v>
      </c>
      <c r="H768" s="322">
        <f>Councils!H771</f>
        <v>0</v>
      </c>
      <c r="I768" s="322">
        <f>Councils!I771</f>
        <v>0</v>
      </c>
      <c r="J768" s="322">
        <f>Councils!J771</f>
        <v>0</v>
      </c>
      <c r="K768" s="322">
        <f>Councils!K771</f>
        <v>0</v>
      </c>
      <c r="L768" s="322">
        <f>Councils!L771</f>
        <v>0</v>
      </c>
      <c r="M768" s="323">
        <f>Councils!M771</f>
        <v>0</v>
      </c>
      <c r="N768" s="322">
        <f>Councils!O771</f>
        <v>0</v>
      </c>
      <c r="O768" s="322">
        <f>Councils!P771</f>
        <v>0</v>
      </c>
      <c r="P768" s="322">
        <f>Councils!Q771</f>
        <v>0</v>
      </c>
      <c r="Q768" s="322">
        <f>Councils!R771</f>
        <v>0</v>
      </c>
      <c r="R768" s="322">
        <f>Councils!S771</f>
        <v>0</v>
      </c>
      <c r="S768" s="322">
        <f>Councils!T771</f>
        <v>0</v>
      </c>
      <c r="T768" s="322">
        <f>Councils!U771</f>
        <v>0</v>
      </c>
      <c r="U768" s="323">
        <f>Councils!V771</f>
        <v>0</v>
      </c>
      <c r="V768" s="376">
        <v>104</v>
      </c>
      <c r="W768" s="377">
        <f t="shared" si="11"/>
        <v>3</v>
      </c>
      <c r="X768" s="378" t="str">
        <f>IF(ISNA(VLOOKUP($A768,GA!$A$1:$D$834,3,0))," ",VLOOKUP($A768,GA!$A$1:$D$834,3,0))</f>
        <v>Regan</v>
      </c>
      <c r="Y768" s="379" t="str">
        <f>IF(ISNA(VLOOKUP($A768,Dormant_Councils!$A$1:$E$811,5,0)),"No",VLOOKUP($A768,Dormant_Councils!$A$1:$E$811,5,0))</f>
        <v>No</v>
      </c>
      <c r="Z768" s="381" t="str">
        <f>IF(ISNA(VLOOKUP($A768,SUSPENDED!$A$2:$F$837,6,0))," ",VLOOKUP($A768,SUSPENDED!$A$2:$F$837,6,0))</f>
        <v xml:space="preserve"> </v>
      </c>
    </row>
    <row r="769" spans="1:26" s="51" customFormat="1" ht="29.1" customHeight="1" thickBot="1">
      <c r="A769" s="45">
        <v>15876</v>
      </c>
      <c r="B769" s="322" t="str">
        <f>Councils!C772</f>
        <v>244</v>
      </c>
      <c r="C769" s="322" t="str">
        <f>Councils!D772</f>
        <v>Lubbock</v>
      </c>
      <c r="D769" s="322" t="str">
        <f>IF(ISNA(VLOOKUP($V769,DD_Info!$A$1:$E$221,3,0)),0,VLOOKUP($V769,DD_Info!$A$1:$E$221,3,0))</f>
        <v>Lubbock</v>
      </c>
      <c r="E769" s="322">
        <f>Councils!E772</f>
        <v>52</v>
      </c>
      <c r="F769" s="322">
        <f>Councils!F772</f>
        <v>3</v>
      </c>
      <c r="G769" s="322">
        <f>Councils!G772</f>
        <v>0</v>
      </c>
      <c r="H769" s="322">
        <f>Councils!H772</f>
        <v>0</v>
      </c>
      <c r="I769" s="322">
        <f>Councils!I772</f>
        <v>0</v>
      </c>
      <c r="J769" s="322">
        <f>Councils!J772</f>
        <v>0</v>
      </c>
      <c r="K769" s="322">
        <f>Councils!K772</f>
        <v>0</v>
      </c>
      <c r="L769" s="322">
        <f>Councils!L772</f>
        <v>0</v>
      </c>
      <c r="M769" s="323">
        <f>Councils!M772</f>
        <v>0</v>
      </c>
      <c r="N769" s="322">
        <f>Councils!O772</f>
        <v>0</v>
      </c>
      <c r="O769" s="322">
        <f>Councils!P772</f>
        <v>0</v>
      </c>
      <c r="P769" s="322">
        <f>Councils!Q772</f>
        <v>0</v>
      </c>
      <c r="Q769" s="322">
        <f>Councils!R772</f>
        <v>0</v>
      </c>
      <c r="R769" s="322">
        <f>Councils!S772</f>
        <v>0</v>
      </c>
      <c r="S769" s="322">
        <f>Councils!T772</f>
        <v>1</v>
      </c>
      <c r="T769" s="322">
        <f>Councils!U772</f>
        <v>-1</v>
      </c>
      <c r="U769" s="323">
        <f>Councils!V772</f>
        <v>0</v>
      </c>
      <c r="V769" s="376">
        <v>244</v>
      </c>
      <c r="W769" s="377">
        <f t="shared" si="11"/>
        <v>3</v>
      </c>
      <c r="X769" s="378" t="str">
        <f>IF(ISNA(VLOOKUP($A769,GA!$A$1:$D$834,3,0))," ",VLOOKUP($A769,GA!$A$1:$D$834,3,0))</f>
        <v>Payne</v>
      </c>
      <c r="Y769" s="379" t="str">
        <f>IF(ISNA(VLOOKUP($A769,Dormant_Councils!$A$1:$E$811,5,0)),"No",VLOOKUP($A769,Dormant_Councils!$A$1:$E$811,5,0))</f>
        <v>No</v>
      </c>
      <c r="Z769" s="381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22" t="str">
        <f>Councils!C773</f>
        <v>018</v>
      </c>
      <c r="C770" s="322" t="str">
        <f>Councils!D773</f>
        <v>Fort Worth</v>
      </c>
      <c r="D770" s="322" t="str">
        <f>IF(ISNA(VLOOKUP($V770,DD_Info!$A$1:$E$221,3,0)),0,VLOOKUP($V770,DD_Info!$A$1:$E$221,3,0))</f>
        <v>Fort Worth</v>
      </c>
      <c r="E770" s="322">
        <f>Councils!E773</f>
        <v>100</v>
      </c>
      <c r="F770" s="322">
        <f>Councils!F773</f>
        <v>5</v>
      </c>
      <c r="G770" s="322">
        <f>Councils!G773</f>
        <v>0</v>
      </c>
      <c r="H770" s="322">
        <f>Councils!H773</f>
        <v>0</v>
      </c>
      <c r="I770" s="322">
        <f>Councils!I773</f>
        <v>0</v>
      </c>
      <c r="J770" s="322">
        <f>Councils!J773</f>
        <v>0</v>
      </c>
      <c r="K770" s="322">
        <f>Councils!K773</f>
        <v>0</v>
      </c>
      <c r="L770" s="322">
        <f>Councils!L773</f>
        <v>0</v>
      </c>
      <c r="M770" s="323">
        <f>Councils!M773</f>
        <v>0</v>
      </c>
      <c r="N770" s="322">
        <f>Councils!O773</f>
        <v>0</v>
      </c>
      <c r="O770" s="322">
        <f>Councils!P773</f>
        <v>0</v>
      </c>
      <c r="P770" s="322">
        <f>Councils!Q773</f>
        <v>0</v>
      </c>
      <c r="Q770" s="322">
        <f>Councils!R773</f>
        <v>0</v>
      </c>
      <c r="R770" s="322">
        <f>Councils!S773</f>
        <v>0</v>
      </c>
      <c r="S770" s="322">
        <f>Councils!T773</f>
        <v>0</v>
      </c>
      <c r="T770" s="322">
        <f>Councils!U773</f>
        <v>0</v>
      </c>
      <c r="U770" s="323">
        <f>Councils!V773</f>
        <v>0</v>
      </c>
      <c r="V770" s="376">
        <v>18</v>
      </c>
      <c r="W770" s="377">
        <f t="shared" si="11"/>
        <v>2</v>
      </c>
      <c r="X770" s="378" t="str">
        <f>IF(ISNA(VLOOKUP($A770,GA!$A$1:$D$834,3,0))," ",VLOOKUP($A770,GA!$A$1:$D$834,3,0))</f>
        <v>Stark</v>
      </c>
      <c r="Y770" s="379" t="str">
        <f>IF(ISNA(VLOOKUP($A770,Dormant_Councils!$A$1:$E$811,5,0)),"No",VLOOKUP($A770,Dormant_Councils!$A$1:$E$811,5,0))</f>
        <v>No</v>
      </c>
      <c r="Z770" s="381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22" t="str">
        <f>Councils!C774</f>
        <v>078</v>
      </c>
      <c r="C771" s="322" t="str">
        <f>Councils!D774</f>
        <v>Houston</v>
      </c>
      <c r="D771" s="322" t="str">
        <f>IF(ISNA(VLOOKUP($V771,DD_Info!$A$1:$E$221,3,0)),0,VLOOKUP($V771,DD_Info!$A$1:$E$221,3,0))</f>
        <v>Galv/Hous</v>
      </c>
      <c r="E771" s="322">
        <f>Councils!E774</f>
        <v>45</v>
      </c>
      <c r="F771" s="322">
        <f>Councils!F774</f>
        <v>3</v>
      </c>
      <c r="G771" s="322">
        <f>Councils!G774</f>
        <v>0</v>
      </c>
      <c r="H771" s="322">
        <f>Councils!H774</f>
        <v>0</v>
      </c>
      <c r="I771" s="322">
        <f>Councils!I774</f>
        <v>0</v>
      </c>
      <c r="J771" s="322">
        <f>Councils!J774</f>
        <v>2</v>
      </c>
      <c r="K771" s="322">
        <f>Councils!K774</f>
        <v>0</v>
      </c>
      <c r="L771" s="322">
        <f>Councils!L774</f>
        <v>2</v>
      </c>
      <c r="M771" s="323">
        <f>Councils!M774</f>
        <v>66.67</v>
      </c>
      <c r="N771" s="322">
        <f>Councils!O774</f>
        <v>0</v>
      </c>
      <c r="O771" s="322">
        <f>Councils!P774</f>
        <v>0</v>
      </c>
      <c r="P771" s="322">
        <f>Councils!Q774</f>
        <v>0</v>
      </c>
      <c r="Q771" s="322">
        <f>Councils!R774</f>
        <v>0</v>
      </c>
      <c r="R771" s="322">
        <f>Councils!S774</f>
        <v>0</v>
      </c>
      <c r="S771" s="322">
        <f>Councils!T774</f>
        <v>0</v>
      </c>
      <c r="T771" s="322">
        <f>Councils!U774</f>
        <v>0</v>
      </c>
      <c r="U771" s="323">
        <f>Councils!V774</f>
        <v>0</v>
      </c>
      <c r="V771" s="376">
        <v>78</v>
      </c>
      <c r="W771" s="377">
        <f t="shared" ref="W771:W800" si="12">_xlfn.IFS($E771&gt;=140,1,$E771&gt;65,2,$E771&lt;=65,3)</f>
        <v>3</v>
      </c>
      <c r="X771" s="378" t="str">
        <f>IF(ISNA(VLOOKUP($A771,GA!$A$1:$D$834,3,0))," ",VLOOKUP($A771,GA!$A$1:$D$834,3,0))</f>
        <v>Rangel</v>
      </c>
      <c r="Y771" s="379" t="str">
        <f>IF(ISNA(VLOOKUP($A771,Dormant_Councils!$A$1:$E$811,5,0)),"No",VLOOKUP($A771,Dormant_Councils!$A$1:$E$811,5,0))</f>
        <v>No</v>
      </c>
      <c r="Z771" s="381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22" t="str">
        <f>Councils!C775</f>
        <v>001</v>
      </c>
      <c r="C772" s="322" t="str">
        <f>Councils!D775</f>
        <v>El Paso</v>
      </c>
      <c r="D772" s="322" t="str">
        <f>IF(ISNA(VLOOKUP($V772,DD_Info!$A$1:$E$221,3,0)),0,VLOOKUP($V772,DD_Info!$A$1:$E$221,3,0))</f>
        <v>El Paso</v>
      </c>
      <c r="E772" s="322">
        <f>Councils!E775</f>
        <v>48</v>
      </c>
      <c r="F772" s="322">
        <f>Councils!F775</f>
        <v>3</v>
      </c>
      <c r="G772" s="322">
        <f>Councils!G775</f>
        <v>0</v>
      </c>
      <c r="H772" s="322">
        <f>Councils!H775</f>
        <v>1</v>
      </c>
      <c r="I772" s="322">
        <f>Councils!I775</f>
        <v>-1</v>
      </c>
      <c r="J772" s="322">
        <f>Councils!J775</f>
        <v>3</v>
      </c>
      <c r="K772" s="322">
        <f>Councils!K775</f>
        <v>2</v>
      </c>
      <c r="L772" s="322">
        <f>Councils!L775</f>
        <v>1</v>
      </c>
      <c r="M772" s="323">
        <f>Councils!M775</f>
        <v>33.33</v>
      </c>
      <c r="N772" s="322">
        <f>Councils!O775</f>
        <v>0</v>
      </c>
      <c r="O772" s="322">
        <f>Councils!P775</f>
        <v>1</v>
      </c>
      <c r="P772" s="322">
        <f>Councils!Q775</f>
        <v>1</v>
      </c>
      <c r="Q772" s="322">
        <f>Councils!R775</f>
        <v>0</v>
      </c>
      <c r="R772" s="322">
        <f>Councils!S775</f>
        <v>1</v>
      </c>
      <c r="S772" s="322">
        <f>Councils!T775</f>
        <v>1</v>
      </c>
      <c r="T772" s="322">
        <f>Councils!U775</f>
        <v>0</v>
      </c>
      <c r="U772" s="323">
        <f>Councils!V775</f>
        <v>0</v>
      </c>
      <c r="V772" s="376">
        <v>1</v>
      </c>
      <c r="W772" s="377">
        <f t="shared" si="12"/>
        <v>3</v>
      </c>
      <c r="X772" s="378" t="str">
        <f>IF(ISNA(VLOOKUP($A772,GA!$A$1:$D$834,3,0))," ",VLOOKUP($A772,GA!$A$1:$D$834,3,0))</f>
        <v>Payne</v>
      </c>
      <c r="Y772" s="379" t="str">
        <f>IF(ISNA(VLOOKUP($A772,Dormant_Councils!$A$1:$E$811,5,0)),"No",VLOOKUP($A772,Dormant_Councils!$A$1:$E$811,5,0))</f>
        <v>No</v>
      </c>
      <c r="Z772" s="381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22" t="str">
        <f>Councils!C776</f>
        <v>020</v>
      </c>
      <c r="C773" s="322" t="str">
        <f>Councils!D776</f>
        <v>Cleburne</v>
      </c>
      <c r="D773" s="322" t="str">
        <f>IF(ISNA(VLOOKUP($V773,DD_Info!$A$1:$E$221,3,0)),0,VLOOKUP($V773,DD_Info!$A$1:$E$221,3,0))</f>
        <v>Fort Worth</v>
      </c>
      <c r="E773" s="322">
        <f>Councils!E776</f>
        <v>62</v>
      </c>
      <c r="F773" s="322">
        <f>Councils!F776</f>
        <v>3</v>
      </c>
      <c r="G773" s="322">
        <f>Councils!G776</f>
        <v>1</v>
      </c>
      <c r="H773" s="322">
        <f>Councils!H776</f>
        <v>0</v>
      </c>
      <c r="I773" s="322">
        <f>Councils!I776</f>
        <v>1</v>
      </c>
      <c r="J773" s="322">
        <f>Councils!J776</f>
        <v>1</v>
      </c>
      <c r="K773" s="322">
        <f>Councils!K776</f>
        <v>0</v>
      </c>
      <c r="L773" s="322">
        <f>Councils!L776</f>
        <v>1</v>
      </c>
      <c r="M773" s="323">
        <f>Councils!M776</f>
        <v>33.33</v>
      </c>
      <c r="N773" s="322">
        <f>Councils!O776</f>
        <v>0</v>
      </c>
      <c r="O773" s="322">
        <f>Councils!P776</f>
        <v>0</v>
      </c>
      <c r="P773" s="322">
        <f>Councils!Q776</f>
        <v>0</v>
      </c>
      <c r="Q773" s="322">
        <f>Councils!R776</f>
        <v>0</v>
      </c>
      <c r="R773" s="322">
        <f>Councils!S776</f>
        <v>2</v>
      </c>
      <c r="S773" s="322">
        <f>Councils!T776</f>
        <v>0</v>
      </c>
      <c r="T773" s="322">
        <f>Councils!U776</f>
        <v>2</v>
      </c>
      <c r="U773" s="323">
        <f>Councils!V776</f>
        <v>0</v>
      </c>
      <c r="V773" s="376">
        <v>20</v>
      </c>
      <c r="W773" s="377">
        <f t="shared" si="12"/>
        <v>3</v>
      </c>
      <c r="X773" s="378" t="str">
        <f>IF(ISNA(VLOOKUP($A773,GA!$A$1:$D$834,3,0))," ",VLOOKUP($A773,GA!$A$1:$D$834,3,0))</f>
        <v>Stark</v>
      </c>
      <c r="Y773" s="379" t="str">
        <f>IF(ISNA(VLOOKUP($A773,Dormant_Councils!$A$1:$E$811,5,0)),"No",VLOOKUP($A773,Dormant_Councils!$A$1:$E$811,5,0))</f>
        <v>No</v>
      </c>
      <c r="Z773" s="381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22" t="str">
        <f>Councils!C777</f>
        <v>101</v>
      </c>
      <c r="C774" s="322" t="str">
        <f>Councils!D777</f>
        <v>Van Alstyne</v>
      </c>
      <c r="D774" s="322" t="str">
        <f>IF(ISNA(VLOOKUP($V774,DD_Info!$A$1:$E$221,3,0)),0,VLOOKUP($V774,DD_Info!$A$1:$E$221,3,0))</f>
        <v>Dallas</v>
      </c>
      <c r="E774" s="322">
        <f>Councils!E777</f>
        <v>67</v>
      </c>
      <c r="F774" s="322">
        <f>Councils!F777</f>
        <v>3</v>
      </c>
      <c r="G774" s="322">
        <f>Councils!G777</f>
        <v>0</v>
      </c>
      <c r="H774" s="322">
        <f>Councils!H777</f>
        <v>0</v>
      </c>
      <c r="I774" s="322">
        <f>Councils!I777</f>
        <v>0</v>
      </c>
      <c r="J774" s="322">
        <f>Councils!J777</f>
        <v>0</v>
      </c>
      <c r="K774" s="322">
        <f>Councils!K777</f>
        <v>0</v>
      </c>
      <c r="L774" s="322">
        <f>Councils!L777</f>
        <v>0</v>
      </c>
      <c r="M774" s="323">
        <f>Councils!M777</f>
        <v>0</v>
      </c>
      <c r="N774" s="322">
        <f>Councils!O777</f>
        <v>0</v>
      </c>
      <c r="O774" s="322">
        <f>Councils!P777</f>
        <v>0</v>
      </c>
      <c r="P774" s="322">
        <f>Councils!Q777</f>
        <v>0</v>
      </c>
      <c r="Q774" s="322">
        <f>Councils!R777</f>
        <v>0</v>
      </c>
      <c r="R774" s="322">
        <f>Councils!S777</f>
        <v>2</v>
      </c>
      <c r="S774" s="322">
        <f>Councils!T777</f>
        <v>2</v>
      </c>
      <c r="T774" s="322">
        <f>Councils!U777</f>
        <v>0</v>
      </c>
      <c r="U774" s="323">
        <f>Councils!V777</f>
        <v>0</v>
      </c>
      <c r="V774" s="376">
        <v>101</v>
      </c>
      <c r="W774" s="377">
        <f t="shared" si="12"/>
        <v>2</v>
      </c>
      <c r="X774" s="378" t="str">
        <f>IF(ISNA(VLOOKUP($A774,GA!$A$1:$D$834,3,0))," ",VLOOKUP($A774,GA!$A$1:$D$834,3,0))</f>
        <v>Regan</v>
      </c>
      <c r="Y774" s="379" t="str">
        <f>IF(ISNA(VLOOKUP($A774,Dormant_Councils!$A$1:$E$811,5,0)),"No",VLOOKUP($A774,Dormant_Councils!$A$1:$E$811,5,0))</f>
        <v>No</v>
      </c>
      <c r="Z774" s="381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22" t="str">
        <f>Councils!C778</f>
        <v>034</v>
      </c>
      <c r="C775" s="322" t="str">
        <f>Councils!D778</f>
        <v>San Antonio</v>
      </c>
      <c r="D775" s="322" t="str">
        <f>IF(ISNA(VLOOKUP($V775,DD_Info!$A$1:$E$221,3,0)),0,VLOOKUP($V775,DD_Info!$A$1:$E$221,3,0))</f>
        <v>San Antonio</v>
      </c>
      <c r="E775" s="322">
        <f>Councils!E778</f>
        <v>25</v>
      </c>
      <c r="F775" s="322">
        <f>Councils!F778</f>
        <v>3</v>
      </c>
      <c r="G775" s="322">
        <f>Councils!G778</f>
        <v>0</v>
      </c>
      <c r="H775" s="322">
        <f>Councils!H778</f>
        <v>0</v>
      </c>
      <c r="I775" s="322">
        <f>Councils!I778</f>
        <v>0</v>
      </c>
      <c r="J775" s="322">
        <f>Councils!J778</f>
        <v>0</v>
      </c>
      <c r="K775" s="322">
        <f>Councils!K778</f>
        <v>0</v>
      </c>
      <c r="L775" s="322">
        <f>Councils!L778</f>
        <v>0</v>
      </c>
      <c r="M775" s="323">
        <f>Councils!M778</f>
        <v>0</v>
      </c>
      <c r="N775" s="322">
        <f>Councils!O778</f>
        <v>0</v>
      </c>
      <c r="O775" s="322">
        <f>Councils!P778</f>
        <v>0</v>
      </c>
      <c r="P775" s="322">
        <f>Councils!Q778</f>
        <v>0</v>
      </c>
      <c r="Q775" s="322">
        <f>Councils!R778</f>
        <v>0</v>
      </c>
      <c r="R775" s="322">
        <f>Councils!S778</f>
        <v>1</v>
      </c>
      <c r="S775" s="322">
        <f>Councils!T778</f>
        <v>0</v>
      </c>
      <c r="T775" s="322">
        <f>Councils!U778</f>
        <v>1</v>
      </c>
      <c r="U775" s="323">
        <f>Councils!V778</f>
        <v>0</v>
      </c>
      <c r="V775" s="376">
        <v>34</v>
      </c>
      <c r="W775" s="377">
        <f t="shared" si="12"/>
        <v>3</v>
      </c>
      <c r="X775" s="378" t="str">
        <f>IF(ISNA(VLOOKUP($A775,GA!$A$1:$D$834,3,0))," ",VLOOKUP($A775,GA!$A$1:$D$834,3,0))</f>
        <v>Dougherty</v>
      </c>
      <c r="Y775" s="379" t="str">
        <f>IF(ISNA(VLOOKUP($A775,Dormant_Councils!$A$1:$E$811,5,0)),"No",VLOOKUP($A775,Dormant_Councils!$A$1:$E$811,5,0))</f>
        <v>Dormant</v>
      </c>
      <c r="Z775" s="381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22" t="str">
        <f>Councils!C779</f>
        <v>236</v>
      </c>
      <c r="C776" s="322" t="str">
        <f>Councils!D779</f>
        <v>Laredo</v>
      </c>
      <c r="D776" s="322" t="str">
        <f>IF(ISNA(VLOOKUP($V776,DD_Info!$A$1:$E$221,3,0)),0,VLOOKUP($V776,DD_Info!$A$1:$E$221,3,0))</f>
        <v>Laredo</v>
      </c>
      <c r="E776" s="322">
        <f>Councils!E779</f>
        <v>23</v>
      </c>
      <c r="F776" s="322">
        <f>Councils!F779</f>
        <v>3</v>
      </c>
      <c r="G776" s="322">
        <f>Councils!G779</f>
        <v>0</v>
      </c>
      <c r="H776" s="322">
        <f>Councils!H779</f>
        <v>0</v>
      </c>
      <c r="I776" s="322">
        <f>Councils!I779</f>
        <v>0</v>
      </c>
      <c r="J776" s="322">
        <f>Councils!J779</f>
        <v>0</v>
      </c>
      <c r="K776" s="322">
        <f>Councils!K779</f>
        <v>0</v>
      </c>
      <c r="L776" s="322">
        <f>Councils!L779</f>
        <v>0</v>
      </c>
      <c r="M776" s="323">
        <f>Councils!M779</f>
        <v>0</v>
      </c>
      <c r="N776" s="322">
        <f>Councils!O779</f>
        <v>0</v>
      </c>
      <c r="O776" s="322">
        <f>Councils!P779</f>
        <v>0</v>
      </c>
      <c r="P776" s="322">
        <f>Councils!Q779</f>
        <v>0</v>
      </c>
      <c r="Q776" s="322">
        <f>Councils!R779</f>
        <v>0</v>
      </c>
      <c r="R776" s="322">
        <f>Councils!S779</f>
        <v>0</v>
      </c>
      <c r="S776" s="322">
        <f>Councils!T779</f>
        <v>0</v>
      </c>
      <c r="T776" s="322">
        <f>Councils!U779</f>
        <v>0</v>
      </c>
      <c r="U776" s="323">
        <f>Councils!V779</f>
        <v>0</v>
      </c>
      <c r="V776" s="376">
        <v>236</v>
      </c>
      <c r="W776" s="377">
        <f t="shared" si="12"/>
        <v>3</v>
      </c>
      <c r="X776" s="378" t="str">
        <f>IF(ISNA(VLOOKUP($A776,GA!$A$1:$D$834,3,0))," ",VLOOKUP($A776,GA!$A$1:$D$834,3,0))</f>
        <v>Carlin</v>
      </c>
      <c r="Y776" s="379" t="str">
        <f>IF(ISNA(VLOOKUP($A776,Dormant_Councils!$A$1:$E$811,5,0)),"No",VLOOKUP($A776,Dormant_Councils!$A$1:$E$811,5,0))</f>
        <v>Dormant</v>
      </c>
      <c r="Z776" s="381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22" t="str">
        <f>Councils!C780</f>
        <v>132</v>
      </c>
      <c r="C777" s="322" t="str">
        <f>Councils!D780</f>
        <v>Emory</v>
      </c>
      <c r="D777" s="322" t="str">
        <f>IF(ISNA(VLOOKUP($V777,DD_Info!$A$1:$E$221,3,0)),0,VLOOKUP($V777,DD_Info!$A$1:$E$221,3,0))</f>
        <v>Tyler</v>
      </c>
      <c r="E777" s="322">
        <f>Councils!E780</f>
        <v>59</v>
      </c>
      <c r="F777" s="322">
        <f>Councils!F780</f>
        <v>3</v>
      </c>
      <c r="G777" s="322">
        <f>Councils!G780</f>
        <v>1</v>
      </c>
      <c r="H777" s="322">
        <f>Councils!H780</f>
        <v>0</v>
      </c>
      <c r="I777" s="322">
        <f>Councils!I780</f>
        <v>1</v>
      </c>
      <c r="J777" s="322">
        <f>Councils!J780</f>
        <v>3</v>
      </c>
      <c r="K777" s="322">
        <f>Councils!K780</f>
        <v>2</v>
      </c>
      <c r="L777" s="322">
        <f>Councils!L780</f>
        <v>1</v>
      </c>
      <c r="M777" s="323">
        <f>Councils!M780</f>
        <v>33.33</v>
      </c>
      <c r="N777" s="322">
        <f>Councils!O780</f>
        <v>0</v>
      </c>
      <c r="O777" s="322">
        <f>Councils!P780</f>
        <v>0</v>
      </c>
      <c r="P777" s="322">
        <f>Councils!Q780</f>
        <v>0</v>
      </c>
      <c r="Q777" s="322">
        <f>Councils!R780</f>
        <v>0</v>
      </c>
      <c r="R777" s="322">
        <f>Councils!S780</f>
        <v>1</v>
      </c>
      <c r="S777" s="322">
        <f>Councils!T780</f>
        <v>1</v>
      </c>
      <c r="T777" s="322">
        <f>Councils!U780</f>
        <v>0</v>
      </c>
      <c r="U777" s="323">
        <f>Councils!V780</f>
        <v>0</v>
      </c>
      <c r="V777" s="376">
        <v>132</v>
      </c>
      <c r="W777" s="377">
        <f t="shared" si="12"/>
        <v>3</v>
      </c>
      <c r="X777" s="378" t="str">
        <f>IF(ISNA(VLOOKUP($A777,GA!$A$1:$D$834,3,0))," ",VLOOKUP($A777,GA!$A$1:$D$834,3,0))</f>
        <v>Regan</v>
      </c>
      <c r="Y777" s="379" t="str">
        <f>IF(ISNA(VLOOKUP($A777,Dormant_Councils!$A$1:$E$811,5,0)),"No",VLOOKUP($A777,Dormant_Councils!$A$1:$E$811,5,0))</f>
        <v>No</v>
      </c>
      <c r="Z777" s="381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22" t="str">
        <f>Councils!C781</f>
        <v>085</v>
      </c>
      <c r="C778" s="322" t="str">
        <f>Councils!D781</f>
        <v>Fulshear</v>
      </c>
      <c r="D778" s="322" t="str">
        <f>IF(ISNA(VLOOKUP($V778,DD_Info!$A$1:$E$221,3,0)),0,VLOOKUP($V778,DD_Info!$A$1:$E$221,3,0))</f>
        <v>Galv/Hous</v>
      </c>
      <c r="E778" s="322">
        <f>Councils!E781</f>
        <v>262</v>
      </c>
      <c r="F778" s="322">
        <f>Councils!F781</f>
        <v>13</v>
      </c>
      <c r="G778" s="322">
        <f>Councils!G781</f>
        <v>0</v>
      </c>
      <c r="H778" s="322">
        <f>Councils!H781</f>
        <v>0</v>
      </c>
      <c r="I778" s="322">
        <f>Councils!I781</f>
        <v>0</v>
      </c>
      <c r="J778" s="322">
        <f>Councils!J781</f>
        <v>0</v>
      </c>
      <c r="K778" s="322">
        <f>Councils!K781</f>
        <v>0</v>
      </c>
      <c r="L778" s="322">
        <f>Councils!L781</f>
        <v>0</v>
      </c>
      <c r="M778" s="323">
        <f>Councils!M781</f>
        <v>0</v>
      </c>
      <c r="N778" s="322">
        <f>Councils!O781</f>
        <v>0</v>
      </c>
      <c r="O778" s="322">
        <f>Councils!P781</f>
        <v>0</v>
      </c>
      <c r="P778" s="322">
        <f>Councils!Q781</f>
        <v>0</v>
      </c>
      <c r="Q778" s="322">
        <f>Councils!R781</f>
        <v>0</v>
      </c>
      <c r="R778" s="322">
        <f>Councils!S781</f>
        <v>4</v>
      </c>
      <c r="S778" s="322">
        <f>Councils!T781</f>
        <v>1</v>
      </c>
      <c r="T778" s="322">
        <f>Councils!U781</f>
        <v>3</v>
      </c>
      <c r="U778" s="323">
        <f>Councils!V781</f>
        <v>0</v>
      </c>
      <c r="V778" s="376">
        <v>85</v>
      </c>
      <c r="W778" s="377">
        <f t="shared" si="12"/>
        <v>1</v>
      </c>
      <c r="X778" s="378" t="str">
        <f>IF(ISNA(VLOOKUP($A778,GA!$A$1:$D$834,3,0))," ",VLOOKUP($A778,GA!$A$1:$D$834,3,0))</f>
        <v>Supak</v>
      </c>
      <c r="Y778" s="379" t="str">
        <f>IF(ISNA(VLOOKUP($A778,Dormant_Councils!$A$1:$E$811,5,0)),"No",VLOOKUP($A778,Dormant_Councils!$A$1:$E$811,5,0))</f>
        <v>No</v>
      </c>
      <c r="Z778" s="381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22" t="str">
        <f>Councils!C782</f>
        <v>067</v>
      </c>
      <c r="C779" s="322" t="str">
        <f>Councils!D782</f>
        <v>Galveston</v>
      </c>
      <c r="D779" s="322" t="str">
        <f>IF(ISNA(VLOOKUP($V779,DD_Info!$A$1:$E$221,3,0)),0,VLOOKUP($V779,DD_Info!$A$1:$E$221,3,0))</f>
        <v>Galv/Hous</v>
      </c>
      <c r="E779" s="322">
        <f>Councils!E782</f>
        <v>31</v>
      </c>
      <c r="F779" s="322">
        <f>Councils!F782</f>
        <v>3</v>
      </c>
      <c r="G779" s="322">
        <f>Councils!G782</f>
        <v>0</v>
      </c>
      <c r="H779" s="322">
        <f>Councils!H782</f>
        <v>0</v>
      </c>
      <c r="I779" s="322">
        <f>Councils!I782</f>
        <v>0</v>
      </c>
      <c r="J779" s="322">
        <f>Councils!J782</f>
        <v>2</v>
      </c>
      <c r="K779" s="322">
        <f>Councils!K782</f>
        <v>0</v>
      </c>
      <c r="L779" s="322">
        <f>Councils!L782</f>
        <v>2</v>
      </c>
      <c r="M779" s="323">
        <f>Councils!M782</f>
        <v>66.67</v>
      </c>
      <c r="N779" s="322">
        <f>Councils!O782</f>
        <v>0</v>
      </c>
      <c r="O779" s="322">
        <f>Councils!P782</f>
        <v>0</v>
      </c>
      <c r="P779" s="322">
        <f>Councils!Q782</f>
        <v>0</v>
      </c>
      <c r="Q779" s="322">
        <f>Councils!R782</f>
        <v>0</v>
      </c>
      <c r="R779" s="322">
        <f>Councils!S782</f>
        <v>1</v>
      </c>
      <c r="S779" s="322">
        <f>Councils!T782</f>
        <v>0</v>
      </c>
      <c r="T779" s="322">
        <f>Councils!U782</f>
        <v>1</v>
      </c>
      <c r="U779" s="323">
        <f>Councils!V782</f>
        <v>0</v>
      </c>
      <c r="V779" s="376">
        <v>67</v>
      </c>
      <c r="W779" s="377">
        <f t="shared" si="12"/>
        <v>3</v>
      </c>
      <c r="X779" s="378" t="str">
        <f>IF(ISNA(VLOOKUP($A779,GA!$A$1:$D$834,3,0))," ",VLOOKUP($A779,GA!$A$1:$D$834,3,0))</f>
        <v>Rangel</v>
      </c>
      <c r="Y779" s="379" t="str">
        <f>IF(ISNA(VLOOKUP($A779,Dormant_Councils!$A$1:$E$811,5,0)),"No",VLOOKUP($A779,Dormant_Councils!$A$1:$E$811,5,0))</f>
        <v>No</v>
      </c>
      <c r="Z779" s="381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22" t="str">
        <f>Councils!C783</f>
        <v>099</v>
      </c>
      <c r="C780" s="322" t="str">
        <f>Councils!D783</f>
        <v>Houston</v>
      </c>
      <c r="D780" s="322" t="str">
        <f>IF(ISNA(VLOOKUP($V780,DD_Info!$A$1:$E$221,3,0)),0,VLOOKUP($V780,DD_Info!$A$1:$E$221,3,0))</f>
        <v>Galv/Hous</v>
      </c>
      <c r="E780" s="322">
        <f>Councils!E783</f>
        <v>38</v>
      </c>
      <c r="F780" s="322">
        <f>Councils!F783</f>
        <v>3</v>
      </c>
      <c r="G780" s="322">
        <f>Councils!G783</f>
        <v>0</v>
      </c>
      <c r="H780" s="322">
        <f>Councils!H783</f>
        <v>0</v>
      </c>
      <c r="I780" s="322">
        <f>Councils!I783</f>
        <v>0</v>
      </c>
      <c r="J780" s="322">
        <f>Councils!J783</f>
        <v>0</v>
      </c>
      <c r="K780" s="322">
        <f>Councils!K783</f>
        <v>0</v>
      </c>
      <c r="L780" s="322">
        <f>Councils!L783</f>
        <v>0</v>
      </c>
      <c r="M780" s="323">
        <f>Councils!M783</f>
        <v>0</v>
      </c>
      <c r="N780" s="322">
        <f>Councils!O783</f>
        <v>0</v>
      </c>
      <c r="O780" s="322">
        <f>Councils!P783</f>
        <v>0</v>
      </c>
      <c r="P780" s="322">
        <f>Councils!Q783</f>
        <v>0</v>
      </c>
      <c r="Q780" s="322">
        <f>Councils!R783</f>
        <v>0</v>
      </c>
      <c r="R780" s="322">
        <f>Councils!S783</f>
        <v>0</v>
      </c>
      <c r="S780" s="322">
        <f>Councils!T783</f>
        <v>0</v>
      </c>
      <c r="T780" s="322">
        <f>Councils!U783</f>
        <v>0</v>
      </c>
      <c r="U780" s="323">
        <f>Councils!V783</f>
        <v>0</v>
      </c>
      <c r="V780" s="376">
        <v>99</v>
      </c>
      <c r="W780" s="377">
        <f t="shared" si="12"/>
        <v>3</v>
      </c>
      <c r="X780" s="378" t="str">
        <f>IF(ISNA(VLOOKUP($A780,GA!$A$1:$D$834,3,0))," ",VLOOKUP($A780,GA!$A$1:$D$834,3,0))</f>
        <v>Rangel</v>
      </c>
      <c r="Y780" s="379" t="str">
        <f>IF(ISNA(VLOOKUP($A780,Dormant_Councils!$A$1:$E$811,5,0)),"No",VLOOKUP($A780,Dormant_Councils!$A$1:$E$811,5,0))</f>
        <v>Dormant</v>
      </c>
      <c r="Z780" s="381">
        <f>IF(ISNA(VLOOKUP($A780,SUSPENDED!$A$2:$F$837,6,0))," ",VLOOKUP($A780,SUSPENDED!$A$2:$F$837,6,0))</f>
        <v>43383</v>
      </c>
    </row>
    <row r="781" spans="1:26" ht="29.1" customHeight="1" thickBot="1">
      <c r="A781" s="45">
        <v>16180</v>
      </c>
      <c r="B781" s="322" t="str">
        <f>Councils!C784</f>
        <v>041</v>
      </c>
      <c r="C781" s="322" t="str">
        <f>Councils!D784</f>
        <v>Comfort</v>
      </c>
      <c r="D781" s="322" t="str">
        <f>IF(ISNA(VLOOKUP($V781,DD_Info!$A$1:$E$221,3,0)),0,VLOOKUP($V781,DD_Info!$A$1:$E$221,3,0))</f>
        <v>San Antonio</v>
      </c>
      <c r="E781" s="322">
        <f>Councils!E784</f>
        <v>33</v>
      </c>
      <c r="F781" s="322">
        <f>Councils!F784</f>
        <v>3</v>
      </c>
      <c r="G781" s="322">
        <f>Councils!G784</f>
        <v>0</v>
      </c>
      <c r="H781" s="322">
        <f>Councils!H784</f>
        <v>0</v>
      </c>
      <c r="I781" s="322">
        <f>Councils!I784</f>
        <v>0</v>
      </c>
      <c r="J781" s="322">
        <f>Councils!J784</f>
        <v>0</v>
      </c>
      <c r="K781" s="322">
        <f>Councils!K784</f>
        <v>0</v>
      </c>
      <c r="L781" s="322">
        <f>Councils!L784</f>
        <v>0</v>
      </c>
      <c r="M781" s="323">
        <f>Councils!M784</f>
        <v>0</v>
      </c>
      <c r="N781" s="322">
        <f>Councils!O784</f>
        <v>0</v>
      </c>
      <c r="O781" s="322">
        <f>Councils!P784</f>
        <v>0</v>
      </c>
      <c r="P781" s="322">
        <f>Councils!Q784</f>
        <v>0</v>
      </c>
      <c r="Q781" s="322">
        <f>Councils!R784</f>
        <v>0</v>
      </c>
      <c r="R781" s="322">
        <f>Councils!S784</f>
        <v>0</v>
      </c>
      <c r="S781" s="322">
        <f>Councils!T784</f>
        <v>0</v>
      </c>
      <c r="T781" s="322">
        <f>Councils!U784</f>
        <v>0</v>
      </c>
      <c r="U781" s="323">
        <f>Councils!V784</f>
        <v>0</v>
      </c>
      <c r="V781" s="376">
        <v>41</v>
      </c>
      <c r="W781" s="377">
        <f t="shared" si="12"/>
        <v>3</v>
      </c>
      <c r="X781" s="378" t="str">
        <f>IF(ISNA(VLOOKUP($A781,GA!$A$1:$D$834,3,0))," ",VLOOKUP($A781,GA!$A$1:$D$834,3,0))</f>
        <v>Dougherty</v>
      </c>
      <c r="Y781" s="379" t="str">
        <f>IF(ISNA(VLOOKUP($A781,Dormant_Councils!$A$1:$E$811,5,0)),"No",VLOOKUP($A781,Dormant_Councils!$A$1:$E$811,5,0))</f>
        <v>No</v>
      </c>
      <c r="Z781" s="381" t="str">
        <f>IF(ISNA(VLOOKUP($A781,SUSPENDED!$A$2:$F$837,6,0))," ",VLOOKUP($A781,SUSPENDED!$A$2:$F$837,6,0))</f>
        <v xml:space="preserve"> </v>
      </c>
    </row>
    <row r="782" spans="1:26" s="51" customFormat="1" ht="29.1" customHeight="1" thickBot="1">
      <c r="A782" s="45">
        <v>16195</v>
      </c>
      <c r="B782" s="322" t="str">
        <f>Councils!C785</f>
        <v>098</v>
      </c>
      <c r="C782" s="322" t="str">
        <f>Councils!D785</f>
        <v>Houston</v>
      </c>
      <c r="D782" s="322" t="str">
        <f>IF(ISNA(VLOOKUP($V782,DD_Info!$A$1:$E$221,3,0)),0,VLOOKUP($V782,DD_Info!$A$1:$E$221,3,0))</f>
        <v>Galv/Hous</v>
      </c>
      <c r="E782" s="322">
        <f>Councils!E785</f>
        <v>21</v>
      </c>
      <c r="F782" s="322">
        <f>Councils!F785</f>
        <v>3</v>
      </c>
      <c r="G782" s="322">
        <f>Councils!G785</f>
        <v>0</v>
      </c>
      <c r="H782" s="322">
        <f>Councils!H785</f>
        <v>0</v>
      </c>
      <c r="I782" s="322">
        <f>Councils!I785</f>
        <v>0</v>
      </c>
      <c r="J782" s="322">
        <f>Councils!J785</f>
        <v>0</v>
      </c>
      <c r="K782" s="322">
        <f>Councils!K785</f>
        <v>0</v>
      </c>
      <c r="L782" s="322">
        <f>Councils!L785</f>
        <v>0</v>
      </c>
      <c r="M782" s="323">
        <f>Councils!M785</f>
        <v>0</v>
      </c>
      <c r="N782" s="322">
        <f>Councils!O785</f>
        <v>0</v>
      </c>
      <c r="O782" s="322">
        <f>Councils!P785</f>
        <v>0</v>
      </c>
      <c r="P782" s="322">
        <f>Councils!Q785</f>
        <v>0</v>
      </c>
      <c r="Q782" s="322">
        <f>Councils!R785</f>
        <v>0</v>
      </c>
      <c r="R782" s="322">
        <f>Councils!S785</f>
        <v>0</v>
      </c>
      <c r="S782" s="322">
        <f>Councils!T785</f>
        <v>0</v>
      </c>
      <c r="T782" s="322">
        <f>Councils!U785</f>
        <v>0</v>
      </c>
      <c r="U782" s="323">
        <f>Councils!V785</f>
        <v>0</v>
      </c>
      <c r="V782" s="376">
        <v>98</v>
      </c>
      <c r="W782" s="377">
        <f t="shared" si="12"/>
        <v>3</v>
      </c>
      <c r="X782" s="378" t="str">
        <f>IF(ISNA(VLOOKUP($A782,GA!$A$1:$D$834,3,0))," ",VLOOKUP($A782,GA!$A$1:$D$834,3,0))</f>
        <v>Rangel</v>
      </c>
      <c r="Y782" s="379" t="str">
        <f>IF(ISNA(VLOOKUP($A782,Dormant_Councils!$A$1:$E$811,5,0)),"No",VLOOKUP($A782,Dormant_Councils!$A$1:$E$811,5,0))</f>
        <v>No</v>
      </c>
      <c r="Z782" s="381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22" t="str">
        <f>Councils!C786</f>
        <v>110</v>
      </c>
      <c r="C783" s="322" t="str">
        <f>Councils!D786</f>
        <v>Commerce</v>
      </c>
      <c r="D783" s="322" t="str">
        <f>IF(ISNA(VLOOKUP($V783,DD_Info!$A$1:$E$221,3,0)),0,VLOOKUP($V783,DD_Info!$A$1:$E$221,3,0))</f>
        <v>Dallas</v>
      </c>
      <c r="E783" s="322">
        <f>Councils!E786</f>
        <v>36</v>
      </c>
      <c r="F783" s="322">
        <f>Councils!F786</f>
        <v>3</v>
      </c>
      <c r="G783" s="322">
        <f>Councils!G786</f>
        <v>0</v>
      </c>
      <c r="H783" s="322">
        <f>Councils!H786</f>
        <v>0</v>
      </c>
      <c r="I783" s="322">
        <f>Councils!I786</f>
        <v>0</v>
      </c>
      <c r="J783" s="322">
        <f>Councils!J786</f>
        <v>2</v>
      </c>
      <c r="K783" s="322">
        <f>Councils!K786</f>
        <v>1</v>
      </c>
      <c r="L783" s="322">
        <f>Councils!L786</f>
        <v>1</v>
      </c>
      <c r="M783" s="323">
        <f>Councils!M786</f>
        <v>33.33</v>
      </c>
      <c r="N783" s="322">
        <f>Councils!O786</f>
        <v>0</v>
      </c>
      <c r="O783" s="322">
        <f>Councils!P786</f>
        <v>0</v>
      </c>
      <c r="P783" s="322">
        <f>Councils!Q786</f>
        <v>0</v>
      </c>
      <c r="Q783" s="322">
        <f>Councils!R786</f>
        <v>0</v>
      </c>
      <c r="R783" s="322">
        <f>Councils!S786</f>
        <v>1</v>
      </c>
      <c r="S783" s="322">
        <f>Councils!T786</f>
        <v>1</v>
      </c>
      <c r="T783" s="322">
        <f>Councils!U786</f>
        <v>0</v>
      </c>
      <c r="U783" s="323">
        <f>Councils!V786</f>
        <v>0</v>
      </c>
      <c r="V783" s="376">
        <v>110</v>
      </c>
      <c r="W783" s="377">
        <f t="shared" si="12"/>
        <v>3</v>
      </c>
      <c r="X783" s="378" t="str">
        <f>IF(ISNA(VLOOKUP($A783,GA!$A$1:$D$834,3,0))," ",VLOOKUP($A783,GA!$A$1:$D$834,3,0))</f>
        <v>Regan</v>
      </c>
      <c r="Y783" s="379" t="str">
        <f>IF(ISNA(VLOOKUP($A783,Dormant_Councils!$A$1:$E$811,5,0)),"No",VLOOKUP($A783,Dormant_Councils!$A$1:$E$811,5,0))</f>
        <v>No</v>
      </c>
      <c r="Z783" s="381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22" t="str">
        <f>Councils!C787</f>
        <v>201</v>
      </c>
      <c r="C784" s="322" t="str">
        <f>Councils!D787</f>
        <v>Amarillo</v>
      </c>
      <c r="D784" s="322" t="str">
        <f>IF(ISNA(VLOOKUP($V784,DD_Info!$A$1:$E$221,3,0)),0,VLOOKUP($V784,DD_Info!$A$1:$E$221,3,0))</f>
        <v>Amarillo</v>
      </c>
      <c r="E784" s="322">
        <f>Councils!E787</f>
        <v>47</v>
      </c>
      <c r="F784" s="322">
        <f>Councils!F787</f>
        <v>3</v>
      </c>
      <c r="G784" s="322">
        <f>Councils!G787</f>
        <v>0</v>
      </c>
      <c r="H784" s="322">
        <f>Councils!H787</f>
        <v>0</v>
      </c>
      <c r="I784" s="322">
        <f>Councils!I787</f>
        <v>0</v>
      </c>
      <c r="J784" s="322">
        <f>Councils!J787</f>
        <v>0</v>
      </c>
      <c r="K784" s="322">
        <f>Councils!K787</f>
        <v>0</v>
      </c>
      <c r="L784" s="322">
        <f>Councils!L787</f>
        <v>0</v>
      </c>
      <c r="M784" s="323">
        <f>Councils!M787</f>
        <v>0</v>
      </c>
      <c r="N784" s="322">
        <f>Councils!O787</f>
        <v>0</v>
      </c>
      <c r="O784" s="322">
        <f>Councils!P787</f>
        <v>0</v>
      </c>
      <c r="P784" s="322">
        <f>Councils!Q787</f>
        <v>0</v>
      </c>
      <c r="Q784" s="322">
        <f>Councils!R787</f>
        <v>0</v>
      </c>
      <c r="R784" s="322">
        <f>Councils!S787</f>
        <v>0</v>
      </c>
      <c r="S784" s="322">
        <f>Councils!T787</f>
        <v>1</v>
      </c>
      <c r="T784" s="322">
        <f>Councils!U787</f>
        <v>-1</v>
      </c>
      <c r="U784" s="323">
        <f>Councils!V787</f>
        <v>0</v>
      </c>
      <c r="V784" s="376">
        <v>201</v>
      </c>
      <c r="W784" s="377">
        <f t="shared" si="12"/>
        <v>3</v>
      </c>
      <c r="X784" s="378" t="str">
        <f>IF(ISNA(VLOOKUP($A784,GA!$A$1:$D$834,3,0))," ",VLOOKUP($A784,GA!$A$1:$D$834,3,0))</f>
        <v>Payne</v>
      </c>
      <c r="Y784" s="379" t="str">
        <f>IF(ISNA(VLOOKUP($A784,Dormant_Councils!$A$1:$E$811,5,0)),"No",VLOOKUP($A784,Dormant_Councils!$A$1:$E$811,5,0))</f>
        <v>No</v>
      </c>
      <c r="Z784" s="381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22" t="str">
        <f>Councils!C788</f>
        <v>244</v>
      </c>
      <c r="C785" s="322" t="str">
        <f>Councils!D788</f>
        <v>Idalou</v>
      </c>
      <c r="D785" s="322" t="str">
        <f>IF(ISNA(VLOOKUP($V785,DD_Info!$A$1:$E$221,3,0)),0,VLOOKUP($V785,DD_Info!$A$1:$E$221,3,0))</f>
        <v>Lubbock</v>
      </c>
      <c r="E785" s="322">
        <f>Councils!E788</f>
        <v>51</v>
      </c>
      <c r="F785" s="322">
        <f>Councils!F788</f>
        <v>3</v>
      </c>
      <c r="G785" s="322">
        <f>Councils!G788</f>
        <v>0</v>
      </c>
      <c r="H785" s="322">
        <f>Councils!H788</f>
        <v>0</v>
      </c>
      <c r="I785" s="322">
        <f>Councils!I788</f>
        <v>0</v>
      </c>
      <c r="J785" s="322">
        <f>Councils!J788</f>
        <v>0</v>
      </c>
      <c r="K785" s="322">
        <f>Councils!K788</f>
        <v>0</v>
      </c>
      <c r="L785" s="322">
        <f>Councils!L788</f>
        <v>0</v>
      </c>
      <c r="M785" s="323">
        <f>Councils!M788</f>
        <v>0</v>
      </c>
      <c r="N785" s="322">
        <f>Councils!O788</f>
        <v>0</v>
      </c>
      <c r="O785" s="322">
        <f>Councils!P788</f>
        <v>0</v>
      </c>
      <c r="P785" s="322">
        <f>Councils!Q788</f>
        <v>0</v>
      </c>
      <c r="Q785" s="322">
        <f>Councils!R788</f>
        <v>0</v>
      </c>
      <c r="R785" s="322">
        <f>Councils!S788</f>
        <v>2</v>
      </c>
      <c r="S785" s="322">
        <f>Councils!T788</f>
        <v>0</v>
      </c>
      <c r="T785" s="322">
        <f>Councils!U788</f>
        <v>2</v>
      </c>
      <c r="U785" s="323">
        <f>Councils!V788</f>
        <v>0</v>
      </c>
      <c r="V785" s="376">
        <v>244</v>
      </c>
      <c r="W785" s="377">
        <f t="shared" si="12"/>
        <v>3</v>
      </c>
      <c r="X785" s="378" t="str">
        <f>IF(ISNA(VLOOKUP($A785,GA!$A$1:$D$834,3,0))," ",VLOOKUP($A785,GA!$A$1:$D$834,3,0))</f>
        <v>Payne</v>
      </c>
      <c r="Y785" s="379" t="str">
        <f>IF(ISNA(VLOOKUP($A785,Dormant_Councils!$A$1:$E$811,5,0)),"No",VLOOKUP($A785,Dormant_Councils!$A$1:$E$811,5,0))</f>
        <v>No</v>
      </c>
      <c r="Z785" s="381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22" t="str">
        <f>Councils!C789</f>
        <v>072</v>
      </c>
      <c r="C786" s="322" t="str">
        <f>Councils!D789</f>
        <v>Houston</v>
      </c>
      <c r="D786" s="322" t="str">
        <f>IF(ISNA(VLOOKUP($V786,DD_Info!$A$1:$E$221,3,0)),0,VLOOKUP($V786,DD_Info!$A$1:$E$221,3,0))</f>
        <v>Galv/Hous</v>
      </c>
      <c r="E786" s="322">
        <f>Councils!E789</f>
        <v>34</v>
      </c>
      <c r="F786" s="322">
        <f>Councils!F789</f>
        <v>3</v>
      </c>
      <c r="G786" s="322">
        <f>Councils!G789</f>
        <v>0</v>
      </c>
      <c r="H786" s="322">
        <f>Councils!H789</f>
        <v>0</v>
      </c>
      <c r="I786" s="322">
        <f>Councils!I789</f>
        <v>0</v>
      </c>
      <c r="J786" s="322">
        <f>Councils!J789</f>
        <v>0</v>
      </c>
      <c r="K786" s="322">
        <f>Councils!K789</f>
        <v>0</v>
      </c>
      <c r="L786" s="322">
        <f>Councils!L789</f>
        <v>0</v>
      </c>
      <c r="M786" s="323">
        <f>Councils!M789</f>
        <v>0</v>
      </c>
      <c r="N786" s="322">
        <f>Councils!O789</f>
        <v>0</v>
      </c>
      <c r="O786" s="322">
        <f>Councils!P789</f>
        <v>0</v>
      </c>
      <c r="P786" s="322">
        <f>Councils!Q789</f>
        <v>0</v>
      </c>
      <c r="Q786" s="322">
        <f>Councils!R789</f>
        <v>0</v>
      </c>
      <c r="R786" s="322">
        <f>Councils!S789</f>
        <v>0</v>
      </c>
      <c r="S786" s="322">
        <f>Councils!T789</f>
        <v>0</v>
      </c>
      <c r="T786" s="322">
        <f>Councils!U789</f>
        <v>0</v>
      </c>
      <c r="U786" s="323">
        <f>Councils!V789</f>
        <v>0</v>
      </c>
      <c r="V786" s="376">
        <v>72</v>
      </c>
      <c r="W786" s="377">
        <f t="shared" si="12"/>
        <v>3</v>
      </c>
      <c r="X786" s="378" t="str">
        <f>IF(ISNA(VLOOKUP($A786,GA!$A$1:$D$834,3,0))," ",VLOOKUP($A786,GA!$A$1:$D$834,3,0))</f>
        <v>Rangel</v>
      </c>
      <c r="Y786" s="379" t="str">
        <f>IF(ISNA(VLOOKUP($A786,Dormant_Councils!$A$1:$E$811,5,0)),"No",VLOOKUP($A786,Dormant_Councils!$A$1:$E$811,5,0))</f>
        <v>No</v>
      </c>
      <c r="Z786" s="381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22" t="str">
        <f>Councils!C790</f>
        <v>025</v>
      </c>
      <c r="C787" s="322" t="str">
        <f>Councils!D790</f>
        <v>Fort Worth</v>
      </c>
      <c r="D787" s="322" t="str">
        <f>IF(ISNA(VLOOKUP($V787,DD_Info!$A$1:$E$221,3,0)),0,VLOOKUP($V787,DD_Info!$A$1:$E$221,3,0))</f>
        <v>Fort Worth</v>
      </c>
      <c r="E787" s="322">
        <f>Councils!E790</f>
        <v>50</v>
      </c>
      <c r="F787" s="322">
        <f>Councils!F790</f>
        <v>3</v>
      </c>
      <c r="G787" s="322">
        <f>Councils!G790</f>
        <v>0</v>
      </c>
      <c r="H787" s="322">
        <f>Councils!H790</f>
        <v>0</v>
      </c>
      <c r="I787" s="322">
        <f>Councils!I790</f>
        <v>0</v>
      </c>
      <c r="J787" s="322">
        <f>Councils!J790</f>
        <v>1</v>
      </c>
      <c r="K787" s="322">
        <f>Councils!K790</f>
        <v>0</v>
      </c>
      <c r="L787" s="322">
        <f>Councils!L790</f>
        <v>1</v>
      </c>
      <c r="M787" s="323">
        <f>Councils!M790</f>
        <v>33.33</v>
      </c>
      <c r="N787" s="322">
        <f>Councils!O790</f>
        <v>0</v>
      </c>
      <c r="O787" s="322">
        <f>Councils!P790</f>
        <v>0</v>
      </c>
      <c r="P787" s="322">
        <f>Councils!Q790</f>
        <v>0</v>
      </c>
      <c r="Q787" s="322">
        <f>Councils!R790</f>
        <v>0</v>
      </c>
      <c r="R787" s="322">
        <f>Councils!S790</f>
        <v>1</v>
      </c>
      <c r="S787" s="322">
        <f>Councils!T790</f>
        <v>2</v>
      </c>
      <c r="T787" s="322">
        <f>Councils!U790</f>
        <v>-1</v>
      </c>
      <c r="U787" s="323">
        <f>Councils!V790</f>
        <v>0</v>
      </c>
      <c r="V787" s="376">
        <v>25</v>
      </c>
      <c r="W787" s="377">
        <f t="shared" si="12"/>
        <v>3</v>
      </c>
      <c r="X787" s="378" t="str">
        <f>IF(ISNA(VLOOKUP($A787,GA!$A$1:$D$834,3,0))," ",VLOOKUP($A787,GA!$A$1:$D$834,3,0))</f>
        <v>Stark</v>
      </c>
      <c r="Y787" s="379" t="str">
        <f>IF(ISNA(VLOOKUP($A787,Dormant_Councils!$A$1:$E$811,5,0)),"No",VLOOKUP($A787,Dormant_Councils!$A$1:$E$811,5,0))</f>
        <v>No</v>
      </c>
      <c r="Z787" s="381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22" t="str">
        <f>Councils!C791</f>
        <v>172</v>
      </c>
      <c r="C788" s="322" t="str">
        <f>Councils!D791</f>
        <v>Bishop</v>
      </c>
      <c r="D788" s="322" t="str">
        <f>IF(ISNA(VLOOKUP($V788,DD_Info!$A$1:$E$221,3,0)),0,VLOOKUP($V788,DD_Info!$A$1:$E$221,3,0))</f>
        <v>Corpus Christi</v>
      </c>
      <c r="E788" s="322">
        <f>Councils!E791</f>
        <v>65</v>
      </c>
      <c r="F788" s="322">
        <f>Councils!F791</f>
        <v>3</v>
      </c>
      <c r="G788" s="322">
        <f>Councils!G791</f>
        <v>0</v>
      </c>
      <c r="H788" s="322">
        <f>Councils!H791</f>
        <v>0</v>
      </c>
      <c r="I788" s="322">
        <f>Councils!I791</f>
        <v>0</v>
      </c>
      <c r="J788" s="322">
        <f>Councils!J791</f>
        <v>0</v>
      </c>
      <c r="K788" s="322">
        <f>Councils!K791</f>
        <v>0</v>
      </c>
      <c r="L788" s="322">
        <f>Councils!L791</f>
        <v>0</v>
      </c>
      <c r="M788" s="323">
        <f>Councils!M791</f>
        <v>0</v>
      </c>
      <c r="N788" s="322">
        <f>Councils!O791</f>
        <v>0</v>
      </c>
      <c r="O788" s="322">
        <f>Councils!P791</f>
        <v>0</v>
      </c>
      <c r="P788" s="322">
        <f>Councils!Q791</f>
        <v>0</v>
      </c>
      <c r="Q788" s="322">
        <f>Councils!R791</f>
        <v>0</v>
      </c>
      <c r="R788" s="322">
        <f>Councils!S791</f>
        <v>0</v>
      </c>
      <c r="S788" s="322">
        <f>Councils!T791</f>
        <v>0</v>
      </c>
      <c r="T788" s="322">
        <f>Councils!U791</f>
        <v>0</v>
      </c>
      <c r="U788" s="323">
        <f>Councils!V791</f>
        <v>0</v>
      </c>
      <c r="V788" s="376">
        <v>172</v>
      </c>
      <c r="W788" s="377">
        <f t="shared" si="12"/>
        <v>3</v>
      </c>
      <c r="X788" s="378" t="str">
        <f>IF(ISNA(VLOOKUP($A788,GA!$A$1:$D$834,3,0))," ",VLOOKUP($A788,GA!$A$1:$D$834,3,0))</f>
        <v>Carlin</v>
      </c>
      <c r="Y788" s="379" t="str">
        <f>IF(ISNA(VLOOKUP($A788,Dormant_Councils!$A$1:$E$811,5,0)),"No",VLOOKUP($A788,Dormant_Councils!$A$1:$E$811,5,0))</f>
        <v>No</v>
      </c>
      <c r="Z788" s="381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51">
        <v>16287</v>
      </c>
      <c r="B789" s="322" t="str">
        <f>Councils!C792</f>
        <v>009</v>
      </c>
      <c r="C789" s="322" t="str">
        <f>Councils!D792</f>
        <v>Horizon City</v>
      </c>
      <c r="D789" s="322" t="str">
        <f>IF(ISNA(VLOOKUP($V789,DD_Info!$A$1:$E$221,3,0)),0,VLOOKUP($V789,DD_Info!$A$1:$E$221,3,0))</f>
        <v>El Paso</v>
      </c>
      <c r="E789" s="322">
        <f>Councils!E792</f>
        <v>42</v>
      </c>
      <c r="F789" s="322">
        <f>Councils!F792</f>
        <v>3</v>
      </c>
      <c r="G789" s="322">
        <f>Councils!G792</f>
        <v>0</v>
      </c>
      <c r="H789" s="322">
        <f>Councils!H792</f>
        <v>0</v>
      </c>
      <c r="I789" s="322">
        <f>Councils!I792</f>
        <v>0</v>
      </c>
      <c r="J789" s="322">
        <f>Councils!J792</f>
        <v>1</v>
      </c>
      <c r="K789" s="322">
        <f>Councils!K792</f>
        <v>0</v>
      </c>
      <c r="L789" s="322">
        <f>Councils!L792</f>
        <v>1</v>
      </c>
      <c r="M789" s="323">
        <f>Councils!M792</f>
        <v>33.33</v>
      </c>
      <c r="N789" s="322">
        <f>Councils!O792</f>
        <v>0</v>
      </c>
      <c r="O789" s="322">
        <f>Councils!P792</f>
        <v>0</v>
      </c>
      <c r="P789" s="322">
        <f>Councils!Q792</f>
        <v>0</v>
      </c>
      <c r="Q789" s="322">
        <f>Councils!R792</f>
        <v>0</v>
      </c>
      <c r="R789" s="322">
        <f>Councils!S792</f>
        <v>0</v>
      </c>
      <c r="S789" s="322">
        <f>Councils!T792</f>
        <v>0</v>
      </c>
      <c r="T789" s="322">
        <f>Councils!U792</f>
        <v>0</v>
      </c>
      <c r="U789" s="323">
        <f>Councils!V792</f>
        <v>0</v>
      </c>
      <c r="V789" s="376">
        <v>9</v>
      </c>
      <c r="W789" s="377">
        <f t="shared" si="12"/>
        <v>3</v>
      </c>
      <c r="X789" s="378" t="str">
        <f>IF(ISNA(VLOOKUP($A789,GA!$A$1:$D$834,3,0))," ",VLOOKUP($A789,GA!$A$1:$D$834,3,0))</f>
        <v>Payne</v>
      </c>
      <c r="Y789" s="379" t="str">
        <f>IF(ISNA(VLOOKUP($A789,Dormant_Councils!$A$1:$E$811,5,0)),"No",VLOOKUP($A789,Dormant_Councils!$A$1:$E$811,5,0))</f>
        <v>No</v>
      </c>
      <c r="Z789" s="381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51">
        <v>16358</v>
      </c>
      <c r="B790" s="322" t="str">
        <f>Councils!C793</f>
        <v>244</v>
      </c>
      <c r="C790" s="322" t="str">
        <f>Councils!D793</f>
        <v>Shallowater</v>
      </c>
      <c r="D790" s="322" t="str">
        <f>IF(ISNA(VLOOKUP($V790,DD_Info!$A$1:$E$221,3,0)),0,VLOOKUP($V790,DD_Info!$A$1:$E$221,3,0))</f>
        <v>Lubbock</v>
      </c>
      <c r="E790" s="322">
        <f>Councils!E793</f>
        <v>30</v>
      </c>
      <c r="F790" s="322">
        <f>Councils!F793</f>
        <v>3</v>
      </c>
      <c r="G790" s="322">
        <f>Councils!G793</f>
        <v>0</v>
      </c>
      <c r="H790" s="322">
        <f>Councils!H793</f>
        <v>0</v>
      </c>
      <c r="I790" s="322">
        <f>Councils!I793</f>
        <v>0</v>
      </c>
      <c r="J790" s="322">
        <f>Councils!J793</f>
        <v>0</v>
      </c>
      <c r="K790" s="322">
        <f>Councils!K793</f>
        <v>0</v>
      </c>
      <c r="L790" s="322">
        <f>Councils!L793</f>
        <v>0</v>
      </c>
      <c r="M790" s="323">
        <f>Councils!M793</f>
        <v>0</v>
      </c>
      <c r="N790" s="322">
        <f>Councils!O793</f>
        <v>0</v>
      </c>
      <c r="O790" s="322">
        <f>Councils!P793</f>
        <v>0</v>
      </c>
      <c r="P790" s="322">
        <f>Councils!Q793</f>
        <v>0</v>
      </c>
      <c r="Q790" s="322">
        <f>Councils!R793</f>
        <v>0</v>
      </c>
      <c r="R790" s="322">
        <f>Councils!S793</f>
        <v>0</v>
      </c>
      <c r="S790" s="322">
        <f>Councils!T793</f>
        <v>0</v>
      </c>
      <c r="T790" s="322">
        <f>Councils!U793</f>
        <v>0</v>
      </c>
      <c r="U790" s="323">
        <f>Councils!V793</f>
        <v>0</v>
      </c>
      <c r="V790" s="376">
        <v>244</v>
      </c>
      <c r="W790" s="377">
        <f t="shared" si="12"/>
        <v>3</v>
      </c>
      <c r="X790" s="378" t="str">
        <f>IF(ISNA(VLOOKUP($A790,GA!$A$1:$D$834,3,0))," ",VLOOKUP($A790,GA!$A$1:$D$834,3,0))</f>
        <v>Payne</v>
      </c>
      <c r="Y790" s="379" t="str">
        <f>IF(ISNA(VLOOKUP($A790,Dormant_Councils!$A$1:$E$811,5,0)),"No",VLOOKUP($A790,Dormant_Councils!$A$1:$E$811,5,0))</f>
        <v>No</v>
      </c>
      <c r="Z790" s="381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51">
        <v>16375</v>
      </c>
      <c r="B791" s="322" t="str">
        <f>Councils!C794</f>
        <v>112</v>
      </c>
      <c r="C791" s="322" t="str">
        <f>Councils!D794</f>
        <v>Dallas</v>
      </c>
      <c r="D791" s="322" t="str">
        <f>IF(ISNA(VLOOKUP($V791,DD_Info!$A$1:$E$221,3,0)),0,VLOOKUP($V791,DD_Info!$A$1:$E$221,3,0))</f>
        <v>Dallas</v>
      </c>
      <c r="E791" s="322">
        <f>Councils!E794</f>
        <v>48</v>
      </c>
      <c r="F791" s="322">
        <f>Councils!F794</f>
        <v>3</v>
      </c>
      <c r="G791" s="322">
        <f>Councils!G794</f>
        <v>0</v>
      </c>
      <c r="H791" s="322">
        <f>Councils!H794</f>
        <v>0</v>
      </c>
      <c r="I791" s="322">
        <f>Councils!I794</f>
        <v>0</v>
      </c>
      <c r="J791" s="322">
        <f>Councils!J794</f>
        <v>1</v>
      </c>
      <c r="K791" s="322">
        <f>Councils!K794</f>
        <v>0</v>
      </c>
      <c r="L791" s="322">
        <f>Councils!L794</f>
        <v>1</v>
      </c>
      <c r="M791" s="323">
        <f>Councils!M794</f>
        <v>33.33</v>
      </c>
      <c r="N791" s="322">
        <f>Councils!O794</f>
        <v>0</v>
      </c>
      <c r="O791" s="322">
        <f>Councils!P794</f>
        <v>0</v>
      </c>
      <c r="P791" s="322">
        <f>Councils!Q794</f>
        <v>0</v>
      </c>
      <c r="Q791" s="322">
        <f>Councils!R794</f>
        <v>0</v>
      </c>
      <c r="R791" s="322">
        <f>Councils!S794</f>
        <v>1</v>
      </c>
      <c r="S791" s="322">
        <f>Councils!T794</f>
        <v>0</v>
      </c>
      <c r="T791" s="322">
        <f>Councils!U794</f>
        <v>1</v>
      </c>
      <c r="U791" s="323">
        <f>Councils!V794</f>
        <v>0</v>
      </c>
      <c r="V791" s="376">
        <v>112</v>
      </c>
      <c r="W791" s="377">
        <f t="shared" si="12"/>
        <v>3</v>
      </c>
      <c r="X791" s="378" t="str">
        <f>IF(ISNA(VLOOKUP($A791,GA!$A$1:$D$834,3,0))," ",VLOOKUP($A791,GA!$A$1:$D$834,3,0))</f>
        <v>Regan</v>
      </c>
      <c r="Y791" s="379" t="str">
        <f>IF(ISNA(VLOOKUP($A791,Dormant_Councils!$A$1:$E$811,5,0)),"No",VLOOKUP($A791,Dormant_Councils!$A$1:$E$811,5,0))</f>
        <v>No</v>
      </c>
      <c r="Z791" s="381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51">
        <v>16390</v>
      </c>
      <c r="B792" s="322" t="str">
        <f>Councils!C795</f>
        <v>222</v>
      </c>
      <c r="C792" s="322" t="str">
        <f>Councils!D795</f>
        <v>Crane</v>
      </c>
      <c r="D792" s="322" t="str">
        <f>IF(ISNA(VLOOKUP($V792,DD_Info!$A$1:$E$221,3,0)),0,VLOOKUP($V792,DD_Info!$A$1:$E$221,3,0))</f>
        <v>San Angelo</v>
      </c>
      <c r="E792" s="322">
        <f>Councils!E795</f>
        <v>31</v>
      </c>
      <c r="F792" s="322">
        <f>Councils!F795</f>
        <v>3</v>
      </c>
      <c r="G792" s="322">
        <f>Councils!G795</f>
        <v>0</v>
      </c>
      <c r="H792" s="322">
        <f>Councils!H795</f>
        <v>0</v>
      </c>
      <c r="I792" s="322">
        <f>Councils!I795</f>
        <v>0</v>
      </c>
      <c r="J792" s="322">
        <f>Councils!J795</f>
        <v>0</v>
      </c>
      <c r="K792" s="322">
        <f>Councils!K795</f>
        <v>0</v>
      </c>
      <c r="L792" s="322">
        <f>Councils!L795</f>
        <v>0</v>
      </c>
      <c r="M792" s="323">
        <f>Councils!M795</f>
        <v>0</v>
      </c>
      <c r="N792" s="322">
        <f>Councils!O795</f>
        <v>0</v>
      </c>
      <c r="O792" s="322">
        <f>Councils!P795</f>
        <v>0</v>
      </c>
      <c r="P792" s="322">
        <f>Councils!Q795</f>
        <v>0</v>
      </c>
      <c r="Q792" s="322">
        <f>Councils!R795</f>
        <v>0</v>
      </c>
      <c r="R792" s="322">
        <f>Councils!S795</f>
        <v>0</v>
      </c>
      <c r="S792" s="322">
        <f>Councils!T795</f>
        <v>1</v>
      </c>
      <c r="T792" s="322">
        <f>Councils!U795</f>
        <v>-1</v>
      </c>
      <c r="U792" s="323">
        <f>Councils!V795</f>
        <v>0</v>
      </c>
      <c r="V792" s="376">
        <v>222</v>
      </c>
      <c r="W792" s="377">
        <f t="shared" si="12"/>
        <v>3</v>
      </c>
      <c r="X792" s="378" t="str">
        <f>IF(ISNA(VLOOKUP($A792,GA!$A$1:$D$834,3,0))," ",VLOOKUP($A792,GA!$A$1:$D$834,3,0))</f>
        <v>Payne</v>
      </c>
      <c r="Y792" s="379" t="str">
        <f>IF(ISNA(VLOOKUP($A792,Dormant_Councils!$A$1:$E$811,5,0)),"No",VLOOKUP($A792,Dormant_Councils!$A$1:$E$811,5,0))</f>
        <v>No</v>
      </c>
      <c r="Z792" s="381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51">
        <v>16391</v>
      </c>
      <c r="B793" s="322" t="str">
        <f>Councils!C796</f>
        <v>221</v>
      </c>
      <c r="C793" s="322" t="str">
        <f>Councils!D796</f>
        <v>Midland</v>
      </c>
      <c r="D793" s="322" t="str">
        <f>IF(ISNA(VLOOKUP($V793,DD_Info!$A$1:$E$221,3,0)),0,VLOOKUP($V793,DD_Info!$A$1:$E$221,3,0))</f>
        <v>San Angelo</v>
      </c>
      <c r="E793" s="322">
        <f>Councils!E796</f>
        <v>80</v>
      </c>
      <c r="F793" s="322">
        <f>Councils!F796</f>
        <v>4</v>
      </c>
      <c r="G793" s="322">
        <f>Councils!G796</f>
        <v>0</v>
      </c>
      <c r="H793" s="322">
        <f>Councils!H796</f>
        <v>0</v>
      </c>
      <c r="I793" s="322">
        <f>Councils!I796</f>
        <v>0</v>
      </c>
      <c r="J793" s="322">
        <f>Councils!J796</f>
        <v>1</v>
      </c>
      <c r="K793" s="322">
        <f>Councils!K796</f>
        <v>0</v>
      </c>
      <c r="L793" s="322">
        <f>Councils!L796</f>
        <v>1</v>
      </c>
      <c r="M793" s="323">
        <f>Councils!M796</f>
        <v>25</v>
      </c>
      <c r="N793" s="322">
        <f>Councils!O796</f>
        <v>0</v>
      </c>
      <c r="O793" s="322">
        <f>Councils!P796</f>
        <v>0</v>
      </c>
      <c r="P793" s="322">
        <f>Councils!Q796</f>
        <v>0</v>
      </c>
      <c r="Q793" s="322">
        <f>Councils!R796</f>
        <v>0</v>
      </c>
      <c r="R793" s="322">
        <f>Councils!S796</f>
        <v>0</v>
      </c>
      <c r="S793" s="322">
        <f>Councils!T796</f>
        <v>1</v>
      </c>
      <c r="T793" s="322">
        <f>Councils!U796</f>
        <v>-1</v>
      </c>
      <c r="U793" s="323">
        <f>Councils!V796</f>
        <v>0</v>
      </c>
      <c r="V793" s="376">
        <v>221</v>
      </c>
      <c r="W793" s="377">
        <f t="shared" si="12"/>
        <v>2</v>
      </c>
      <c r="X793" s="378" t="str">
        <f>IF(ISNA(VLOOKUP($A793,GA!$A$1:$D$834,3,0))," ",VLOOKUP($A793,GA!$A$1:$D$834,3,0))</f>
        <v>Payne</v>
      </c>
      <c r="Y793" s="379" t="str">
        <f>IF(ISNA(VLOOKUP($A793,Dormant_Councils!$A$1:$E$811,5,0)),"No",VLOOKUP($A793,Dormant_Councils!$A$1:$E$811,5,0))</f>
        <v>No</v>
      </c>
      <c r="Z793" s="381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51">
        <v>16393</v>
      </c>
      <c r="B794" s="322" t="str">
        <f>Councils!C797</f>
        <v>027</v>
      </c>
      <c r="C794" s="322" t="str">
        <f>Councils!D797</f>
        <v>Denton</v>
      </c>
      <c r="D794" s="322" t="str">
        <f>IF(ISNA(VLOOKUP($V794,DD_Info!$A$1:$E$221,3,0)),0,VLOOKUP($V794,DD_Info!$A$1:$E$221,3,0))</f>
        <v>Fort Worth</v>
      </c>
      <c r="E794" s="322">
        <f>Councils!E797</f>
        <v>50</v>
      </c>
      <c r="F794" s="322">
        <f>Councils!F797</f>
        <v>3</v>
      </c>
      <c r="G794" s="322">
        <f>Councils!G797</f>
        <v>1</v>
      </c>
      <c r="H794" s="322">
        <f>Councils!H797</f>
        <v>2</v>
      </c>
      <c r="I794" s="322">
        <f>Councils!I797</f>
        <v>-1</v>
      </c>
      <c r="J794" s="322">
        <f>Councils!J797</f>
        <v>4</v>
      </c>
      <c r="K794" s="322">
        <f>Councils!K797</f>
        <v>2</v>
      </c>
      <c r="L794" s="322">
        <f>Councils!L797</f>
        <v>2</v>
      </c>
      <c r="M794" s="323">
        <f>Councils!M797</f>
        <v>66.67</v>
      </c>
      <c r="N794" s="322">
        <f>Councils!O797</f>
        <v>0</v>
      </c>
      <c r="O794" s="322">
        <f>Councils!P797</f>
        <v>1</v>
      </c>
      <c r="P794" s="322">
        <f>Councils!Q797</f>
        <v>1</v>
      </c>
      <c r="Q794" s="322">
        <f>Councils!R797</f>
        <v>0</v>
      </c>
      <c r="R794" s="322">
        <f>Councils!S797</f>
        <v>1</v>
      </c>
      <c r="S794" s="322">
        <f>Councils!T797</f>
        <v>1</v>
      </c>
      <c r="T794" s="322">
        <f>Councils!U797</f>
        <v>0</v>
      </c>
      <c r="U794" s="323">
        <f>Councils!V797</f>
        <v>0</v>
      </c>
      <c r="V794" s="376">
        <v>27</v>
      </c>
      <c r="W794" s="377">
        <f t="shared" si="12"/>
        <v>3</v>
      </c>
      <c r="X794" s="378" t="str">
        <f>IF(ISNA(VLOOKUP($A794,GA!$A$1:$D$834,3,0))," ",VLOOKUP($A794,GA!$A$1:$D$834,3,0))</f>
        <v>Stark</v>
      </c>
      <c r="Y794" s="379" t="str">
        <f>IF(ISNA(VLOOKUP($A794,Dormant_Councils!$A$1:$E$811,5,0)),"No",VLOOKUP($A794,Dormant_Councils!$A$1:$E$811,5,0))</f>
        <v>No</v>
      </c>
      <c r="Z794" s="381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51">
        <v>16394</v>
      </c>
      <c r="B795" s="322" t="str">
        <f>Councils!C798</f>
        <v>245</v>
      </c>
      <c r="C795" s="322" t="str">
        <f>Councils!D798</f>
        <v>Woodrow</v>
      </c>
      <c r="D795" s="322" t="str">
        <f>IF(ISNA(VLOOKUP($V795,DD_Info!$A$1:$E$221,3,0)),0,VLOOKUP($V795,DD_Info!$A$1:$E$221,3,0))</f>
        <v>Lubbock</v>
      </c>
      <c r="E795" s="322">
        <f>Councils!E798</f>
        <v>44</v>
      </c>
      <c r="F795" s="322">
        <f>Councils!F798</f>
        <v>3</v>
      </c>
      <c r="G795" s="322">
        <f>Councils!G798</f>
        <v>0</v>
      </c>
      <c r="H795" s="322">
        <f>Councils!H798</f>
        <v>0</v>
      </c>
      <c r="I795" s="322">
        <f>Councils!I798</f>
        <v>0</v>
      </c>
      <c r="J795" s="322">
        <f>Councils!J798</f>
        <v>0</v>
      </c>
      <c r="K795" s="322">
        <f>Councils!K798</f>
        <v>0</v>
      </c>
      <c r="L795" s="322">
        <f>Councils!L798</f>
        <v>0</v>
      </c>
      <c r="M795" s="323">
        <f>Councils!M798</f>
        <v>0</v>
      </c>
      <c r="N795" s="322">
        <f>Councils!O798</f>
        <v>0</v>
      </c>
      <c r="O795" s="322">
        <f>Councils!P798</f>
        <v>0</v>
      </c>
      <c r="P795" s="322">
        <f>Councils!Q798</f>
        <v>0</v>
      </c>
      <c r="Q795" s="322">
        <f>Councils!R798</f>
        <v>0</v>
      </c>
      <c r="R795" s="322">
        <f>Councils!S798</f>
        <v>1</v>
      </c>
      <c r="S795" s="322">
        <f>Councils!T798</f>
        <v>0</v>
      </c>
      <c r="T795" s="322">
        <f>Councils!U798</f>
        <v>1</v>
      </c>
      <c r="U795" s="323">
        <f>Councils!V798</f>
        <v>0</v>
      </c>
      <c r="V795" s="376">
        <v>245</v>
      </c>
      <c r="W795" s="377">
        <f t="shared" si="12"/>
        <v>3</v>
      </c>
      <c r="X795" s="378" t="str">
        <f>IF(ISNA(VLOOKUP($A795,GA!$A$1:$D$834,3,0))," ",VLOOKUP($A795,GA!$A$1:$D$834,3,0))</f>
        <v>Payne</v>
      </c>
      <c r="Y795" s="379" t="str">
        <f>IF(ISNA(VLOOKUP($A795,Dormant_Councils!$A$1:$E$811,5,0)),"No",VLOOKUP($A795,Dormant_Councils!$A$1:$E$811,5,0))</f>
        <v>No</v>
      </c>
      <c r="Z795" s="381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51">
        <v>16430</v>
      </c>
      <c r="B796" s="322" t="str">
        <f>Councils!C799</f>
        <v>082</v>
      </c>
      <c r="C796" s="322" t="str">
        <f>Councils!D799</f>
        <v>Houston</v>
      </c>
      <c r="D796" s="322" t="str">
        <f>IF(ISNA(VLOOKUP($V796,DD_Info!$A$1:$E$221,3,0)),0,VLOOKUP($V796,DD_Info!$A$1:$E$221,3,0))</f>
        <v>Galv/Hous</v>
      </c>
      <c r="E796" s="322">
        <f>Councils!E799</f>
        <v>23</v>
      </c>
      <c r="F796" s="322">
        <f>Councils!F799</f>
        <v>3</v>
      </c>
      <c r="G796" s="322">
        <f>Councils!G799</f>
        <v>0</v>
      </c>
      <c r="H796" s="322">
        <f>Councils!H799</f>
        <v>0</v>
      </c>
      <c r="I796" s="322">
        <f>Councils!I799</f>
        <v>0</v>
      </c>
      <c r="J796" s="322">
        <f>Councils!J799</f>
        <v>0</v>
      </c>
      <c r="K796" s="322">
        <f>Councils!K799</f>
        <v>0</v>
      </c>
      <c r="L796" s="322">
        <f>Councils!L799</f>
        <v>0</v>
      </c>
      <c r="M796" s="323">
        <f>Councils!M799</f>
        <v>0</v>
      </c>
      <c r="N796" s="322">
        <f>Councils!O799</f>
        <v>0</v>
      </c>
      <c r="O796" s="322">
        <f>Councils!P799</f>
        <v>0</v>
      </c>
      <c r="P796" s="322">
        <f>Councils!Q799</f>
        <v>0</v>
      </c>
      <c r="Q796" s="322">
        <f>Councils!R799</f>
        <v>0</v>
      </c>
      <c r="R796" s="322">
        <f>Councils!S799</f>
        <v>0</v>
      </c>
      <c r="S796" s="322">
        <f>Councils!T799</f>
        <v>0</v>
      </c>
      <c r="T796" s="322">
        <f>Councils!U799</f>
        <v>0</v>
      </c>
      <c r="U796" s="323">
        <f>Councils!V799</f>
        <v>0</v>
      </c>
      <c r="V796" s="376">
        <v>82</v>
      </c>
      <c r="W796" s="377">
        <f t="shared" si="12"/>
        <v>3</v>
      </c>
      <c r="X796" s="378" t="str">
        <f>IF(ISNA(VLOOKUP($A796,GA!$A$1:$D$834,3,0))," ",VLOOKUP($A796,GA!$A$1:$D$834,3,0))</f>
        <v>Rangel</v>
      </c>
      <c r="Y796" s="379" t="str">
        <f>IF(ISNA(VLOOKUP($A796,Dormant_Councils!$A$1:$E$811,5,0)),"No",VLOOKUP($A796,Dormant_Councils!$A$1:$E$811,5,0))</f>
        <v>No</v>
      </c>
      <c r="Z796" s="381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51">
        <v>16451</v>
      </c>
      <c r="B797" s="322" t="str">
        <f>Councils!C800</f>
        <v>243</v>
      </c>
      <c r="C797" s="322" t="str">
        <f>Councils!D800</f>
        <v>Lubbock</v>
      </c>
      <c r="D797" s="322" t="str">
        <f>IF(ISNA(VLOOKUP($V797,DD_Info!$A$1:$E$221,3,0)),0,VLOOKUP($V797,DD_Info!$A$1:$E$221,3,0))</f>
        <v>Lubbock</v>
      </c>
      <c r="E797" s="322">
        <f>Councils!E800</f>
        <v>58</v>
      </c>
      <c r="F797" s="322">
        <f>Councils!F800</f>
        <v>3</v>
      </c>
      <c r="G797" s="322">
        <f>Councils!G800</f>
        <v>0</v>
      </c>
      <c r="H797" s="322">
        <f>Councils!H800</f>
        <v>0</v>
      </c>
      <c r="I797" s="322">
        <f>Councils!I800</f>
        <v>0</v>
      </c>
      <c r="J797" s="322">
        <f>Councils!J800</f>
        <v>1</v>
      </c>
      <c r="K797" s="322">
        <f>Councils!K800</f>
        <v>0</v>
      </c>
      <c r="L797" s="322">
        <f>Councils!L800</f>
        <v>1</v>
      </c>
      <c r="M797" s="323">
        <f>Councils!M800</f>
        <v>33.33</v>
      </c>
      <c r="N797" s="322">
        <f>Councils!O800</f>
        <v>0</v>
      </c>
      <c r="O797" s="322">
        <f>Councils!P800</f>
        <v>0</v>
      </c>
      <c r="P797" s="322">
        <f>Councils!Q800</f>
        <v>0</v>
      </c>
      <c r="Q797" s="322">
        <f>Councils!R800</f>
        <v>0</v>
      </c>
      <c r="R797" s="322">
        <f>Councils!S800</f>
        <v>1</v>
      </c>
      <c r="S797" s="322">
        <f>Councils!T800</f>
        <v>1</v>
      </c>
      <c r="T797" s="322">
        <f>Councils!U800</f>
        <v>0</v>
      </c>
      <c r="U797" s="323">
        <f>Councils!V800</f>
        <v>0</v>
      </c>
      <c r="V797" s="376">
        <v>243</v>
      </c>
      <c r="W797" s="377">
        <f t="shared" si="12"/>
        <v>3</v>
      </c>
      <c r="X797" s="378" t="str">
        <f>IF(ISNA(VLOOKUP($A797,GA!$A$1:$D$834,3,0))," ",VLOOKUP($A797,GA!$A$1:$D$834,3,0))</f>
        <v>Payne</v>
      </c>
      <c r="Y797" s="379" t="str">
        <f>IF(ISNA(VLOOKUP($A797,Dormant_Councils!$A$1:$E$811,5,0)),"No",VLOOKUP($A797,Dormant_Councils!$A$1:$E$811,5,0))</f>
        <v>No</v>
      </c>
      <c r="Z797" s="381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51">
        <v>16464</v>
      </c>
      <c r="B798" s="322" t="str">
        <f>Councils!C801</f>
        <v>122</v>
      </c>
      <c r="C798" s="322" t="str">
        <f>Councils!D801</f>
        <v>Beaumont</v>
      </c>
      <c r="D798" s="322" t="str">
        <f>IF(ISNA(VLOOKUP($V798,DD_Info!$A$1:$E$221,3,0)),0,VLOOKUP($V798,DD_Info!$A$1:$E$221,3,0))</f>
        <v>Beaumont</v>
      </c>
      <c r="E798" s="322">
        <f>Councils!E801</f>
        <v>98</v>
      </c>
      <c r="F798" s="322">
        <f>Councils!F801</f>
        <v>5</v>
      </c>
      <c r="G798" s="322">
        <f>Councils!G801</f>
        <v>0</v>
      </c>
      <c r="H798" s="322">
        <f>Councils!H801</f>
        <v>0</v>
      </c>
      <c r="I798" s="322">
        <f>Councils!I801</f>
        <v>0</v>
      </c>
      <c r="J798" s="322">
        <f>Councils!J801</f>
        <v>4</v>
      </c>
      <c r="K798" s="322">
        <f>Councils!K801</f>
        <v>0</v>
      </c>
      <c r="L798" s="322">
        <f>Councils!L801</f>
        <v>4</v>
      </c>
      <c r="M798" s="323">
        <f>Councils!M801</f>
        <v>80</v>
      </c>
      <c r="N798" s="322">
        <f>Councils!O801</f>
        <v>0</v>
      </c>
      <c r="O798" s="322">
        <f>Councils!P801</f>
        <v>1</v>
      </c>
      <c r="P798" s="322">
        <f>Councils!Q801</f>
        <v>1</v>
      </c>
      <c r="Q798" s="322">
        <f>Councils!R801</f>
        <v>0</v>
      </c>
      <c r="R798" s="322">
        <f>Councils!S801</f>
        <v>1</v>
      </c>
      <c r="S798" s="322">
        <f>Councils!T801</f>
        <v>1</v>
      </c>
      <c r="T798" s="322">
        <f>Councils!U801</f>
        <v>0</v>
      </c>
      <c r="U798" s="323">
        <f>Councils!V801</f>
        <v>0</v>
      </c>
      <c r="V798" s="376">
        <v>122</v>
      </c>
      <c r="W798" s="377">
        <f t="shared" si="12"/>
        <v>2</v>
      </c>
      <c r="X798" s="378" t="str">
        <f>IF(ISNA(VLOOKUP($A798,GA!$A$1:$D$834,3,0))," ",VLOOKUP($A798,GA!$A$1:$D$834,3,0))</f>
        <v>Rangel</v>
      </c>
      <c r="Y798" s="379" t="str">
        <f>IF(ISNA(VLOOKUP($A798,Dormant_Councils!$A$1:$E$811,5,0)),"No",VLOOKUP($A798,Dormant_Councils!$A$1:$E$811,5,0))</f>
        <v>No</v>
      </c>
      <c r="Z798" s="381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22" t="str">
        <f>Councils!C802</f>
        <v>231</v>
      </c>
      <c r="C799" s="322" t="str">
        <f>Councils!D802</f>
        <v>Batesville</v>
      </c>
      <c r="D799" s="322" t="str">
        <f>IF(ISNA(VLOOKUP($V799,DD_Info!$A$1:$E$221,3,0)),0,VLOOKUP($V799,DD_Info!$A$1:$E$221,3,0))</f>
        <v>Laredo</v>
      </c>
      <c r="E799" s="322">
        <f>Councils!E802</f>
        <v>21</v>
      </c>
      <c r="F799" s="322">
        <f>Councils!F802</f>
        <v>3</v>
      </c>
      <c r="G799" s="322">
        <f>Councils!G802</f>
        <v>0</v>
      </c>
      <c r="H799" s="322">
        <f>Councils!H802</f>
        <v>0</v>
      </c>
      <c r="I799" s="322">
        <f>Councils!I802</f>
        <v>0</v>
      </c>
      <c r="J799" s="322">
        <f>Councils!J802</f>
        <v>0</v>
      </c>
      <c r="K799" s="322">
        <f>Councils!K802</f>
        <v>0</v>
      </c>
      <c r="L799" s="322">
        <f>Councils!L802</f>
        <v>0</v>
      </c>
      <c r="M799" s="323">
        <f>Councils!M802</f>
        <v>0</v>
      </c>
      <c r="N799" s="322">
        <f>Councils!O802</f>
        <v>0</v>
      </c>
      <c r="O799" s="322">
        <f>Councils!P802</f>
        <v>0</v>
      </c>
      <c r="P799" s="322">
        <f>Councils!Q802</f>
        <v>0</v>
      </c>
      <c r="Q799" s="322">
        <f>Councils!R802</f>
        <v>0</v>
      </c>
      <c r="R799" s="322">
        <f>Councils!S802</f>
        <v>0</v>
      </c>
      <c r="S799" s="322">
        <f>Councils!T802</f>
        <v>0</v>
      </c>
      <c r="T799" s="322">
        <f>Councils!U802</f>
        <v>0</v>
      </c>
      <c r="U799" s="323">
        <f>Councils!V802</f>
        <v>0</v>
      </c>
      <c r="V799" s="376">
        <v>231</v>
      </c>
      <c r="W799" s="377">
        <f t="shared" si="12"/>
        <v>3</v>
      </c>
      <c r="X799" s="378" t="str">
        <f>IF(ISNA(VLOOKUP($A799,GA!$A$1:$D$834,3,0))," ",VLOOKUP($A799,GA!$A$1:$D$834,3,0))</f>
        <v>Carlin</v>
      </c>
      <c r="Y799" s="379" t="str">
        <f>IF(ISNA(VLOOKUP($A799,Dormant_Councils!$A$1:$E$811,5,0)),"No",VLOOKUP($A799,Dormant_Councils!$A$1:$E$811,5,0))</f>
        <v>No</v>
      </c>
      <c r="Z799" s="381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22" t="str">
        <f>Councils!C803</f>
        <v>022</v>
      </c>
      <c r="C800" s="322" t="str">
        <f>Councils!D803</f>
        <v>Wichita Falls</v>
      </c>
      <c r="D800" s="322" t="str">
        <f>IF(ISNA(VLOOKUP($V800,DD_Info!$A$1:$E$221,3,0)),0,VLOOKUP($V800,DD_Info!$A$1:$E$221,3,0))</f>
        <v>Fort Worth</v>
      </c>
      <c r="E800" s="322">
        <f>Councils!E803</f>
        <v>32</v>
      </c>
      <c r="F800" s="322">
        <f>Councils!F803</f>
        <v>3</v>
      </c>
      <c r="G800" s="322">
        <f>Councils!G803</f>
        <v>0</v>
      </c>
      <c r="H800" s="322">
        <f>Councils!H803</f>
        <v>0</v>
      </c>
      <c r="I800" s="322">
        <f>Councils!I803</f>
        <v>0</v>
      </c>
      <c r="J800" s="322">
        <f>Councils!J803</f>
        <v>0</v>
      </c>
      <c r="K800" s="322">
        <f>Councils!K803</f>
        <v>0</v>
      </c>
      <c r="L800" s="322">
        <f>Councils!L803</f>
        <v>0</v>
      </c>
      <c r="M800" s="323">
        <f>Councils!M803</f>
        <v>0</v>
      </c>
      <c r="N800" s="322">
        <f>Councils!O803</f>
        <v>0</v>
      </c>
      <c r="O800" s="322">
        <f>Councils!P803</f>
        <v>1</v>
      </c>
      <c r="P800" s="322">
        <f>Councils!Q803</f>
        <v>0</v>
      </c>
      <c r="Q800" s="322">
        <f>Councils!R803</f>
        <v>1</v>
      </c>
      <c r="R800" s="322">
        <f>Councils!S803</f>
        <v>1</v>
      </c>
      <c r="S800" s="322">
        <f>Councils!T803</f>
        <v>0</v>
      </c>
      <c r="T800" s="322">
        <f>Councils!U803</f>
        <v>1</v>
      </c>
      <c r="U800" s="323">
        <f>Councils!V803</f>
        <v>0</v>
      </c>
      <c r="V800" s="376">
        <v>22</v>
      </c>
      <c r="W800" s="377">
        <f t="shared" si="12"/>
        <v>3</v>
      </c>
      <c r="X800" s="378" t="str">
        <f>IF(ISNA(VLOOKUP($A800,GA!$A$1:$D$834,3,0))," ",VLOOKUP($A800,GA!$A$1:$D$834,3,0))</f>
        <v>Stark</v>
      </c>
      <c r="Y800" s="379" t="str">
        <f>IF(ISNA(VLOOKUP($A800,Dormant_Councils!$A$1:$E$811,5,0)),"No",VLOOKUP($A800,Dormant_Councils!$A$1:$E$811,5,0))</f>
        <v>No</v>
      </c>
      <c r="Z800" s="381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22" t="str">
        <f>Councils!C804</f>
        <v>103</v>
      </c>
      <c r="C801" s="322" t="str">
        <f>Councils!D804</f>
        <v>Garland</v>
      </c>
      <c r="D801" s="322" t="str">
        <f>IF(ISNA(VLOOKUP($V801,DD_Info!$A$1:$E$221,3,0)),0,VLOOKUP($V801,DD_Info!$A$1:$E$221,3,0))</f>
        <v>Dallas</v>
      </c>
      <c r="E801" s="322">
        <f>Councils!E804</f>
        <v>36</v>
      </c>
      <c r="F801" s="322">
        <f>Councils!F804</f>
        <v>3</v>
      </c>
      <c r="G801" s="322">
        <f>Councils!G804</f>
        <v>1</v>
      </c>
      <c r="H801" s="322">
        <f>Councils!H804</f>
        <v>0</v>
      </c>
      <c r="I801" s="322">
        <f>Councils!I804</f>
        <v>1</v>
      </c>
      <c r="J801" s="322">
        <f>Councils!J804</f>
        <v>3</v>
      </c>
      <c r="K801" s="322">
        <f>Councils!K804</f>
        <v>0</v>
      </c>
      <c r="L801" s="322">
        <f>Councils!L804</f>
        <v>3</v>
      </c>
      <c r="M801" s="323">
        <f>Councils!M804</f>
        <v>100</v>
      </c>
      <c r="N801" s="322">
        <f>Councils!O804</f>
        <v>0</v>
      </c>
      <c r="O801" s="322">
        <f>Councils!P804</f>
        <v>0</v>
      </c>
      <c r="P801" s="322">
        <f>Councils!Q804</f>
        <v>0</v>
      </c>
      <c r="Q801" s="322">
        <f>Councils!R804</f>
        <v>0</v>
      </c>
      <c r="R801" s="322">
        <f>Councils!S804</f>
        <v>0</v>
      </c>
      <c r="S801" s="322">
        <f>Councils!T804</f>
        <v>0</v>
      </c>
      <c r="T801" s="322">
        <f>Councils!U804</f>
        <v>0</v>
      </c>
      <c r="U801" s="323">
        <f>Councils!V804</f>
        <v>0</v>
      </c>
      <c r="V801" s="376">
        <v>103</v>
      </c>
      <c r="W801" s="380">
        <v>3</v>
      </c>
      <c r="X801" s="378" t="str">
        <f>IF(ISNA(VLOOKUP($A801,GA!$A$1:$D$834,3,0))," ",VLOOKUP($A801,GA!$A$1:$D$834,3,0))</f>
        <v>Regan</v>
      </c>
      <c r="Y801" s="379" t="str">
        <f>IF(ISNA(VLOOKUP($A801,Dormant_Councils!$A$1:$E$811,5,0)),"No",VLOOKUP($A801,Dormant_Councils!$A$1:$E$811,5,0))</f>
        <v>No</v>
      </c>
      <c r="Z801" s="381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22" t="str">
        <f>Councils!C805</f>
        <v>025</v>
      </c>
      <c r="C802" s="322" t="str">
        <f>Councils!D805</f>
        <v>Fort Worth</v>
      </c>
      <c r="D802" s="322" t="str">
        <f>IF(ISNA(VLOOKUP($V802,DD_Info!$A$1:$E$221,3,0)),0,VLOOKUP($V802,DD_Info!$A$1:$E$221,3,0))</f>
        <v>Fort Worth</v>
      </c>
      <c r="E802" s="322">
        <f>Councils!E805</f>
        <v>54</v>
      </c>
      <c r="F802" s="322">
        <f>Councils!F805</f>
        <v>3</v>
      </c>
      <c r="G802" s="322">
        <f>Councils!G805</f>
        <v>0</v>
      </c>
      <c r="H802" s="322">
        <f>Councils!H805</f>
        <v>0</v>
      </c>
      <c r="I802" s="322">
        <f>Councils!I805</f>
        <v>0</v>
      </c>
      <c r="J802" s="322">
        <f>Councils!J805</f>
        <v>2</v>
      </c>
      <c r="K802" s="322">
        <f>Councils!K805</f>
        <v>0</v>
      </c>
      <c r="L802" s="322">
        <f>Councils!L805</f>
        <v>2</v>
      </c>
      <c r="M802" s="323">
        <f>Councils!M805</f>
        <v>66.67</v>
      </c>
      <c r="N802" s="322">
        <f>Councils!O805</f>
        <v>0</v>
      </c>
      <c r="O802" s="322">
        <f>Councils!P805</f>
        <v>0</v>
      </c>
      <c r="P802" s="322">
        <f>Councils!Q805</f>
        <v>0</v>
      </c>
      <c r="Q802" s="322">
        <f>Councils!R805</f>
        <v>0</v>
      </c>
      <c r="R802" s="322">
        <f>Councils!S805</f>
        <v>1</v>
      </c>
      <c r="S802" s="322">
        <f>Councils!T805</f>
        <v>0</v>
      </c>
      <c r="T802" s="322">
        <f>Councils!U805</f>
        <v>1</v>
      </c>
      <c r="U802" s="323">
        <f>Councils!V805</f>
        <v>0</v>
      </c>
      <c r="V802" s="376">
        <v>25</v>
      </c>
      <c r="W802" s="377">
        <f t="shared" ref="W802:W837" si="13">_xlfn.IFS($E802&gt;=140,1,$E802&gt;65,2,$E802&lt;=65,3)</f>
        <v>3</v>
      </c>
      <c r="X802" s="378" t="str">
        <f>IF(ISNA(VLOOKUP($A802,GA!$A$1:$D$834,3,0))," ",VLOOKUP($A802,GA!$A$1:$D$834,3,0))</f>
        <v>Stark</v>
      </c>
      <c r="Y802" s="379" t="str">
        <f>IF(ISNA(VLOOKUP($A802,Dormant_Councils!$A$1:$E$811,5,0)),"No",VLOOKUP($A802,Dormant_Councils!$A$1:$E$811,5,0))</f>
        <v>No</v>
      </c>
      <c r="Z802" s="381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22" t="str">
        <f>Councils!C806</f>
        <v>113</v>
      </c>
      <c r="C803" s="322" t="str">
        <f>Councils!D806</f>
        <v>Dallas</v>
      </c>
      <c r="D803" s="322" t="str">
        <f>IF(ISNA(VLOOKUP($V803,DD_Info!$A$1:$E$221,3,0)),0,VLOOKUP($V803,DD_Info!$A$1:$E$221,3,0))</f>
        <v>Dallas</v>
      </c>
      <c r="E803" s="322">
        <f>Councils!E806</f>
        <v>78</v>
      </c>
      <c r="F803" s="322">
        <f>Councils!F806</f>
        <v>4</v>
      </c>
      <c r="G803" s="322">
        <f>Councils!G806</f>
        <v>0</v>
      </c>
      <c r="H803" s="322">
        <f>Councils!H806</f>
        <v>0</v>
      </c>
      <c r="I803" s="322">
        <f>Councils!I806</f>
        <v>0</v>
      </c>
      <c r="J803" s="322">
        <f>Councils!J806</f>
        <v>0</v>
      </c>
      <c r="K803" s="322">
        <f>Councils!K806</f>
        <v>0</v>
      </c>
      <c r="L803" s="322">
        <f>Councils!L806</f>
        <v>0</v>
      </c>
      <c r="M803" s="323">
        <f>Councils!M806</f>
        <v>0</v>
      </c>
      <c r="N803" s="322">
        <f>Councils!O806</f>
        <v>0</v>
      </c>
      <c r="O803" s="322">
        <f>Councils!P806</f>
        <v>0</v>
      </c>
      <c r="P803" s="322">
        <f>Councils!Q806</f>
        <v>0</v>
      </c>
      <c r="Q803" s="322">
        <f>Councils!R806</f>
        <v>0</v>
      </c>
      <c r="R803" s="322">
        <f>Councils!S806</f>
        <v>1</v>
      </c>
      <c r="S803" s="322">
        <f>Councils!T806</f>
        <v>1</v>
      </c>
      <c r="T803" s="322">
        <f>Councils!U806</f>
        <v>0</v>
      </c>
      <c r="U803" s="323">
        <f>Councils!V806</f>
        <v>0</v>
      </c>
      <c r="V803" s="376">
        <v>113</v>
      </c>
      <c r="W803" s="377">
        <f t="shared" si="13"/>
        <v>2</v>
      </c>
      <c r="X803" s="378" t="str">
        <f>IF(ISNA(VLOOKUP($A803,GA!$A$1:$D$834,3,0))," ",VLOOKUP($A803,GA!$A$1:$D$834,3,0))</f>
        <v>Regan</v>
      </c>
      <c r="Y803" s="379" t="str">
        <f>IF(ISNA(VLOOKUP($A803,Dormant_Councils!$A$1:$E$811,5,0)),"No",VLOOKUP($A803,Dormant_Councils!$A$1:$E$811,5,0))</f>
        <v>No</v>
      </c>
      <c r="Z803" s="381" t="str">
        <f>IF(ISNA(VLOOKUP($A803,SUSPENDED!$A$2:$F$837,6,0))," ",VLOOKUP($A803,SUSPENDED!$A$2:$F$837,6,0))</f>
        <v xml:space="preserve"> </v>
      </c>
    </row>
    <row r="804" spans="1:26" ht="29.1" customHeight="1" thickBot="1">
      <c r="A804" s="351">
        <v>16666</v>
      </c>
      <c r="B804" s="322" t="str">
        <f>Councils!C807</f>
        <v>199</v>
      </c>
      <c r="C804" s="322" t="str">
        <f>Councils!D807</f>
        <v>Amarillo</v>
      </c>
      <c r="D804" s="322" t="str">
        <f>IF(ISNA(VLOOKUP($V804,DD_Info!$A$1:$E$221,3,0)),0,VLOOKUP($V804,DD_Info!$A$1:$E$221,3,0))</f>
        <v>Amarillo</v>
      </c>
      <c r="E804" s="322">
        <f>Councils!E807</f>
        <v>36</v>
      </c>
      <c r="F804" s="322">
        <f>Councils!F807</f>
        <v>3</v>
      </c>
      <c r="G804" s="322">
        <f>Councils!G807</f>
        <v>0</v>
      </c>
      <c r="H804" s="322">
        <f>Councils!H807</f>
        <v>0</v>
      </c>
      <c r="I804" s="322">
        <f>Councils!I807</f>
        <v>0</v>
      </c>
      <c r="J804" s="322">
        <f>Councils!J807</f>
        <v>8</v>
      </c>
      <c r="K804" s="322">
        <f>Councils!K807</f>
        <v>0</v>
      </c>
      <c r="L804" s="322">
        <f>Councils!L807</f>
        <v>8</v>
      </c>
      <c r="M804" s="323">
        <f>Councils!M807</f>
        <v>266.67</v>
      </c>
      <c r="N804" s="322">
        <f>Councils!O807</f>
        <v>0</v>
      </c>
      <c r="O804" s="322">
        <f>Councils!P807</f>
        <v>0</v>
      </c>
      <c r="P804" s="322">
        <f>Councils!Q807</f>
        <v>0</v>
      </c>
      <c r="Q804" s="322">
        <f>Councils!R807</f>
        <v>0</v>
      </c>
      <c r="R804" s="322">
        <f>Councils!S807</f>
        <v>1</v>
      </c>
      <c r="S804" s="322">
        <f>Councils!T807</f>
        <v>0</v>
      </c>
      <c r="T804" s="322">
        <f>Councils!U807</f>
        <v>1</v>
      </c>
      <c r="U804" s="323">
        <f>Councils!V807</f>
        <v>0</v>
      </c>
      <c r="V804" s="376">
        <v>199</v>
      </c>
      <c r="W804" s="377">
        <f t="shared" si="13"/>
        <v>3</v>
      </c>
      <c r="X804" s="378" t="str">
        <f>IF(ISNA(VLOOKUP($A804,GA!$A$1:$D$834,3,0))," ",VLOOKUP($A804,GA!$A$1:$D$834,3,0))</f>
        <v>Payne</v>
      </c>
      <c r="Y804" s="379" t="str">
        <f>IF(ISNA(VLOOKUP($A804,Dormant_Councils!$A$1:$E$811,5,0)),"No",VLOOKUP($A804,Dormant_Councils!$A$1:$E$811,5,0))</f>
        <v>No</v>
      </c>
      <c r="Z804" s="381" t="str">
        <f>IF(ISNA(VLOOKUP($A804,SUSPENDED!$A$2:$F$837,6,0))," ",VLOOKUP($A804,SUSPENDED!$A$2:$F$837,6,0))</f>
        <v xml:space="preserve"> </v>
      </c>
    </row>
    <row r="805" spans="1:26" ht="29.1" customHeight="1" thickBot="1">
      <c r="A805" s="351">
        <v>16677</v>
      </c>
      <c r="B805" s="322" t="str">
        <f>Councils!C808</f>
        <v>104</v>
      </c>
      <c r="C805" s="322" t="str">
        <f>Councils!D808</f>
        <v>Richardson</v>
      </c>
      <c r="D805" s="322" t="str">
        <f>IF(ISNA(VLOOKUP($V805,DD_Info!$A$1:$E$221,3,0)),0,VLOOKUP($V805,DD_Info!$A$1:$E$221,3,0))</f>
        <v>Dallas</v>
      </c>
      <c r="E805" s="322">
        <f>Councils!E808</f>
        <v>26</v>
      </c>
      <c r="F805" s="322">
        <f>Councils!F808</f>
        <v>3</v>
      </c>
      <c r="G805" s="322">
        <f>Councils!G808</f>
        <v>0</v>
      </c>
      <c r="H805" s="322">
        <f>Councils!H808</f>
        <v>0</v>
      </c>
      <c r="I805" s="322">
        <f>Councils!I808</f>
        <v>0</v>
      </c>
      <c r="J805" s="322">
        <f>Councils!J808</f>
        <v>0</v>
      </c>
      <c r="K805" s="322">
        <f>Councils!K808</f>
        <v>0</v>
      </c>
      <c r="L805" s="322">
        <f>Councils!L808</f>
        <v>0</v>
      </c>
      <c r="M805" s="323">
        <f>Councils!M808</f>
        <v>0</v>
      </c>
      <c r="N805" s="322">
        <f>Councils!O808</f>
        <v>0</v>
      </c>
      <c r="O805" s="322">
        <f>Councils!P808</f>
        <v>0</v>
      </c>
      <c r="P805" s="322">
        <f>Councils!Q808</f>
        <v>0</v>
      </c>
      <c r="Q805" s="322">
        <f>Councils!R808</f>
        <v>0</v>
      </c>
      <c r="R805" s="322">
        <f>Councils!S808</f>
        <v>0</v>
      </c>
      <c r="S805" s="322">
        <f>Councils!T808</f>
        <v>0</v>
      </c>
      <c r="T805" s="322">
        <f>Councils!U808</f>
        <v>0</v>
      </c>
      <c r="U805" s="323">
        <f>Councils!V808</f>
        <v>0</v>
      </c>
      <c r="V805" s="376">
        <v>104</v>
      </c>
      <c r="W805" s="377">
        <f t="shared" si="13"/>
        <v>3</v>
      </c>
      <c r="X805" s="378" t="str">
        <f>IF(ISNA(VLOOKUP($A805,GA!$A$1:$D$834,3,0))," ",VLOOKUP($A805,GA!$A$1:$D$834,3,0))</f>
        <v>Regan</v>
      </c>
      <c r="Y805" s="379" t="str">
        <f>IF(ISNA(VLOOKUP($A805,Dormant_Councils!$A$1:$E$811,5,0)),"No",VLOOKUP($A805,Dormant_Councils!$A$1:$E$811,5,0))</f>
        <v>No</v>
      </c>
      <c r="Z805" s="381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22" t="str">
        <f>Councils!C809</f>
        <v>040</v>
      </c>
      <c r="C806" s="322" t="str">
        <f>Councils!D809</f>
        <v>San Antonio</v>
      </c>
      <c r="D806" s="322" t="str">
        <f>IF(ISNA(VLOOKUP($V806,DD_Info!$A$1:$E$221,3,0)),0,VLOOKUP($V806,DD_Info!$A$1:$E$221,3,0))</f>
        <v>San Antonio</v>
      </c>
      <c r="E806" s="322">
        <f>Councils!E809</f>
        <v>155</v>
      </c>
      <c r="F806" s="322">
        <f>Councils!F809</f>
        <v>7</v>
      </c>
      <c r="G806" s="322">
        <f>Councils!G809</f>
        <v>1</v>
      </c>
      <c r="H806" s="322">
        <f>Councils!H809</f>
        <v>0</v>
      </c>
      <c r="I806" s="322">
        <f>Councils!I809</f>
        <v>1</v>
      </c>
      <c r="J806" s="322">
        <f>Councils!J809</f>
        <v>6</v>
      </c>
      <c r="K806" s="322">
        <f>Councils!K809</f>
        <v>1</v>
      </c>
      <c r="L806" s="322">
        <f>Councils!L809</f>
        <v>5</v>
      </c>
      <c r="M806" s="323">
        <f>Councils!M809</f>
        <v>71.430000000000007</v>
      </c>
      <c r="N806" s="322">
        <f>Councils!O809</f>
        <v>0</v>
      </c>
      <c r="O806" s="322">
        <f>Councils!P809</f>
        <v>0</v>
      </c>
      <c r="P806" s="322">
        <f>Councils!Q809</f>
        <v>0</v>
      </c>
      <c r="Q806" s="322">
        <f>Councils!R809</f>
        <v>0</v>
      </c>
      <c r="R806" s="322">
        <f>Councils!S809</f>
        <v>6</v>
      </c>
      <c r="S806" s="322">
        <f>Councils!T809</f>
        <v>2</v>
      </c>
      <c r="T806" s="322">
        <f>Councils!U809</f>
        <v>4</v>
      </c>
      <c r="U806" s="323">
        <f>Councils!V809</f>
        <v>0</v>
      </c>
      <c r="V806" s="376">
        <v>40</v>
      </c>
      <c r="W806" s="377">
        <f t="shared" si="13"/>
        <v>1</v>
      </c>
      <c r="X806" s="378" t="str">
        <f>IF(ISNA(VLOOKUP($A806,GA!$A$1:$D$834,3,0))," ",VLOOKUP($A806,GA!$A$1:$D$834,3,0))</f>
        <v>Dougherty</v>
      </c>
      <c r="Y806" s="379" t="str">
        <f>IF(ISNA(VLOOKUP($A806,Dormant_Councils!$A$1:$E$811,5,0)),"No",VLOOKUP($A806,Dormant_Councils!$A$1:$E$811,5,0))</f>
        <v>No</v>
      </c>
      <c r="Z806" s="381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22" t="str">
        <f>Councils!C810</f>
        <v>045</v>
      </c>
      <c r="C807" s="322" t="str">
        <f>Councils!D810</f>
        <v>Seguin</v>
      </c>
      <c r="D807" s="322" t="str">
        <f>IF(ISNA(VLOOKUP($V807,DD_Info!$A$1:$E$221,3,0)),0,VLOOKUP($V807,DD_Info!$A$1:$E$221,3,0))</f>
        <v>San Antonio</v>
      </c>
      <c r="E807" s="322">
        <f>Councils!E810</f>
        <v>78</v>
      </c>
      <c r="F807" s="322">
        <f>Councils!F810</f>
        <v>4</v>
      </c>
      <c r="G807" s="322">
        <f>Councils!G810</f>
        <v>0</v>
      </c>
      <c r="H807" s="322">
        <f>Councils!H810</f>
        <v>0</v>
      </c>
      <c r="I807" s="322">
        <f>Councils!I810</f>
        <v>0</v>
      </c>
      <c r="J807" s="322">
        <f>Councils!J810</f>
        <v>1</v>
      </c>
      <c r="K807" s="322">
        <f>Councils!K810</f>
        <v>0</v>
      </c>
      <c r="L807" s="322">
        <f>Councils!L810</f>
        <v>1</v>
      </c>
      <c r="M807" s="323">
        <f>Councils!M810</f>
        <v>25</v>
      </c>
      <c r="N807" s="322">
        <f>Councils!O810</f>
        <v>0</v>
      </c>
      <c r="O807" s="322">
        <f>Councils!P810</f>
        <v>0</v>
      </c>
      <c r="P807" s="322">
        <f>Councils!Q810</f>
        <v>0</v>
      </c>
      <c r="Q807" s="322">
        <f>Councils!R810</f>
        <v>0</v>
      </c>
      <c r="R807" s="322">
        <f>Councils!S810</f>
        <v>3</v>
      </c>
      <c r="S807" s="322">
        <f>Councils!T810</f>
        <v>0</v>
      </c>
      <c r="T807" s="322">
        <f>Councils!U810</f>
        <v>3</v>
      </c>
      <c r="U807" s="323">
        <f>Councils!V810</f>
        <v>0</v>
      </c>
      <c r="V807" s="376">
        <v>45</v>
      </c>
      <c r="W807" s="377">
        <f t="shared" si="13"/>
        <v>2</v>
      </c>
      <c r="X807" s="378" t="str">
        <f>IF(ISNA(VLOOKUP($A807,GA!$A$1:$D$834,3,0))," ",VLOOKUP($A807,GA!$A$1:$D$834,3,0))</f>
        <v>Dougherty</v>
      </c>
      <c r="Y807" s="379" t="str">
        <f>IF(ISNA(VLOOKUP($A807,Dormant_Councils!$A$1:$E$811,5,0)),"No",VLOOKUP($A807,Dormant_Councils!$A$1:$E$811,5,0))</f>
        <v>No</v>
      </c>
      <c r="Z807" s="381" t="str">
        <f>IF(ISNA(VLOOKUP($A807,SUSPENDED!$A$2:$F$837,6,0))," ",VLOOKUP($A807,SUSPENDED!$A$2:$F$837,6,0))</f>
        <v xml:space="preserve"> </v>
      </c>
    </row>
    <row r="808" spans="1:26" s="51" customFormat="1" ht="29.1" customHeight="1" thickBot="1">
      <c r="A808" s="45">
        <v>16760</v>
      </c>
      <c r="B808" s="322" t="str">
        <f>Councils!C811</f>
        <v>047</v>
      </c>
      <c r="C808" s="322" t="str">
        <f>Councils!D811</f>
        <v>San Antonio</v>
      </c>
      <c r="D808" s="322" t="str">
        <f>IF(ISNA(VLOOKUP($V808,DD_Info!$A$1:$E$221,3,0)),0,VLOOKUP($V808,DD_Info!$A$1:$E$221,3,0))</f>
        <v>San Antonio</v>
      </c>
      <c r="E808" s="322">
        <f>Councils!E811</f>
        <v>24</v>
      </c>
      <c r="F808" s="322">
        <f>Councils!F811</f>
        <v>3</v>
      </c>
      <c r="G808" s="322">
        <f>Councils!G811</f>
        <v>0</v>
      </c>
      <c r="H808" s="322">
        <f>Councils!H811</f>
        <v>0</v>
      </c>
      <c r="I808" s="322">
        <f>Councils!I811</f>
        <v>0</v>
      </c>
      <c r="J808" s="322">
        <f>Councils!J811</f>
        <v>0</v>
      </c>
      <c r="K808" s="322">
        <f>Councils!K811</f>
        <v>0</v>
      </c>
      <c r="L808" s="322">
        <f>Councils!L811</f>
        <v>0</v>
      </c>
      <c r="M808" s="323">
        <f>Councils!M811</f>
        <v>0</v>
      </c>
      <c r="N808" s="322">
        <f>Councils!O811</f>
        <v>0</v>
      </c>
      <c r="O808" s="322">
        <f>Councils!P811</f>
        <v>0</v>
      </c>
      <c r="P808" s="322">
        <f>Councils!Q811</f>
        <v>0</v>
      </c>
      <c r="Q808" s="322">
        <f>Councils!R811</f>
        <v>0</v>
      </c>
      <c r="R808" s="322">
        <f>Councils!S811</f>
        <v>0</v>
      </c>
      <c r="S808" s="322">
        <f>Councils!T811</f>
        <v>0</v>
      </c>
      <c r="T808" s="322">
        <f>Councils!U811</f>
        <v>0</v>
      </c>
      <c r="U808" s="323">
        <f>Councils!V811</f>
        <v>0</v>
      </c>
      <c r="V808" s="376">
        <v>47</v>
      </c>
      <c r="W808" s="377">
        <f t="shared" si="13"/>
        <v>3</v>
      </c>
      <c r="X808" s="378" t="str">
        <f>IF(ISNA(VLOOKUP($A808,GA!$A$1:$D$834,3,0))," ",VLOOKUP($A808,GA!$A$1:$D$834,3,0))</f>
        <v>Dougherty</v>
      </c>
      <c r="Y808" s="379" t="str">
        <f>IF(ISNA(VLOOKUP($A808,Dormant_Councils!$A$1:$E$811,5,0)),"No",VLOOKUP($A808,Dormant_Councils!$A$1:$E$811,5,0))</f>
        <v>No</v>
      </c>
      <c r="Z808" s="381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51">
        <v>16775</v>
      </c>
      <c r="B809" s="322" t="str">
        <f>Councils!C812</f>
        <v>243</v>
      </c>
      <c r="C809" s="322" t="str">
        <f>Councils!D812</f>
        <v>Olton</v>
      </c>
      <c r="D809" s="322" t="str">
        <f>IF(ISNA(VLOOKUP($V809,DD_Info!$A$1:$E$221,3,0)),0,VLOOKUP($V809,DD_Info!$A$1:$E$221,3,0))</f>
        <v>Lubbock</v>
      </c>
      <c r="E809" s="322">
        <f>Councils!E812</f>
        <v>26</v>
      </c>
      <c r="F809" s="322">
        <f>Councils!F812</f>
        <v>3</v>
      </c>
      <c r="G809" s="322">
        <f>Councils!G812</f>
        <v>0</v>
      </c>
      <c r="H809" s="322">
        <f>Councils!H812</f>
        <v>0</v>
      </c>
      <c r="I809" s="322">
        <f>Councils!I812</f>
        <v>0</v>
      </c>
      <c r="J809" s="322">
        <f>Councils!J812</f>
        <v>0</v>
      </c>
      <c r="K809" s="322">
        <f>Councils!K812</f>
        <v>0</v>
      </c>
      <c r="L809" s="322">
        <f>Councils!L812</f>
        <v>0</v>
      </c>
      <c r="M809" s="323">
        <f>Councils!M812</f>
        <v>0</v>
      </c>
      <c r="N809" s="322">
        <f>Councils!O812</f>
        <v>0</v>
      </c>
      <c r="O809" s="322">
        <f>Councils!P812</f>
        <v>0</v>
      </c>
      <c r="P809" s="322">
        <f>Councils!Q812</f>
        <v>0</v>
      </c>
      <c r="Q809" s="322">
        <f>Councils!R812</f>
        <v>0</v>
      </c>
      <c r="R809" s="322">
        <f>Councils!S812</f>
        <v>0</v>
      </c>
      <c r="S809" s="322">
        <f>Councils!T812</f>
        <v>1</v>
      </c>
      <c r="T809" s="322">
        <f>Councils!U812</f>
        <v>-1</v>
      </c>
      <c r="U809" s="323">
        <f>Councils!V812</f>
        <v>0</v>
      </c>
      <c r="V809" s="376">
        <v>243</v>
      </c>
      <c r="W809" s="377">
        <f t="shared" si="13"/>
        <v>3</v>
      </c>
      <c r="X809" s="378" t="str">
        <f>IF(ISNA(VLOOKUP($A809,GA!$A$1:$D$834,3,0))," ",VLOOKUP($A809,GA!$A$1:$D$834,3,0))</f>
        <v>Payne</v>
      </c>
      <c r="Y809" s="379" t="str">
        <f>IF(ISNA(VLOOKUP($A809,Dormant_Councils!$A$1:$E$811,5,0)),"No",VLOOKUP($A809,Dormant_Councils!$A$1:$E$811,5,0))</f>
        <v>No</v>
      </c>
      <c r="Z809" s="381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51">
        <v>16778</v>
      </c>
      <c r="B810" s="322" t="str">
        <f>Councils!C813</f>
        <v>004</v>
      </c>
      <c r="C810" s="322" t="str">
        <f>Councils!D813</f>
        <v>El Paso</v>
      </c>
      <c r="D810" s="322" t="str">
        <f>IF(ISNA(VLOOKUP($V810,DD_Info!$A$1:$E$221,3,0)),0,VLOOKUP($V810,DD_Info!$A$1:$E$221,3,0))</f>
        <v>El Paso</v>
      </c>
      <c r="E810" s="322">
        <f>Councils!E813</f>
        <v>67</v>
      </c>
      <c r="F810" s="322">
        <f>Councils!F813</f>
        <v>3</v>
      </c>
      <c r="G810" s="322">
        <f>Councils!G813</f>
        <v>2</v>
      </c>
      <c r="H810" s="322">
        <f>Councils!H813</f>
        <v>0</v>
      </c>
      <c r="I810" s="322">
        <f>Councils!I813</f>
        <v>2</v>
      </c>
      <c r="J810" s="322">
        <f>Councils!J813</f>
        <v>11</v>
      </c>
      <c r="K810" s="322">
        <f>Councils!K813</f>
        <v>0</v>
      </c>
      <c r="L810" s="322">
        <f>Councils!L813</f>
        <v>11</v>
      </c>
      <c r="M810" s="323">
        <f>Councils!M813</f>
        <v>366.67</v>
      </c>
      <c r="N810" s="322">
        <f>Councils!O813</f>
        <v>0</v>
      </c>
      <c r="O810" s="322">
        <f>Councils!P813</f>
        <v>0</v>
      </c>
      <c r="P810" s="322">
        <f>Councils!Q813</f>
        <v>1</v>
      </c>
      <c r="Q810" s="322">
        <f>Councils!R813</f>
        <v>-1</v>
      </c>
      <c r="R810" s="322">
        <f>Councils!S813</f>
        <v>0</v>
      </c>
      <c r="S810" s="322">
        <f>Councils!T813</f>
        <v>1</v>
      </c>
      <c r="T810" s="322">
        <f>Councils!U813</f>
        <v>-1</v>
      </c>
      <c r="U810" s="323">
        <f>Councils!V813</f>
        <v>0</v>
      </c>
      <c r="V810" s="376">
        <v>4</v>
      </c>
      <c r="W810" s="377">
        <f t="shared" si="13"/>
        <v>2</v>
      </c>
      <c r="X810" s="378" t="str">
        <f>IF(ISNA(VLOOKUP($A810,GA!$A$1:$D$834,3,0))," ",VLOOKUP($A810,GA!$A$1:$D$834,3,0))</f>
        <v>Payne</v>
      </c>
      <c r="Y810" s="379" t="str">
        <f>IF(ISNA(VLOOKUP($A810,Dormant_Councils!$A$1:$E$811,5,0)),"No",VLOOKUP($A810,Dormant_Councils!$A$1:$E$811,5,0))</f>
        <v>No</v>
      </c>
      <c r="Z810" s="381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51">
        <v>16796</v>
      </c>
      <c r="B811" s="322" t="str">
        <f>Councils!C814</f>
        <v>217</v>
      </c>
      <c r="C811" s="322" t="str">
        <f>Councils!D814</f>
        <v>Las Milpas-Pharr</v>
      </c>
      <c r="D811" s="322" t="str">
        <f>IF(ISNA(VLOOKUP($V811,DD_Info!$A$1:$E$221,3,0)),0,VLOOKUP($V811,DD_Info!$A$1:$E$221,3,0))</f>
        <v>Brownsville</v>
      </c>
      <c r="E811" s="322">
        <f>Councils!E814</f>
        <v>61</v>
      </c>
      <c r="F811" s="322">
        <f>Councils!F814</f>
        <v>3</v>
      </c>
      <c r="G811" s="322">
        <f>Councils!G814</f>
        <v>0</v>
      </c>
      <c r="H811" s="322">
        <f>Councils!H814</f>
        <v>0</v>
      </c>
      <c r="I811" s="322">
        <f>Councils!I814</f>
        <v>0</v>
      </c>
      <c r="J811" s="322">
        <f>Councils!J814</f>
        <v>2</v>
      </c>
      <c r="K811" s="322">
        <f>Councils!K814</f>
        <v>0</v>
      </c>
      <c r="L811" s="322">
        <f>Councils!L814</f>
        <v>2</v>
      </c>
      <c r="M811" s="323">
        <f>Councils!M814</f>
        <v>66.67</v>
      </c>
      <c r="N811" s="322">
        <f>Councils!O814</f>
        <v>0</v>
      </c>
      <c r="O811" s="322">
        <f>Councils!P814</f>
        <v>0</v>
      </c>
      <c r="P811" s="322">
        <f>Councils!Q814</f>
        <v>0</v>
      </c>
      <c r="Q811" s="322">
        <f>Councils!R814</f>
        <v>0</v>
      </c>
      <c r="R811" s="322">
        <f>Councils!S814</f>
        <v>1</v>
      </c>
      <c r="S811" s="322">
        <f>Councils!T814</f>
        <v>0</v>
      </c>
      <c r="T811" s="322">
        <f>Councils!U814</f>
        <v>1</v>
      </c>
      <c r="U811" s="323">
        <f>Councils!V814</f>
        <v>0</v>
      </c>
      <c r="V811" s="376">
        <v>217</v>
      </c>
      <c r="W811" s="377">
        <f t="shared" si="13"/>
        <v>3</v>
      </c>
      <c r="X811" s="378" t="str">
        <f>IF(ISNA(VLOOKUP($A811,GA!$A$1:$D$834,3,0))," ",VLOOKUP($A811,GA!$A$1:$D$834,3,0))</f>
        <v>Carlin</v>
      </c>
      <c r="Y811" s="379" t="str">
        <f>IF(ISNA(VLOOKUP($A811,Dormant_Councils!$A$1:$E$811,5,0)),"No",VLOOKUP($A811,Dormant_Councils!$A$1:$E$811,5,0))</f>
        <v>No</v>
      </c>
      <c r="Z811" s="381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51">
        <v>16820</v>
      </c>
      <c r="B812" s="322" t="str">
        <f>Councils!C815</f>
        <v>112</v>
      </c>
      <c r="C812" s="322" t="str">
        <f>Councils!D815</f>
        <v>Dallas</v>
      </c>
      <c r="D812" s="322" t="str">
        <f>IF(ISNA(VLOOKUP($V812,DD_Info!$A$1:$E$221,3,0)),0,VLOOKUP($V812,DD_Info!$A$1:$E$221,3,0))</f>
        <v>Dallas</v>
      </c>
      <c r="E812" s="322">
        <f>Councils!E815</f>
        <v>42</v>
      </c>
      <c r="F812" s="322">
        <f>Councils!F815</f>
        <v>3</v>
      </c>
      <c r="G812" s="322">
        <f>Councils!G815</f>
        <v>0</v>
      </c>
      <c r="H812" s="322">
        <f>Councils!H815</f>
        <v>0</v>
      </c>
      <c r="I812" s="322">
        <f>Councils!I815</f>
        <v>0</v>
      </c>
      <c r="J812" s="322">
        <f>Councils!J815</f>
        <v>1</v>
      </c>
      <c r="K812" s="322">
        <f>Councils!K815</f>
        <v>0</v>
      </c>
      <c r="L812" s="322">
        <f>Councils!L815</f>
        <v>1</v>
      </c>
      <c r="M812" s="323">
        <f>Councils!M815</f>
        <v>33.33</v>
      </c>
      <c r="N812" s="322">
        <f>Councils!O815</f>
        <v>0</v>
      </c>
      <c r="O812" s="322">
        <f>Councils!P815</f>
        <v>0</v>
      </c>
      <c r="P812" s="322">
        <f>Councils!Q815</f>
        <v>0</v>
      </c>
      <c r="Q812" s="322">
        <f>Councils!R815</f>
        <v>0</v>
      </c>
      <c r="R812" s="322">
        <f>Councils!S815</f>
        <v>2</v>
      </c>
      <c r="S812" s="322">
        <f>Councils!T815</f>
        <v>0</v>
      </c>
      <c r="T812" s="322">
        <f>Councils!U815</f>
        <v>2</v>
      </c>
      <c r="U812" s="323">
        <f>Councils!V815</f>
        <v>0</v>
      </c>
      <c r="V812" s="376">
        <v>112</v>
      </c>
      <c r="W812" s="377">
        <f t="shared" si="13"/>
        <v>3</v>
      </c>
      <c r="X812" s="378" t="str">
        <f>IF(ISNA(VLOOKUP($A812,GA!$A$1:$D$834,3,0))," ",VLOOKUP($A812,GA!$A$1:$D$834,3,0))</f>
        <v>Regan</v>
      </c>
      <c r="Y812" s="379" t="str">
        <f>IF(ISNA(VLOOKUP($A812,Dormant_Councils!$A$1:$E$811,5,0)),"No",VLOOKUP($A812,Dormant_Councils!$A$1:$E$811,5,0))</f>
        <v>No</v>
      </c>
      <c r="Z812" s="381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51">
        <v>16854</v>
      </c>
      <c r="B813" s="322" t="str">
        <f>Councils!C816</f>
        <v>054</v>
      </c>
      <c r="C813" s="322" t="str">
        <f>Councils!D816</f>
        <v>San Antonio</v>
      </c>
      <c r="D813" s="322" t="str">
        <f>IF(ISNA(VLOOKUP($V813,DD_Info!$A$1:$E$221,3,0)),0,VLOOKUP($V813,DD_Info!$A$1:$E$221,3,0))</f>
        <v>San Antonio</v>
      </c>
      <c r="E813" s="322">
        <f>Councils!E816</f>
        <v>44</v>
      </c>
      <c r="F813" s="322">
        <f>Councils!F816</f>
        <v>3</v>
      </c>
      <c r="G813" s="322">
        <f>Councils!G816</f>
        <v>0</v>
      </c>
      <c r="H813" s="322">
        <f>Councils!H816</f>
        <v>0</v>
      </c>
      <c r="I813" s="322">
        <f>Councils!I816</f>
        <v>0</v>
      </c>
      <c r="J813" s="322">
        <f>Councils!J816</f>
        <v>0</v>
      </c>
      <c r="K813" s="322">
        <f>Councils!K816</f>
        <v>0</v>
      </c>
      <c r="L813" s="322">
        <f>Councils!L816</f>
        <v>0</v>
      </c>
      <c r="M813" s="323">
        <f>Councils!M816</f>
        <v>0</v>
      </c>
      <c r="N813" s="322">
        <f>Councils!O816</f>
        <v>0</v>
      </c>
      <c r="O813" s="322">
        <f>Councils!P816</f>
        <v>0</v>
      </c>
      <c r="P813" s="322">
        <f>Councils!Q816</f>
        <v>0</v>
      </c>
      <c r="Q813" s="322">
        <f>Councils!R816</f>
        <v>0</v>
      </c>
      <c r="R813" s="322">
        <f>Councils!S816</f>
        <v>0</v>
      </c>
      <c r="S813" s="322">
        <f>Councils!T816</f>
        <v>0</v>
      </c>
      <c r="T813" s="322">
        <f>Councils!U816</f>
        <v>0</v>
      </c>
      <c r="U813" s="323">
        <f>Councils!V816</f>
        <v>0</v>
      </c>
      <c r="V813" s="376">
        <v>54</v>
      </c>
      <c r="W813" s="377">
        <f t="shared" si="13"/>
        <v>3</v>
      </c>
      <c r="X813" s="378" t="str">
        <f>IF(ISNA(VLOOKUP($A813,GA!$A$1:$D$834,3,0))," ",VLOOKUP($A813,GA!$A$1:$D$834,3,0))</f>
        <v>Dougherty</v>
      </c>
      <c r="Y813" s="379" t="str">
        <f>IF(ISNA(VLOOKUP($A813,Dormant_Councils!$A$1:$E$811,5,0)),"No",VLOOKUP($A813,Dormant_Councils!$A$1:$E$811,5,0))</f>
        <v>No</v>
      </c>
      <c r="Z813" s="381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51">
        <v>16917</v>
      </c>
      <c r="B814" s="322" t="str">
        <f>Councils!C817</f>
        <v>213</v>
      </c>
      <c r="C814" s="322" t="str">
        <f>Councils!D817</f>
        <v>Weslaco</v>
      </c>
      <c r="D814" s="322" t="str">
        <f>IF(ISNA(VLOOKUP($V814,DD_Info!$A$1:$E$221,3,0)),0,VLOOKUP($V814,DD_Info!$A$1:$E$221,3,0))</f>
        <v>Brownsville</v>
      </c>
      <c r="E814" s="322">
        <f>Councils!E817</f>
        <v>34</v>
      </c>
      <c r="F814" s="322">
        <f>Councils!F817</f>
        <v>3</v>
      </c>
      <c r="G814" s="322">
        <f>Councils!G817</f>
        <v>0</v>
      </c>
      <c r="H814" s="322">
        <f>Councils!H817</f>
        <v>0</v>
      </c>
      <c r="I814" s="322">
        <f>Councils!I817</f>
        <v>0</v>
      </c>
      <c r="J814" s="322">
        <f>Councils!J817</f>
        <v>0</v>
      </c>
      <c r="K814" s="322">
        <f>Councils!K817</f>
        <v>0</v>
      </c>
      <c r="L814" s="322">
        <f>Councils!L817</f>
        <v>0</v>
      </c>
      <c r="M814" s="323">
        <f>Councils!M817</f>
        <v>0</v>
      </c>
      <c r="N814" s="322">
        <f>Councils!O817</f>
        <v>0</v>
      </c>
      <c r="O814" s="322">
        <f>Councils!P817</f>
        <v>0</v>
      </c>
      <c r="P814" s="322">
        <f>Councils!Q817</f>
        <v>0</v>
      </c>
      <c r="Q814" s="322">
        <f>Councils!R817</f>
        <v>0</v>
      </c>
      <c r="R814" s="322">
        <f>Councils!S817</f>
        <v>0</v>
      </c>
      <c r="S814" s="322">
        <f>Councils!T817</f>
        <v>0</v>
      </c>
      <c r="T814" s="322">
        <f>Councils!U817</f>
        <v>0</v>
      </c>
      <c r="U814" s="323">
        <f>Councils!V817</f>
        <v>0</v>
      </c>
      <c r="V814" s="376">
        <v>213</v>
      </c>
      <c r="W814" s="377">
        <f t="shared" si="13"/>
        <v>3</v>
      </c>
      <c r="X814" s="378" t="str">
        <f>IF(ISNA(VLOOKUP($A814,GA!$A$1:$D$834,3,0))," ",VLOOKUP($A814,GA!$A$1:$D$834,3,0))</f>
        <v>Carlin</v>
      </c>
      <c r="Y814" s="379" t="str">
        <f>IF(ISNA(VLOOKUP($A814,Dormant_Councils!$A$1:$E$811,5,0)),"No",VLOOKUP($A814,Dormant_Councils!$A$1:$E$811,5,0))</f>
        <v>No</v>
      </c>
      <c r="Z814" s="381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51">
        <v>17024</v>
      </c>
      <c r="B815" s="322" t="str">
        <f>Councils!C818</f>
        <v>033</v>
      </c>
      <c r="C815" s="322" t="str">
        <f>Councils!D818</f>
        <v>Nas Fort Worth Jrb</v>
      </c>
      <c r="D815" s="322" t="str">
        <f>IF(ISNA(VLOOKUP($V815,DD_Info!$A$1:$E$221,3,0)),0,VLOOKUP($V815,DD_Info!$A$1:$E$221,3,0))</f>
        <v>Fort Worth</v>
      </c>
      <c r="E815" s="322">
        <f>Councils!E818</f>
        <v>28</v>
      </c>
      <c r="F815" s="322">
        <f>Councils!F818</f>
        <v>3</v>
      </c>
      <c r="G815" s="322">
        <f>Councils!G818</f>
        <v>0</v>
      </c>
      <c r="H815" s="322">
        <f>Councils!H818</f>
        <v>0</v>
      </c>
      <c r="I815" s="322">
        <f>Councils!I818</f>
        <v>0</v>
      </c>
      <c r="J815" s="322">
        <f>Councils!J818</f>
        <v>1</v>
      </c>
      <c r="K815" s="322">
        <f>Councils!K818</f>
        <v>0</v>
      </c>
      <c r="L815" s="322">
        <f>Councils!L818</f>
        <v>1</v>
      </c>
      <c r="M815" s="323">
        <f>Councils!M818</f>
        <v>33.33</v>
      </c>
      <c r="N815" s="322">
        <f>Councils!O818</f>
        <v>0</v>
      </c>
      <c r="O815" s="322">
        <f>Councils!P818</f>
        <v>0</v>
      </c>
      <c r="P815" s="322">
        <f>Councils!Q818</f>
        <v>0</v>
      </c>
      <c r="Q815" s="322">
        <f>Councils!R818</f>
        <v>0</v>
      </c>
      <c r="R815" s="322">
        <f>Councils!S818</f>
        <v>0</v>
      </c>
      <c r="S815" s="322">
        <f>Councils!T818</f>
        <v>0</v>
      </c>
      <c r="T815" s="322">
        <f>Councils!U818</f>
        <v>0</v>
      </c>
      <c r="U815" s="323">
        <f>Councils!V818</f>
        <v>0</v>
      </c>
      <c r="V815" s="45">
        <v>33</v>
      </c>
      <c r="W815" s="377">
        <f t="shared" si="13"/>
        <v>3</v>
      </c>
      <c r="X815" s="378" t="str">
        <f>IF(ISNA(VLOOKUP($A815,GA!$A$1:$D$834,3,0))," ",VLOOKUP($A815,GA!$A$1:$D$834,3,0))</f>
        <v>Stark</v>
      </c>
      <c r="Y815" s="379" t="str">
        <f>IF(ISNA(VLOOKUP($A815,Dormant_Councils!$A$1:$E$811,5,0)),"No",VLOOKUP($A815,Dormant_Councils!$A$1:$E$811,5,0))</f>
        <v>No</v>
      </c>
      <c r="Z815" s="381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51">
        <v>17026</v>
      </c>
      <c r="B816" s="322" t="str">
        <f>Councils!C819</f>
        <v>115</v>
      </c>
      <c r="C816" s="322" t="str">
        <f>Councils!D819</f>
        <v>Dallas</v>
      </c>
      <c r="D816" s="322" t="str">
        <f>IF(ISNA(VLOOKUP($V816,DD_Info!$A$1:$E$221,3,0)),0,VLOOKUP($V816,DD_Info!$A$1:$E$221,3,0))</f>
        <v>Dallas</v>
      </c>
      <c r="E816" s="322">
        <f>Councils!E819</f>
        <v>31</v>
      </c>
      <c r="F816" s="322">
        <f>Councils!F819</f>
        <v>3</v>
      </c>
      <c r="G816" s="322">
        <f>Councils!G819</f>
        <v>0</v>
      </c>
      <c r="H816" s="322">
        <f>Councils!H819</f>
        <v>0</v>
      </c>
      <c r="I816" s="322">
        <f>Councils!I819</f>
        <v>0</v>
      </c>
      <c r="J816" s="322">
        <f>Councils!J819</f>
        <v>0</v>
      </c>
      <c r="K816" s="322">
        <f>Councils!K819</f>
        <v>0</v>
      </c>
      <c r="L816" s="322">
        <f>Councils!L819</f>
        <v>0</v>
      </c>
      <c r="M816" s="323">
        <f>Councils!M819</f>
        <v>0</v>
      </c>
      <c r="N816" s="322">
        <f>Councils!O819</f>
        <v>0</v>
      </c>
      <c r="O816" s="322">
        <f>Councils!P819</f>
        <v>0</v>
      </c>
      <c r="P816" s="322">
        <f>Councils!Q819</f>
        <v>0</v>
      </c>
      <c r="Q816" s="322">
        <f>Councils!R819</f>
        <v>0</v>
      </c>
      <c r="R816" s="322">
        <f>Councils!S819</f>
        <v>0</v>
      </c>
      <c r="S816" s="322">
        <f>Councils!T819</f>
        <v>0</v>
      </c>
      <c r="T816" s="322">
        <f>Councils!U819</f>
        <v>0</v>
      </c>
      <c r="U816" s="323">
        <f>Councils!V819</f>
        <v>0</v>
      </c>
      <c r="V816" s="376">
        <v>115</v>
      </c>
      <c r="W816" s="377">
        <f t="shared" si="13"/>
        <v>3</v>
      </c>
      <c r="X816" s="378" t="str">
        <f>IF(ISNA(VLOOKUP($A816,GA!$A$1:$D$834,3,0))," ",VLOOKUP($A816,GA!$A$1:$D$834,3,0))</f>
        <v>Regan</v>
      </c>
      <c r="Y816" s="379" t="str">
        <f>IF(ISNA(VLOOKUP($A816,Dormant_Councils!$A$1:$E$811,5,0)),"No",VLOOKUP($A816,Dormant_Councils!$A$1:$E$811,5,0))</f>
        <v>No</v>
      </c>
      <c r="Z816" s="381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51">
        <v>17039</v>
      </c>
      <c r="B817" s="322" t="str">
        <f>Councils!C820</f>
        <v>032</v>
      </c>
      <c r="C817" s="322" t="str">
        <f>Councils!D820</f>
        <v>Fort Worth</v>
      </c>
      <c r="D817" s="322" t="str">
        <f>IF(ISNA(VLOOKUP($V817,DD_Info!$A$1:$E$221,3,0)),0,VLOOKUP($V817,DD_Info!$A$1:$E$221,3,0))</f>
        <v>Fort Worth</v>
      </c>
      <c r="E817" s="322">
        <f>Councils!E820</f>
        <v>38</v>
      </c>
      <c r="F817" s="322">
        <f>Councils!F820</f>
        <v>3</v>
      </c>
      <c r="G817" s="322">
        <f>Councils!G820</f>
        <v>0</v>
      </c>
      <c r="H817" s="322">
        <f>Councils!H820</f>
        <v>0</v>
      </c>
      <c r="I817" s="322">
        <f>Councils!I820</f>
        <v>0</v>
      </c>
      <c r="J817" s="322">
        <f>Councils!J820</f>
        <v>3</v>
      </c>
      <c r="K817" s="322">
        <f>Councils!K820</f>
        <v>0</v>
      </c>
      <c r="L817" s="322">
        <f>Councils!L820</f>
        <v>3</v>
      </c>
      <c r="M817" s="323">
        <f>Councils!M820</f>
        <v>100</v>
      </c>
      <c r="N817" s="322">
        <f>Councils!O820</f>
        <v>0</v>
      </c>
      <c r="O817" s="322">
        <f>Councils!P820</f>
        <v>0</v>
      </c>
      <c r="P817" s="322">
        <f>Councils!Q820</f>
        <v>0</v>
      </c>
      <c r="Q817" s="322">
        <f>Councils!R820</f>
        <v>0</v>
      </c>
      <c r="R817" s="322">
        <f>Councils!S820</f>
        <v>0</v>
      </c>
      <c r="S817" s="322">
        <f>Councils!T820</f>
        <v>0</v>
      </c>
      <c r="T817" s="322">
        <f>Councils!U820</f>
        <v>0</v>
      </c>
      <c r="U817" s="323">
        <f>Councils!V820</f>
        <v>0</v>
      </c>
      <c r="V817" s="376">
        <v>32</v>
      </c>
      <c r="W817" s="377">
        <f t="shared" si="13"/>
        <v>3</v>
      </c>
      <c r="X817" s="378" t="str">
        <f>IF(ISNA(VLOOKUP($A817,GA!$A$1:$D$834,3,0))," ",VLOOKUP($A817,GA!$A$1:$D$834,3,0))</f>
        <v>Stark</v>
      </c>
      <c r="Y817" s="379" t="str">
        <f>IF(ISNA(VLOOKUP($A817,Dormant_Councils!$A$1:$E$811,5,0)),"No",VLOOKUP($A817,Dormant_Councils!$A$1:$E$811,5,0))</f>
        <v>No</v>
      </c>
      <c r="Z817" s="381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22" t="str">
        <f>Councils!C821</f>
        <v>083</v>
      </c>
      <c r="C818" s="322" t="str">
        <f>Councils!D821</f>
        <v>Houston</v>
      </c>
      <c r="D818" s="322" t="str">
        <f>IF(ISNA(VLOOKUP($V818,DD_Info!$A$1:$E$221,3,0)),0,VLOOKUP($V818,DD_Info!$A$1:$E$221,3,0))</f>
        <v>Galv/Hous</v>
      </c>
      <c r="E818" s="322">
        <f>Councils!E821</f>
        <v>36</v>
      </c>
      <c r="F818" s="322">
        <f>Councils!F821</f>
        <v>3</v>
      </c>
      <c r="G818" s="322">
        <f>Councils!G821</f>
        <v>1</v>
      </c>
      <c r="H818" s="322">
        <f>Councils!H821</f>
        <v>0</v>
      </c>
      <c r="I818" s="322">
        <f>Councils!I821</f>
        <v>1</v>
      </c>
      <c r="J818" s="322">
        <f>Councils!J821</f>
        <v>1</v>
      </c>
      <c r="K818" s="322">
        <f>Councils!K821</f>
        <v>0</v>
      </c>
      <c r="L818" s="322">
        <f>Councils!L821</f>
        <v>1</v>
      </c>
      <c r="M818" s="323">
        <f>Councils!M821</f>
        <v>33.33</v>
      </c>
      <c r="N818" s="322">
        <f>Councils!O821</f>
        <v>0</v>
      </c>
      <c r="O818" s="322">
        <f>Councils!P821</f>
        <v>0</v>
      </c>
      <c r="P818" s="322">
        <f>Councils!Q821</f>
        <v>0</v>
      </c>
      <c r="Q818" s="322">
        <f>Councils!R821</f>
        <v>0</v>
      </c>
      <c r="R818" s="322">
        <f>Councils!S821</f>
        <v>0</v>
      </c>
      <c r="S818" s="322">
        <f>Councils!T821</f>
        <v>1</v>
      </c>
      <c r="T818" s="322">
        <f>Councils!U821</f>
        <v>-1</v>
      </c>
      <c r="U818" s="323">
        <f>Councils!V821</f>
        <v>0</v>
      </c>
      <c r="V818" s="376">
        <v>83</v>
      </c>
      <c r="W818" s="377">
        <f t="shared" si="13"/>
        <v>3</v>
      </c>
      <c r="X818" s="378" t="str">
        <f>IF(ISNA(VLOOKUP($A818,GA!$A$1:$D$834,3,0))," ",VLOOKUP($A818,GA!$A$1:$D$834,3,0))</f>
        <v>Rangel</v>
      </c>
      <c r="Y818" s="379" t="str">
        <f>IF(ISNA(VLOOKUP($A818,Dormant_Councils!$A$1:$E$811,5,0)),"No",VLOOKUP($A818,Dormant_Councils!$A$1:$E$811,5,0))</f>
        <v>No</v>
      </c>
      <c r="Z818" s="381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22" t="str">
        <f>Councils!C822</f>
        <v>109</v>
      </c>
      <c r="C819" s="322" t="str">
        <f>Councils!D822</f>
        <v>Dallas</v>
      </c>
      <c r="D819" s="322" t="str">
        <f>IF(ISNA(VLOOKUP($V819,DD_Info!$A$1:$E$221,3,0)),0,VLOOKUP($V819,DD_Info!$A$1:$E$221,3,0))</f>
        <v>Dallas</v>
      </c>
      <c r="E819" s="322">
        <f>Councils!E822</f>
        <v>42</v>
      </c>
      <c r="F819" s="322">
        <f>Councils!F822</f>
        <v>3</v>
      </c>
      <c r="G819" s="322">
        <f>Councils!G822</f>
        <v>0</v>
      </c>
      <c r="H819" s="322">
        <f>Councils!H822</f>
        <v>0</v>
      </c>
      <c r="I819" s="322">
        <f>Councils!I822</f>
        <v>0</v>
      </c>
      <c r="J819" s="322">
        <f>Councils!J822</f>
        <v>0</v>
      </c>
      <c r="K819" s="322">
        <f>Councils!K822</f>
        <v>0</v>
      </c>
      <c r="L819" s="322">
        <f>Councils!L822</f>
        <v>0</v>
      </c>
      <c r="M819" s="323">
        <f>Councils!M822</f>
        <v>0</v>
      </c>
      <c r="N819" s="322">
        <f>Councils!O822</f>
        <v>0</v>
      </c>
      <c r="O819" s="322">
        <f>Councils!P822</f>
        <v>0</v>
      </c>
      <c r="P819" s="322">
        <f>Councils!Q822</f>
        <v>0</v>
      </c>
      <c r="Q819" s="322">
        <f>Councils!R822</f>
        <v>0</v>
      </c>
      <c r="R819" s="322">
        <f>Councils!S822</f>
        <v>0</v>
      </c>
      <c r="S819" s="322">
        <f>Councils!T822</f>
        <v>0</v>
      </c>
      <c r="T819" s="322">
        <f>Councils!U822</f>
        <v>0</v>
      </c>
      <c r="U819" s="323">
        <f>Councils!V822</f>
        <v>0</v>
      </c>
      <c r="V819" s="376">
        <v>109</v>
      </c>
      <c r="W819" s="377">
        <f t="shared" si="13"/>
        <v>3</v>
      </c>
      <c r="X819" s="378" t="str">
        <f>IF(ISNA(VLOOKUP($A819,GA!$A$1:$D$834,3,0))," ",VLOOKUP($A819,GA!$A$1:$D$834,3,0))</f>
        <v>Regan</v>
      </c>
      <c r="Y819" s="379" t="str">
        <f>IF(ISNA(VLOOKUP($A819,Dormant_Councils!$A$1:$E$811,5,0)),"No",VLOOKUP($A819,Dormant_Councils!$A$1:$E$811,5,0))</f>
        <v>No</v>
      </c>
      <c r="Z819" s="381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22" t="str">
        <f>Councils!C823</f>
        <v>115</v>
      </c>
      <c r="C820" s="322" t="str">
        <f>Councils!D823</f>
        <v>Irving</v>
      </c>
      <c r="D820" s="322" t="str">
        <f>IF(ISNA(VLOOKUP($V820,DD_Info!$A$1:$E$221,3,0)),0,VLOOKUP($V820,DD_Info!$A$1:$E$221,3,0))</f>
        <v>Dallas</v>
      </c>
      <c r="E820" s="322">
        <f>Councils!E823</f>
        <v>28</v>
      </c>
      <c r="F820" s="322">
        <f>Councils!F823</f>
        <v>3</v>
      </c>
      <c r="G820" s="322">
        <f>Councils!G823</f>
        <v>0</v>
      </c>
      <c r="H820" s="322">
        <f>Councils!H823</f>
        <v>0</v>
      </c>
      <c r="I820" s="322">
        <f>Councils!I823</f>
        <v>0</v>
      </c>
      <c r="J820" s="322">
        <f>Councils!J823</f>
        <v>0</v>
      </c>
      <c r="K820" s="322">
        <f>Councils!K823</f>
        <v>0</v>
      </c>
      <c r="L820" s="322">
        <f>Councils!L823</f>
        <v>0</v>
      </c>
      <c r="M820" s="323">
        <f>Councils!M823</f>
        <v>0</v>
      </c>
      <c r="N820" s="322">
        <f>Councils!O823</f>
        <v>0</v>
      </c>
      <c r="O820" s="322">
        <f>Councils!P823</f>
        <v>0</v>
      </c>
      <c r="P820" s="322">
        <f>Councils!Q823</f>
        <v>1</v>
      </c>
      <c r="Q820" s="322">
        <f>Councils!R823</f>
        <v>-1</v>
      </c>
      <c r="R820" s="322">
        <f>Councils!S823</f>
        <v>0</v>
      </c>
      <c r="S820" s="322">
        <f>Councils!T823</f>
        <v>1</v>
      </c>
      <c r="T820" s="322">
        <f>Councils!U823</f>
        <v>-1</v>
      </c>
      <c r="U820" s="323">
        <f>Councils!V823</f>
        <v>0</v>
      </c>
      <c r="V820" s="376">
        <v>115</v>
      </c>
      <c r="W820" s="377">
        <f t="shared" si="13"/>
        <v>3</v>
      </c>
      <c r="X820" s="378" t="str">
        <f>IF(ISNA(VLOOKUP($A820,GA!$A$1:$D$834,3,0))," ",VLOOKUP($A820,GA!$A$1:$D$834,3,0))</f>
        <v>Regan</v>
      </c>
      <c r="Y820" s="379" t="str">
        <f>IF(ISNA(VLOOKUP($A820,Dormant_Councils!$A$1:$E$811,5,0)),"No",VLOOKUP($A820,Dormant_Councils!$A$1:$E$811,5,0))</f>
        <v>No</v>
      </c>
      <c r="Z820" s="381" t="str">
        <f>IF(ISNA(VLOOKUP($A820,SUSPENDED!$A$2:$F$837,6,0))," ",VLOOKUP($A820,SUSPENDED!$A$2:$F$837,6,0))</f>
        <v xml:space="preserve"> </v>
      </c>
    </row>
    <row r="821" spans="1:26" ht="29.1" customHeight="1" thickBot="1">
      <c r="A821" s="45">
        <v>17154</v>
      </c>
      <c r="B821" s="322" t="str">
        <f>Councils!C824</f>
        <v>138</v>
      </c>
      <c r="C821" s="322" t="str">
        <f>Councils!D824</f>
        <v>Madisonville</v>
      </c>
      <c r="D821" s="322" t="str">
        <f>IF(ISNA(VLOOKUP($V821,DD_Info!$A$1:$E$221,3,0)),0,VLOOKUP($V821,DD_Info!$A$1:$E$221,3,0))</f>
        <v>Tyler</v>
      </c>
      <c r="E821" s="322">
        <f>Councils!E824</f>
        <v>24</v>
      </c>
      <c r="F821" s="322">
        <f>Councils!F824</f>
        <v>3</v>
      </c>
      <c r="G821" s="322">
        <f>Councils!G824</f>
        <v>0</v>
      </c>
      <c r="H821" s="322">
        <f>Councils!H824</f>
        <v>0</v>
      </c>
      <c r="I821" s="322">
        <f>Councils!I824</f>
        <v>0</v>
      </c>
      <c r="J821" s="322">
        <f>Councils!J824</f>
        <v>0</v>
      </c>
      <c r="K821" s="322">
        <f>Councils!K824</f>
        <v>0</v>
      </c>
      <c r="L821" s="322">
        <f>Councils!L824</f>
        <v>0</v>
      </c>
      <c r="M821" s="323">
        <f>Councils!M824</f>
        <v>0</v>
      </c>
      <c r="N821" s="322">
        <f>Councils!O824</f>
        <v>0</v>
      </c>
      <c r="O821" s="322">
        <f>Councils!P824</f>
        <v>0</v>
      </c>
      <c r="P821" s="322">
        <f>Councils!Q824</f>
        <v>0</v>
      </c>
      <c r="Q821" s="322">
        <f>Councils!R824</f>
        <v>0</v>
      </c>
      <c r="R821" s="322">
        <f>Councils!S824</f>
        <v>0</v>
      </c>
      <c r="S821" s="322">
        <f>Councils!T824</f>
        <v>0</v>
      </c>
      <c r="T821" s="322">
        <f>Councils!U824</f>
        <v>0</v>
      </c>
      <c r="U821" s="323">
        <f>Councils!V824</f>
        <v>0</v>
      </c>
      <c r="V821" s="376">
        <v>138</v>
      </c>
      <c r="W821" s="377">
        <f t="shared" si="13"/>
        <v>3</v>
      </c>
      <c r="X821" s="378" t="str">
        <f>IF(ISNA(VLOOKUP($A821,GA!$A$1:$D$834,3,0))," ",VLOOKUP($A821,GA!$A$1:$D$834,3,0))</f>
        <v>Regan</v>
      </c>
      <c r="Y821" s="379" t="str">
        <f>IF(ISNA(VLOOKUP($A821,Dormant_Councils!$A$1:$E$811,5,0)),"No",VLOOKUP($A821,Dormant_Councils!$A$1:$E$811,5,0))</f>
        <v>No</v>
      </c>
      <c r="Z821" s="381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22" t="str">
        <f>Councils!C825</f>
        <v>038</v>
      </c>
      <c r="C822" s="322" t="str">
        <f>Councils!D825</f>
        <v>Jbsa-Lackland</v>
      </c>
      <c r="D822" s="322" t="str">
        <f>IF(ISNA(VLOOKUP($V822,DD_Info!$A$1:$E$221,3,0)),0,VLOOKUP($V822,DD_Info!$A$1:$E$221,3,0))</f>
        <v>San Antonio</v>
      </c>
      <c r="E822" s="322">
        <f>Councils!E825</f>
        <v>29</v>
      </c>
      <c r="F822" s="322">
        <f>Councils!F825</f>
        <v>3</v>
      </c>
      <c r="G822" s="322">
        <f>Councils!G825</f>
        <v>0</v>
      </c>
      <c r="H822" s="322">
        <f>Councils!H825</f>
        <v>0</v>
      </c>
      <c r="I822" s="322">
        <f>Councils!I825</f>
        <v>0</v>
      </c>
      <c r="J822" s="322">
        <f>Councils!J825</f>
        <v>0</v>
      </c>
      <c r="K822" s="322">
        <f>Councils!K825</f>
        <v>0</v>
      </c>
      <c r="L822" s="322">
        <f>Councils!L825</f>
        <v>0</v>
      </c>
      <c r="M822" s="323">
        <f>Councils!M825</f>
        <v>0</v>
      </c>
      <c r="N822" s="322">
        <f>Councils!O825</f>
        <v>0</v>
      </c>
      <c r="O822" s="322">
        <f>Councils!P825</f>
        <v>0</v>
      </c>
      <c r="P822" s="322">
        <f>Councils!Q825</f>
        <v>0</v>
      </c>
      <c r="Q822" s="322">
        <f>Councils!R825</f>
        <v>0</v>
      </c>
      <c r="R822" s="322">
        <f>Councils!S825</f>
        <v>1</v>
      </c>
      <c r="S822" s="322">
        <f>Councils!T825</f>
        <v>0</v>
      </c>
      <c r="T822" s="322">
        <f>Councils!U825</f>
        <v>1</v>
      </c>
      <c r="U822" s="323">
        <f>Councils!V825</f>
        <v>0</v>
      </c>
      <c r="V822" s="376">
        <v>38</v>
      </c>
      <c r="W822" s="377">
        <f t="shared" si="13"/>
        <v>3</v>
      </c>
      <c r="X822" s="378" t="str">
        <f>IF(ISNA(VLOOKUP($A822,GA!$A$1:$D$834,3,0))," ",VLOOKUP($A822,GA!$A$1:$D$834,3,0))</f>
        <v>Dougherty</v>
      </c>
      <c r="Y822" s="379" t="str">
        <f>IF(ISNA(VLOOKUP($A822,Dormant_Councils!$A$1:$E$811,5,0)),"No",VLOOKUP($A822,Dormant_Councils!$A$1:$E$811,5,0))</f>
        <v>No</v>
      </c>
      <c r="Z822" s="381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22" t="str">
        <f>Councils!C826</f>
        <v>029</v>
      </c>
      <c r="C823" s="322" t="str">
        <f>Councils!D826</f>
        <v>Aledo</v>
      </c>
      <c r="D823" s="322" t="str">
        <f>IF(ISNA(VLOOKUP($V823,DD_Info!$A$1:$E$221,3,0)),0,VLOOKUP($V823,DD_Info!$A$1:$E$221,3,0))</f>
        <v>Fort Worth</v>
      </c>
      <c r="E823" s="322">
        <f>Councils!E826</f>
        <v>49</v>
      </c>
      <c r="F823" s="322">
        <f>Councils!F826</f>
        <v>3</v>
      </c>
      <c r="G823" s="322">
        <f>Councils!G826</f>
        <v>0</v>
      </c>
      <c r="H823" s="322">
        <f>Councils!H826</f>
        <v>1</v>
      </c>
      <c r="I823" s="322">
        <f>Councils!I826</f>
        <v>-1</v>
      </c>
      <c r="J823" s="322">
        <f>Councils!J826</f>
        <v>0</v>
      </c>
      <c r="K823" s="322">
        <f>Councils!K826</f>
        <v>1</v>
      </c>
      <c r="L823" s="322">
        <f>Councils!L826</f>
        <v>-1</v>
      </c>
      <c r="M823" s="323">
        <f>Councils!M826</f>
        <v>0</v>
      </c>
      <c r="N823" s="322">
        <f>Councils!O826</f>
        <v>0</v>
      </c>
      <c r="O823" s="322">
        <f>Councils!P826</f>
        <v>1</v>
      </c>
      <c r="P823" s="322">
        <f>Councils!Q826</f>
        <v>0</v>
      </c>
      <c r="Q823" s="322">
        <f>Councils!R826</f>
        <v>1</v>
      </c>
      <c r="R823" s="322">
        <f>Councils!S826</f>
        <v>2</v>
      </c>
      <c r="S823" s="322">
        <f>Councils!T826</f>
        <v>0</v>
      </c>
      <c r="T823" s="322">
        <f>Councils!U826</f>
        <v>2</v>
      </c>
      <c r="U823" s="323">
        <f>Councils!V826</f>
        <v>0</v>
      </c>
      <c r="V823" s="376">
        <v>29</v>
      </c>
      <c r="W823" s="377">
        <f t="shared" si="13"/>
        <v>3</v>
      </c>
      <c r="X823" s="378" t="str">
        <f>IF(ISNA(VLOOKUP($A823,GA!$A$1:$D$834,3,0))," ",VLOOKUP($A823,GA!$A$1:$D$834,3,0))</f>
        <v>Stark</v>
      </c>
      <c r="Y823" s="379" t="str">
        <f>IF(ISNA(VLOOKUP($A823,Dormant_Councils!$A$1:$E$811,5,0)),"No",VLOOKUP($A823,Dormant_Councils!$A$1:$E$811,5,0))</f>
        <v>No</v>
      </c>
      <c r="Z823" s="381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22" t="str">
        <f>Councils!C827</f>
        <v>224</v>
      </c>
      <c r="C824" s="322" t="str">
        <f>Councils!D827</f>
        <v>San Angelo</v>
      </c>
      <c r="D824" s="322" t="str">
        <f>IF(ISNA(VLOOKUP($V824,DD_Info!$A$1:$E$221,3,0)),0,VLOOKUP($V824,DD_Info!$A$1:$E$221,3,0))</f>
        <v>San Angelo</v>
      </c>
      <c r="E824" s="322">
        <f>Councils!E827</f>
        <v>31</v>
      </c>
      <c r="F824" s="322">
        <f>Councils!F827</f>
        <v>3</v>
      </c>
      <c r="G824" s="322">
        <f>Councils!G827</f>
        <v>0</v>
      </c>
      <c r="H824" s="322">
        <f>Councils!H827</f>
        <v>0</v>
      </c>
      <c r="I824" s="322">
        <f>Councils!I827</f>
        <v>0</v>
      </c>
      <c r="J824" s="322">
        <f>Councils!J827</f>
        <v>2</v>
      </c>
      <c r="K824" s="322">
        <f>Councils!K827</f>
        <v>0</v>
      </c>
      <c r="L824" s="322">
        <f>Councils!L827</f>
        <v>2</v>
      </c>
      <c r="M824" s="323">
        <f>Councils!M827</f>
        <v>66.67</v>
      </c>
      <c r="N824" s="322">
        <f>Councils!O827</f>
        <v>0</v>
      </c>
      <c r="O824" s="322">
        <f>Councils!P827</f>
        <v>0</v>
      </c>
      <c r="P824" s="322">
        <f>Councils!Q827</f>
        <v>0</v>
      </c>
      <c r="Q824" s="322">
        <f>Councils!R827</f>
        <v>0</v>
      </c>
      <c r="R824" s="322">
        <f>Councils!S827</f>
        <v>0</v>
      </c>
      <c r="S824" s="322">
        <f>Councils!T827</f>
        <v>0</v>
      </c>
      <c r="T824" s="322">
        <f>Councils!U827</f>
        <v>0</v>
      </c>
      <c r="U824" s="323">
        <f>Councils!V827</f>
        <v>0</v>
      </c>
      <c r="V824" s="376">
        <v>224</v>
      </c>
      <c r="W824" s="377">
        <f t="shared" si="13"/>
        <v>3</v>
      </c>
      <c r="X824" s="378" t="str">
        <f>IF(ISNA(VLOOKUP($A824,GA!$A$1:$D$834,3,0))," ",VLOOKUP($A824,GA!$A$1:$D$834,3,0))</f>
        <v>Payne</v>
      </c>
      <c r="Y824" s="379" t="str">
        <f>IF(ISNA(VLOOKUP($A824,Dormant_Councils!$A$1:$E$811,5,0)),"No",VLOOKUP($A824,Dormant_Councils!$A$1:$E$811,5,0))</f>
        <v>No</v>
      </c>
      <c r="Z824" s="381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22" t="str">
        <f>Councils!C828</f>
        <v>142</v>
      </c>
      <c r="C825" s="322" t="str">
        <f>Councils!D828</f>
        <v>China Spring</v>
      </c>
      <c r="D825" s="322" t="str">
        <f>IF(ISNA(VLOOKUP($V825,DD_Info!$A$1:$E$221,3,0)),0,VLOOKUP($V825,DD_Info!$A$1:$E$221,3,0))</f>
        <v>Austin</v>
      </c>
      <c r="E825" s="322">
        <f>Councils!E828</f>
        <v>39</v>
      </c>
      <c r="F825" s="322">
        <f>Councils!F828</f>
        <v>3</v>
      </c>
      <c r="G825" s="322">
        <f>Councils!G828</f>
        <v>0</v>
      </c>
      <c r="H825" s="322">
        <f>Councils!H828</f>
        <v>0</v>
      </c>
      <c r="I825" s="322">
        <f>Councils!I828</f>
        <v>0</v>
      </c>
      <c r="J825" s="322">
        <f>Councils!J828</f>
        <v>1</v>
      </c>
      <c r="K825" s="322">
        <f>Councils!K828</f>
        <v>0</v>
      </c>
      <c r="L825" s="322">
        <f>Councils!L828</f>
        <v>1</v>
      </c>
      <c r="M825" s="323">
        <f>Councils!M828</f>
        <v>33.33</v>
      </c>
      <c r="N825" s="322">
        <f>Councils!O828</f>
        <v>0</v>
      </c>
      <c r="O825" s="322">
        <f>Councils!P828</f>
        <v>0</v>
      </c>
      <c r="P825" s="322">
        <f>Councils!Q828</f>
        <v>0</v>
      </c>
      <c r="Q825" s="322">
        <f>Councils!R828</f>
        <v>0</v>
      </c>
      <c r="R825" s="322">
        <f>Councils!S828</f>
        <v>1</v>
      </c>
      <c r="S825" s="322">
        <f>Councils!T828</f>
        <v>0</v>
      </c>
      <c r="T825" s="322">
        <f>Councils!U828</f>
        <v>1</v>
      </c>
      <c r="U825" s="323">
        <f>Councils!V828</f>
        <v>0</v>
      </c>
      <c r="V825" s="376">
        <v>142</v>
      </c>
      <c r="W825" s="377">
        <f t="shared" si="13"/>
        <v>3</v>
      </c>
      <c r="X825" s="378" t="str">
        <f>IF(ISNA(VLOOKUP($A825,GA!$A$1:$D$834,3,0))," ",VLOOKUP($A825,GA!$A$1:$D$834,3,0))</f>
        <v>Rangel</v>
      </c>
      <c r="Y825" s="379" t="str">
        <f>IF(ISNA(VLOOKUP($A825,Dormant_Councils!$A$1:$E$811,5,0)),"No",VLOOKUP($A825,Dormant_Councils!$A$1:$E$811,5,0))</f>
        <v>No</v>
      </c>
      <c r="Z825" s="381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22" t="str">
        <f>Councils!C829</f>
        <v>099</v>
      </c>
      <c r="C826" s="322" t="str">
        <f>Councils!D829</f>
        <v>Houston</v>
      </c>
      <c r="D826" s="322" t="str">
        <f>IF(ISNA(VLOOKUP($V826,DD_Info!$A$1:$E$221,3,0)),0,VLOOKUP($V826,DD_Info!$A$1:$E$221,3,0))</f>
        <v>Galv/Hous</v>
      </c>
      <c r="E826" s="322">
        <f>Councils!E829</f>
        <v>73</v>
      </c>
      <c r="F826" s="322">
        <f>Councils!F829</f>
        <v>4</v>
      </c>
      <c r="G826" s="322">
        <f>Councils!G829</f>
        <v>1</v>
      </c>
      <c r="H826" s="322">
        <f>Councils!H829</f>
        <v>0</v>
      </c>
      <c r="I826" s="322">
        <f>Councils!I829</f>
        <v>1</v>
      </c>
      <c r="J826" s="322">
        <f>Councils!J829</f>
        <v>9</v>
      </c>
      <c r="K826" s="322">
        <f>Councils!K829</f>
        <v>0</v>
      </c>
      <c r="L826" s="322">
        <f>Councils!L829</f>
        <v>9</v>
      </c>
      <c r="M826" s="323">
        <f>Councils!M829</f>
        <v>225</v>
      </c>
      <c r="N826" s="322">
        <f>Councils!O829</f>
        <v>0</v>
      </c>
      <c r="O826" s="322">
        <f>Councils!P829</f>
        <v>0</v>
      </c>
      <c r="P826" s="322">
        <f>Councils!Q829</f>
        <v>0</v>
      </c>
      <c r="Q826" s="322">
        <f>Councils!R829</f>
        <v>0</v>
      </c>
      <c r="R826" s="322">
        <f>Councils!S829</f>
        <v>3</v>
      </c>
      <c r="S826" s="322">
        <f>Councils!T829</f>
        <v>2</v>
      </c>
      <c r="T826" s="322">
        <f>Councils!U829</f>
        <v>1</v>
      </c>
      <c r="U826" s="323">
        <f>Councils!V829</f>
        <v>0</v>
      </c>
      <c r="V826" s="376">
        <v>99</v>
      </c>
      <c r="W826" s="377">
        <f t="shared" si="13"/>
        <v>2</v>
      </c>
      <c r="X826" s="378" t="str">
        <f>IF(ISNA(VLOOKUP($A826,GA!$A$1:$D$834,3,0))," ",VLOOKUP($A826,GA!$A$1:$D$834,3,0))</f>
        <v>Rangel</v>
      </c>
      <c r="Y826" s="379" t="str">
        <f>IF(ISNA(VLOOKUP($A826,Dormant_Councils!$A$1:$E$811,5,0)),"No",VLOOKUP($A826,Dormant_Councils!$A$1:$E$811,5,0))</f>
        <v>No</v>
      </c>
      <c r="Z826" s="381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27" t="str">
        <f>Councils!C830</f>
        <v>030</v>
      </c>
      <c r="C827" s="327" t="str">
        <f>Councils!D830</f>
        <v>Prosper</v>
      </c>
      <c r="D827" s="327" t="str">
        <f>IF(ISNA(VLOOKUP($V827,DD_Info!$A$1:$E$221,3,0)),0,VLOOKUP($V827,DD_Info!$A$1:$E$221,3,0))</f>
        <v>Fort Worth</v>
      </c>
      <c r="E827" s="327">
        <f>Councils!E830</f>
        <v>68</v>
      </c>
      <c r="F827" s="327">
        <f>Councils!F830</f>
        <v>3</v>
      </c>
      <c r="G827" s="327">
        <f>Councils!G830</f>
        <v>0</v>
      </c>
      <c r="H827" s="327">
        <f>Councils!H830</f>
        <v>0</v>
      </c>
      <c r="I827" s="327">
        <f>Councils!I830</f>
        <v>0</v>
      </c>
      <c r="J827" s="327">
        <f>Councils!J830</f>
        <v>7</v>
      </c>
      <c r="K827" s="327">
        <f>Councils!K830</f>
        <v>0</v>
      </c>
      <c r="L827" s="327">
        <f>Councils!L830</f>
        <v>7</v>
      </c>
      <c r="M827" s="328">
        <f>Councils!M830</f>
        <v>233.33</v>
      </c>
      <c r="N827" s="327">
        <f>Councils!O830</f>
        <v>0</v>
      </c>
      <c r="O827" s="327">
        <f>Councils!P830</f>
        <v>1</v>
      </c>
      <c r="P827" s="327">
        <f>Councils!Q830</f>
        <v>0</v>
      </c>
      <c r="Q827" s="327">
        <f>Councils!R830</f>
        <v>1</v>
      </c>
      <c r="R827" s="327">
        <f>Councils!S830</f>
        <v>2</v>
      </c>
      <c r="S827" s="327">
        <f>Councils!T830</f>
        <v>0</v>
      </c>
      <c r="T827" s="327">
        <f>Councils!U830</f>
        <v>2</v>
      </c>
      <c r="U827" s="328">
        <f>Councils!V830</f>
        <v>0</v>
      </c>
      <c r="V827" s="376">
        <v>30</v>
      </c>
      <c r="W827" s="377">
        <f t="shared" si="13"/>
        <v>2</v>
      </c>
      <c r="X827" s="378" t="str">
        <f>IF(ISNA(VLOOKUP($A827,GA!$A$1:$D$834,3,0))," ",VLOOKUP($A827,GA!$A$1:$D$834,3,0))</f>
        <v>Regan</v>
      </c>
      <c r="Y827" s="379" t="str">
        <f>IF(ISNA(VLOOKUP($A827,Dormant_Councils!$A$1:$E$811,5,0)),"No",VLOOKUP($A827,Dormant_Councils!$A$1:$E$811,5,0))</f>
        <v>No</v>
      </c>
      <c r="Z827" s="381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27" t="str">
        <f>Councils!C831</f>
        <v>054</v>
      </c>
      <c r="C828" s="327" t="str">
        <f>Councils!D831</f>
        <v>San Antonio</v>
      </c>
      <c r="D828" s="327" t="str">
        <f>IF(ISNA(VLOOKUP($V828,DD_Info!$A$1:$E$221,3,0)),0,VLOOKUP($V828,DD_Info!$A$1:$E$221,3,0))</f>
        <v>San Antonio</v>
      </c>
      <c r="E828" s="327">
        <f>Councils!E831</f>
        <v>31</v>
      </c>
      <c r="F828" s="327">
        <f>Councils!F831</f>
        <v>3</v>
      </c>
      <c r="G828" s="327">
        <f>Councils!G831</f>
        <v>0</v>
      </c>
      <c r="H828" s="327">
        <f>Councils!H831</f>
        <v>0</v>
      </c>
      <c r="I828" s="327">
        <f>Councils!I831</f>
        <v>0</v>
      </c>
      <c r="J828" s="327">
        <f>Councils!J831</f>
        <v>3</v>
      </c>
      <c r="K828" s="327">
        <f>Councils!K831</f>
        <v>0</v>
      </c>
      <c r="L828" s="327">
        <f>Councils!L831</f>
        <v>3</v>
      </c>
      <c r="M828" s="328">
        <f>Councils!M831</f>
        <v>100</v>
      </c>
      <c r="N828" s="327">
        <f>Councils!O831</f>
        <v>0</v>
      </c>
      <c r="O828" s="327">
        <f>Councils!P831</f>
        <v>0</v>
      </c>
      <c r="P828" s="327">
        <f>Councils!Q831</f>
        <v>0</v>
      </c>
      <c r="Q828" s="327">
        <f>Councils!R831</f>
        <v>0</v>
      </c>
      <c r="R828" s="327">
        <f>Councils!S831</f>
        <v>1</v>
      </c>
      <c r="S828" s="327">
        <f>Councils!T831</f>
        <v>0</v>
      </c>
      <c r="T828" s="327">
        <f>Councils!U831</f>
        <v>1</v>
      </c>
      <c r="U828" s="328">
        <f>Councils!V831</f>
        <v>0</v>
      </c>
      <c r="V828" s="376">
        <v>54</v>
      </c>
      <c r="W828" s="377">
        <f t="shared" si="13"/>
        <v>3</v>
      </c>
      <c r="X828" s="378" t="str">
        <f>IF(ISNA(VLOOKUP($A828,GA!$A$1:$D$834,3,0))," ",VLOOKUP($A828,GA!$A$1:$D$834,3,0))</f>
        <v>Dougherty</v>
      </c>
      <c r="Y828" s="379" t="str">
        <f>IF(ISNA(VLOOKUP($A828,Dormant_Councils!$A$1:$E$811,5,0)),"No",VLOOKUP($A828,Dormant_Councils!$A$1:$E$811,5,0))</f>
        <v>No</v>
      </c>
      <c r="Z828" s="381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22" t="str">
        <f>Councils!C832</f>
        <v>029</v>
      </c>
      <c r="C829" s="327" t="str">
        <f>Councils!D832</f>
        <v>Azle</v>
      </c>
      <c r="D829" s="327" t="str">
        <f>IF(ISNA(VLOOKUP($V829,DD_Info!$A$1:$E$221,3,0)),0,VLOOKUP($V829,DD_Info!$A$1:$E$221,3,0))</f>
        <v>Fort Worth</v>
      </c>
      <c r="E829" s="327">
        <f>Councils!E832</f>
        <v>38</v>
      </c>
      <c r="F829" s="327">
        <f>Councils!F832</f>
        <v>3</v>
      </c>
      <c r="G829" s="327">
        <f>Councils!G832</f>
        <v>0</v>
      </c>
      <c r="H829" s="327">
        <f>Councils!H832</f>
        <v>0</v>
      </c>
      <c r="I829" s="327">
        <f>Councils!I832</f>
        <v>0</v>
      </c>
      <c r="J829" s="327">
        <f>Councils!J832</f>
        <v>1</v>
      </c>
      <c r="K829" s="327">
        <f>Councils!K832</f>
        <v>0</v>
      </c>
      <c r="L829" s="327">
        <f>Councils!L832</f>
        <v>1</v>
      </c>
      <c r="M829" s="328">
        <f>Councils!M832</f>
        <v>33.33</v>
      </c>
      <c r="N829" s="327">
        <f>Councils!O832</f>
        <v>0</v>
      </c>
      <c r="O829" s="327">
        <f>Councils!P832</f>
        <v>0</v>
      </c>
      <c r="P829" s="327">
        <f>Councils!Q832</f>
        <v>0</v>
      </c>
      <c r="Q829" s="327">
        <f>Councils!R832</f>
        <v>0</v>
      </c>
      <c r="R829" s="327">
        <f>Councils!S832</f>
        <v>2</v>
      </c>
      <c r="S829" s="327">
        <f>Councils!T832</f>
        <v>1</v>
      </c>
      <c r="T829" s="327">
        <f>Councils!U832</f>
        <v>1</v>
      </c>
      <c r="U829" s="328">
        <f>Councils!V832</f>
        <v>0</v>
      </c>
      <c r="V829" s="376">
        <v>29</v>
      </c>
      <c r="W829" s="377">
        <f t="shared" si="13"/>
        <v>3</v>
      </c>
      <c r="X829" s="378" t="str">
        <f>IF(ISNA(VLOOKUP($A829,GA!$A$1:$D$834,3,0))," ",VLOOKUP($A829,GA!$A$1:$D$834,3,0))</f>
        <v>Stark</v>
      </c>
      <c r="Y829" s="379" t="str">
        <f>IF(ISNA(VLOOKUP($A829,Dormant_Councils!$A$1:$E$811,5,0)),"No",VLOOKUP($A829,Dormant_Councils!$A$1:$E$811,5,0))</f>
        <v>No</v>
      </c>
      <c r="Z829" s="381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45" t="str">
        <f>Councils!C833</f>
        <v>025</v>
      </c>
      <c r="C830" s="327" t="str">
        <f>Councils!D833</f>
        <v>Fort Worth</v>
      </c>
      <c r="D830" s="327" t="str">
        <f>IF(ISNA(VLOOKUP($V830,DD_Info!$A$1:$E$221,3,0)),0,VLOOKUP($V830,DD_Info!$A$1:$E$221,3,0))</f>
        <v>Fort Worth</v>
      </c>
      <c r="E830" s="327">
        <f>Councils!E833</f>
        <v>21</v>
      </c>
      <c r="F830" s="327">
        <f>Councils!F833</f>
        <v>3</v>
      </c>
      <c r="G830" s="327">
        <f>Councils!G833</f>
        <v>1</v>
      </c>
      <c r="H830" s="327">
        <f>Councils!H833</f>
        <v>0</v>
      </c>
      <c r="I830" s="327">
        <f>Councils!I833</f>
        <v>1</v>
      </c>
      <c r="J830" s="327">
        <f>Councils!J833</f>
        <v>5</v>
      </c>
      <c r="K830" s="327">
        <f>Councils!K833</f>
        <v>0</v>
      </c>
      <c r="L830" s="327">
        <f>Councils!L833</f>
        <v>5</v>
      </c>
      <c r="M830" s="328">
        <f>Councils!M833</f>
        <v>166.67</v>
      </c>
      <c r="N830" s="327">
        <f>Councils!O833</f>
        <v>0</v>
      </c>
      <c r="O830" s="327">
        <f>Councils!P833</f>
        <v>0</v>
      </c>
      <c r="P830" s="327">
        <f>Councils!Q833</f>
        <v>0</v>
      </c>
      <c r="Q830" s="327">
        <f>Councils!R833</f>
        <v>0</v>
      </c>
      <c r="R830" s="327">
        <f>Councils!S833</f>
        <v>2</v>
      </c>
      <c r="S830" s="327">
        <f>Councils!T833</f>
        <v>0</v>
      </c>
      <c r="T830" s="327">
        <f>Councils!U833</f>
        <v>2</v>
      </c>
      <c r="U830" s="328">
        <f>Councils!V833</f>
        <v>0</v>
      </c>
      <c r="V830" s="376">
        <v>25</v>
      </c>
      <c r="W830" s="377">
        <f t="shared" si="13"/>
        <v>3</v>
      </c>
      <c r="X830" s="378" t="str">
        <f>IF(ISNA(VLOOKUP($A830,GA!$A$1:$D$834,3,0))," ",VLOOKUP($A830,GA!$A$1:$D$834,3,0))</f>
        <v>Stark</v>
      </c>
      <c r="Y830" s="379" t="str">
        <f>IF(ISNA(VLOOKUP($A830,Dormant_Councils!$A$1:$E$811,5,0)),"No",VLOOKUP($A830,Dormant_Councils!$A$1:$E$811,5,0))</f>
        <v>No</v>
      </c>
      <c r="Z830" s="381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008</v>
      </c>
      <c r="C831" s="327" t="str">
        <f>Councils!D834</f>
        <v>El Paso</v>
      </c>
      <c r="D831" s="327" t="str">
        <f>IF(ISNA(VLOOKUP($V831,DD_Info!$A$1:$E$221,3,0)),0,VLOOKUP($V831,DD_Info!$A$1:$E$221,3,0))</f>
        <v>El Paso</v>
      </c>
      <c r="E831" s="327">
        <f>Councils!E834</f>
        <v>28</v>
      </c>
      <c r="F831" s="327">
        <f>Councils!F834</f>
        <v>3</v>
      </c>
      <c r="G831" s="327">
        <f>Councils!G834</f>
        <v>0</v>
      </c>
      <c r="H831" s="327">
        <f>Councils!H834</f>
        <v>0</v>
      </c>
      <c r="I831" s="327">
        <f>Councils!I834</f>
        <v>0</v>
      </c>
      <c r="J831" s="327">
        <f>Councils!J834</f>
        <v>0</v>
      </c>
      <c r="K831" s="327">
        <f>Councils!K834</f>
        <v>0</v>
      </c>
      <c r="L831" s="327">
        <f>Councils!L834</f>
        <v>0</v>
      </c>
      <c r="M831" s="328">
        <f>Councils!M834</f>
        <v>0</v>
      </c>
      <c r="N831" s="327">
        <f>Councils!O834</f>
        <v>0</v>
      </c>
      <c r="O831" s="327">
        <f>Councils!P834</f>
        <v>0</v>
      </c>
      <c r="P831" s="327">
        <f>Councils!Q834</f>
        <v>0</v>
      </c>
      <c r="Q831" s="327">
        <f>Councils!R834</f>
        <v>0</v>
      </c>
      <c r="R831" s="327">
        <f>Councils!S834</f>
        <v>1</v>
      </c>
      <c r="S831" s="327">
        <f>Councils!T834</f>
        <v>0</v>
      </c>
      <c r="T831" s="327">
        <f>Councils!U834</f>
        <v>1</v>
      </c>
      <c r="U831" s="328">
        <f>Councils!V834</f>
        <v>0</v>
      </c>
      <c r="V831" s="376">
        <v>8</v>
      </c>
      <c r="W831" s="377">
        <f t="shared" si="13"/>
        <v>3</v>
      </c>
      <c r="X831" s="378" t="str">
        <f>IF(ISNA(VLOOKUP($A831,GA!$A$1:$D$834,3,0))," ",VLOOKUP($A831,GA!$A$1:$D$834,3,0))</f>
        <v>Payne</v>
      </c>
      <c r="Y831" s="379" t="str">
        <f>IF(ISNA(VLOOKUP($A831,Dormant_Councils!$A$1:$E$811,5,0)),"No",VLOOKUP($A831,Dormant_Councils!$A$1:$E$811,5,0))</f>
        <v>No</v>
      </c>
      <c r="Z831" s="381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27" t="str">
        <f>Councils!D835</f>
        <v>El Paso</v>
      </c>
      <c r="D832" s="327" t="str">
        <f>IF(ISNA(VLOOKUP($V832,DD_Info!$A$1:$E$221,3,0)),0,VLOOKUP($V832,DD_Info!$A$1:$E$221,3,0))</f>
        <v>El Paso</v>
      </c>
      <c r="E832" s="327">
        <f>Councils!E835</f>
        <v>24</v>
      </c>
      <c r="F832" s="327">
        <f>Councils!F835</f>
        <v>3</v>
      </c>
      <c r="G832" s="327">
        <f>Councils!G835</f>
        <v>3</v>
      </c>
      <c r="H832" s="327">
        <f>Councils!H835</f>
        <v>0</v>
      </c>
      <c r="I832" s="327">
        <f>Councils!I835</f>
        <v>3</v>
      </c>
      <c r="J832" s="327">
        <f>Councils!J835</f>
        <v>4</v>
      </c>
      <c r="K832" s="327">
        <f>Councils!K835</f>
        <v>0</v>
      </c>
      <c r="L832" s="327">
        <f>Councils!L835</f>
        <v>4</v>
      </c>
      <c r="M832" s="328">
        <f>Councils!M835</f>
        <v>133.33000000000001</v>
      </c>
      <c r="N832" s="327">
        <f>Councils!O835</f>
        <v>0</v>
      </c>
      <c r="O832" s="327">
        <f>Councils!P835</f>
        <v>0</v>
      </c>
      <c r="P832" s="327">
        <f>Councils!Q835</f>
        <v>0</v>
      </c>
      <c r="Q832" s="327">
        <f>Councils!R835</f>
        <v>0</v>
      </c>
      <c r="R832" s="327">
        <f>Councils!S835</f>
        <v>0</v>
      </c>
      <c r="S832" s="327">
        <f>Councils!T835</f>
        <v>0</v>
      </c>
      <c r="T832" s="327">
        <f>Councils!U835</f>
        <v>0</v>
      </c>
      <c r="U832" s="328">
        <f>Councils!V835</f>
        <v>0</v>
      </c>
      <c r="V832" s="376">
        <v>3</v>
      </c>
      <c r="W832" s="377">
        <f t="shared" si="13"/>
        <v>3</v>
      </c>
      <c r="X832" s="378" t="str">
        <f>IF(ISNA(VLOOKUP($A832,GA!$A$1:$D$834,3,0))," ",VLOOKUP($A832,GA!$A$1:$D$834,3,0))</f>
        <v>Payne</v>
      </c>
      <c r="Y832" s="379" t="str">
        <f>IF(ISNA(VLOOKUP($A832,Dormant_Councils!$A$1:$E$811,5,0)),"No",VLOOKUP($A832,Dormant_Councils!$A$1:$E$811,5,0))</f>
        <v>No</v>
      </c>
      <c r="Z832" s="381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27" t="str">
        <f>Councils!D836</f>
        <v>Jarrell</v>
      </c>
      <c r="D833" s="327" t="str">
        <f>IF(ISNA(VLOOKUP($V833,DD_Info!$A$1:$E$221,3,0)),0,VLOOKUP($V833,DD_Info!$A$1:$E$221,3,0))</f>
        <v>Austin</v>
      </c>
      <c r="E833" s="327">
        <f>Councils!E836</f>
        <v>24</v>
      </c>
      <c r="F833" s="327">
        <f>Councils!F836</f>
        <v>3</v>
      </c>
      <c r="G833" s="327">
        <f>Councils!G836</f>
        <v>0</v>
      </c>
      <c r="H833" s="327">
        <f>Councils!H836</f>
        <v>0</v>
      </c>
      <c r="I833" s="327">
        <f>Councils!I836</f>
        <v>0</v>
      </c>
      <c r="J833" s="327">
        <f>Councils!J836</f>
        <v>0</v>
      </c>
      <c r="K833" s="327">
        <f>Councils!K836</f>
        <v>0</v>
      </c>
      <c r="L833" s="327">
        <f>Councils!L836</f>
        <v>0</v>
      </c>
      <c r="M833" s="328">
        <f>Councils!M836</f>
        <v>0</v>
      </c>
      <c r="N833" s="327">
        <f>Councils!O836</f>
        <v>0</v>
      </c>
      <c r="O833" s="327">
        <f>Councils!P836</f>
        <v>0</v>
      </c>
      <c r="P833" s="327">
        <f>Councils!Q836</f>
        <v>0</v>
      </c>
      <c r="Q833" s="327">
        <f>Councils!R836</f>
        <v>0</v>
      </c>
      <c r="R833" s="327">
        <f>Councils!S836</f>
        <v>0</v>
      </c>
      <c r="S833" s="327">
        <f>Councils!T836</f>
        <v>0</v>
      </c>
      <c r="T833" s="327">
        <f>Councils!U836</f>
        <v>0</v>
      </c>
      <c r="U833" s="328">
        <f>Councils!V836</f>
        <v>0</v>
      </c>
      <c r="V833" s="376">
        <v>149</v>
      </c>
      <c r="W833" s="377">
        <f t="shared" si="13"/>
        <v>3</v>
      </c>
      <c r="X833" s="378" t="str">
        <f>IF(ISNA(VLOOKUP($A833,GA!$A$1:$D$834,3,0))," ",VLOOKUP($A833,GA!$A$1:$D$834,3,0))</f>
        <v>Britten</v>
      </c>
      <c r="Y833" s="379" t="str">
        <f>IF(ISNA(VLOOKUP($A833,Dormant_Councils!$A$1:$E$811,5,0)),"No",VLOOKUP($A833,Dormant_Councils!$A$1:$E$811,5,0))</f>
        <v>No</v>
      </c>
      <c r="Z833" s="381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044</v>
      </c>
      <c r="C834" s="327" t="str">
        <f>Councils!D837</f>
        <v>San Antonio</v>
      </c>
      <c r="D834" s="327" t="str">
        <f>IF(ISNA(VLOOKUP($V834,DD_Info!$A$1:$E$221,3,0)),0,VLOOKUP($V834,DD_Info!$A$1:$E$221,3,0))</f>
        <v>San Antonio</v>
      </c>
      <c r="E834" s="327">
        <f>Councils!E837</f>
        <v>32</v>
      </c>
      <c r="F834" s="327">
        <f>Councils!F837</f>
        <v>3</v>
      </c>
      <c r="G834" s="327">
        <f>Councils!G837</f>
        <v>0</v>
      </c>
      <c r="H834" s="327">
        <f>Councils!H837</f>
        <v>0</v>
      </c>
      <c r="I834" s="327">
        <f>Councils!I837</f>
        <v>0</v>
      </c>
      <c r="J834" s="327">
        <f>Councils!J837</f>
        <v>0</v>
      </c>
      <c r="K834" s="327">
        <f>Councils!K837</f>
        <v>0</v>
      </c>
      <c r="L834" s="327">
        <f>Councils!L837</f>
        <v>0</v>
      </c>
      <c r="M834" s="328">
        <f>Councils!M837</f>
        <v>0</v>
      </c>
      <c r="N834" s="327">
        <f>Councils!O837</f>
        <v>0</v>
      </c>
      <c r="O834" s="327">
        <f>Councils!P837</f>
        <v>0</v>
      </c>
      <c r="P834" s="327">
        <f>Councils!Q837</f>
        <v>0</v>
      </c>
      <c r="Q834" s="327">
        <f>Councils!R837</f>
        <v>0</v>
      </c>
      <c r="R834" s="327">
        <f>Councils!S837</f>
        <v>0</v>
      </c>
      <c r="S834" s="327">
        <f>Councils!T837</f>
        <v>0</v>
      </c>
      <c r="T834" s="327">
        <f>Councils!U837</f>
        <v>0</v>
      </c>
      <c r="U834" s="328">
        <f>Councils!V837</f>
        <v>0</v>
      </c>
      <c r="V834" s="376">
        <v>44</v>
      </c>
      <c r="W834" s="377">
        <f t="shared" si="13"/>
        <v>3</v>
      </c>
      <c r="X834" s="378" t="str">
        <f>IF(ISNA(VLOOKUP($A834,GA!$A$1:$D$834,3,0))," ",VLOOKUP($A834,GA!$A$1:$D$834,3,0))</f>
        <v>Dougherty</v>
      </c>
      <c r="Y834" s="379" t="str">
        <f>IF(ISNA(VLOOKUP($A834,Dormant_Councils!$A$1:$E$811,5,0)),"No",VLOOKUP($A834,Dormant_Councils!$A$1:$E$811,5,0))</f>
        <v>No</v>
      </c>
      <c r="Z834" s="381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27" t="str">
        <f>Councils!D838</f>
        <v>Abernathy</v>
      </c>
      <c r="D835" s="327" t="str">
        <f>IF(ISNA(VLOOKUP($V835,DD_Info!$A$1:$E$221,3,0)),0,VLOOKUP($V835,DD_Info!$A$1:$E$221,3,0))</f>
        <v>Lubbock</v>
      </c>
      <c r="E835" s="327">
        <f>Councils!E838</f>
        <v>0</v>
      </c>
      <c r="F835" s="327">
        <f>Councils!F838</f>
        <v>0</v>
      </c>
      <c r="G835" s="327">
        <f>Councils!G838</f>
        <v>0</v>
      </c>
      <c r="H835" s="327">
        <f>Councils!H838</f>
        <v>0</v>
      </c>
      <c r="I835" s="327">
        <f>Councils!I838</f>
        <v>0</v>
      </c>
      <c r="J835" s="327">
        <f>Councils!J838</f>
        <v>15</v>
      </c>
      <c r="K835" s="327">
        <f>Councils!K838</f>
        <v>0</v>
      </c>
      <c r="L835" s="327">
        <f>Councils!L838</f>
        <v>15</v>
      </c>
      <c r="M835" s="328">
        <f>Councils!M838</f>
        <v>0</v>
      </c>
      <c r="N835" s="327">
        <f>Councils!O838</f>
        <v>0</v>
      </c>
      <c r="O835" s="327">
        <f>Councils!P838</f>
        <v>0</v>
      </c>
      <c r="P835" s="327">
        <f>Councils!Q838</f>
        <v>0</v>
      </c>
      <c r="Q835" s="327">
        <f>Councils!R838</f>
        <v>0</v>
      </c>
      <c r="R835" s="327">
        <f>Councils!S838</f>
        <v>0</v>
      </c>
      <c r="S835" s="327">
        <f>Councils!T838</f>
        <v>0</v>
      </c>
      <c r="T835" s="327">
        <f>Councils!U838</f>
        <v>0</v>
      </c>
      <c r="U835" s="328">
        <f>Councils!V838</f>
        <v>0</v>
      </c>
      <c r="V835" s="376">
        <v>244</v>
      </c>
      <c r="W835" s="377">
        <f t="shared" si="13"/>
        <v>3</v>
      </c>
      <c r="X835" s="378" t="str">
        <f>IF(ISNA(VLOOKUP($A835,GA!$A$1:$D$834,3,0))," ",VLOOKUP($A835,GA!$A$1:$D$834,3,0))</f>
        <v>Payne</v>
      </c>
      <c r="Y835" s="379" t="str">
        <f>IF(ISNA(VLOOKUP($A835,Dormant_Councils!$A$1:$E$811,5,0)),"No",VLOOKUP($A835,Dormant_Councils!$A$1:$E$811,5,0))</f>
        <v>No</v>
      </c>
      <c r="Z835" s="381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096</v>
      </c>
      <c r="C836" s="327" t="str">
        <f>Councils!D839</f>
        <v>Hempstead</v>
      </c>
      <c r="D836" s="327" t="str">
        <f>IF(ISNA(VLOOKUP($V836,DD_Info!$A$1:$E$221,3,0)),0,VLOOKUP($V836,DD_Info!$A$1:$E$221,3,0))</f>
        <v>Galv/Hous</v>
      </c>
      <c r="E836" s="327">
        <f>Councils!E839</f>
        <v>0</v>
      </c>
      <c r="F836" s="327">
        <f>Councils!F839</f>
        <v>0</v>
      </c>
      <c r="G836" s="327">
        <f>Councils!G839</f>
        <v>0</v>
      </c>
      <c r="H836" s="327">
        <f>Councils!H839</f>
        <v>0</v>
      </c>
      <c r="I836" s="327">
        <f>Councils!I839</f>
        <v>0</v>
      </c>
      <c r="J836" s="327">
        <f>Councils!J839</f>
        <v>23</v>
      </c>
      <c r="K836" s="327">
        <f>Councils!K839</f>
        <v>0</v>
      </c>
      <c r="L836" s="327">
        <f>Councils!L839</f>
        <v>23</v>
      </c>
      <c r="M836" s="328">
        <f>Councils!M839</f>
        <v>0</v>
      </c>
      <c r="N836" s="327">
        <f>Councils!O839</f>
        <v>0</v>
      </c>
      <c r="O836" s="327">
        <f>Councils!P839</f>
        <v>0</v>
      </c>
      <c r="P836" s="327">
        <f>Councils!Q839</f>
        <v>0</v>
      </c>
      <c r="Q836" s="327">
        <f>Councils!R839</f>
        <v>0</v>
      </c>
      <c r="R836" s="327">
        <f>Councils!S839</f>
        <v>0</v>
      </c>
      <c r="S836" s="327">
        <f>Councils!T839</f>
        <v>0</v>
      </c>
      <c r="T836" s="327">
        <f>Councils!U839</f>
        <v>0</v>
      </c>
      <c r="U836" s="328">
        <f>Councils!V839</f>
        <v>0</v>
      </c>
      <c r="V836" s="376">
        <v>96</v>
      </c>
      <c r="W836" s="377">
        <f t="shared" si="13"/>
        <v>3</v>
      </c>
      <c r="X836" s="378" t="str">
        <f>IF(ISNA(VLOOKUP($A836,GA!$A$1:$D$834,3,0))," ",VLOOKUP($A836,GA!$A$1:$D$834,3,0))</f>
        <v>Rangel</v>
      </c>
      <c r="Y836" s="379" t="str">
        <f>IF(ISNA(VLOOKUP($A836,Dormant_Councils!$A$1:$E$811,5,0)),"No",VLOOKUP($A836,Dormant_Councils!$A$1:$E$811,5,0))</f>
        <v>No</v>
      </c>
      <c r="Z836" s="381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096</v>
      </c>
      <c r="C837" s="327" t="str">
        <f>Councils!D840</f>
        <v>The Woodlands</v>
      </c>
      <c r="D837" s="327" t="str">
        <f>IF(ISNA(VLOOKUP($V837,DD_Info!$A$1:$E$221,3,0)),0,VLOOKUP($V837,DD_Info!$A$1:$E$221,3,0))</f>
        <v>Galv/Hous</v>
      </c>
      <c r="E837" s="327">
        <f>Councils!E840</f>
        <v>0</v>
      </c>
      <c r="F837" s="327">
        <f>Councils!F840</f>
        <v>0</v>
      </c>
      <c r="G837" s="327">
        <f>Councils!G840</f>
        <v>9</v>
      </c>
      <c r="H837" s="327">
        <f>Councils!H840</f>
        <v>0</v>
      </c>
      <c r="I837" s="327">
        <f>Councils!I840</f>
        <v>9</v>
      </c>
      <c r="J837" s="327">
        <f>Councils!J840</f>
        <v>9</v>
      </c>
      <c r="K837" s="327">
        <f>Councils!K840</f>
        <v>0</v>
      </c>
      <c r="L837" s="327">
        <f>Councils!L840</f>
        <v>9</v>
      </c>
      <c r="M837" s="328">
        <f>Councils!M840</f>
        <v>0</v>
      </c>
      <c r="N837" s="327">
        <f>Councils!O840</f>
        <v>0</v>
      </c>
      <c r="O837" s="327">
        <f>Councils!P840</f>
        <v>1</v>
      </c>
      <c r="P837" s="327">
        <f>Councils!Q840</f>
        <v>0</v>
      </c>
      <c r="Q837" s="327">
        <f>Councils!R840</f>
        <v>1</v>
      </c>
      <c r="R837" s="327">
        <f>Councils!S840</f>
        <v>1</v>
      </c>
      <c r="S837" s="327">
        <f>Councils!T840</f>
        <v>0</v>
      </c>
      <c r="T837" s="327">
        <f>Councils!U840</f>
        <v>1</v>
      </c>
      <c r="U837" s="328">
        <f>Councils!V840</f>
        <v>0</v>
      </c>
      <c r="V837" s="376">
        <v>96</v>
      </c>
      <c r="W837" s="377">
        <f t="shared" si="13"/>
        <v>3</v>
      </c>
      <c r="X837" s="378" t="str">
        <f>IF(ISNA(VLOOKUP($A837,GA!$A$1:$D$834,3,0))," ",VLOOKUP($A837,GA!$A$1:$D$834,3,0))</f>
        <v>Rangel</v>
      </c>
      <c r="Y837" s="379" t="str">
        <f>IF(ISNA(VLOOKUP($A837,Dormant_Councils!$A$1:$E$811,5,0)),"No",VLOOKUP($A837,Dormant_Councils!$A$1:$E$811,5,0))</f>
        <v>No</v>
      </c>
      <c r="Z837" s="381" t="str">
        <f>IF(ISNA(VLOOKUP($A837,SUSPENDED!$A$2:$F$837,6,0))," ",VLOOKUP($A837,SUSPENDED!$A$2:$F$837,6,0))</f>
        <v xml:space="preserve"> </v>
      </c>
    </row>
    <row r="839" spans="1:26">
      <c r="E839">
        <f>SUM(E3:E836)</f>
        <v>107831</v>
      </c>
      <c r="F839">
        <f t="shared" ref="F839:L839" si="14">SUM(F3:F836)</f>
        <v>5305</v>
      </c>
      <c r="G839">
        <f t="shared" si="14"/>
        <v>107</v>
      </c>
      <c r="H839">
        <f t="shared" si="14"/>
        <v>179</v>
      </c>
      <c r="I839">
        <f t="shared" si="14"/>
        <v>-72</v>
      </c>
      <c r="J839">
        <f t="shared" si="14"/>
        <v>1134</v>
      </c>
      <c r="K839">
        <f t="shared" si="14"/>
        <v>840</v>
      </c>
      <c r="L839">
        <f t="shared" si="14"/>
        <v>294</v>
      </c>
      <c r="M839" s="88" t="s">
        <v>21</v>
      </c>
      <c r="N839">
        <f>SUM(N3:N836)</f>
        <v>0</v>
      </c>
      <c r="O839">
        <f t="shared" ref="O839:T839" si="15">SUM(O3:O836)</f>
        <v>55</v>
      </c>
      <c r="P839">
        <f t="shared" si="15"/>
        <v>211</v>
      </c>
      <c r="Q839">
        <f t="shared" si="15"/>
        <v>-156</v>
      </c>
      <c r="R839">
        <f t="shared" si="15"/>
        <v>488</v>
      </c>
      <c r="S839">
        <f t="shared" si="15"/>
        <v>649</v>
      </c>
      <c r="T839">
        <f t="shared" si="15"/>
        <v>-161</v>
      </c>
    </row>
    <row r="841" spans="1:26">
      <c r="M841" s="88">
        <f>COUNTIF(M4:M808,"&gt;=100")</f>
        <v>32</v>
      </c>
      <c r="U841" s="88">
        <f>COUNTIF(U4:U808,"&gt;=100")</f>
        <v>0</v>
      </c>
    </row>
    <row r="843" spans="1:26">
      <c r="M843" s="88">
        <f>COUNTIFS(M4:M832,"&gt;=100",U4:U832,"&gt;=100")</f>
        <v>0</v>
      </c>
    </row>
  </sheetData>
  <sortState xmlns:xlrd2="http://schemas.microsoft.com/office/spreadsheetml/2017/richdata2" ref="A3:Z843">
    <sortCondition ref="A14"/>
  </sortState>
  <conditionalFormatting sqref="M1:M833 U1:U833 U838:U1048576 M838:M1048576">
    <cfRule type="cellIs" dxfId="341" priority="4" operator="greaterThanOrEqual">
      <formula>100</formula>
    </cfRule>
  </conditionalFormatting>
  <conditionalFormatting sqref="M834 U834">
    <cfRule type="cellIs" dxfId="340" priority="2" operator="greaterThanOrEqual">
      <formula>100</formula>
    </cfRule>
  </conditionalFormatting>
  <conditionalFormatting sqref="M835:M837 U835:U837">
    <cfRule type="cellIs" dxfId="339" priority="1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E19" sqref="E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TO BE APPOINETED</v>
      </c>
      <c r="B5" s="55">
        <v>166</v>
      </c>
      <c r="C5" s="85">
        <f>IF(ISNA(VLOOKUP($B5,DD_Info!$A$2:$F$221,5,0)),0,VLOOKUP($B5,DD_Info!$A$2:$F$221,5,0))</f>
        <v>3</v>
      </c>
      <c r="D5" s="62">
        <f>Districts!C154</f>
        <v>223</v>
      </c>
      <c r="E5" s="62">
        <f>Districts!D154</f>
        <v>10</v>
      </c>
      <c r="F5" s="62">
        <f>Districts!E154</f>
        <v>0</v>
      </c>
      <c r="G5" s="62">
        <f>Districts!F154</f>
        <v>0</v>
      </c>
      <c r="H5" s="62">
        <f>Districts!G154</f>
        <v>0</v>
      </c>
      <c r="J5" s="62">
        <f>Districts!H154</f>
        <v>0</v>
      </c>
      <c r="K5" s="62">
        <f>Districts!I154</f>
        <v>0</v>
      </c>
      <c r="L5" s="62">
        <f>Districts!J154</f>
        <v>0</v>
      </c>
      <c r="M5" s="61">
        <f>IFERROR(ROUND(+L5/E5,3),0)</f>
        <v>0</v>
      </c>
      <c r="N5">
        <f ca="1">IF(ISNA(VLOOKUP($Z5,'DD Mbr'!$A$2:$N$212,14,0)),0,VLOOKUP($Z5,'DD Mbr'!$A$2:$N$212,14,0))</f>
        <v>127</v>
      </c>
      <c r="P5" s="62">
        <f>Districts!L154</f>
        <v>0</v>
      </c>
      <c r="Q5" s="62">
        <f>Districts!M154</f>
        <v>0</v>
      </c>
      <c r="R5" s="62">
        <f>Districts!N154</f>
        <v>0</v>
      </c>
      <c r="S5" s="62">
        <f>Districts!O154</f>
        <v>0</v>
      </c>
      <c r="U5" s="62">
        <f>Districts!P154</f>
        <v>0</v>
      </c>
      <c r="V5" s="62">
        <f>Districts!Q154</f>
        <v>0</v>
      </c>
      <c r="W5" s="62">
        <f>Districts!R154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166</v>
      </c>
    </row>
    <row r="6" spans="1:26">
      <c r="A6" t="str">
        <f>IF(ISNA(VLOOKUP($B6,DD_Info!$A$2:$F$221,2,0)),0,VLOOKUP($B6,DD_Info!$A$2:$F$221,2,0))</f>
        <v>Joseph  Naderer</v>
      </c>
      <c r="B6" s="55">
        <v>167</v>
      </c>
      <c r="C6" s="85">
        <f>IF(ISNA(VLOOKUP($B6,DD_Info!$A$2:$F$221,5,0)),0,VLOOKUP($B6,DD_Info!$A$2:$F$221,5,0))</f>
        <v>2</v>
      </c>
      <c r="D6" s="62">
        <f>Districts!C155</f>
        <v>508</v>
      </c>
      <c r="E6" s="62">
        <f>Districts!D155</f>
        <v>18</v>
      </c>
      <c r="F6" s="62">
        <f>Districts!E155</f>
        <v>0</v>
      </c>
      <c r="G6" s="62">
        <f>Districts!F155</f>
        <v>1</v>
      </c>
      <c r="H6" s="62">
        <f>Districts!G155</f>
        <v>-1</v>
      </c>
      <c r="J6" s="62">
        <f>Districts!H155</f>
        <v>12</v>
      </c>
      <c r="K6" s="62">
        <f>Districts!I155</f>
        <v>1</v>
      </c>
      <c r="L6" s="62">
        <f>Districts!J155</f>
        <v>11</v>
      </c>
      <c r="M6" s="61">
        <f t="shared" ref="M6:M19" si="0">IFERROR(ROUND(+L6/E6,3),0)</f>
        <v>0.61099999999999999</v>
      </c>
      <c r="N6">
        <f ca="1">IF(ISNA(VLOOKUP($Z6,'DD Mbr'!$A$2:$N$212,14,0)),0,VLOOKUP($Z6,'DD Mbr'!$A$2:$N$212,14,0))</f>
        <v>21</v>
      </c>
      <c r="P6" s="62">
        <f>Districts!L155</f>
        <v>0</v>
      </c>
      <c r="Q6" s="62">
        <f>Districts!M155</f>
        <v>0</v>
      </c>
      <c r="R6" s="62">
        <f>Districts!N155</f>
        <v>2</v>
      </c>
      <c r="S6" s="62">
        <f>Districts!O155</f>
        <v>-2</v>
      </c>
      <c r="U6" s="62">
        <f>Districts!P155</f>
        <v>0</v>
      </c>
      <c r="V6" s="62">
        <f>Districts!Q155</f>
        <v>2</v>
      </c>
      <c r="W6" s="62">
        <f>Districts!R155</f>
        <v>-2</v>
      </c>
      <c r="X6" s="61">
        <f t="shared" ref="X6:X19" si="1">IFERROR(ROUND(+W6/P6,3),0)</f>
        <v>0</v>
      </c>
      <c r="Y6">
        <f>IF(ISNA(VLOOKUP($Z6,'DD Ins'!$A$2:$N$217,14,0)),0,VLOOKUP($Z6,'DD Ins'!$A$2:$N$217,14,0))</f>
        <v>1</v>
      </c>
      <c r="Z6">
        <f t="shared" ref="Z6:Z11" si="2">+B6</f>
        <v>167</v>
      </c>
    </row>
    <row r="7" spans="1:26">
      <c r="A7" t="str">
        <f>IF(ISNA(VLOOKUP($B7,DD_Info!$A$2:$F$221,2,0)),0,VLOOKUP($B7,DD_Info!$A$2:$F$221,2,0))</f>
        <v>Paul  Hickey</v>
      </c>
      <c r="B7" s="55">
        <v>168</v>
      </c>
      <c r="C7" s="85">
        <f>IF(ISNA(VLOOKUP($B7,DD_Info!$A$2:$F$221,5,0)),0,VLOOKUP($B7,DD_Info!$A$2:$F$221,5,0))</f>
        <v>2</v>
      </c>
      <c r="D7" s="62">
        <f>Districts!C156</f>
        <v>314</v>
      </c>
      <c r="E7" s="62">
        <f>Districts!D156</f>
        <v>12</v>
      </c>
      <c r="F7" s="62">
        <f>Districts!E156</f>
        <v>0</v>
      </c>
      <c r="G7" s="62">
        <f>Districts!F156</f>
        <v>0</v>
      </c>
      <c r="H7" s="62">
        <f>Districts!G156</f>
        <v>0</v>
      </c>
      <c r="J7" s="62">
        <f>Districts!H156</f>
        <v>3</v>
      </c>
      <c r="K7" s="62">
        <f>Districts!I156</f>
        <v>0</v>
      </c>
      <c r="L7" s="62">
        <f>Districts!J156</f>
        <v>3</v>
      </c>
      <c r="M7" s="61">
        <f t="shared" si="0"/>
        <v>0.25</v>
      </c>
      <c r="N7">
        <f ca="1">IF(ISNA(VLOOKUP($Z7,'DD Mbr'!$A$2:$N$212,14,0)),0,VLOOKUP($Z7,'DD Mbr'!$A$2:$N$212,14,0))</f>
        <v>65</v>
      </c>
      <c r="P7" s="62">
        <f>Districts!L156</f>
        <v>0</v>
      </c>
      <c r="Q7" s="62">
        <f>Districts!M156</f>
        <v>1</v>
      </c>
      <c r="R7" s="62">
        <f>Districts!N156</f>
        <v>1</v>
      </c>
      <c r="S7" s="62">
        <f>Districts!O156</f>
        <v>0</v>
      </c>
      <c r="U7" s="62">
        <f>Districts!P156</f>
        <v>1</v>
      </c>
      <c r="V7" s="62">
        <f>Districts!Q156</f>
        <v>1</v>
      </c>
      <c r="W7" s="62">
        <f>Districts!R156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168</v>
      </c>
    </row>
    <row r="8" spans="1:26">
      <c r="A8" t="str">
        <f>IF(ISNA(VLOOKUP($B8,DD_Info!$A$2:$F$221,2,0)),0,VLOOKUP($B8,DD_Info!$A$2:$F$221,2,0))</f>
        <v>Luis M Cadena</v>
      </c>
      <c r="B8" s="55">
        <v>169</v>
      </c>
      <c r="C8" s="85">
        <f>IF(ISNA(VLOOKUP($B8,DD_Info!$A$2:$F$221,5,0)),0,VLOOKUP($B8,DD_Info!$A$2:$F$221,5,0))</f>
        <v>3</v>
      </c>
      <c r="D8" s="62">
        <f>Districts!C157</f>
        <v>235</v>
      </c>
      <c r="E8" s="62">
        <f>Districts!D157</f>
        <v>8</v>
      </c>
      <c r="F8" s="62">
        <f>Districts!E157</f>
        <v>0</v>
      </c>
      <c r="G8" s="62">
        <f>Districts!F157</f>
        <v>0</v>
      </c>
      <c r="H8" s="62">
        <f>Districts!G157</f>
        <v>0</v>
      </c>
      <c r="J8" s="62">
        <f>Districts!H157</f>
        <v>3</v>
      </c>
      <c r="K8" s="62">
        <f>Districts!I157</f>
        <v>0</v>
      </c>
      <c r="L8" s="62">
        <f>Districts!J157</f>
        <v>3</v>
      </c>
      <c r="M8" s="61">
        <f t="shared" si="0"/>
        <v>0.375</v>
      </c>
      <c r="N8">
        <f ca="1">IF(ISNA(VLOOKUP($Z8,'DD Mbr'!$A$2:$N$212,14,0)),0,VLOOKUP($Z8,'DD Mbr'!$A$2:$N$212,14,0))</f>
        <v>46</v>
      </c>
      <c r="P8" s="62">
        <f>Districts!L157</f>
        <v>0</v>
      </c>
      <c r="Q8" s="62">
        <f>Districts!M157</f>
        <v>0</v>
      </c>
      <c r="R8" s="62">
        <f>Districts!N157</f>
        <v>1</v>
      </c>
      <c r="S8" s="62">
        <f>Districts!O157</f>
        <v>-1</v>
      </c>
      <c r="U8" s="62">
        <f>Districts!P157</f>
        <v>0</v>
      </c>
      <c r="V8" s="62">
        <f>Districts!Q157</f>
        <v>2</v>
      </c>
      <c r="W8" s="62">
        <f>Districts!R157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169</v>
      </c>
    </row>
    <row r="9" spans="1:26">
      <c r="A9" t="str">
        <f>IF(ISNA(VLOOKUP($B9,DD_Info!$A$2:$F$221,2,0)),0,VLOOKUP($B9,DD_Info!$A$2:$F$221,2,0))</f>
        <v>Alfredo  Torres</v>
      </c>
      <c r="B9" s="55">
        <v>170</v>
      </c>
      <c r="C9" s="85">
        <f>IF(ISNA(VLOOKUP($B9,DD_Info!$A$2:$F$221,5,0)),0,VLOOKUP($B9,DD_Info!$A$2:$F$221,5,0))</f>
        <v>3</v>
      </c>
      <c r="D9" s="62">
        <f>Districts!C158</f>
        <v>275</v>
      </c>
      <c r="E9" s="62">
        <f>Districts!D158</f>
        <v>10</v>
      </c>
      <c r="F9" s="62">
        <f>Districts!E158</f>
        <v>0</v>
      </c>
      <c r="G9" s="62">
        <f>Districts!F158</f>
        <v>0</v>
      </c>
      <c r="H9" s="62">
        <f>Districts!G158</f>
        <v>0</v>
      </c>
      <c r="J9" s="62">
        <f>Districts!H158</f>
        <v>5</v>
      </c>
      <c r="K9" s="62">
        <f>Districts!I158</f>
        <v>0</v>
      </c>
      <c r="L9" s="62">
        <f>Districts!J158</f>
        <v>5</v>
      </c>
      <c r="M9" s="61">
        <f t="shared" si="0"/>
        <v>0.5</v>
      </c>
      <c r="N9">
        <f ca="1">IF(ISNA(VLOOKUP($Z9,'DD Mbr'!$A$2:$N$212,14,0)),0,VLOOKUP($Z9,'DD Mbr'!$A$2:$N$212,14,0))</f>
        <v>25</v>
      </c>
      <c r="P9" s="62">
        <f>Districts!L158</f>
        <v>0</v>
      </c>
      <c r="Q9" s="62">
        <f>Districts!M158</f>
        <v>0</v>
      </c>
      <c r="R9" s="62">
        <f>Districts!N158</f>
        <v>2</v>
      </c>
      <c r="S9" s="62">
        <f>Districts!O158</f>
        <v>-2</v>
      </c>
      <c r="U9" s="62">
        <f>Districts!P158</f>
        <v>0</v>
      </c>
      <c r="V9" s="62">
        <f>Districts!Q158</f>
        <v>2</v>
      </c>
      <c r="W9" s="62">
        <f>Districts!R158</f>
        <v>-2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170</v>
      </c>
    </row>
    <row r="10" spans="1:26">
      <c r="A10" t="str">
        <f>IF(ISNA(VLOOKUP($B10,DD_Info!$A$2:$F$221,2,0)),0,VLOOKUP($B10,DD_Info!$A$2:$F$221,2,0))</f>
        <v>William G Archambeault</v>
      </c>
      <c r="B10" s="55">
        <v>171</v>
      </c>
      <c r="C10" s="85">
        <f>IF(ISNA(VLOOKUP($B10,DD_Info!$A$2:$F$221,5,0)),0,VLOOKUP($B10,DD_Info!$A$2:$F$221,5,0))</f>
        <v>2</v>
      </c>
      <c r="D10" s="62">
        <f>Districts!C159</f>
        <v>444</v>
      </c>
      <c r="E10" s="62">
        <f>Districts!D159</f>
        <v>16</v>
      </c>
      <c r="F10" s="62">
        <f>Districts!E159</f>
        <v>1</v>
      </c>
      <c r="G10" s="62">
        <f>Districts!F159</f>
        <v>0</v>
      </c>
      <c r="H10" s="62">
        <f>Districts!G159</f>
        <v>1</v>
      </c>
      <c r="J10" s="62">
        <f>Districts!H159</f>
        <v>10</v>
      </c>
      <c r="K10" s="62">
        <f>Districts!I159</f>
        <v>0</v>
      </c>
      <c r="L10" s="62">
        <f>Districts!J159</f>
        <v>10</v>
      </c>
      <c r="M10" s="61">
        <f t="shared" si="0"/>
        <v>0.625</v>
      </c>
      <c r="N10">
        <f ca="1">IF(ISNA(VLOOKUP($Z10,'DD Mbr'!$A$2:$N$212,14,0)),0,VLOOKUP($Z10,'DD Mbr'!$A$2:$N$212,14,0))</f>
        <v>23</v>
      </c>
      <c r="P10" s="62">
        <f>Districts!L159</f>
        <v>0</v>
      </c>
      <c r="Q10" s="62">
        <f>Districts!M159</f>
        <v>0</v>
      </c>
      <c r="R10" s="62">
        <f>Districts!N159</f>
        <v>1</v>
      </c>
      <c r="S10" s="62">
        <f>Districts!O159</f>
        <v>-1</v>
      </c>
      <c r="U10" s="62">
        <f>Districts!P159</f>
        <v>2</v>
      </c>
      <c r="V10" s="62">
        <f>Districts!Q159</f>
        <v>4</v>
      </c>
      <c r="W10" s="62">
        <f>Districts!R159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171</v>
      </c>
    </row>
    <row r="11" spans="1:26">
      <c r="A11" t="str">
        <f>IF(ISNA(VLOOKUP($B11,DD_Info!$A$2:$F$221,2,0)),0,VLOOKUP($B11,DD_Info!$A$2:$F$221,2,0))</f>
        <v>TO BE APPOINTED</v>
      </c>
      <c r="B11" s="55">
        <v>172</v>
      </c>
      <c r="C11" s="85">
        <f>IF(ISNA(VLOOKUP($B11,DD_Info!$A$2:$F$221,5,0)),0,VLOOKUP($B11,DD_Info!$A$2:$F$221,5,0))</f>
        <v>2</v>
      </c>
      <c r="D11" s="62">
        <f>Districts!C160</f>
        <v>472</v>
      </c>
      <c r="E11" s="62">
        <f>Districts!D160</f>
        <v>15</v>
      </c>
      <c r="F11" s="62">
        <f>Districts!E160</f>
        <v>0</v>
      </c>
      <c r="G11" s="62">
        <f>Districts!F160</f>
        <v>0</v>
      </c>
      <c r="H11" s="62">
        <f>Districts!G160</f>
        <v>0</v>
      </c>
      <c r="J11" s="62">
        <f>Districts!H160</f>
        <v>0</v>
      </c>
      <c r="K11" s="62">
        <f>Districts!I160</f>
        <v>0</v>
      </c>
      <c r="L11" s="62">
        <f>Districts!J160</f>
        <v>0</v>
      </c>
      <c r="M11" s="61">
        <f t="shared" si="0"/>
        <v>0</v>
      </c>
      <c r="N11">
        <f ca="1">IF(ISNA(VLOOKUP($Z11,'DD Mbr'!$A$2:$N$212,14,0)),0,VLOOKUP($Z11,'DD Mbr'!$A$2:$N$212,14,0))</f>
        <v>127</v>
      </c>
      <c r="P11" s="62">
        <f>Districts!L160</f>
        <v>0</v>
      </c>
      <c r="Q11" s="62">
        <f>Districts!M160</f>
        <v>0</v>
      </c>
      <c r="R11" s="62">
        <f>Districts!N160</f>
        <v>1</v>
      </c>
      <c r="S11" s="62">
        <f>Districts!O160</f>
        <v>-1</v>
      </c>
      <c r="U11" s="62">
        <f>Districts!P160</f>
        <v>0</v>
      </c>
      <c r="V11" s="62">
        <f>Districts!Q160</f>
        <v>2</v>
      </c>
      <c r="W11" s="62">
        <f>Districts!R160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172</v>
      </c>
    </row>
    <row r="12" spans="1:26">
      <c r="A12" t="str">
        <f>IF(ISNA(VLOOKUP($B12,DD_Info!$A$2:$F$221,2,0)),0,VLOOKUP($B12,DD_Info!$A$2:$F$221,2,0))</f>
        <v>Pedro  Gonzalez</v>
      </c>
      <c r="B12" s="55">
        <v>173</v>
      </c>
      <c r="C12" s="85">
        <f>IF(ISNA(VLOOKUP($B12,DD_Info!$A$2:$F$221,5,0)),0,VLOOKUP($B12,DD_Info!$A$2:$F$221,5,0))</f>
        <v>2</v>
      </c>
      <c r="D12" s="62">
        <f>Districts!C161</f>
        <v>517</v>
      </c>
      <c r="E12" s="62">
        <f>Districts!D161</f>
        <v>19</v>
      </c>
      <c r="F12" s="62">
        <f>Districts!E161</f>
        <v>0</v>
      </c>
      <c r="G12" s="62">
        <f>Districts!F161</f>
        <v>0</v>
      </c>
      <c r="H12" s="62">
        <f>Districts!G161</f>
        <v>0</v>
      </c>
      <c r="J12" s="62">
        <f>Districts!H161</f>
        <v>5</v>
      </c>
      <c r="K12" s="62">
        <f>Districts!I161</f>
        <v>0</v>
      </c>
      <c r="L12" s="62">
        <f>Districts!J161</f>
        <v>5</v>
      </c>
      <c r="M12" s="61">
        <f t="shared" si="0"/>
        <v>0.26300000000000001</v>
      </c>
      <c r="N12">
        <f ca="1">IF(ISNA(VLOOKUP($Z12,'DD Mbr'!$A$2:$N$212,14,0)),0,VLOOKUP($Z12,'DD Mbr'!$A$2:$N$212,14,0))</f>
        <v>57</v>
      </c>
      <c r="P12" s="62">
        <f>Districts!L161</f>
        <v>0</v>
      </c>
      <c r="Q12" s="62">
        <f>Districts!M161</f>
        <v>0</v>
      </c>
      <c r="R12" s="62">
        <f>Districts!N161</f>
        <v>2</v>
      </c>
      <c r="S12" s="62">
        <f>Districts!O161</f>
        <v>-2</v>
      </c>
      <c r="U12" s="62">
        <f>Districts!P161</f>
        <v>1</v>
      </c>
      <c r="V12" s="62">
        <f>Districts!Q161</f>
        <v>3</v>
      </c>
      <c r="W12" s="62">
        <f>Districts!R161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ref="Z12:Z19" si="3">+B12</f>
        <v>173</v>
      </c>
    </row>
    <row r="13" spans="1:26">
      <c r="A13" t="str">
        <f>IF(ISNA(VLOOKUP($B13,DD_Info!$A$2:$F$221,2,0)),0,VLOOKUP($B13,DD_Info!$A$2:$F$221,2,0))</f>
        <v>Christopher  Hernandez</v>
      </c>
      <c r="B13" s="55">
        <v>174</v>
      </c>
      <c r="C13" s="85">
        <f>IF(ISNA(VLOOKUP($B13,DD_Info!$A$2:$F$221,5,0)),0,VLOOKUP($B13,DD_Info!$A$2:$F$221,5,0))</f>
        <v>3</v>
      </c>
      <c r="D13" s="62">
        <f>Districts!C162</f>
        <v>281</v>
      </c>
      <c r="E13" s="62">
        <f>Districts!D162</f>
        <v>11</v>
      </c>
      <c r="F13" s="62">
        <f>Districts!E162</f>
        <v>0</v>
      </c>
      <c r="G13" s="62">
        <f>Districts!F162</f>
        <v>2</v>
      </c>
      <c r="H13" s="62">
        <f>Districts!G162</f>
        <v>-2</v>
      </c>
      <c r="J13" s="62">
        <f>Districts!H162</f>
        <v>4</v>
      </c>
      <c r="K13" s="62">
        <f>Districts!I162</f>
        <v>2</v>
      </c>
      <c r="L13" s="62">
        <f>Districts!J162</f>
        <v>2</v>
      </c>
      <c r="M13" s="61">
        <f t="shared" si="0"/>
        <v>0.182</v>
      </c>
      <c r="N13">
        <f ca="1">IF(ISNA(VLOOKUP($Z13,'DD Mbr'!$A$2:$N$212,14,0)),0,VLOOKUP($Z13,'DD Mbr'!$A$2:$N$212,14,0))</f>
        <v>88</v>
      </c>
      <c r="P13" s="62">
        <f>Districts!L162</f>
        <v>0</v>
      </c>
      <c r="Q13" s="62">
        <f>Districts!M162</f>
        <v>0</v>
      </c>
      <c r="R13" s="62">
        <f>Districts!N162</f>
        <v>0</v>
      </c>
      <c r="S13" s="62">
        <f>Districts!O162</f>
        <v>0</v>
      </c>
      <c r="U13" s="62">
        <f>Districts!P162</f>
        <v>0</v>
      </c>
      <c r="V13" s="62">
        <f>Districts!Q162</f>
        <v>2</v>
      </c>
      <c r="W13" s="62">
        <f>Districts!R162</f>
        <v>-2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3"/>
        <v>174</v>
      </c>
    </row>
    <row r="14" spans="1:26">
      <c r="A14" t="str">
        <f>IF(ISNA(VLOOKUP($B14,DD_Info!$A$2:$F$221,2,0)),0,VLOOKUP($B14,DD_Info!$A$2:$F$221,2,0))</f>
        <v>Abel  Gutierrez</v>
      </c>
      <c r="B14" s="55">
        <v>175</v>
      </c>
      <c r="C14" s="85">
        <f>IF(ISNA(VLOOKUP($B14,DD_Info!$A$2:$F$221,5,0)),0,VLOOKUP($B14,DD_Info!$A$2:$F$221,5,0))</f>
        <v>3</v>
      </c>
      <c r="D14" s="62">
        <f>Districts!C163</f>
        <v>225</v>
      </c>
      <c r="E14" s="62">
        <f>Districts!D163</f>
        <v>9</v>
      </c>
      <c r="F14" s="62">
        <f>Districts!E163</f>
        <v>0</v>
      </c>
      <c r="G14" s="62">
        <f>Districts!F163</f>
        <v>1</v>
      </c>
      <c r="H14" s="62">
        <f>Districts!G163</f>
        <v>-1</v>
      </c>
      <c r="J14" s="62">
        <f>Districts!H163</f>
        <v>0</v>
      </c>
      <c r="K14" s="62">
        <f>Districts!I163</f>
        <v>1</v>
      </c>
      <c r="L14" s="62">
        <f>Districts!J163</f>
        <v>-1</v>
      </c>
      <c r="M14" s="61">
        <f t="shared" si="0"/>
        <v>-0.111</v>
      </c>
      <c r="N14">
        <f ca="1">IF(ISNA(VLOOKUP($Z14,'DD Mbr'!$A$2:$N$212,14,0)),0,VLOOKUP($Z14,'DD Mbr'!$A$2:$N$212,14,0))</f>
        <v>183</v>
      </c>
      <c r="P14" s="62">
        <f>Districts!L163</f>
        <v>0</v>
      </c>
      <c r="Q14" s="62">
        <f>Districts!M163</f>
        <v>0</v>
      </c>
      <c r="R14" s="62">
        <f>Districts!N163</f>
        <v>0</v>
      </c>
      <c r="S14" s="62">
        <f>Districts!O163</f>
        <v>0</v>
      </c>
      <c r="U14" s="62">
        <f>Districts!P163</f>
        <v>0</v>
      </c>
      <c r="V14" s="62">
        <f>Districts!Q163</f>
        <v>2</v>
      </c>
      <c r="W14" s="62">
        <f>Districts!R163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3"/>
        <v>175</v>
      </c>
    </row>
    <row r="15" spans="1:26">
      <c r="A15" t="str">
        <f>IF(ISNA(VLOOKUP($B15,DD_Info!$A$2:$F$221,2,0)),0,VLOOKUP($B15,DD_Info!$A$2:$F$221,2,0))</f>
        <v>Gilbert  Perez Sr</v>
      </c>
      <c r="B15" s="55">
        <v>176</v>
      </c>
      <c r="C15" s="85">
        <f>IF(ISNA(VLOOKUP($B15,DD_Info!$A$2:$F$221,5,0)),0,VLOOKUP($B15,DD_Info!$A$2:$F$221,5,0))</f>
        <v>3</v>
      </c>
      <c r="D15" s="62">
        <f>Districts!C164</f>
        <v>246</v>
      </c>
      <c r="E15" s="62">
        <f>Districts!D164</f>
        <v>10</v>
      </c>
      <c r="F15" s="62">
        <f>Districts!E164</f>
        <v>0</v>
      </c>
      <c r="G15" s="62">
        <f>Districts!F164</f>
        <v>0</v>
      </c>
      <c r="H15" s="62">
        <f>Districts!G164</f>
        <v>0</v>
      </c>
      <c r="J15" s="62">
        <f>Districts!H164</f>
        <v>10</v>
      </c>
      <c r="K15" s="62">
        <f>Districts!I164</f>
        <v>0</v>
      </c>
      <c r="L15" s="62">
        <f>Districts!J164</f>
        <v>10</v>
      </c>
      <c r="M15" s="61">
        <f t="shared" si="0"/>
        <v>1</v>
      </c>
      <c r="N15">
        <f ca="1">IF(ISNA(VLOOKUP($Z15,'DD Mbr'!$A$2:$N$212,14,0)),0,VLOOKUP($Z15,'DD Mbr'!$A$2:$N$212,14,0))</f>
        <v>4</v>
      </c>
      <c r="P15" s="62">
        <f>Districts!L164</f>
        <v>0</v>
      </c>
      <c r="Q15" s="62">
        <f>Districts!M164</f>
        <v>0</v>
      </c>
      <c r="R15" s="62">
        <f>Districts!N164</f>
        <v>0</v>
      </c>
      <c r="S15" s="62">
        <f>Districts!O164</f>
        <v>0</v>
      </c>
      <c r="U15" s="62">
        <f>Districts!P164</f>
        <v>0</v>
      </c>
      <c r="V15" s="62">
        <f>Districts!Q164</f>
        <v>0</v>
      </c>
      <c r="W15" s="62">
        <f>Districts!R164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3"/>
        <v>176</v>
      </c>
    </row>
    <row r="16" spans="1:26">
      <c r="A16" t="str">
        <f>IF(ISNA(VLOOKUP($B16,DD_Info!$A$2:$F$221,2,0)),0,VLOOKUP($B16,DD_Info!$A$2:$F$221,2,0))</f>
        <v>Juan M Hernandez</v>
      </c>
      <c r="B16" s="55">
        <v>177</v>
      </c>
      <c r="C16" s="85">
        <f>IF(ISNA(VLOOKUP($B16,DD_Info!$A$2:$F$221,5,0)),0,VLOOKUP($B16,DD_Info!$A$2:$F$221,5,0))</f>
        <v>2</v>
      </c>
      <c r="D16" s="62">
        <f>Districts!C165</f>
        <v>379</v>
      </c>
      <c r="E16" s="62">
        <f>Districts!D165</f>
        <v>13</v>
      </c>
      <c r="F16" s="62">
        <f>Districts!E165</f>
        <v>0</v>
      </c>
      <c r="G16" s="62">
        <f>Districts!F165</f>
        <v>0</v>
      </c>
      <c r="H16" s="62">
        <f>Districts!G165</f>
        <v>0</v>
      </c>
      <c r="J16" s="62">
        <f>Districts!H165</f>
        <v>0</v>
      </c>
      <c r="K16" s="62">
        <f>Districts!I165</f>
        <v>0</v>
      </c>
      <c r="L16" s="62">
        <f>Districts!J165</f>
        <v>0</v>
      </c>
      <c r="M16" s="61">
        <f t="shared" si="0"/>
        <v>0</v>
      </c>
      <c r="N16">
        <f ca="1">IF(ISNA(VLOOKUP($Z16,'DD Mbr'!$A$2:$N$212,14,0)),0,VLOOKUP($Z16,'DD Mbr'!$A$2:$N$212,14,0))</f>
        <v>127</v>
      </c>
      <c r="P16" s="62">
        <f>Districts!L165</f>
        <v>0</v>
      </c>
      <c r="Q16" s="62">
        <f>Districts!M165</f>
        <v>0</v>
      </c>
      <c r="R16" s="62">
        <f>Districts!N165</f>
        <v>2</v>
      </c>
      <c r="S16" s="62">
        <f>Districts!O165</f>
        <v>-2</v>
      </c>
      <c r="U16" s="62">
        <f>Districts!P165</f>
        <v>0</v>
      </c>
      <c r="V16" s="62">
        <f>Districts!Q165</f>
        <v>3</v>
      </c>
      <c r="W16" s="62">
        <f>Districts!R165</f>
        <v>-3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3"/>
        <v>177</v>
      </c>
    </row>
    <row r="17" spans="1:26">
      <c r="A17" t="str">
        <f>IF(ISNA(VLOOKUP($B17,DD_Info!$A$2:$F$221,2,0)),0,VLOOKUP($B17,DD_Info!$A$2:$F$221,2,0))</f>
        <v>Ervey  Martinez</v>
      </c>
      <c r="B17" s="55">
        <v>178</v>
      </c>
      <c r="C17" s="85">
        <f>IF(ISNA(VLOOKUP($B17,DD_Info!$A$2:$F$221,5,0)),0,VLOOKUP($B17,DD_Info!$A$2:$F$221,5,0))</f>
        <v>3</v>
      </c>
      <c r="D17" s="62">
        <f>Districts!C166</f>
        <v>287</v>
      </c>
      <c r="E17" s="62">
        <f>Districts!D166</f>
        <v>11</v>
      </c>
      <c r="F17" s="62">
        <f>Districts!E166</f>
        <v>0</v>
      </c>
      <c r="G17" s="62">
        <f>Districts!F166</f>
        <v>0</v>
      </c>
      <c r="H17" s="62">
        <f>Districts!G166</f>
        <v>0</v>
      </c>
      <c r="J17" s="62">
        <f>Districts!H166</f>
        <v>0</v>
      </c>
      <c r="K17" s="62">
        <f>Districts!I166</f>
        <v>0</v>
      </c>
      <c r="L17" s="62">
        <f>Districts!J166</f>
        <v>0</v>
      </c>
      <c r="M17" s="61">
        <f t="shared" si="0"/>
        <v>0</v>
      </c>
      <c r="N17">
        <f ca="1">IF(ISNA(VLOOKUP($Z17,'DD Mbr'!$A$2:$N$212,14,0)),0,VLOOKUP($Z17,'DD Mbr'!$A$2:$N$212,14,0))</f>
        <v>127</v>
      </c>
      <c r="P17" s="62">
        <f>Districts!L166</f>
        <v>0</v>
      </c>
      <c r="Q17" s="62">
        <f>Districts!M166</f>
        <v>0</v>
      </c>
      <c r="R17" s="62">
        <f>Districts!N166</f>
        <v>2</v>
      </c>
      <c r="S17" s="62">
        <f>Districts!O166</f>
        <v>-2</v>
      </c>
      <c r="U17" s="62">
        <f>Districts!P166</f>
        <v>0</v>
      </c>
      <c r="V17" s="62">
        <f>Districts!Q166</f>
        <v>2</v>
      </c>
      <c r="W17" s="62">
        <f>Districts!R166</f>
        <v>-2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3"/>
        <v>178</v>
      </c>
    </row>
    <row r="18" spans="1:26">
      <c r="A18" t="str">
        <f>IF(ISNA(VLOOKUP($B18,DD_Info!$A$2:$F$221,2,0)),0,VLOOKUP($B18,DD_Info!$A$2:$F$221,2,0))</f>
        <v>Jesse Q Garcia</v>
      </c>
      <c r="B18" s="55">
        <v>179</v>
      </c>
      <c r="C18" s="85">
        <f>IF(ISNA(VLOOKUP($B18,DD_Info!$A$2:$F$221,5,0)),0,VLOOKUP($B18,DD_Info!$A$2:$F$221,5,0))</f>
        <v>2</v>
      </c>
      <c r="D18" s="62">
        <f>Districts!C167</f>
        <v>318</v>
      </c>
      <c r="E18" s="62">
        <f>Districts!D167</f>
        <v>12</v>
      </c>
      <c r="F18" s="62">
        <f>Districts!E167</f>
        <v>0</v>
      </c>
      <c r="G18" s="62">
        <f>Districts!F167</f>
        <v>0</v>
      </c>
      <c r="H18" s="62">
        <f>Districts!G167</f>
        <v>0</v>
      </c>
      <c r="J18" s="62">
        <f>Districts!H167</f>
        <v>16</v>
      </c>
      <c r="K18" s="62">
        <f>Districts!I167</f>
        <v>0</v>
      </c>
      <c r="L18" s="62">
        <f>Districts!J167</f>
        <v>16</v>
      </c>
      <c r="M18" s="61">
        <f t="shared" si="0"/>
        <v>1.333</v>
      </c>
      <c r="N18">
        <f ca="1">IF(ISNA(VLOOKUP($Z18,'DD Mbr'!$A$2:$N$212,14,0)),0,VLOOKUP($Z18,'DD Mbr'!$A$2:$N$212,14,0))</f>
        <v>3</v>
      </c>
      <c r="P18" s="62">
        <f>Districts!L167</f>
        <v>0</v>
      </c>
      <c r="Q18" s="62">
        <f>Districts!M167</f>
        <v>0</v>
      </c>
      <c r="R18" s="62">
        <f>Districts!N167</f>
        <v>1</v>
      </c>
      <c r="S18" s="62">
        <f>Districts!O167</f>
        <v>-1</v>
      </c>
      <c r="U18" s="62">
        <f>Districts!P167</f>
        <v>0</v>
      </c>
      <c r="V18" s="62">
        <f>Districts!Q167</f>
        <v>1</v>
      </c>
      <c r="W18" s="62">
        <f>Districts!R167</f>
        <v>-1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3"/>
        <v>179</v>
      </c>
    </row>
    <row r="19" spans="1:26">
      <c r="A19" t="str">
        <f>IF(ISNA(VLOOKUP($B19,DD_Info!$A$2:$F$221,2,0)),0,VLOOKUP($B19,DD_Info!$A$2:$F$221,2,0))</f>
        <v>Rudy  Ortiz</v>
      </c>
      <c r="B19" s="55">
        <v>180</v>
      </c>
      <c r="C19" s="85">
        <f>IF(ISNA(VLOOKUP($B19,DD_Info!$A$2:$F$221,5,0)),0,VLOOKUP($B19,DD_Info!$A$2:$F$221,5,0))</f>
        <v>3</v>
      </c>
      <c r="D19" s="62">
        <f>Districts!C168</f>
        <v>170</v>
      </c>
      <c r="E19" s="62">
        <f>Districts!D168</f>
        <v>8</v>
      </c>
      <c r="F19" s="62">
        <f>Districts!E168</f>
        <v>0</v>
      </c>
      <c r="G19" s="62">
        <f>Districts!F168</f>
        <v>0</v>
      </c>
      <c r="H19" s="62">
        <f>Districts!G168</f>
        <v>0</v>
      </c>
      <c r="J19" s="62">
        <f>Districts!H168</f>
        <v>0</v>
      </c>
      <c r="K19" s="62">
        <f>Districts!I168</f>
        <v>0</v>
      </c>
      <c r="L19" s="62">
        <f>Districts!J168</f>
        <v>0</v>
      </c>
      <c r="M19" s="61">
        <f t="shared" si="0"/>
        <v>0</v>
      </c>
      <c r="N19">
        <f ca="1">IF(ISNA(VLOOKUP($Z19,'DD Mbr'!$A$2:$N$212,14,0)),0,VLOOKUP($Z19,'DD Mbr'!$A$2:$N$212,14,0))</f>
        <v>127</v>
      </c>
      <c r="P19" s="62">
        <f>Districts!L168</f>
        <v>0</v>
      </c>
      <c r="Q19" s="62">
        <f>Districts!M168</f>
        <v>0</v>
      </c>
      <c r="R19" s="62">
        <f>Districts!N168</f>
        <v>0</v>
      </c>
      <c r="S19" s="62">
        <f>Districts!O168</f>
        <v>0</v>
      </c>
      <c r="U19" s="62">
        <f>Districts!P168</f>
        <v>0</v>
      </c>
      <c r="V19" s="62">
        <f>Districts!Q168</f>
        <v>0</v>
      </c>
      <c r="W19" s="62">
        <f>Districts!R168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3"/>
        <v>180</v>
      </c>
    </row>
    <row r="20" spans="1:26">
      <c r="D20" s="62">
        <f>SUM(D5:D19)</f>
        <v>4894</v>
      </c>
      <c r="E20" s="62">
        <f t="shared" ref="E20:L20" si="4">SUM(E5:E19)</f>
        <v>182</v>
      </c>
      <c r="F20" s="62">
        <f t="shared" si="4"/>
        <v>1</v>
      </c>
      <c r="G20" s="62">
        <f t="shared" si="4"/>
        <v>4</v>
      </c>
      <c r="H20" s="62">
        <f t="shared" si="4"/>
        <v>-3</v>
      </c>
      <c r="I20" s="62">
        <f t="shared" si="4"/>
        <v>0</v>
      </c>
      <c r="J20" s="62">
        <f t="shared" si="4"/>
        <v>68</v>
      </c>
      <c r="K20" s="62">
        <f t="shared" si="4"/>
        <v>4</v>
      </c>
      <c r="L20" s="62">
        <f t="shared" si="4"/>
        <v>64</v>
      </c>
      <c r="M20" s="62"/>
      <c r="P20" s="62">
        <f>SUM(P5:P19)</f>
        <v>0</v>
      </c>
      <c r="Q20" s="62">
        <f t="shared" ref="Q20:W20" si="5">SUM(Q5:Q19)</f>
        <v>1</v>
      </c>
      <c r="R20" s="62">
        <f t="shared" si="5"/>
        <v>15</v>
      </c>
      <c r="S20" s="62">
        <f t="shared" si="5"/>
        <v>-14</v>
      </c>
      <c r="T20" s="62">
        <f t="shared" si="5"/>
        <v>0</v>
      </c>
      <c r="U20" s="62">
        <f t="shared" si="5"/>
        <v>4</v>
      </c>
      <c r="V20" s="62">
        <f t="shared" si="5"/>
        <v>26</v>
      </c>
      <c r="W20" s="62">
        <f t="shared" si="5"/>
        <v>-22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>
      <selection activeCell="D14" sqref="D14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Roman M Estrada</v>
      </c>
      <c r="B5" s="55">
        <v>221</v>
      </c>
      <c r="C5" s="85">
        <f>IF(ISNA(VLOOKUP($B5,DD_Info!$A$2:$F$221,5,0)),0,VLOOKUP($B5,DD_Info!$A$2:$F$221,5,0))</f>
        <v>2</v>
      </c>
      <c r="D5" s="62">
        <f>Districts!C198</f>
        <v>314</v>
      </c>
      <c r="E5" s="62">
        <f>Districts!D198</f>
        <v>11</v>
      </c>
      <c r="F5" s="62">
        <f>Districts!E198</f>
        <v>0</v>
      </c>
      <c r="G5" s="62">
        <f>Districts!F198</f>
        <v>0</v>
      </c>
      <c r="H5" s="62">
        <f>Districts!G198</f>
        <v>0</v>
      </c>
      <c r="J5" s="62">
        <f>Districts!H198</f>
        <v>5</v>
      </c>
      <c r="K5" s="62">
        <f>Districts!I198</f>
        <v>0</v>
      </c>
      <c r="L5" s="62">
        <f>Districts!J198</f>
        <v>5</v>
      </c>
      <c r="M5" s="61">
        <f t="shared" ref="M5:M14" si="0">IFERROR(ROUND(+L5/E5,3),0)</f>
        <v>0.45500000000000002</v>
      </c>
      <c r="N5">
        <f ca="1">IF(ISNA(VLOOKUP($Z5,'DD Mbr'!$A$2:$N$212,14,0)),0,VLOOKUP($Z5,'DD Mbr'!$A$2:$N$212,14,0))</f>
        <v>29</v>
      </c>
      <c r="P5" s="62">
        <f>Districts!L198</f>
        <v>0</v>
      </c>
      <c r="Q5" s="62">
        <f>Districts!M198</f>
        <v>0</v>
      </c>
      <c r="R5" s="62">
        <f>Districts!N198</f>
        <v>0</v>
      </c>
      <c r="S5" s="62">
        <f>Districts!O198</f>
        <v>0</v>
      </c>
      <c r="T5" s="62">
        <f>Districts!P193</f>
        <v>1</v>
      </c>
      <c r="U5" s="62">
        <f>Districts!Q198</f>
        <v>3</v>
      </c>
      <c r="V5" s="62">
        <f>Districts!R198</f>
        <v>-1</v>
      </c>
      <c r="W5" s="62">
        <f>Districts!S198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</v>
      </c>
      <c r="Z5">
        <f t="shared" ref="Z5:Z14" si="2">+B5</f>
        <v>221</v>
      </c>
    </row>
    <row r="6" spans="1:26">
      <c r="A6" t="str">
        <f>IF(ISNA(VLOOKUP($B6,DD_Info!$A$2:$F$221,2,0)),0,VLOOKUP($B6,DD_Info!$A$2:$F$221,2,0))</f>
        <v>Gregory J Dutchover</v>
      </c>
      <c r="B6" s="55">
        <v>222</v>
      </c>
      <c r="C6" s="85">
        <f>IF(ISNA(VLOOKUP($B6,DD_Info!$A$2:$F$221,5,0)),0,VLOOKUP($B6,DD_Info!$A$2:$F$221,5,0))</f>
        <v>2</v>
      </c>
      <c r="D6" s="62">
        <f>Districts!C199</f>
        <v>339</v>
      </c>
      <c r="E6" s="62">
        <f>Districts!D199</f>
        <v>13</v>
      </c>
      <c r="F6" s="62">
        <f>Districts!E199</f>
        <v>1</v>
      </c>
      <c r="G6" s="62">
        <f>Districts!F199</f>
        <v>0</v>
      </c>
      <c r="H6" s="62">
        <f>Districts!G199</f>
        <v>1</v>
      </c>
      <c r="J6" s="62">
        <f>Districts!H199</f>
        <v>11</v>
      </c>
      <c r="K6" s="62">
        <f>Districts!I199</f>
        <v>0</v>
      </c>
      <c r="L6" s="62">
        <f>Districts!J199</f>
        <v>11</v>
      </c>
      <c r="M6" s="61">
        <f t="shared" si="0"/>
        <v>0.84599999999999997</v>
      </c>
      <c r="N6">
        <f ca="1">IF(ISNA(VLOOKUP($Z6,'DD Mbr'!$A$2:$N$212,14,0)),0,VLOOKUP($Z6,'DD Mbr'!$A$2:$N$212,14,0))</f>
        <v>9</v>
      </c>
      <c r="P6" s="62">
        <f>Districts!L199</f>
        <v>0</v>
      </c>
      <c r="Q6" s="62">
        <f>Districts!M199</f>
        <v>0</v>
      </c>
      <c r="R6" s="62">
        <f>Districts!N199</f>
        <v>0</v>
      </c>
      <c r="S6" s="62">
        <f>Districts!O199</f>
        <v>0</v>
      </c>
      <c r="T6" s="62">
        <f>Districts!P194</f>
        <v>6</v>
      </c>
      <c r="U6" s="62">
        <f>Districts!Q199</f>
        <v>1</v>
      </c>
      <c r="V6" s="62">
        <f>Districts!R199</f>
        <v>-1</v>
      </c>
      <c r="W6" s="62">
        <f>Districts!S199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222</v>
      </c>
    </row>
    <row r="7" spans="1:26">
      <c r="A7" t="str">
        <f>IF(ISNA(VLOOKUP($B7,DD_Info!$A$2:$F$221,2,0)),0,VLOOKUP($B7,DD_Info!$A$2:$F$221,2,0))</f>
        <v>Aloysius "Al" E NovoGradac Jr</v>
      </c>
      <c r="B7" s="55">
        <v>223</v>
      </c>
      <c r="C7" s="85">
        <f>IF(ISNA(VLOOKUP($B7,DD_Info!$A$2:$F$221,5,0)),0,VLOOKUP($B7,DD_Info!$A$2:$F$221,5,0))</f>
        <v>1</v>
      </c>
      <c r="D7" s="62">
        <f>Districts!C200</f>
        <v>732</v>
      </c>
      <c r="E7" s="62">
        <f>Districts!D200</f>
        <v>25</v>
      </c>
      <c r="F7" s="62">
        <f>Districts!E200</f>
        <v>1</v>
      </c>
      <c r="G7" s="62">
        <f>Districts!F200</f>
        <v>0</v>
      </c>
      <c r="H7" s="62">
        <f>Districts!G200</f>
        <v>1</v>
      </c>
      <c r="J7" s="62">
        <f>Districts!H200</f>
        <v>1</v>
      </c>
      <c r="K7" s="62">
        <f>Districts!I200</f>
        <v>0</v>
      </c>
      <c r="L7" s="62">
        <f>Districts!J200</f>
        <v>1</v>
      </c>
      <c r="M7" s="61">
        <f t="shared" si="0"/>
        <v>0.04</v>
      </c>
      <c r="N7">
        <f ca="1">IF(ISNA(VLOOKUP($Z7,'DD Mbr'!$A$2:$N$212,14,0)),0,VLOOKUP($Z7,'DD Mbr'!$A$2:$N$212,14,0))</f>
        <v>122</v>
      </c>
      <c r="P7" s="62">
        <f>Districts!L200</f>
        <v>0</v>
      </c>
      <c r="Q7" s="62">
        <f>Districts!M200</f>
        <v>0</v>
      </c>
      <c r="R7" s="62">
        <f>Districts!N200</f>
        <v>3</v>
      </c>
      <c r="S7" s="62">
        <f>Districts!O200</f>
        <v>-3</v>
      </c>
      <c r="T7" s="62">
        <f>Districts!P195</f>
        <v>3</v>
      </c>
      <c r="U7" s="62">
        <f>Districts!Q200</f>
        <v>9</v>
      </c>
      <c r="V7" s="62">
        <f>Districts!R200</f>
        <v>-7</v>
      </c>
      <c r="W7" s="62">
        <f>Districts!S200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223</v>
      </c>
    </row>
    <row r="8" spans="1:26">
      <c r="A8" t="str">
        <f>IF(ISNA(VLOOKUP($B8,DD_Info!$A$2:$F$221,2,0)),0,VLOOKUP($B8,DD_Info!$A$2:$F$221,2,0))</f>
        <v>Lupe M Rodriguez</v>
      </c>
      <c r="B8" s="55">
        <v>224</v>
      </c>
      <c r="C8" s="85">
        <f>IF(ISNA(VLOOKUP($B8,DD_Info!$A$2:$F$221,5,0)),0,VLOOKUP($B8,DD_Info!$A$2:$F$221,5,0))</f>
        <v>2</v>
      </c>
      <c r="D8" s="62">
        <f>Districts!C201</f>
        <v>558</v>
      </c>
      <c r="E8" s="62">
        <f>Districts!D201</f>
        <v>20</v>
      </c>
      <c r="F8" s="62">
        <f>Districts!E201</f>
        <v>0</v>
      </c>
      <c r="G8" s="62">
        <f>Districts!F201</f>
        <v>0</v>
      </c>
      <c r="H8" s="62">
        <f>Districts!G201</f>
        <v>0</v>
      </c>
      <c r="J8" s="62">
        <f>Districts!H201</f>
        <v>5</v>
      </c>
      <c r="K8" s="62">
        <f>Districts!I201</f>
        <v>0</v>
      </c>
      <c r="L8" s="62">
        <f>Districts!J201</f>
        <v>5</v>
      </c>
      <c r="M8" s="61">
        <f t="shared" si="0"/>
        <v>0.25</v>
      </c>
      <c r="N8">
        <f ca="1">IF(ISNA(VLOOKUP($Z8,'DD Mbr'!$A$2:$N$212,14,0)),0,VLOOKUP($Z8,'DD Mbr'!$A$2:$N$212,14,0))</f>
        <v>58</v>
      </c>
      <c r="P8" s="62">
        <f>Districts!L201</f>
        <v>0</v>
      </c>
      <c r="Q8" s="62">
        <f>Districts!M201</f>
        <v>1</v>
      </c>
      <c r="R8" s="62">
        <f>Districts!N201</f>
        <v>0</v>
      </c>
      <c r="S8" s="62">
        <f>Districts!O201</f>
        <v>1</v>
      </c>
      <c r="T8" s="62">
        <f>Districts!P196</f>
        <v>0</v>
      </c>
      <c r="U8" s="62">
        <f>Districts!Q201</f>
        <v>2</v>
      </c>
      <c r="V8" s="62">
        <f>Districts!R201</f>
        <v>0</v>
      </c>
      <c r="W8" s="62">
        <f>Districts!S201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224</v>
      </c>
    </row>
    <row r="9" spans="1:26">
      <c r="A9" t="str">
        <f>IF(ISNA(VLOOKUP($B9,DD_Info!$A$2:$F$221,2,0)),0,VLOOKUP($B9,DD_Info!$A$2:$F$221,2,0))</f>
        <v>Frank  Casares</v>
      </c>
      <c r="B9" s="55">
        <v>225</v>
      </c>
      <c r="C9" s="85">
        <f>IF(ISNA(VLOOKUP($B9,DD_Info!$A$2:$F$221,5,0)),0,VLOOKUP($B9,DD_Info!$A$2:$F$221,5,0))</f>
        <v>3</v>
      </c>
      <c r="D9" s="62">
        <f>Districts!C202</f>
        <v>211</v>
      </c>
      <c r="E9" s="62">
        <f>Districts!D202</f>
        <v>8</v>
      </c>
      <c r="F9" s="62">
        <f>Districts!E202</f>
        <v>0</v>
      </c>
      <c r="G9" s="62">
        <f>Districts!F202</f>
        <v>0</v>
      </c>
      <c r="H9" s="62">
        <f>Districts!G202</f>
        <v>0</v>
      </c>
      <c r="J9" s="62">
        <f>Districts!H202</f>
        <v>0</v>
      </c>
      <c r="K9" s="62">
        <f>Districts!I202</f>
        <v>0</v>
      </c>
      <c r="L9" s="62">
        <f>Districts!J202</f>
        <v>0</v>
      </c>
      <c r="M9" s="61">
        <f t="shared" si="0"/>
        <v>0</v>
      </c>
      <c r="N9">
        <f ca="1">IF(ISNA(VLOOKUP($Z9,'DD Mbr'!$A$2:$N$212,14,0)),0,VLOOKUP($Z9,'DD Mbr'!$A$2:$N$212,14,0))</f>
        <v>127</v>
      </c>
      <c r="P9" s="62">
        <f>Districts!L202</f>
        <v>0</v>
      </c>
      <c r="Q9" s="62">
        <f>Districts!M202</f>
        <v>0</v>
      </c>
      <c r="R9" s="62">
        <f>Districts!N202</f>
        <v>0</v>
      </c>
      <c r="S9" s="62">
        <f>Districts!O202</f>
        <v>0</v>
      </c>
      <c r="T9" s="62">
        <f>Districts!P197</f>
        <v>0</v>
      </c>
      <c r="U9" s="62">
        <f>Districts!Q202</f>
        <v>0</v>
      </c>
      <c r="V9" s="62">
        <f>Districts!R202</f>
        <v>0</v>
      </c>
      <c r="W9" s="62">
        <f>Districts!S202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225</v>
      </c>
    </row>
    <row r="10" spans="1:26">
      <c r="A10" t="str">
        <f>IF(ISNA(VLOOKUP($B10,DD_Info!$A$2:$F$221,2,0)),0,VLOOKUP($B10,DD_Info!$A$2:$F$221,2,0))</f>
        <v>Deacon Frankie D Aguirre</v>
      </c>
      <c r="B10" s="55">
        <v>226</v>
      </c>
      <c r="C10" s="85">
        <f>IF(ISNA(VLOOKUP($B10,DD_Info!$A$2:$F$221,5,0)),0,VLOOKUP($B10,DD_Info!$A$2:$F$221,5,0))</f>
        <v>3</v>
      </c>
      <c r="D10" s="62">
        <f>Districts!C203</f>
        <v>281</v>
      </c>
      <c r="E10" s="62">
        <f>Districts!D203</f>
        <v>11</v>
      </c>
      <c r="F10" s="62">
        <f>Districts!E203</f>
        <v>0</v>
      </c>
      <c r="G10" s="62">
        <f>Districts!F203</f>
        <v>0</v>
      </c>
      <c r="H10" s="62">
        <f>Districts!G203</f>
        <v>0</v>
      </c>
      <c r="J10" s="62">
        <f>Districts!H203</f>
        <v>0</v>
      </c>
      <c r="K10" s="62">
        <f>Districts!I203</f>
        <v>0</v>
      </c>
      <c r="L10" s="62">
        <f>Districts!J203</f>
        <v>0</v>
      </c>
      <c r="M10" s="61">
        <f t="shared" si="0"/>
        <v>0</v>
      </c>
      <c r="N10">
        <f ca="1">IF(ISNA(VLOOKUP($Z10,'DD Mbr'!$A$2:$N$212,14,0)),0,VLOOKUP($Z10,'DD Mbr'!$A$2:$N$212,14,0))</f>
        <v>127</v>
      </c>
      <c r="P10" s="62">
        <f>Districts!L203</f>
        <v>0</v>
      </c>
      <c r="Q10" s="62">
        <f>Districts!M203</f>
        <v>0</v>
      </c>
      <c r="R10" s="62">
        <f>Districts!N203</f>
        <v>0</v>
      </c>
      <c r="S10" s="62">
        <f>Districts!O203</f>
        <v>0</v>
      </c>
      <c r="T10" s="62">
        <f>Districts!P198</f>
        <v>2</v>
      </c>
      <c r="U10" s="62">
        <f>Districts!Q203</f>
        <v>0</v>
      </c>
      <c r="V10" s="62">
        <f>Districts!R203</f>
        <v>0</v>
      </c>
      <c r="W10" s="62">
        <f>Districts!S203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226</v>
      </c>
    </row>
    <row r="11" spans="1:26">
      <c r="A11" t="str">
        <f>IF(ISNA(VLOOKUP($B11,DD_Info!$A$2:$F$221,2,0)),0,VLOOKUP($B11,DD_Info!$A$2:$F$221,2,0))</f>
        <v>Michael M Murray</v>
      </c>
      <c r="B11" s="86">
        <v>227</v>
      </c>
      <c r="C11" s="85">
        <f>IF(ISNA(VLOOKUP($B11,DD_Info!$A$2:$F$221,5,0)),0,VLOOKUP($B11,DD_Info!$A$2:$F$221,5,0))</f>
        <v>3</v>
      </c>
      <c r="D11" s="62">
        <f>Districts!C204</f>
        <v>184</v>
      </c>
      <c r="E11" s="62">
        <f>Districts!D204</f>
        <v>8</v>
      </c>
      <c r="F11" s="62">
        <f>Districts!E204</f>
        <v>0</v>
      </c>
      <c r="G11" s="62">
        <f>Districts!F204</f>
        <v>0</v>
      </c>
      <c r="H11" s="62">
        <f>Districts!G204</f>
        <v>0</v>
      </c>
      <c r="J11" s="62">
        <f>Districts!H204</f>
        <v>0</v>
      </c>
      <c r="K11" s="62">
        <f>Districts!I204</f>
        <v>0</v>
      </c>
      <c r="L11" s="62">
        <f>Districts!J204</f>
        <v>0</v>
      </c>
      <c r="M11" s="61">
        <f t="shared" si="0"/>
        <v>0</v>
      </c>
      <c r="N11">
        <f ca="1">IF(ISNA(VLOOKUP($Z11,'DD Mbr'!$A$2:$N$212,14,0)),0,VLOOKUP($Z11,'DD Mbr'!$A$2:$N$212,14,0))</f>
        <v>127</v>
      </c>
      <c r="P11" s="62">
        <f>Districts!L204</f>
        <v>0</v>
      </c>
      <c r="Q11" s="62">
        <f>Districts!M204</f>
        <v>0</v>
      </c>
      <c r="R11" s="62">
        <f>Districts!N204</f>
        <v>0</v>
      </c>
      <c r="S11" s="62">
        <f>Districts!O204</f>
        <v>0</v>
      </c>
      <c r="T11" s="62">
        <f>Districts!P199</f>
        <v>0</v>
      </c>
      <c r="U11" s="62">
        <f>Districts!Q204</f>
        <v>1</v>
      </c>
      <c r="V11" s="62">
        <f>Districts!R204</f>
        <v>-1</v>
      </c>
      <c r="W11" s="62">
        <f>Districts!S204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227</v>
      </c>
    </row>
    <row r="12" spans="1:26">
      <c r="A12" t="str">
        <f>IF(ISNA(VLOOKUP($B12,DD_Info!$A$2:$F$221,2,0)),0,VLOOKUP($B12,DD_Info!$A$2:$F$221,2,0))</f>
        <v>Steven  Knight</v>
      </c>
      <c r="B12" s="86">
        <v>228</v>
      </c>
      <c r="C12" s="85">
        <f>IF(ISNA(VLOOKUP($B12,DD_Info!$A$2:$F$221,5,0)),0,VLOOKUP($B12,DD_Info!$A$2:$F$221,5,0))</f>
        <v>2</v>
      </c>
      <c r="D12" s="62">
        <f>Districts!C205</f>
        <v>473</v>
      </c>
      <c r="E12" s="62">
        <f>Districts!D205</f>
        <v>16</v>
      </c>
      <c r="F12" s="62">
        <f>Districts!E205</f>
        <v>0</v>
      </c>
      <c r="G12" s="62">
        <f>Districts!F205</f>
        <v>0</v>
      </c>
      <c r="H12" s="62">
        <f>Districts!G205</f>
        <v>0</v>
      </c>
      <c r="J12" s="62">
        <f>Districts!H205</f>
        <v>1</v>
      </c>
      <c r="K12" s="62">
        <f>Districts!I205</f>
        <v>0</v>
      </c>
      <c r="L12" s="62">
        <f>Districts!J205</f>
        <v>1</v>
      </c>
      <c r="M12" s="61">
        <f t="shared" si="0"/>
        <v>6.3E-2</v>
      </c>
      <c r="N12">
        <f ca="1">IF(ISNA(VLOOKUP($Z12,'DD Mbr'!$A$2:$N$212,14,0)),0,VLOOKUP($Z12,'DD Mbr'!$A$2:$N$212,14,0))</f>
        <v>108</v>
      </c>
      <c r="P12" s="62">
        <f>Districts!L205</f>
        <v>0</v>
      </c>
      <c r="Q12" s="62">
        <f>Districts!M205</f>
        <v>0</v>
      </c>
      <c r="R12" s="62">
        <f>Districts!N205</f>
        <v>0</v>
      </c>
      <c r="S12" s="62">
        <f>Districts!O205</f>
        <v>0</v>
      </c>
      <c r="T12" s="62">
        <f>Districts!P200</f>
        <v>2</v>
      </c>
      <c r="U12" s="62">
        <f>Districts!Q205</f>
        <v>0</v>
      </c>
      <c r="V12" s="62">
        <f>Districts!R205</f>
        <v>0</v>
      </c>
      <c r="W12" s="62">
        <f>Districts!S205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228</v>
      </c>
    </row>
    <row r="13" spans="1:26">
      <c r="A13" t="str">
        <f>IF(ISNA(VLOOKUP($B13,DD_Info!$A$2:$F$221,2,0)),0,VLOOKUP($B13,DD_Info!$A$2:$F$221,2,0))</f>
        <v>Gregory  Huffman</v>
      </c>
      <c r="B13" s="86">
        <v>229</v>
      </c>
      <c r="C13" s="85">
        <f>IF(ISNA(VLOOKUP($B13,DD_Info!$A$2:$F$221,5,0)),0,VLOOKUP($B13,DD_Info!$A$2:$F$221,5,0))</f>
        <v>2</v>
      </c>
      <c r="D13" s="62">
        <f>Districts!C206</f>
        <v>363</v>
      </c>
      <c r="E13" s="62">
        <f>Districts!D206</f>
        <v>12</v>
      </c>
      <c r="F13" s="62">
        <f>Districts!E206</f>
        <v>0</v>
      </c>
      <c r="G13" s="62">
        <f>Districts!F206</f>
        <v>0</v>
      </c>
      <c r="H13" s="62">
        <f>Districts!G206</f>
        <v>0</v>
      </c>
      <c r="J13" s="62">
        <f>Districts!H206</f>
        <v>0</v>
      </c>
      <c r="K13" s="62">
        <f>Districts!I206</f>
        <v>1</v>
      </c>
      <c r="L13" s="62">
        <f>Districts!J206</f>
        <v>-1</v>
      </c>
      <c r="M13" s="61">
        <f t="shared" si="0"/>
        <v>-8.3000000000000004E-2</v>
      </c>
      <c r="N13">
        <f ca="1">IF(ISNA(VLOOKUP($Z13,'DD Mbr'!$A$2:$N$212,14,0)),0,VLOOKUP($Z13,'DD Mbr'!$A$2:$N$212,14,0))</f>
        <v>180</v>
      </c>
      <c r="P13" s="62">
        <f>Districts!L206</f>
        <v>0</v>
      </c>
      <c r="Q13" s="62">
        <f>Districts!M206</f>
        <v>0</v>
      </c>
      <c r="R13" s="62">
        <f>Districts!N206</f>
        <v>0</v>
      </c>
      <c r="S13" s="62">
        <f>Districts!O206</f>
        <v>0</v>
      </c>
      <c r="T13" s="62">
        <f>Districts!P201</f>
        <v>2</v>
      </c>
      <c r="U13" s="62">
        <f>Districts!Q206</f>
        <v>1</v>
      </c>
      <c r="V13" s="62">
        <f>Districts!R206</f>
        <v>1</v>
      </c>
      <c r="W13" s="62">
        <f>Districts!S206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229</v>
      </c>
    </row>
    <row r="14" spans="1:26">
      <c r="A14" t="str">
        <f>IF(ISNA(VLOOKUP($B14,DD_Info!$A$2:$F$221,2,0)),0,VLOOKUP($B14,DD_Info!$A$2:$F$221,2,0))</f>
        <v>Joe  Jacobo</v>
      </c>
      <c r="B14" s="86">
        <v>230</v>
      </c>
      <c r="C14" s="85">
        <f>IF(ISNA(VLOOKUP($B14,DD_Info!$A$2:$F$221,5,0)),0,VLOOKUP($B14,DD_Info!$A$2:$F$221,5,0))</f>
        <v>3</v>
      </c>
      <c r="D14" s="62">
        <f>Districts!C207</f>
        <v>14</v>
      </c>
      <c r="E14" s="62">
        <f>Districts!D207</f>
        <v>8</v>
      </c>
      <c r="F14" s="62">
        <f>Districts!E207</f>
        <v>0</v>
      </c>
      <c r="G14" s="62">
        <f>Districts!F207</f>
        <v>0</v>
      </c>
      <c r="H14" s="62">
        <f>Districts!G207</f>
        <v>0</v>
      </c>
      <c r="J14" s="62">
        <f>Districts!H207</f>
        <v>0</v>
      </c>
      <c r="K14" s="62">
        <f>Districts!I207</f>
        <v>0</v>
      </c>
      <c r="L14" s="62">
        <f>Districts!J207</f>
        <v>0</v>
      </c>
      <c r="M14" s="61">
        <f t="shared" si="0"/>
        <v>0</v>
      </c>
      <c r="N14">
        <f ca="1">IF(ISNA(VLOOKUP($Z14,'DD Mbr'!$A$2:$N$212,14,0)),0,VLOOKUP($Z14,'DD Mbr'!$A$2:$N$212,14,0))</f>
        <v>127</v>
      </c>
      <c r="P14" s="62">
        <f>Districts!L207</f>
        <v>0</v>
      </c>
      <c r="Q14" s="62">
        <f>Districts!M207</f>
        <v>0</v>
      </c>
      <c r="R14" s="62">
        <f>Districts!N207</f>
        <v>0</v>
      </c>
      <c r="S14" s="62">
        <f>Districts!O207</f>
        <v>0</v>
      </c>
      <c r="T14" s="62">
        <f>Districts!P202</f>
        <v>0</v>
      </c>
      <c r="U14" s="62">
        <f>Districts!Q207</f>
        <v>0</v>
      </c>
      <c r="V14" s="62">
        <f>Districts!R207</f>
        <v>0</v>
      </c>
      <c r="W14" s="62">
        <f>Districts!S207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230</v>
      </c>
    </row>
    <row r="15" spans="1:26">
      <c r="D15" s="62">
        <f>SUM(D5:D14)</f>
        <v>3469</v>
      </c>
      <c r="E15" s="62">
        <f t="shared" ref="E15:L15" si="3">SUM(E5:E14)</f>
        <v>132</v>
      </c>
      <c r="F15" s="62">
        <f t="shared" si="3"/>
        <v>2</v>
      </c>
      <c r="G15" s="62">
        <f t="shared" si="3"/>
        <v>0</v>
      </c>
      <c r="H15" s="62">
        <f t="shared" si="3"/>
        <v>2</v>
      </c>
      <c r="I15" s="62">
        <f t="shared" si="3"/>
        <v>0</v>
      </c>
      <c r="J15" s="62">
        <f t="shared" si="3"/>
        <v>23</v>
      </c>
      <c r="K15" s="62">
        <f t="shared" si="3"/>
        <v>1</v>
      </c>
      <c r="L15" s="62">
        <f t="shared" si="3"/>
        <v>22</v>
      </c>
      <c r="P15" s="62">
        <f>SUM(P5:P14)</f>
        <v>0</v>
      </c>
      <c r="Q15" s="62">
        <f t="shared" ref="Q15:W15" si="4">SUM(Q5:Q14)</f>
        <v>1</v>
      </c>
      <c r="R15" s="62">
        <f t="shared" si="4"/>
        <v>3</v>
      </c>
      <c r="S15" s="62">
        <f t="shared" si="4"/>
        <v>-2</v>
      </c>
      <c r="T15" s="62">
        <f t="shared" si="4"/>
        <v>16</v>
      </c>
      <c r="U15" s="62">
        <f t="shared" si="4"/>
        <v>17</v>
      </c>
      <c r="V15" s="62">
        <f t="shared" si="4"/>
        <v>-9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IF(ISNA(VLOOKUP($B5,DD_Info!$A$2:$F$222,2,0)),0,VLOOKUP($B5,DD_Info!$A$2:$F$222,2,0))</f>
        <v>Arlie E Markusen</v>
      </c>
      <c r="B5" s="55">
        <v>241</v>
      </c>
      <c r="C5" s="85">
        <f>IF(ISNA(VLOOKUP($B5,DD_Info!$A$2:$F$221,5,0)),0,VLOOKUP($B5,DD_Info!$A$2:$F$221,5,0))</f>
        <v>3</v>
      </c>
      <c r="D5" s="62">
        <f>Districts!C216</f>
        <v>93</v>
      </c>
      <c r="E5" s="62">
        <f>Districts!D216</f>
        <v>6</v>
      </c>
      <c r="F5" s="62">
        <f>Districts!E216</f>
        <v>0</v>
      </c>
      <c r="G5" s="62">
        <f>Districts!F216</f>
        <v>0</v>
      </c>
      <c r="H5" s="62">
        <f>Districts!G216</f>
        <v>0</v>
      </c>
      <c r="J5" s="62">
        <f>Districts!H216</f>
        <v>0</v>
      </c>
      <c r="K5" s="62">
        <f>Districts!I216</f>
        <v>0</v>
      </c>
      <c r="L5" s="62">
        <f>Districts!J216</f>
        <v>0</v>
      </c>
      <c r="M5" s="61">
        <f t="shared" ref="M5:M10" si="0">IFERROR(ROUND(+L5/E5,3),0)</f>
        <v>0</v>
      </c>
      <c r="N5">
        <f ca="1">IF(ISNA(VLOOKUP($Z5,'DD Mbr'!$A$2:$N$212,14,0)),0,VLOOKUP($Z5,'DD Mbr'!$A$2:$N$212,14,0))</f>
        <v>127</v>
      </c>
      <c r="P5" s="62">
        <f>Districts!L216</f>
        <v>0</v>
      </c>
      <c r="Q5" s="62">
        <f>Districts!M216</f>
        <v>0</v>
      </c>
      <c r="R5" s="62">
        <f>Districts!N216</f>
        <v>0</v>
      </c>
      <c r="S5" s="62">
        <f>Districts!O216</f>
        <v>0</v>
      </c>
      <c r="T5" s="62">
        <f>Districts!P193</f>
        <v>1</v>
      </c>
      <c r="U5" s="62">
        <f>Districts!Q216</f>
        <v>0</v>
      </c>
      <c r="V5" s="62">
        <f>Districts!R216</f>
        <v>0</v>
      </c>
      <c r="W5" s="62">
        <f>Districts!S216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1</v>
      </c>
      <c r="Z5">
        <f t="shared" ref="Z5:Z10" si="2">+B5</f>
        <v>241</v>
      </c>
    </row>
    <row r="6" spans="1:26">
      <c r="A6" t="str">
        <f>IF(ISNA(VLOOKUP($B6,DD_Info!$A$2:$F$222,2,0)),0,VLOOKUP($B6,DD_Info!$A$2:$F$222,2,0))</f>
        <v>TO BE APPOINTED</v>
      </c>
      <c r="B6" s="55">
        <v>242</v>
      </c>
      <c r="C6" s="85">
        <f>IF(ISNA(VLOOKUP($B6,DD_Info!$A$2:$F$221,5,0)),0,VLOOKUP($B6,DD_Info!$A$2:$F$221,5,0))</f>
        <v>3</v>
      </c>
      <c r="D6" s="62">
        <f>Districts!C217</f>
        <v>114</v>
      </c>
      <c r="E6" s="62">
        <f>Districts!D217</f>
        <v>4</v>
      </c>
      <c r="F6" s="62">
        <f>Districts!E217</f>
        <v>0</v>
      </c>
      <c r="G6" s="62">
        <f>Districts!F217</f>
        <v>0</v>
      </c>
      <c r="H6" s="62">
        <f>Districts!G217</f>
        <v>0</v>
      </c>
      <c r="J6" s="62">
        <f>Districts!H217</f>
        <v>3</v>
      </c>
      <c r="K6" s="62">
        <f>Districts!I217</f>
        <v>0</v>
      </c>
      <c r="L6" s="62">
        <f>Districts!J217</f>
        <v>3</v>
      </c>
      <c r="M6" s="61">
        <f t="shared" si="0"/>
        <v>0.75</v>
      </c>
      <c r="N6">
        <f ca="1">IF(ISNA(VLOOKUP($Z6,'DD Mbr'!$A$2:$N$212,14,0)),0,VLOOKUP($Z6,'DD Mbr'!$A$2:$N$212,14,0))</f>
        <v>14</v>
      </c>
      <c r="P6" s="62">
        <f>Districts!L217</f>
        <v>0</v>
      </c>
      <c r="Q6" s="62">
        <f>Districts!M217</f>
        <v>0</v>
      </c>
      <c r="R6" s="62">
        <f>Districts!N217</f>
        <v>0</v>
      </c>
      <c r="S6" s="62">
        <f>Districts!O217</f>
        <v>0</v>
      </c>
      <c r="T6" s="62">
        <f>Districts!P194</f>
        <v>6</v>
      </c>
      <c r="U6" s="62">
        <f>Districts!Q217</f>
        <v>1</v>
      </c>
      <c r="V6" s="62">
        <f>Districts!R217</f>
        <v>-1</v>
      </c>
      <c r="W6" s="62">
        <f>Districts!S217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242</v>
      </c>
    </row>
    <row r="7" spans="1:26">
      <c r="A7" t="str">
        <f>IF(ISNA(VLOOKUP($B7,DD_Info!$A$2:$F$222,2,0)),0,VLOOKUP($B7,DD_Info!$A$2:$F$222,2,0))</f>
        <v>Brad  Simmons</v>
      </c>
      <c r="B7" s="55">
        <v>243</v>
      </c>
      <c r="C7" s="85">
        <f>IF(ISNA(VLOOKUP($B7,DD_Info!$A$2:$F$221,5,0)),0,VLOOKUP($B7,DD_Info!$A$2:$F$221,5,0))</f>
        <v>2</v>
      </c>
      <c r="D7" s="62">
        <f>Districts!C218</f>
        <v>481</v>
      </c>
      <c r="E7" s="62">
        <f>Districts!D218</f>
        <v>18</v>
      </c>
      <c r="F7" s="62">
        <f>Districts!E218</f>
        <v>0</v>
      </c>
      <c r="G7" s="62">
        <f>Districts!F218</f>
        <v>0</v>
      </c>
      <c r="H7" s="62">
        <f>Districts!G218</f>
        <v>0</v>
      </c>
      <c r="J7" s="62">
        <f>Districts!H218</f>
        <v>3</v>
      </c>
      <c r="K7" s="62">
        <f>Districts!I218</f>
        <v>1</v>
      </c>
      <c r="L7" s="62">
        <f>Districts!J218</f>
        <v>2</v>
      </c>
      <c r="M7" s="61">
        <f t="shared" si="0"/>
        <v>0.111</v>
      </c>
      <c r="N7">
        <f ca="1">IF(ISNA(VLOOKUP($Z7,'DD Mbr'!$A$2:$N$212,14,0)),0,VLOOKUP($Z7,'DD Mbr'!$A$2:$N$212,14,0))</f>
        <v>110</v>
      </c>
      <c r="P7" s="62">
        <f>Districts!L218</f>
        <v>0</v>
      </c>
      <c r="Q7" s="62">
        <f>Districts!M218</f>
        <v>0</v>
      </c>
      <c r="R7" s="62">
        <f>Districts!N218</f>
        <v>1</v>
      </c>
      <c r="S7" s="62">
        <f>Districts!O218</f>
        <v>-1</v>
      </c>
      <c r="T7" s="62">
        <f>Districts!P195</f>
        <v>3</v>
      </c>
      <c r="U7" s="62">
        <f>Districts!Q218</f>
        <v>4</v>
      </c>
      <c r="V7" s="62">
        <f>Districts!R218</f>
        <v>-2</v>
      </c>
      <c r="W7" s="62">
        <f>Districts!S218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243</v>
      </c>
    </row>
    <row r="8" spans="1:26">
      <c r="A8" t="str">
        <f>IF(ISNA(VLOOKUP($B8,DD_Info!$A$2:$F$222,2,0)),0,VLOOKUP($B8,DD_Info!$A$2:$F$222,2,0))</f>
        <v>Joe  Leos</v>
      </c>
      <c r="B8" s="55">
        <v>244</v>
      </c>
      <c r="C8" s="85">
        <f>IF(ISNA(VLOOKUP($B8,DD_Info!$A$2:$F$221,5,0)),0,VLOOKUP($B8,DD_Info!$A$2:$F$221,5,0))</f>
        <v>2</v>
      </c>
      <c r="D8" s="62">
        <f>Districts!C219</f>
        <v>308</v>
      </c>
      <c r="E8" s="62">
        <f>Districts!D219</f>
        <v>13</v>
      </c>
      <c r="F8" s="62">
        <f>Districts!E219</f>
        <v>1</v>
      </c>
      <c r="G8" s="62">
        <f>Districts!F219</f>
        <v>0</v>
      </c>
      <c r="H8" s="62">
        <f>Districts!G219</f>
        <v>1</v>
      </c>
      <c r="J8" s="62">
        <f>Districts!H219</f>
        <v>17</v>
      </c>
      <c r="K8" s="62">
        <f>Districts!I219</f>
        <v>0</v>
      </c>
      <c r="L8" s="62">
        <f>Districts!J219</f>
        <v>17</v>
      </c>
      <c r="M8" s="61">
        <f t="shared" si="0"/>
        <v>1.3080000000000001</v>
      </c>
      <c r="N8">
        <f ca="1">IF(ISNA(VLOOKUP($Z8,'DD Mbr'!$A$2:$N$212,14,0)),0,VLOOKUP($Z8,'DD Mbr'!$A$2:$N$212,14,0))</f>
        <v>99</v>
      </c>
      <c r="P8" s="62">
        <f>Districts!L219</f>
        <v>0</v>
      </c>
      <c r="Q8" s="62">
        <f>Districts!M219</f>
        <v>1</v>
      </c>
      <c r="R8" s="62">
        <f>Districts!N219</f>
        <v>1</v>
      </c>
      <c r="S8" s="62">
        <f>Districts!O219</f>
        <v>0</v>
      </c>
      <c r="T8" s="62">
        <f>Districts!P196</f>
        <v>0</v>
      </c>
      <c r="U8" s="62">
        <f>Districts!Q219</f>
        <v>3</v>
      </c>
      <c r="V8" s="62">
        <f>Districts!R219</f>
        <v>0</v>
      </c>
      <c r="W8" s="62">
        <f>Districts!S219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244</v>
      </c>
    </row>
    <row r="9" spans="1:26">
      <c r="A9" t="str">
        <f>IF(ISNA(VLOOKUP($B9,DD_Info!$A$2:$F$222,2,0)),0,VLOOKUP($B9,DD_Info!$A$2:$F$222,2,0))</f>
        <v>Leandro H Trinidad , Jr</v>
      </c>
      <c r="B9" s="55">
        <v>245</v>
      </c>
      <c r="C9" s="85">
        <f>IF(ISNA(VLOOKUP($B9,DD_Info!$A$2:$F$221,5,0)),0,VLOOKUP($B9,DD_Info!$A$2:$F$221,5,0))</f>
        <v>3</v>
      </c>
      <c r="D9" s="62">
        <f>Districts!C220</f>
        <v>284</v>
      </c>
      <c r="E9" s="62">
        <f>Districts!D220</f>
        <v>13</v>
      </c>
      <c r="F9" s="62">
        <f>Districts!E220</f>
        <v>0</v>
      </c>
      <c r="G9" s="62">
        <f>Districts!F220</f>
        <v>0</v>
      </c>
      <c r="H9" s="62">
        <f>Districts!G220</f>
        <v>0</v>
      </c>
      <c r="J9" s="62">
        <f>Districts!H220</f>
        <v>3</v>
      </c>
      <c r="K9" s="62">
        <f>Districts!I220</f>
        <v>0</v>
      </c>
      <c r="L9" s="62">
        <f>Districts!J220</f>
        <v>3</v>
      </c>
      <c r="M9" s="61">
        <f t="shared" si="0"/>
        <v>0.23100000000000001</v>
      </c>
      <c r="N9">
        <f ca="1">IF(ISNA(VLOOKUP($Z9,'DD Mbr'!$A$2:$N$212,14,0)),0,VLOOKUP($Z9,'DD Mbr'!$A$2:$N$212,14,0))</f>
        <v>69</v>
      </c>
      <c r="P9" s="62">
        <f>Districts!L220</f>
        <v>0</v>
      </c>
      <c r="Q9" s="62">
        <f>Districts!M220</f>
        <v>0</v>
      </c>
      <c r="R9" s="62">
        <f>Districts!N220</f>
        <v>1</v>
      </c>
      <c r="S9" s="62">
        <f>Districts!O220</f>
        <v>-1</v>
      </c>
      <c r="T9" s="62">
        <f>Districts!P197</f>
        <v>0</v>
      </c>
      <c r="U9" s="62">
        <f>Districts!Q220</f>
        <v>3</v>
      </c>
      <c r="V9" s="62">
        <f>Districts!R220</f>
        <v>-2</v>
      </c>
      <c r="W9" s="62">
        <f>Districts!S220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245</v>
      </c>
    </row>
    <row r="10" spans="1:26">
      <c r="A10" t="str">
        <f>IF(ISNA(VLOOKUP($B10,DD_Info!$A$2:$F$222,2,0)),0,VLOOKUP($B10,DD_Info!$A$2:$F$222,2,0))</f>
        <v>Francisco  Sotelo</v>
      </c>
      <c r="B10" s="55">
        <v>246</v>
      </c>
      <c r="C10" s="85">
        <f>IF(ISNA(VLOOKUP($B10,DD_Info!$A$2:$F$221,5,0)),0,VLOOKUP($B10,DD_Info!$A$2:$F$221,5,0))</f>
        <v>1</v>
      </c>
      <c r="D10" s="62">
        <f>Districts!C221</f>
        <v>750</v>
      </c>
      <c r="E10" s="62">
        <f>Districts!D221</f>
        <v>25</v>
      </c>
      <c r="F10" s="62">
        <f>Districts!E221</f>
        <v>6</v>
      </c>
      <c r="G10" s="62">
        <f>Districts!F221</f>
        <v>0</v>
      </c>
      <c r="H10" s="62">
        <f>Districts!G221</f>
        <v>6</v>
      </c>
      <c r="J10" s="62">
        <f>Districts!H221</f>
        <v>22</v>
      </c>
      <c r="K10" s="62">
        <f>Districts!I221</f>
        <v>6</v>
      </c>
      <c r="L10" s="62">
        <f>Districts!J221</f>
        <v>16</v>
      </c>
      <c r="M10" s="61">
        <f t="shared" si="0"/>
        <v>0.64</v>
      </c>
      <c r="N10">
        <f ca="1">IF(ISNA(VLOOKUP($Z10,'DD Mbr'!$A$2:$N$212,14,0)),0,VLOOKUP($Z10,'DD Mbr'!$A$2:$N$212,14,0))</f>
        <v>22</v>
      </c>
      <c r="P10" s="62">
        <f>Districts!L221</f>
        <v>0</v>
      </c>
      <c r="Q10" s="62">
        <f>Districts!M221</f>
        <v>2</v>
      </c>
      <c r="R10" s="62">
        <f>Districts!N221</f>
        <v>0</v>
      </c>
      <c r="S10" s="62">
        <f>Districts!O221</f>
        <v>2</v>
      </c>
      <c r="T10" s="62">
        <f>Districts!P198</f>
        <v>2</v>
      </c>
      <c r="U10" s="62">
        <f>Districts!Q221</f>
        <v>3</v>
      </c>
      <c r="V10" s="62">
        <f>Districts!R221</f>
        <v>6</v>
      </c>
      <c r="W10" s="62">
        <f>Districts!S221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246</v>
      </c>
    </row>
    <row r="11" spans="1:26">
      <c r="A11" t="str">
        <f>IF(ISNA(VLOOKUP($B11,DD_Info!$A$2:$F$222,2,0)),0,VLOOKUP($B11,DD_Info!$A$2:$F$222,2,0))</f>
        <v>Joe A Martinez</v>
      </c>
      <c r="B11" s="55">
        <v>247</v>
      </c>
      <c r="C11" s="85">
        <f>IF(ISNA(VLOOKUP($B11,DD_Info!$A$2:$F$221,5,0)),0,VLOOKUP($B11,DD_Info!$A$2:$F$221,5,0))</f>
        <v>3</v>
      </c>
      <c r="D11" s="62">
        <f>Districts!C222</f>
        <v>152</v>
      </c>
      <c r="E11" s="62">
        <f>Districts!D222</f>
        <v>6</v>
      </c>
      <c r="F11" s="62">
        <f>Districts!E222</f>
        <v>0</v>
      </c>
      <c r="G11" s="62">
        <f>Districts!F222</f>
        <v>0</v>
      </c>
      <c r="H11" s="62">
        <f>Districts!G222</f>
        <v>0</v>
      </c>
      <c r="J11" s="62">
        <f>Districts!H222</f>
        <v>0</v>
      </c>
      <c r="K11" s="62">
        <f>Districts!I222</f>
        <v>0</v>
      </c>
      <c r="L11" s="62">
        <f>Districts!J222</f>
        <v>0</v>
      </c>
      <c r="M11" s="61">
        <f t="shared" ref="M11" si="3">IFERROR(ROUND(+L11/E11,3),0)</f>
        <v>0</v>
      </c>
      <c r="N11">
        <f>IF(ISNA(VLOOKUP($Z11,'DD Mbr'!$A$2:$N$212,14,0)),0,VLOOKUP($Z11,'DD Mbr'!$A$2:$N$212,14,0))</f>
        <v>0</v>
      </c>
      <c r="P11" s="62">
        <f>Districts!L222</f>
        <v>0</v>
      </c>
      <c r="Q11" s="62">
        <f>Districts!M222</f>
        <v>1</v>
      </c>
      <c r="R11" s="62">
        <f>Districts!N222</f>
        <v>0</v>
      </c>
      <c r="S11" s="62">
        <f>Districts!O222</f>
        <v>1</v>
      </c>
      <c r="T11" s="62">
        <f>Districts!P199</f>
        <v>0</v>
      </c>
      <c r="U11" s="62">
        <f>Districts!Q222</f>
        <v>1</v>
      </c>
      <c r="V11" s="62">
        <f>Districts!R222</f>
        <v>1</v>
      </c>
      <c r="W11" s="62">
        <f>Districts!S222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2182</v>
      </c>
      <c r="E12" s="62">
        <f t="shared" ref="E12:L12" si="5">SUM(E5:E11)</f>
        <v>85</v>
      </c>
      <c r="F12" s="62">
        <f t="shared" si="5"/>
        <v>7</v>
      </c>
      <c r="G12" s="62">
        <f t="shared" si="5"/>
        <v>0</v>
      </c>
      <c r="H12" s="62">
        <f t="shared" si="5"/>
        <v>7</v>
      </c>
      <c r="I12" s="62">
        <f t="shared" si="5"/>
        <v>0</v>
      </c>
      <c r="J12" s="62">
        <f t="shared" si="5"/>
        <v>48</v>
      </c>
      <c r="K12" s="62">
        <f t="shared" si="5"/>
        <v>7</v>
      </c>
      <c r="L12" s="62">
        <f t="shared" si="5"/>
        <v>41</v>
      </c>
      <c r="P12" s="62">
        <f>SUM(P5:P11)</f>
        <v>0</v>
      </c>
      <c r="Q12" s="62">
        <f t="shared" ref="Q12:W12" si="6">SUM(Q5:Q11)</f>
        <v>4</v>
      </c>
      <c r="R12" s="62">
        <f t="shared" si="6"/>
        <v>3</v>
      </c>
      <c r="S12" s="62">
        <f t="shared" si="6"/>
        <v>1</v>
      </c>
      <c r="T12" s="62">
        <f t="shared" si="6"/>
        <v>12</v>
      </c>
      <c r="U12" s="62">
        <f t="shared" si="6"/>
        <v>15</v>
      </c>
      <c r="V12" s="62">
        <f t="shared" si="6"/>
        <v>2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Lawrence E Pfeifer</v>
      </c>
      <c r="B5" s="24">
        <v>131</v>
      </c>
      <c r="C5" s="85">
        <f>IF(ISNA(VLOOKUP($B5,DD_Info!$A$2:$F$221,5,0)),0,VLOOKUP($B5,DD_Info!$A$2:$F$221,5,0))</f>
        <v>3</v>
      </c>
      <c r="D5" s="62">
        <f>Districts!C123</f>
        <v>265</v>
      </c>
      <c r="E5" s="62">
        <f>Districts!D123</f>
        <v>10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7</v>
      </c>
      <c r="K5" s="62">
        <f>Districts!I123</f>
        <v>2</v>
      </c>
      <c r="L5" s="62">
        <f>Districts!J123</f>
        <v>5</v>
      </c>
      <c r="M5" s="61">
        <f>IFERROR(L5/E5,0)</f>
        <v>0.5</v>
      </c>
      <c r="N5">
        <f ca="1">IF(ISNA(VLOOKUP($Z5,'DD Mbr'!$A$2:$N$212,14,0)),0,VLOOKUP($Z5,'DD Mbr'!$A$2:$N$212,14,0))</f>
        <v>25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1</v>
      </c>
      <c r="V5" s="62">
        <f>Districts!Q123</f>
        <v>0</v>
      </c>
      <c r="W5" s="62">
        <f>Districts!R123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131</v>
      </c>
    </row>
    <row r="6" spans="1:26">
      <c r="A6" t="str">
        <f>IF(ISNA(VLOOKUP($B6,DD_Info!$A$2:$F$221,2,0)),0,VLOOKUP($B6,DD_Info!$A$2:$F$221,2,0))</f>
        <v>Mark J Freund</v>
      </c>
      <c r="B6" s="24">
        <v>132</v>
      </c>
      <c r="C6" s="85">
        <f>IF(ISNA(VLOOKUP($B6,DD_Info!$A$2:$F$221,5,0)),0,VLOOKUP($B6,DD_Info!$A$2:$F$221,5,0))</f>
        <v>3</v>
      </c>
      <c r="D6" s="62">
        <f>Districts!C124</f>
        <v>254</v>
      </c>
      <c r="E6" s="62">
        <f>Districts!D124</f>
        <v>9</v>
      </c>
      <c r="F6" s="62">
        <f>Districts!E124</f>
        <v>2</v>
      </c>
      <c r="G6" s="62">
        <f>Districts!F124</f>
        <v>0</v>
      </c>
      <c r="H6" s="62">
        <f>Districts!G124</f>
        <v>2</v>
      </c>
      <c r="J6" s="62">
        <f>Districts!H124</f>
        <v>7</v>
      </c>
      <c r="K6" s="62">
        <f>Districts!I124</f>
        <v>3</v>
      </c>
      <c r="L6" s="62">
        <f>Districts!J124</f>
        <v>4</v>
      </c>
      <c r="M6" s="61">
        <f t="shared" ref="M6:M12" si="0">IFERROR(L6/E6,0)</f>
        <v>0.44444444444444442</v>
      </c>
      <c r="N6">
        <f ca="1">IF(ISNA(VLOOKUP($Z6,'DD Mbr'!$A$2:$N$212,14,0)),0,VLOOKUP($Z6,'DD Mbr'!$A$2:$N$212,14,0))</f>
        <v>35</v>
      </c>
      <c r="P6" s="62">
        <f>Districts!L124</f>
        <v>0</v>
      </c>
      <c r="Q6" s="62">
        <f>Districts!M124</f>
        <v>1</v>
      </c>
      <c r="R6" s="62">
        <f>Districts!N124</f>
        <v>0</v>
      </c>
      <c r="S6" s="62">
        <f>Districts!O124</f>
        <v>1</v>
      </c>
      <c r="U6" s="62">
        <f>Districts!P124</f>
        <v>2</v>
      </c>
      <c r="V6" s="62">
        <f>Districts!Q124</f>
        <v>2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1</v>
      </c>
      <c r="Z6">
        <f t="shared" ref="Z6:Z12" si="2">+B6</f>
        <v>132</v>
      </c>
    </row>
    <row r="7" spans="1:26">
      <c r="A7" t="str">
        <f>IF(ISNA(VLOOKUP($B7,DD_Info!$A$2:$F$221,2,0)),0,VLOOKUP($B7,DD_Info!$A$2:$F$221,2,0))</f>
        <v>John S Evans</v>
      </c>
      <c r="B7" s="24">
        <v>133</v>
      </c>
      <c r="C7" s="85">
        <f>IF(ISNA(VLOOKUP($B7,DD_Info!$A$2:$F$221,5,0)),0,VLOOKUP($B7,DD_Info!$A$2:$F$221,5,0))</f>
        <v>1</v>
      </c>
      <c r="D7" s="62">
        <f>Districts!C125</f>
        <v>655</v>
      </c>
      <c r="E7" s="62">
        <f>Districts!D125</f>
        <v>23</v>
      </c>
      <c r="F7" s="62">
        <f>Districts!E125</f>
        <v>0</v>
      </c>
      <c r="G7" s="62">
        <f>Districts!F125</f>
        <v>1</v>
      </c>
      <c r="H7" s="62">
        <f>Districts!G125</f>
        <v>-1</v>
      </c>
      <c r="J7" s="62">
        <f>Districts!H125</f>
        <v>12</v>
      </c>
      <c r="K7" s="62">
        <f>Districts!I125</f>
        <v>1</v>
      </c>
      <c r="L7" s="62">
        <f>Districts!J125</f>
        <v>11</v>
      </c>
      <c r="M7" s="61">
        <f t="shared" si="0"/>
        <v>0.47826086956521741</v>
      </c>
      <c r="N7">
        <f ca="1">IF(ISNA(VLOOKUP($Z7,'DD Mbr'!$A$2:$N$212,14,0)),0,VLOOKUP($Z7,'DD Mbr'!$A$2:$N$212,14,0))</f>
        <v>34</v>
      </c>
      <c r="P7" s="62">
        <f>Districts!L125</f>
        <v>0</v>
      </c>
      <c r="Q7" s="62">
        <f>Districts!M125</f>
        <v>0</v>
      </c>
      <c r="R7" s="62">
        <f>Districts!N125</f>
        <v>1</v>
      </c>
      <c r="S7" s="62">
        <f>Districts!O125</f>
        <v>-1</v>
      </c>
      <c r="U7" s="62">
        <f>Districts!P125</f>
        <v>1</v>
      </c>
      <c r="V7" s="62">
        <f>Districts!Q125</f>
        <v>1</v>
      </c>
      <c r="W7" s="62">
        <f>Districts!R125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133</v>
      </c>
    </row>
    <row r="8" spans="1:26">
      <c r="A8" t="str">
        <f>IF(ISNA(VLOOKUP($B8,DD_Info!$A$2:$F$221,2,0)),0,VLOOKUP($B8,DD_Info!$A$2:$F$221,2,0))</f>
        <v>Damian Christopher  Oldmixon</v>
      </c>
      <c r="B8" s="24">
        <v>134</v>
      </c>
      <c r="C8" s="85">
        <f>IF(ISNA(VLOOKUP($B8,DD_Info!$A$2:$F$221,5,0)),0,VLOOKUP($B8,DD_Info!$A$2:$F$221,5,0))</f>
        <v>2</v>
      </c>
      <c r="D8" s="62">
        <f>Districts!C126</f>
        <v>433</v>
      </c>
      <c r="E8" s="62">
        <f>Districts!D126</f>
        <v>16</v>
      </c>
      <c r="F8" s="62">
        <f>Districts!E126</f>
        <v>0</v>
      </c>
      <c r="G8" s="62">
        <f>Districts!F126</f>
        <v>0</v>
      </c>
      <c r="H8" s="62">
        <f>Districts!G126</f>
        <v>0</v>
      </c>
      <c r="J8" s="62">
        <f>Districts!H126</f>
        <v>9</v>
      </c>
      <c r="K8" s="62">
        <f>Districts!I126</f>
        <v>42</v>
      </c>
      <c r="L8" s="62">
        <f>Districts!J126</f>
        <v>-33</v>
      </c>
      <c r="M8" s="61">
        <f t="shared" si="0"/>
        <v>-2.0625</v>
      </c>
      <c r="N8">
        <f ca="1">IF(ISNA(VLOOKUP($Z8,'DD Mbr'!$A$2:$N$212,14,0)),0,VLOOKUP($Z8,'DD Mbr'!$A$2:$N$212,14,0))</f>
        <v>211</v>
      </c>
      <c r="P8" s="62">
        <f>Districts!L126</f>
        <v>0</v>
      </c>
      <c r="Q8" s="62">
        <f>Districts!M126</f>
        <v>0</v>
      </c>
      <c r="R8" s="62">
        <f>Districts!N126</f>
        <v>1</v>
      </c>
      <c r="S8" s="62">
        <f>Districts!O126</f>
        <v>-1</v>
      </c>
      <c r="U8" s="62">
        <f>Districts!P126</f>
        <v>2</v>
      </c>
      <c r="V8" s="62">
        <f>Districts!Q126</f>
        <v>3</v>
      </c>
      <c r="W8" s="62">
        <f>Districts!R126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134</v>
      </c>
    </row>
    <row r="9" spans="1:26">
      <c r="A9" t="str">
        <f>IF(ISNA(VLOOKUP($B9,DD_Info!$A$2:$F$221,2,0)),0,VLOOKUP($B9,DD_Info!$A$2:$F$221,2,0))</f>
        <v>James  Kennerly</v>
      </c>
      <c r="B9" s="24">
        <v>135</v>
      </c>
      <c r="C9" s="85">
        <f>IF(ISNA(VLOOKUP($B9,DD_Info!$A$2:$F$221,5,0)),0,VLOOKUP($B9,DD_Info!$A$2:$F$221,5,0))</f>
        <v>3</v>
      </c>
      <c r="D9" s="62">
        <f>Districts!C127</f>
        <v>292</v>
      </c>
      <c r="E9" s="62">
        <f>Districts!D127</f>
        <v>11</v>
      </c>
      <c r="F9" s="62">
        <f>Districts!E127</f>
        <v>0</v>
      </c>
      <c r="G9" s="62">
        <f>Districts!F127</f>
        <v>3</v>
      </c>
      <c r="H9" s="62">
        <f>Districts!G127</f>
        <v>-3</v>
      </c>
      <c r="J9" s="62">
        <f>Districts!H127</f>
        <v>2</v>
      </c>
      <c r="K9" s="62">
        <f>Districts!I127</f>
        <v>24</v>
      </c>
      <c r="L9" s="62">
        <f>Districts!J127</f>
        <v>-22</v>
      </c>
      <c r="M9" s="61">
        <f t="shared" si="0"/>
        <v>-2</v>
      </c>
      <c r="N9">
        <f ca="1">IF(ISNA(VLOOKUP($Z9,'DD Mbr'!$A$2:$N$212,14,0)),0,VLOOKUP($Z9,'DD Mbr'!$A$2:$N$212,14,0))</f>
        <v>210</v>
      </c>
      <c r="P9" s="62">
        <f>Districts!L127</f>
        <v>0</v>
      </c>
      <c r="Q9" s="62">
        <f>Districts!M127</f>
        <v>0</v>
      </c>
      <c r="R9" s="62">
        <f>Districts!N127</f>
        <v>1</v>
      </c>
      <c r="S9" s="62">
        <f>Districts!O127</f>
        <v>-1</v>
      </c>
      <c r="U9" s="62">
        <f>Districts!P127</f>
        <v>2</v>
      </c>
      <c r="V9" s="62">
        <f>Districts!Q127</f>
        <v>3</v>
      </c>
      <c r="W9" s="62">
        <f>Districts!R127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135</v>
      </c>
    </row>
    <row r="10" spans="1:26">
      <c r="A10" t="str">
        <f>IF(ISNA(VLOOKUP($B10,DD_Info!$A$2:$F$221,2,0)),0,VLOOKUP($B10,DD_Info!$A$2:$F$221,2,0))</f>
        <v>Travis  Desjarlais</v>
      </c>
      <c r="B10" s="24">
        <v>136</v>
      </c>
      <c r="C10" s="85">
        <f>IF(ISNA(VLOOKUP($B10,DD_Info!$A$2:$F$221,5,0)),0,VLOOKUP($B10,DD_Info!$A$2:$F$221,5,0))</f>
        <v>3</v>
      </c>
      <c r="D10" s="62">
        <f>Districts!C128</f>
        <v>288</v>
      </c>
      <c r="E10" s="62">
        <f>Districts!D128</f>
        <v>11</v>
      </c>
      <c r="F10" s="62">
        <f>Districts!E128</f>
        <v>0</v>
      </c>
      <c r="G10" s="62">
        <f>Districts!F128</f>
        <v>1</v>
      </c>
      <c r="H10" s="62">
        <f>Districts!G128</f>
        <v>-1</v>
      </c>
      <c r="J10" s="62">
        <f>Districts!H128</f>
        <v>1</v>
      </c>
      <c r="K10" s="62">
        <f>Districts!I128</f>
        <v>1</v>
      </c>
      <c r="L10" s="62">
        <f>Districts!J128</f>
        <v>0</v>
      </c>
      <c r="M10" s="61">
        <f t="shared" si="0"/>
        <v>0</v>
      </c>
      <c r="N10">
        <f ca="1">IF(ISNA(VLOOKUP($Z10,'DD Mbr'!$A$2:$N$212,14,0)),0,VLOOKUP($Z10,'DD Mbr'!$A$2:$N$212,14,0))</f>
        <v>127</v>
      </c>
      <c r="P10" s="62">
        <f>Districts!L128</f>
        <v>0</v>
      </c>
      <c r="Q10" s="62">
        <f>Districts!M128</f>
        <v>0</v>
      </c>
      <c r="R10" s="62">
        <f>Districts!N128</f>
        <v>2</v>
      </c>
      <c r="S10" s="62">
        <f>Districts!O128</f>
        <v>-2</v>
      </c>
      <c r="U10" s="62">
        <f>Districts!P128</f>
        <v>1</v>
      </c>
      <c r="V10" s="62">
        <f>Districts!Q128</f>
        <v>3</v>
      </c>
      <c r="W10" s="62">
        <f>Districts!R128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136</v>
      </c>
    </row>
    <row r="11" spans="1:26">
      <c r="A11" t="str">
        <f>IF(ISNA(VLOOKUP($B11,DD_Info!$A$2:$F$221,2,0)),0,VLOOKUP($B11,DD_Info!$A$2:$F$221,2,0))</f>
        <v>Jeffrey  Allen</v>
      </c>
      <c r="B11" s="24">
        <v>137</v>
      </c>
      <c r="C11" s="85">
        <f>IF(ISNA(VLOOKUP($B11,DD_Info!$A$2:$F$221,5,0)),0,VLOOKUP($B11,DD_Info!$A$2:$F$221,5,0))</f>
        <v>2</v>
      </c>
      <c r="D11" s="62">
        <f>Districts!C129</f>
        <v>314</v>
      </c>
      <c r="E11" s="62">
        <f>Districts!D129</f>
        <v>11</v>
      </c>
      <c r="F11" s="62">
        <f>Districts!E129</f>
        <v>0</v>
      </c>
      <c r="G11" s="62">
        <f>Districts!F129</f>
        <v>7</v>
      </c>
      <c r="H11" s="62">
        <f>Districts!G129</f>
        <v>-7</v>
      </c>
      <c r="J11" s="62">
        <f>Districts!H129</f>
        <v>6</v>
      </c>
      <c r="K11" s="62">
        <f>Districts!I129</f>
        <v>7</v>
      </c>
      <c r="L11" s="62">
        <f>Districts!J129</f>
        <v>-1</v>
      </c>
      <c r="M11" s="61">
        <f t="shared" si="0"/>
        <v>-9.0909090909090912E-2</v>
      </c>
      <c r="N11">
        <f ca="1">IF(ISNA(VLOOKUP($Z11,'DD Mbr'!$A$2:$N$212,14,0)),0,VLOOKUP($Z11,'DD Mbr'!$A$2:$N$212,14,0))</f>
        <v>181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1</v>
      </c>
      <c r="V11" s="62">
        <f>Districts!Q129</f>
        <v>1</v>
      </c>
      <c r="W11" s="62">
        <f>Districts!R129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137</v>
      </c>
    </row>
    <row r="12" spans="1:26">
      <c r="A12" t="str">
        <f>IF(ISNA(VLOOKUP($B12,DD_Info!$A$2:$F$221,2,0)),0,VLOOKUP($B12,DD_Info!$A$2:$F$221,2,0))</f>
        <v>Alan  Mebes</v>
      </c>
      <c r="B12" s="24">
        <v>138</v>
      </c>
      <c r="C12" s="85">
        <f>IF(ISNA(VLOOKUP($B12,DD_Info!$A$2:$F$221,5,0)),0,VLOOKUP($B12,DD_Info!$A$2:$F$221,5,0))</f>
        <v>3</v>
      </c>
      <c r="D12" s="62">
        <f>Districts!C130</f>
        <v>159</v>
      </c>
      <c r="E12" s="62">
        <f>Districts!D130</f>
        <v>8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1</v>
      </c>
      <c r="K12" s="62">
        <f>Districts!I130</f>
        <v>3</v>
      </c>
      <c r="L12" s="62">
        <f>Districts!J130</f>
        <v>-2</v>
      </c>
      <c r="M12" s="61">
        <f t="shared" si="0"/>
        <v>-0.25</v>
      </c>
      <c r="N12">
        <f ca="1">IF(ISNA(VLOOKUP($Z12,'DD Mbr'!$A$2:$N$212,14,0)),0,VLOOKUP($Z12,'DD Mbr'!$A$2:$N$212,14,0))</f>
        <v>184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138</v>
      </c>
    </row>
    <row r="13" spans="1:26">
      <c r="D13" s="62">
        <f>SUM(D5:D12)</f>
        <v>2660</v>
      </c>
      <c r="E13" s="62">
        <f t="shared" ref="E13:L13" si="3">SUM(E5:E12)</f>
        <v>99</v>
      </c>
      <c r="F13" s="62">
        <f t="shared" si="3"/>
        <v>2</v>
      </c>
      <c r="G13" s="62">
        <f t="shared" si="3"/>
        <v>12</v>
      </c>
      <c r="H13" s="62">
        <f t="shared" si="3"/>
        <v>-10</v>
      </c>
      <c r="I13" s="62">
        <f t="shared" si="3"/>
        <v>0</v>
      </c>
      <c r="J13" s="62">
        <f t="shared" si="3"/>
        <v>45</v>
      </c>
      <c r="K13" s="62">
        <f t="shared" si="3"/>
        <v>83</v>
      </c>
      <c r="L13" s="62">
        <f t="shared" si="3"/>
        <v>-38</v>
      </c>
      <c r="P13" s="62">
        <f>SUM(P5:P12)</f>
        <v>0</v>
      </c>
      <c r="Q13" s="62">
        <f t="shared" ref="Q13:W13" si="4">SUM(Q5:Q12)</f>
        <v>1</v>
      </c>
      <c r="R13" s="62">
        <f t="shared" si="4"/>
        <v>5</v>
      </c>
      <c r="S13" s="62">
        <f t="shared" si="4"/>
        <v>-4</v>
      </c>
      <c r="T13" s="62">
        <f t="shared" si="4"/>
        <v>0</v>
      </c>
      <c r="U13" s="62">
        <f t="shared" si="4"/>
        <v>10</v>
      </c>
      <c r="V13" s="62">
        <f t="shared" si="4"/>
        <v>13</v>
      </c>
      <c r="W13" s="62">
        <f t="shared" si="4"/>
        <v>-3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Robert  Landry</v>
      </c>
      <c r="B5" s="55">
        <v>186</v>
      </c>
      <c r="C5" s="85">
        <f>IF(ISNA(VLOOKUP($B5,DD_Info!$A$2:$F$221,5,0)),0,VLOOKUP($B5,DD_Info!$A$2:$F$221,5,0))</f>
        <v>2</v>
      </c>
      <c r="D5" s="62">
        <f>Districts!C169</f>
        <v>510</v>
      </c>
      <c r="E5" s="62">
        <f>Districts!D169</f>
        <v>18</v>
      </c>
      <c r="F5" s="62">
        <f>Districts!E169</f>
        <v>0</v>
      </c>
      <c r="G5" s="62">
        <f>Districts!F169</f>
        <v>0</v>
      </c>
      <c r="H5" s="62">
        <f>Districts!G169</f>
        <v>0</v>
      </c>
      <c r="J5" s="62">
        <f>Districts!H169</f>
        <v>14</v>
      </c>
      <c r="K5" s="62">
        <f>Districts!I169</f>
        <v>0</v>
      </c>
      <c r="L5" s="62">
        <f>Districts!J169</f>
        <v>14</v>
      </c>
      <c r="M5" s="61">
        <f>IFERROR(ROUND(+L5/E5,3),0)</f>
        <v>0.77800000000000002</v>
      </c>
      <c r="N5">
        <f ca="1">IF(ISNA(VLOOKUP($Z5,'DD Mbr'!$A$2:$N$212,14,0)),0,VLOOKUP($Z5,'DD Mbr'!$A$2:$N$212,14,0))</f>
        <v>11</v>
      </c>
      <c r="P5" s="62">
        <f>Districts!L169</f>
        <v>0</v>
      </c>
      <c r="Q5" s="62">
        <f>Districts!M169</f>
        <v>0</v>
      </c>
      <c r="R5" s="62">
        <f>Districts!N169</f>
        <v>2</v>
      </c>
      <c r="S5" s="62">
        <f>Districts!O169</f>
        <v>-2</v>
      </c>
      <c r="U5" s="62">
        <f>Districts!P169</f>
        <v>4</v>
      </c>
      <c r="V5" s="62">
        <f>Districts!Q169</f>
        <v>3</v>
      </c>
      <c r="W5" s="62">
        <f>Districts!R169</f>
        <v>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186</v>
      </c>
    </row>
    <row r="6" spans="1:26">
      <c r="A6" t="str">
        <f>IF(ISNA(VLOOKUP($B6,DD_Info!$A$2:$F$221,2,0)),0,VLOOKUP($B6,DD_Info!$A$2:$F$221,2,0))</f>
        <v>Harry A Isenberger</v>
      </c>
      <c r="B6" s="55">
        <v>187</v>
      </c>
      <c r="C6" s="85">
        <f>IF(ISNA(VLOOKUP($B6,DD_Info!$A$2:$F$221,5,0)),0,VLOOKUP($B6,DD_Info!$A$2:$F$221,5,0))</f>
        <v>2</v>
      </c>
      <c r="D6" s="62">
        <f>Districts!C170</f>
        <v>369</v>
      </c>
      <c r="E6" s="62">
        <f>Districts!D170</f>
        <v>13</v>
      </c>
      <c r="F6" s="62">
        <f>Districts!E170</f>
        <v>0</v>
      </c>
      <c r="G6" s="62">
        <f>Districts!F170</f>
        <v>0</v>
      </c>
      <c r="H6" s="62">
        <f>Districts!G170</f>
        <v>0</v>
      </c>
      <c r="J6" s="62">
        <f>Districts!H170</f>
        <v>6</v>
      </c>
      <c r="K6" s="62">
        <f>Districts!I170</f>
        <v>0</v>
      </c>
      <c r="L6" s="62">
        <f>Districts!J170</f>
        <v>6</v>
      </c>
      <c r="M6" s="61">
        <f t="shared" ref="M6:M12" si="0">IFERROR(ROUND(+L6/E6,3),0)</f>
        <v>0.46200000000000002</v>
      </c>
      <c r="N6">
        <f ca="1">IF(ISNA(VLOOKUP($Z6,'DD Mbr'!$A$2:$N$212,14,0)),0,VLOOKUP($Z6,'DD Mbr'!$A$2:$N$212,14,0))</f>
        <v>37</v>
      </c>
      <c r="P6" s="62">
        <f>Districts!L170</f>
        <v>0</v>
      </c>
      <c r="Q6" s="62">
        <f>Districts!M170</f>
        <v>0</v>
      </c>
      <c r="R6" s="62">
        <f>Districts!N170</f>
        <v>0</v>
      </c>
      <c r="S6" s="62">
        <f>Districts!O170</f>
        <v>0</v>
      </c>
      <c r="U6" s="62">
        <f>Districts!P170</f>
        <v>1</v>
      </c>
      <c r="V6" s="62">
        <f>Districts!Q170</f>
        <v>0</v>
      </c>
      <c r="W6" s="62">
        <f>Districts!R170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1</v>
      </c>
      <c r="Z6">
        <f t="shared" ref="Z6:Z12" si="2">+B6</f>
        <v>187</v>
      </c>
    </row>
    <row r="7" spans="1:26">
      <c r="A7" t="str">
        <f>IF(ISNA(VLOOKUP($B7,DD_Info!$A$2:$F$221,2,0)),0,VLOOKUP($B7,DD_Info!$A$2:$F$221,2,0))</f>
        <v>James A Kocurek</v>
      </c>
      <c r="B7" s="55">
        <v>188</v>
      </c>
      <c r="C7" s="85">
        <f>IF(ISNA(VLOOKUP($B7,DD_Info!$A$2:$F$221,5,0)),0,VLOOKUP($B7,DD_Info!$A$2:$F$221,5,0))</f>
        <v>1</v>
      </c>
      <c r="D7" s="62">
        <f>Districts!C171</f>
        <v>1069</v>
      </c>
      <c r="E7" s="62">
        <f>Districts!D171</f>
        <v>34</v>
      </c>
      <c r="F7" s="62">
        <f>Districts!E171</f>
        <v>0</v>
      </c>
      <c r="G7" s="62">
        <f>Districts!F171</f>
        <v>0</v>
      </c>
      <c r="H7" s="62">
        <f>Districts!G171</f>
        <v>0</v>
      </c>
      <c r="J7" s="62">
        <f>Districts!H171</f>
        <v>0</v>
      </c>
      <c r="K7" s="62">
        <f>Districts!I171</f>
        <v>2</v>
      </c>
      <c r="L7" s="62">
        <f>Districts!J171</f>
        <v>-2</v>
      </c>
      <c r="M7" s="61">
        <f t="shared" si="0"/>
        <v>-5.8999999999999997E-2</v>
      </c>
      <c r="N7">
        <f ca="1">IF(ISNA(VLOOKUP($Z7,'DD Mbr'!$A$2:$N$212,14,0)),0,VLOOKUP($Z7,'DD Mbr'!$A$2:$N$212,14,0))</f>
        <v>172</v>
      </c>
      <c r="P7" s="62">
        <f>Districts!L171</f>
        <v>0</v>
      </c>
      <c r="Q7" s="62">
        <f>Districts!M171</f>
        <v>0</v>
      </c>
      <c r="R7" s="62">
        <f>Districts!N171</f>
        <v>5</v>
      </c>
      <c r="S7" s="62">
        <f>Districts!O171</f>
        <v>-5</v>
      </c>
      <c r="U7" s="62">
        <f>Districts!P171</f>
        <v>3</v>
      </c>
      <c r="V7" s="62">
        <f>Districts!Q171</f>
        <v>7</v>
      </c>
      <c r="W7" s="62">
        <f>Districts!R171</f>
        <v>-4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188</v>
      </c>
    </row>
    <row r="8" spans="1:26">
      <c r="A8" t="str">
        <f>IF(ISNA(VLOOKUP($B8,DD_Info!$A$2:$F$221,2,0)),0,VLOOKUP($B8,DD_Info!$A$2:$F$221,2,0))</f>
        <v>Jeff  Popp</v>
      </c>
      <c r="B8" s="55">
        <v>189</v>
      </c>
      <c r="C8" s="85">
        <f>IF(ISNA(VLOOKUP($B8,DD_Info!$A$2:$F$221,5,0)),0,VLOOKUP($B8,DD_Info!$A$2:$F$221,5,0))</f>
        <v>1</v>
      </c>
      <c r="D8" s="62">
        <f>Districts!C172</f>
        <v>796</v>
      </c>
      <c r="E8" s="62">
        <f>Districts!D172</f>
        <v>27</v>
      </c>
      <c r="F8" s="62">
        <f>Districts!E172</f>
        <v>1</v>
      </c>
      <c r="G8" s="62">
        <f>Districts!F172</f>
        <v>0</v>
      </c>
      <c r="H8" s="62">
        <f>Districts!G172</f>
        <v>1</v>
      </c>
      <c r="J8" s="62">
        <f>Districts!H172</f>
        <v>4</v>
      </c>
      <c r="K8" s="62">
        <f>Districts!I172</f>
        <v>1</v>
      </c>
      <c r="L8" s="62">
        <f>Districts!J172</f>
        <v>3</v>
      </c>
      <c r="M8" s="61">
        <f t="shared" si="0"/>
        <v>0.111</v>
      </c>
      <c r="N8">
        <f ca="1">IF(ISNA(VLOOKUP($Z8,'DD Mbr'!$A$2:$N$212,14,0)),0,VLOOKUP($Z8,'DD Mbr'!$A$2:$N$212,14,0))</f>
        <v>101</v>
      </c>
      <c r="P8" s="62">
        <f>Districts!L172</f>
        <v>0</v>
      </c>
      <c r="Q8" s="62">
        <f>Districts!M172</f>
        <v>1</v>
      </c>
      <c r="R8" s="62">
        <f>Districts!N172</f>
        <v>2</v>
      </c>
      <c r="S8" s="62">
        <f>Districts!O172</f>
        <v>-1</v>
      </c>
      <c r="U8" s="62">
        <f>Districts!P172</f>
        <v>3</v>
      </c>
      <c r="V8" s="62">
        <f>Districts!Q172</f>
        <v>5</v>
      </c>
      <c r="W8" s="62">
        <f>Districts!R172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189</v>
      </c>
    </row>
    <row r="9" spans="1:26">
      <c r="A9" t="str">
        <f>IF(ISNA(VLOOKUP($B9,DD_Info!$A$2:$F$221,2,0)),0,VLOOKUP($B9,DD_Info!$A$2:$F$221,2,0))</f>
        <v>William  Schuette</v>
      </c>
      <c r="B9" s="55">
        <v>190</v>
      </c>
      <c r="C9" s="85">
        <f>IF(ISNA(VLOOKUP($B9,DD_Info!$A$2:$F$221,5,0)),0,VLOOKUP($B9,DD_Info!$A$2:$F$221,5,0))</f>
        <v>1</v>
      </c>
      <c r="D9" s="62">
        <f>Districts!C173</f>
        <v>841</v>
      </c>
      <c r="E9" s="62">
        <f>Districts!D173</f>
        <v>29</v>
      </c>
      <c r="F9" s="62">
        <f>Districts!E173</f>
        <v>1</v>
      </c>
      <c r="G9" s="62">
        <f>Districts!F173</f>
        <v>0</v>
      </c>
      <c r="H9" s="62">
        <f>Districts!G173</f>
        <v>1</v>
      </c>
      <c r="J9" s="62">
        <f>Districts!H173</f>
        <v>4</v>
      </c>
      <c r="K9" s="62">
        <f>Districts!I173</f>
        <v>10</v>
      </c>
      <c r="L9" s="62">
        <f>Districts!J173</f>
        <v>-6</v>
      </c>
      <c r="M9" s="61">
        <f t="shared" si="0"/>
        <v>-0.20699999999999999</v>
      </c>
      <c r="N9">
        <f ca="1">IF(ISNA(VLOOKUP($Z9,'DD Mbr'!$A$2:$N$212,14,0)),0,VLOOKUP($Z9,'DD Mbr'!$A$2:$N$212,14,0))</f>
        <v>185</v>
      </c>
      <c r="P9" s="62">
        <f>Districts!L173</f>
        <v>0</v>
      </c>
      <c r="Q9" s="62">
        <f>Districts!M173</f>
        <v>1</v>
      </c>
      <c r="R9" s="62">
        <f>Districts!N173</f>
        <v>1</v>
      </c>
      <c r="S9" s="62">
        <f>Districts!O173</f>
        <v>0</v>
      </c>
      <c r="U9" s="62">
        <f>Districts!P173</f>
        <v>5</v>
      </c>
      <c r="V9" s="62">
        <f>Districts!Q173</f>
        <v>3</v>
      </c>
      <c r="W9" s="62">
        <f>Districts!R173</f>
        <v>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IF(ISNA(VLOOKUP($B10,DD_Info!$A$2:$F$221,2,0)),0,VLOOKUP($B10,DD_Info!$A$2:$F$221,2,0))</f>
        <v>Andrew  Pesek</v>
      </c>
      <c r="B10" s="55">
        <v>191</v>
      </c>
      <c r="C10" s="85">
        <f>IF(ISNA(VLOOKUP($B10,DD_Info!$A$2:$F$221,5,0)),0,VLOOKUP($B10,DD_Info!$A$2:$F$221,5,0))</f>
        <v>1</v>
      </c>
      <c r="D10" s="62">
        <f>Districts!C174</f>
        <v>1302</v>
      </c>
      <c r="E10" s="62">
        <f>Districts!D174</f>
        <v>36</v>
      </c>
      <c r="F10" s="62">
        <f>Districts!E174</f>
        <v>1</v>
      </c>
      <c r="G10" s="62">
        <f>Districts!F174</f>
        <v>1</v>
      </c>
      <c r="H10" s="62">
        <f>Districts!G174</f>
        <v>0</v>
      </c>
      <c r="J10" s="62">
        <f>Districts!H174</f>
        <v>5</v>
      </c>
      <c r="K10" s="62">
        <f>Districts!I174</f>
        <v>2</v>
      </c>
      <c r="L10" s="62">
        <f>Districts!J174</f>
        <v>3</v>
      </c>
      <c r="M10" s="61">
        <f t="shared" si="0"/>
        <v>8.3000000000000004E-2</v>
      </c>
      <c r="N10">
        <f ca="1">IF(ISNA(VLOOKUP($Z10,'DD Mbr'!$A$2:$N$212,14,0)),0,VLOOKUP($Z10,'DD Mbr'!$A$2:$N$212,14,0))</f>
        <v>110</v>
      </c>
      <c r="P10" s="62">
        <f>Districts!L174</f>
        <v>0</v>
      </c>
      <c r="Q10" s="62">
        <f>Districts!M174</f>
        <v>0</v>
      </c>
      <c r="R10" s="62">
        <f>Districts!N174</f>
        <v>1</v>
      </c>
      <c r="S10" s="62">
        <f>Districts!O174</f>
        <v>-1</v>
      </c>
      <c r="U10" s="62">
        <f>Districts!P174</f>
        <v>4</v>
      </c>
      <c r="V10" s="62">
        <f>Districts!Q174</f>
        <v>5</v>
      </c>
      <c r="W10" s="62">
        <f>Districts!R174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191</v>
      </c>
    </row>
    <row r="11" spans="1:26">
      <c r="A11" t="str">
        <f>IF(ISNA(VLOOKUP($B11,DD_Info!$A$2:$F$221,2,0)),0,VLOOKUP($B11,DD_Info!$A$2:$F$221,2,0))</f>
        <v>Lukas F Janak Jr</v>
      </c>
      <c r="B11" s="55">
        <v>192</v>
      </c>
      <c r="C11" s="85">
        <f>IF(ISNA(VLOOKUP($B11,DD_Info!$A$2:$F$221,5,0)),0,VLOOKUP($B11,DD_Info!$A$2:$F$221,5,0))</f>
        <v>2</v>
      </c>
      <c r="D11" s="62">
        <f>Districts!C175</f>
        <v>524</v>
      </c>
      <c r="E11" s="62">
        <f>Districts!D175</f>
        <v>19</v>
      </c>
      <c r="F11" s="62">
        <f>Districts!E175</f>
        <v>0</v>
      </c>
      <c r="G11" s="62">
        <f>Districts!F175</f>
        <v>0</v>
      </c>
      <c r="H11" s="62">
        <f>Districts!G175</f>
        <v>0</v>
      </c>
      <c r="J11" s="62">
        <f>Districts!H175</f>
        <v>0</v>
      </c>
      <c r="K11" s="62">
        <f>Districts!I175</f>
        <v>1</v>
      </c>
      <c r="L11" s="62">
        <f>Districts!J175</f>
        <v>-1</v>
      </c>
      <c r="M11" s="61">
        <f t="shared" si="0"/>
        <v>-5.2999999999999999E-2</v>
      </c>
      <c r="N11">
        <f ca="1">IF(ISNA(VLOOKUP($Z11,'DD Mbr'!$A$2:$N$212,14,0)),0,VLOOKUP($Z11,'DD Mbr'!$A$2:$N$212,14,0))</f>
        <v>177</v>
      </c>
      <c r="P11" s="62">
        <f>Districts!L175</f>
        <v>0</v>
      </c>
      <c r="Q11" s="62">
        <f>Districts!M175</f>
        <v>0</v>
      </c>
      <c r="R11" s="62">
        <f>Districts!N175</f>
        <v>0</v>
      </c>
      <c r="S11" s="62">
        <f>Districts!O175</f>
        <v>0</v>
      </c>
      <c r="U11" s="62">
        <f>Districts!P175</f>
        <v>1</v>
      </c>
      <c r="V11" s="62">
        <f>Districts!Q175</f>
        <v>3</v>
      </c>
      <c r="W11" s="62">
        <f>Districts!R175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192</v>
      </c>
    </row>
    <row r="12" spans="1:26">
      <c r="A12" t="str">
        <f>IF(ISNA(VLOOKUP($B12,DD_Info!$A$2:$F$221,2,0)),0,VLOOKUP($B12,DD_Info!$A$2:$F$221,2,0))</f>
        <v>Manuel  Gonzales III</v>
      </c>
      <c r="B12" s="55">
        <v>193</v>
      </c>
      <c r="C12" s="85">
        <f>IF(ISNA(VLOOKUP($B12,DD_Info!$A$2:$F$221,5,0)),0,VLOOKUP($B12,DD_Info!$A$2:$F$221,5,0))</f>
        <v>1</v>
      </c>
      <c r="D12" s="62">
        <f>Districts!C176</f>
        <v>1215</v>
      </c>
      <c r="E12" s="62">
        <f>Districts!D176</f>
        <v>38</v>
      </c>
      <c r="F12" s="62">
        <f>Districts!E176</f>
        <v>0</v>
      </c>
      <c r="G12" s="62">
        <f>Districts!F176</f>
        <v>3</v>
      </c>
      <c r="H12" s="62">
        <f>Districts!G176</f>
        <v>-3</v>
      </c>
      <c r="J12" s="62">
        <f>Districts!H176</f>
        <v>6</v>
      </c>
      <c r="K12" s="62">
        <f>Districts!I176</f>
        <v>3</v>
      </c>
      <c r="L12" s="62">
        <f>Districts!J176</f>
        <v>3</v>
      </c>
      <c r="M12" s="61">
        <f t="shared" si="0"/>
        <v>7.9000000000000001E-2</v>
      </c>
      <c r="N12">
        <f ca="1">IF(ISNA(VLOOKUP($Z12,'DD Mbr'!$A$2:$N$212,14,0)),0,VLOOKUP($Z12,'DD Mbr'!$A$2:$N$212,14,0))</f>
        <v>115</v>
      </c>
      <c r="P12" s="62">
        <f>Districts!L176</f>
        <v>0</v>
      </c>
      <c r="Q12" s="62">
        <f>Districts!M176</f>
        <v>0</v>
      </c>
      <c r="R12" s="62">
        <f>Districts!N176</f>
        <v>3</v>
      </c>
      <c r="S12" s="62">
        <f>Districts!O176</f>
        <v>-3</v>
      </c>
      <c r="U12" s="62">
        <f>Districts!P176</f>
        <v>5</v>
      </c>
      <c r="V12" s="62">
        <f>Districts!Q176</f>
        <v>8</v>
      </c>
      <c r="W12" s="62">
        <f>Districts!R176</f>
        <v>-3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193</v>
      </c>
    </row>
    <row r="13" spans="1:26">
      <c r="D13" s="62">
        <f>SUM(D5:D12)</f>
        <v>6626</v>
      </c>
      <c r="E13" s="62">
        <f t="shared" ref="E13:L13" si="3">SUM(E5:E12)</f>
        <v>214</v>
      </c>
      <c r="F13" s="62">
        <f t="shared" si="3"/>
        <v>3</v>
      </c>
      <c r="G13" s="62">
        <f t="shared" si="3"/>
        <v>4</v>
      </c>
      <c r="H13" s="62">
        <f t="shared" si="3"/>
        <v>-1</v>
      </c>
      <c r="I13" s="62">
        <f t="shared" si="3"/>
        <v>0</v>
      </c>
      <c r="J13" s="62">
        <f t="shared" si="3"/>
        <v>39</v>
      </c>
      <c r="K13" s="62">
        <f t="shared" si="3"/>
        <v>19</v>
      </c>
      <c r="L13" s="62">
        <f t="shared" si="3"/>
        <v>20</v>
      </c>
      <c r="P13" s="62">
        <f>SUM(P5:P12)</f>
        <v>0</v>
      </c>
      <c r="Q13" s="62">
        <f t="shared" ref="Q13:W13" si="4">SUM(Q5:Q12)</f>
        <v>2</v>
      </c>
      <c r="R13" s="62">
        <f t="shared" si="4"/>
        <v>14</v>
      </c>
      <c r="S13" s="62">
        <f t="shared" si="4"/>
        <v>-12</v>
      </c>
      <c r="T13" s="62">
        <f t="shared" si="4"/>
        <v>0</v>
      </c>
      <c r="U13" s="62">
        <f t="shared" si="4"/>
        <v>26</v>
      </c>
      <c r="V13" s="62">
        <f t="shared" si="4"/>
        <v>34</v>
      </c>
      <c r="W13" s="62">
        <f t="shared" si="4"/>
        <v>-8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7"/>
  <sheetViews>
    <sheetView workbookViewId="0">
      <selection activeCell="F16" sqref="F16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ht="36" customHeight="1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Richard  Gilliland</v>
      </c>
      <c r="B5" s="24">
        <v>1</v>
      </c>
      <c r="C5" s="85">
        <f>IF(ISNA(VLOOKUP($B5,DD_Info!$A$2:$F$221,5,0)),0,VLOOKUP($B5,DD_Info!$A$2:$F$221,5,0))</f>
        <v>3</v>
      </c>
      <c r="D5" s="62">
        <f>Districts!C3</f>
        <v>293</v>
      </c>
      <c r="E5" s="62">
        <f>Districts!D3</f>
        <v>11</v>
      </c>
      <c r="F5" s="62">
        <f>Districts!E3</f>
        <v>0</v>
      </c>
      <c r="G5" s="62">
        <f>Districts!F3</f>
        <v>1</v>
      </c>
      <c r="H5" s="62">
        <f>Districts!G3</f>
        <v>-1</v>
      </c>
      <c r="I5" s="62"/>
      <c r="J5" s="62">
        <f>Districts!H3</f>
        <v>4</v>
      </c>
      <c r="K5" s="62">
        <f>Districts!I3</f>
        <v>2</v>
      </c>
      <c r="L5" s="62">
        <f>Districts!J3</f>
        <v>2</v>
      </c>
      <c r="M5" s="61">
        <f>IFERROR(L5/E5,0)</f>
        <v>0.18181818181818182</v>
      </c>
      <c r="N5">
        <f ca="1">IF(ISNA(VLOOKUP($Z5,'DD Mbr'!$A$2:$N$212,14,0)),0,VLOOKUP($Z5,'DD Mbr'!$A$2:$N$212,14,0))</f>
        <v>88</v>
      </c>
      <c r="P5" s="62">
        <f>Districts!L3</f>
        <v>0</v>
      </c>
      <c r="Q5" s="62">
        <f>Districts!M3</f>
        <v>1</v>
      </c>
      <c r="R5" s="62">
        <f>Districts!N3</f>
        <v>3</v>
      </c>
      <c r="S5" s="62">
        <f>Districts!O3</f>
        <v>-2</v>
      </c>
      <c r="U5" s="62">
        <f>Districts!P3</f>
        <v>1</v>
      </c>
      <c r="V5" s="62">
        <f>Districts!Q3</f>
        <v>3</v>
      </c>
      <c r="W5" s="62">
        <f>Districts!R3</f>
        <v>-2</v>
      </c>
      <c r="X5" s="61" t="e">
        <f>ROUNDDOWN(+W5/P5,3)</f>
        <v>#DIV/0!</v>
      </c>
      <c r="Y5">
        <f>IF(ISNA(VLOOKUP($Z5,'DD Ins'!$A$2:$N$217,14,0)),0,VLOOKUP($Z5,'DD Ins'!$A$2:$N$217,14,0))</f>
        <v>1</v>
      </c>
      <c r="Z5">
        <f>+B5</f>
        <v>1</v>
      </c>
    </row>
    <row r="6" spans="1:26">
      <c r="A6" t="str">
        <f>IF(ISNA(VLOOKUP($B6,DD_Info!$A$2:$F$221,2,0)),0,VLOOKUP($B6,DD_Info!$A$2:$F$221,2,0))</f>
        <v>Fernando T Silva</v>
      </c>
      <c r="B6" s="24">
        <v>2</v>
      </c>
      <c r="C6" s="85">
        <f>IF(ISNA(VLOOKUP($B6,DD_Info!$A$2:$F$221,5,0)),0,VLOOKUP($B6,DD_Info!$A$2:$F$221,5,0))</f>
        <v>2</v>
      </c>
      <c r="D6" s="62">
        <f>Districts!C4</f>
        <v>574</v>
      </c>
      <c r="E6" s="62">
        <f>Districts!D3</f>
        <v>11</v>
      </c>
      <c r="F6" s="62">
        <f>Districts!E4</f>
        <v>4</v>
      </c>
      <c r="G6" s="62">
        <f>Districts!F4</f>
        <v>0</v>
      </c>
      <c r="H6" s="62">
        <f>Districts!G4</f>
        <v>4</v>
      </c>
      <c r="I6" s="62"/>
      <c r="J6" s="62">
        <f>Districts!H4</f>
        <v>8</v>
      </c>
      <c r="K6" s="62">
        <f>Districts!I4</f>
        <v>0</v>
      </c>
      <c r="L6" s="62">
        <f>Districts!J4</f>
        <v>8</v>
      </c>
      <c r="M6" s="61">
        <f t="shared" ref="M6:M15" si="0">IFERROR(L6/E6,0)</f>
        <v>0.72727272727272729</v>
      </c>
      <c r="N6">
        <f ca="1">IF(ISNA(VLOOKUP($Z6,'DD Mbr'!$A$2:$N$212,14,0)),0,VLOOKUP($Z6,'DD Mbr'!$A$2:$N$212,14,0))</f>
        <v>39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2</v>
      </c>
      <c r="W6" s="62">
        <f>Districts!R4</f>
        <v>-2</v>
      </c>
      <c r="X6" s="61" t="e">
        <f>ROUNDDOWN(+W6/P6,3)</f>
        <v>#DIV/0!</v>
      </c>
      <c r="Y6">
        <f>IF(ISNA(VLOOKUP($Z6,'DD Ins'!$A$2:$N$217,14,0)),0,VLOOKUP($Z6,'DD Ins'!$A$2:$N$217,14,0))</f>
        <v>1</v>
      </c>
      <c r="Z6">
        <f t="shared" ref="Z6:Z15" si="1">+B6</f>
        <v>2</v>
      </c>
    </row>
    <row r="7" spans="1:26">
      <c r="A7" t="str">
        <f>IF(ISNA(VLOOKUP($B7,DD_Info!$A$2:$F$221,2,0)),0,VLOOKUP($B7,DD_Info!$A$2:$F$221,2,0))</f>
        <v>Armando  Acosta</v>
      </c>
      <c r="B7" s="24">
        <v>3</v>
      </c>
      <c r="C7" s="85">
        <f>IF(ISNA(VLOOKUP($B7,DD_Info!$A$2:$F$221,5,0)),0,VLOOKUP($B7,DD_Info!$A$2:$F$221,5,0))</f>
        <v>2</v>
      </c>
      <c r="D7" s="62">
        <f>Districts!C5</f>
        <v>419</v>
      </c>
      <c r="E7" s="62">
        <f>Districts!D5</f>
        <v>15</v>
      </c>
      <c r="F7" s="62">
        <f>Districts!E5</f>
        <v>4</v>
      </c>
      <c r="G7" s="62">
        <f>Districts!F5</f>
        <v>0</v>
      </c>
      <c r="H7" s="62">
        <f>Districts!G5</f>
        <v>4</v>
      </c>
      <c r="I7" s="62"/>
      <c r="J7" s="62">
        <f>Districts!H5</f>
        <v>12</v>
      </c>
      <c r="K7" s="62">
        <f>Districts!I5</f>
        <v>0</v>
      </c>
      <c r="L7" s="62">
        <f>Districts!J5</f>
        <v>12</v>
      </c>
      <c r="M7" s="61">
        <f t="shared" si="0"/>
        <v>0.8</v>
      </c>
      <c r="N7">
        <f ca="1">IF(ISNA(VLOOKUP($Z7,'DD Mbr'!$A$2:$N$212,14,0)),0,VLOOKUP($Z7,'DD Mbr'!$A$2:$N$212,14,0))</f>
        <v>13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0</v>
      </c>
      <c r="V7" s="62">
        <f>Districts!Q5</f>
        <v>1</v>
      </c>
      <c r="W7" s="62">
        <f>Districts!R5</f>
        <v>-1</v>
      </c>
      <c r="X7" s="61" t="e">
        <f t="shared" ref="X7:X15" si="2">ROUNDDOWN(+W7/P7,3)</f>
        <v>#DIV/0!</v>
      </c>
      <c r="Y7">
        <f>IF(ISNA(VLOOKUP($Z7,'DD Ins'!$A$2:$N$217,14,0)),0,VLOOKUP($Z7,'DD Ins'!$A$2:$N$217,14,0))</f>
        <v>1</v>
      </c>
      <c r="Z7">
        <f t="shared" si="1"/>
        <v>3</v>
      </c>
    </row>
    <row r="8" spans="1:26">
      <c r="A8" t="str">
        <f>IF(ISNA(VLOOKUP($B8,DD_Info!$A$2:$F$221,2,0)),0,VLOOKUP($B8,DD_Info!$A$2:$F$221,2,0))</f>
        <v>James B Weber</v>
      </c>
      <c r="B8" s="24">
        <v>4</v>
      </c>
      <c r="C8" s="85">
        <f>IF(ISNA(VLOOKUP($B8,DD_Info!$A$2:$F$221,5,0)),0,VLOOKUP($B8,DD_Info!$A$2:$F$221,5,0))</f>
        <v>3</v>
      </c>
      <c r="D8" s="62">
        <f>Districts!C6</f>
        <v>97</v>
      </c>
      <c r="E8" s="62">
        <f>Districts!D6</f>
        <v>4</v>
      </c>
      <c r="F8" s="62">
        <f>Districts!E6</f>
        <v>2</v>
      </c>
      <c r="G8" s="62">
        <f>Districts!F6</f>
        <v>0</v>
      </c>
      <c r="H8" s="62">
        <f>Districts!G6</f>
        <v>2</v>
      </c>
      <c r="I8" s="62"/>
      <c r="J8" s="62">
        <f>Districts!H6</f>
        <v>24</v>
      </c>
      <c r="K8" s="62">
        <f>Districts!I6</f>
        <v>0</v>
      </c>
      <c r="L8" s="62">
        <f>Districts!J6</f>
        <v>24</v>
      </c>
      <c r="M8" s="61">
        <f t="shared" si="0"/>
        <v>6</v>
      </c>
      <c r="N8">
        <f ca="1">IF(ISNA(VLOOKUP($Z8,'DD Mbr'!$A$2:$N$212,14,0)),0,VLOOKUP($Z8,'DD Mbr'!$A$2:$N$212,14,0))</f>
        <v>1</v>
      </c>
      <c r="P8" s="62">
        <f>Districts!L6</f>
        <v>0</v>
      </c>
      <c r="Q8" s="62">
        <f>Districts!M6</f>
        <v>0</v>
      </c>
      <c r="R8" s="62">
        <f>Districts!N6</f>
        <v>1</v>
      </c>
      <c r="S8" s="62">
        <f>Districts!O6</f>
        <v>-1</v>
      </c>
      <c r="U8" s="62">
        <f>Districts!P6</f>
        <v>0</v>
      </c>
      <c r="V8" s="62">
        <f>Districts!Q6</f>
        <v>1</v>
      </c>
      <c r="W8" s="62">
        <f>Districts!R6</f>
        <v>-1</v>
      </c>
      <c r="X8" s="61" t="e">
        <f t="shared" si="2"/>
        <v>#DIV/0!</v>
      </c>
      <c r="Y8">
        <f>IF(ISNA(VLOOKUP($Z8,'DD Ins'!$A$2:$N$217,14,0)),0,VLOOKUP($Z8,'DD Ins'!$A$2:$N$217,14,0))</f>
        <v>1</v>
      </c>
      <c r="Z8">
        <f t="shared" si="1"/>
        <v>4</v>
      </c>
    </row>
    <row r="9" spans="1:26">
      <c r="A9" t="str">
        <f>IF(ISNA(VLOOKUP($B9,DD_Info!$A$2:$F$221,2,0)),0,VLOOKUP($B9,DD_Info!$A$2:$F$221,2,0))</f>
        <v>Giovani  Hyppolite</v>
      </c>
      <c r="B9" s="24">
        <v>5</v>
      </c>
      <c r="C9" s="85">
        <f>IF(ISNA(VLOOKUP($B9,DD_Info!$A$2:$F$221,5,0)),0,VLOOKUP($B9,DD_Info!$A$2:$F$221,5,0))</f>
        <v>3</v>
      </c>
      <c r="D9" s="62">
        <f>Districts!C7</f>
        <v>267</v>
      </c>
      <c r="E9" s="62">
        <f>Districts!D7</f>
        <v>10</v>
      </c>
      <c r="F9" s="62">
        <f>Districts!E7</f>
        <v>0</v>
      </c>
      <c r="G9" s="62">
        <f>Districts!F7</f>
        <v>0</v>
      </c>
      <c r="H9" s="62">
        <f>Districts!G7</f>
        <v>0</v>
      </c>
      <c r="I9" s="62"/>
      <c r="J9" s="62">
        <f>Districts!H7</f>
        <v>4</v>
      </c>
      <c r="K9" s="62">
        <f>Districts!I7</f>
        <v>1</v>
      </c>
      <c r="L9" s="62">
        <f>Districts!J7</f>
        <v>3</v>
      </c>
      <c r="M9" s="61">
        <f t="shared" si="0"/>
        <v>0.3</v>
      </c>
      <c r="N9">
        <f ca="1">IF(ISNA(VLOOKUP($Z9,'DD Mbr'!$A$2:$N$212,14,0)),0,VLOOKUP($Z9,'DD Mbr'!$A$2:$N$212,14,0))</f>
        <v>58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0</v>
      </c>
      <c r="V9" s="62">
        <f>Districts!Q7</f>
        <v>2</v>
      </c>
      <c r="W9" s="62">
        <f>Districts!R7</f>
        <v>-2</v>
      </c>
      <c r="X9" s="61" t="e">
        <f t="shared" si="2"/>
        <v>#DIV/0!</v>
      </c>
      <c r="Y9">
        <f>IF(ISNA(VLOOKUP($Z9,'DD Ins'!$A$2:$N$217,14,0)),0,VLOOKUP($Z9,'DD Ins'!$A$2:$N$217,14,0))</f>
        <v>1</v>
      </c>
      <c r="Z9">
        <f t="shared" si="1"/>
        <v>5</v>
      </c>
    </row>
    <row r="10" spans="1:26">
      <c r="A10" t="str">
        <f>IF(ISNA(VLOOKUP($B10,DD_Info!$A$2:$F$221,2,0)),0,VLOOKUP($B10,DD_Info!$A$2:$F$221,2,0))</f>
        <v>Luis J Ortiz Jr</v>
      </c>
      <c r="B10" s="24">
        <v>6</v>
      </c>
      <c r="C10" s="85">
        <f>IF(ISNA(VLOOKUP($B10,DD_Info!$A$2:$F$221,5,0)),0,VLOOKUP($B10,DD_Info!$A$2:$F$221,5,0))</f>
        <v>3</v>
      </c>
      <c r="D10" s="62">
        <f>Districts!C8</f>
        <v>233</v>
      </c>
      <c r="E10" s="62">
        <f>Districts!D8</f>
        <v>9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4</v>
      </c>
      <c r="K10" s="62">
        <f>Districts!I8</f>
        <v>8</v>
      </c>
      <c r="L10" s="62">
        <f>Districts!J8</f>
        <v>-4</v>
      </c>
      <c r="M10" s="61">
        <f t="shared" si="0"/>
        <v>-0.44444444444444442</v>
      </c>
      <c r="N10">
        <f ca="1">IF(ISNA(VLOOKUP($Z10,'DD Mbr'!$A$2:$N$212,14,0)),0,VLOOKUP($Z10,'DD Mbr'!$A$2:$N$212,14,0))</f>
        <v>196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1</v>
      </c>
      <c r="Z10">
        <f t="shared" si="1"/>
        <v>6</v>
      </c>
    </row>
    <row r="11" spans="1:26">
      <c r="A11" t="str">
        <f>IF(ISNA(VLOOKUP($B11,DD_Info!$A$2:$F$221,2,0)),0,VLOOKUP($B11,DD_Info!$A$2:$F$221,2,0))</f>
        <v>Jesus  Granado Jr</v>
      </c>
      <c r="B11" s="24">
        <v>7</v>
      </c>
      <c r="C11" s="85">
        <f>IF(ISNA(VLOOKUP($B11,DD_Info!$A$2:$F$221,5,0)),0,VLOOKUP($B11,DD_Info!$A$2:$F$221,5,0))</f>
        <v>3</v>
      </c>
      <c r="D11" s="62">
        <f>Districts!C9</f>
        <v>176</v>
      </c>
      <c r="E11" s="62">
        <f>Districts!D9</f>
        <v>6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1</v>
      </c>
      <c r="K11" s="62">
        <f>Districts!I9</f>
        <v>2</v>
      </c>
      <c r="L11" s="62">
        <f>Districts!J9</f>
        <v>-1</v>
      </c>
      <c r="M11" s="61">
        <f t="shared" si="0"/>
        <v>-0.16666666666666666</v>
      </c>
      <c r="N11">
        <f ca="1">IF(ISNA(VLOOKUP($Z11,'DD Mbr'!$A$2:$N$212,14,0)),0,VLOOKUP($Z11,'DD Mbr'!$A$2:$N$212,14,0))</f>
        <v>187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1</v>
      </c>
      <c r="W11" s="62">
        <f>Districts!R9</f>
        <v>-1</v>
      </c>
      <c r="X11" s="61" t="e">
        <f t="shared" si="2"/>
        <v>#DIV/0!</v>
      </c>
      <c r="Y11">
        <f>IF(ISNA(VLOOKUP($Z11,'DD Ins'!$A$2:$N$217,14,0)),0,VLOOKUP($Z11,'DD Ins'!$A$2:$N$217,14,0))</f>
        <v>1</v>
      </c>
      <c r="Z11">
        <f t="shared" si="1"/>
        <v>7</v>
      </c>
    </row>
    <row r="12" spans="1:26">
      <c r="A12" t="str">
        <f>IF(ISNA(VLOOKUP($B12,DD_Info!$A$2:$F$221,2,0)),0,VLOOKUP($B12,DD_Info!$A$2:$F$221,2,0))</f>
        <v>Roman  Bustillos</v>
      </c>
      <c r="B12" s="24">
        <v>8</v>
      </c>
      <c r="C12" s="85">
        <f>IF(ISNA(VLOOKUP($B12,DD_Info!$A$2:$F$221,5,0)),0,VLOOKUP($B12,DD_Info!$A$2:$F$221,5,0))</f>
        <v>3</v>
      </c>
      <c r="D12" s="62">
        <f>Districts!C10</f>
        <v>243</v>
      </c>
      <c r="E12" s="62">
        <f>Districts!D10</f>
        <v>9</v>
      </c>
      <c r="F12" s="62">
        <f>Districts!E10</f>
        <v>1</v>
      </c>
      <c r="G12" s="62">
        <f>Districts!F10</f>
        <v>0</v>
      </c>
      <c r="H12" s="62">
        <f>Districts!G10</f>
        <v>1</v>
      </c>
      <c r="I12" s="62"/>
      <c r="J12" s="62">
        <f>Districts!H10</f>
        <v>3</v>
      </c>
      <c r="K12" s="62">
        <f>Districts!I10</f>
        <v>0</v>
      </c>
      <c r="L12" s="62">
        <f>Districts!J10</f>
        <v>3</v>
      </c>
      <c r="M12" s="61">
        <f t="shared" si="0"/>
        <v>0.33333333333333331</v>
      </c>
      <c r="N12">
        <f ca="1">IF(ISNA(VLOOKUP($Z12,'DD Mbr'!$A$2:$N$212,14,0)),0,VLOOKUP($Z12,'DD Mbr'!$A$2:$N$212,14,0))</f>
        <v>51</v>
      </c>
      <c r="P12" s="62">
        <f>Districts!L10</f>
        <v>0</v>
      </c>
      <c r="Q12" s="62">
        <f>Districts!M10</f>
        <v>1</v>
      </c>
      <c r="R12" s="62">
        <f>Districts!N10</f>
        <v>1</v>
      </c>
      <c r="S12" s="62">
        <f>Districts!O10</f>
        <v>0</v>
      </c>
      <c r="U12" s="62">
        <f>Districts!P10</f>
        <v>4</v>
      </c>
      <c r="V12" s="62">
        <f>Districts!Q10</f>
        <v>1</v>
      </c>
      <c r="W12" s="62">
        <f>Districts!R10</f>
        <v>3</v>
      </c>
      <c r="X12" s="61" t="e">
        <f t="shared" si="2"/>
        <v>#DIV/0!</v>
      </c>
      <c r="Y12">
        <f>IF(ISNA(VLOOKUP($Z12,'DD Ins'!$A$2:$N$217,14,0)),0,VLOOKUP($Z12,'DD Ins'!$A$2:$N$217,14,0))</f>
        <v>1</v>
      </c>
      <c r="Z12">
        <f t="shared" si="1"/>
        <v>8</v>
      </c>
    </row>
    <row r="13" spans="1:26">
      <c r="A13" t="str">
        <f>IF(ISNA(VLOOKUP($B13,DD_Info!$A$2:$F$221,2,0)),0,VLOOKUP($B13,DD_Info!$A$2:$F$221,2,0))</f>
        <v>Jesus  Quinones</v>
      </c>
      <c r="B13" s="24">
        <v>9</v>
      </c>
      <c r="C13" s="85">
        <f>IF(ISNA(VLOOKUP($B13,DD_Info!$A$2:$F$221,5,0)),0,VLOOKUP($B13,DD_Info!$A$2:$F$221,5,0))</f>
        <v>3</v>
      </c>
      <c r="D13" s="62">
        <f>Districts!C11</f>
        <v>69</v>
      </c>
      <c r="E13" s="62">
        <f>Districts!D11</f>
        <v>4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1</v>
      </c>
      <c r="K13" s="62">
        <f>Districts!I11</f>
        <v>0</v>
      </c>
      <c r="L13" s="62">
        <f>Districts!J11</f>
        <v>1</v>
      </c>
      <c r="M13" s="61">
        <f t="shared" si="0"/>
        <v>0.25</v>
      </c>
      <c r="N13">
        <f ca="1">IF(ISNA(VLOOKUP($Z13,'DD Mbr'!$A$2:$N$212,14,0)),0,VLOOKUP($Z13,'DD Mbr'!$A$2:$N$212,14,0))</f>
        <v>46</v>
      </c>
      <c r="P13" s="62">
        <f>Districts!L11</f>
        <v>0</v>
      </c>
      <c r="Q13" s="62">
        <f>Districts!M11</f>
        <v>0</v>
      </c>
      <c r="R13" s="62">
        <f>Districts!N11</f>
        <v>1</v>
      </c>
      <c r="S13" s="62">
        <f>Districts!O11</f>
        <v>-1</v>
      </c>
      <c r="U13" s="62">
        <f>Districts!P11</f>
        <v>0</v>
      </c>
      <c r="V13" s="62">
        <f>Districts!Q11</f>
        <v>1</v>
      </c>
      <c r="W13" s="62">
        <f>Districts!R11</f>
        <v>-1</v>
      </c>
      <c r="X13" s="61" t="e">
        <f t="shared" si="2"/>
        <v>#DIV/0!</v>
      </c>
      <c r="Y13">
        <f>IF(ISNA(VLOOKUP($Z13,'DD Ins'!$A$2:$N$217,14,0)),0,VLOOKUP($Z13,'DD Ins'!$A$2:$N$217,14,0))</f>
        <v>1</v>
      </c>
      <c r="Z13">
        <f t="shared" si="1"/>
        <v>9</v>
      </c>
    </row>
    <row r="14" spans="1:26">
      <c r="A14" t="str">
        <f>IF(ISNA(VLOOKUP($B14,DD_Info!$A$2:$F$221,2,0)),0,VLOOKUP($B14,DD_Info!$A$2:$F$221,2,0))</f>
        <v>Robert  Diaz</v>
      </c>
      <c r="B14" s="24">
        <v>10</v>
      </c>
      <c r="C14" s="85">
        <f>IF(ISNA(VLOOKUP($B14,DD_Info!$A$2:$F$221,5,0)),0,VLOOKUP($B14,DD_Info!$A$2:$F$221,5,0))</f>
        <v>3</v>
      </c>
      <c r="D14" s="62">
        <f>Districts!C12</f>
        <v>181</v>
      </c>
      <c r="E14" s="62">
        <f>Districts!D12</f>
        <v>6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1</v>
      </c>
      <c r="K14" s="62">
        <f>Districts!I12</f>
        <v>2</v>
      </c>
      <c r="L14" s="62">
        <f>Districts!J12</f>
        <v>-1</v>
      </c>
      <c r="M14" s="61">
        <f t="shared" si="0"/>
        <v>-0.16666666666666666</v>
      </c>
      <c r="N14">
        <f ca="1">IF(ISNA(VLOOKUP($Z14,'DD Mbr'!$A$2:$N$212,14,0)),0,VLOOKUP($Z14,'DD Mbr'!$A$2:$N$212,14,0))</f>
        <v>187</v>
      </c>
      <c r="P14" s="62">
        <f>Districts!L12</f>
        <v>0</v>
      </c>
      <c r="Q14" s="62">
        <f>Districts!M12</f>
        <v>0</v>
      </c>
      <c r="R14" s="62">
        <f>Districts!N12</f>
        <v>1</v>
      </c>
      <c r="S14" s="62">
        <f>Districts!O12</f>
        <v>-1</v>
      </c>
      <c r="U14" s="62">
        <f>Districts!P12</f>
        <v>0</v>
      </c>
      <c r="V14" s="62">
        <f>Districts!Q12</f>
        <v>1</v>
      </c>
      <c r="W14" s="62">
        <f>Districts!R12</f>
        <v>-1</v>
      </c>
      <c r="X14" s="61" t="e">
        <f t="shared" si="2"/>
        <v>#DIV/0!</v>
      </c>
      <c r="Y14">
        <f>IF(ISNA(VLOOKUP($Z14,'DD Ins'!$A$2:$N$217,14,0)),0,VLOOKUP($Z14,'DD Ins'!$A$2:$N$217,14,0))</f>
        <v>1</v>
      </c>
      <c r="Z14">
        <f t="shared" si="1"/>
        <v>10</v>
      </c>
    </row>
    <row r="15" spans="1:26">
      <c r="A15" t="str">
        <f>IF(ISNA(VLOOKUP($B15,DD_Info!$A$2:$F$221,2,0)),0,VLOOKUP($B15,DD_Info!$A$2:$F$221,2,0))</f>
        <v>Ramon J Salgado</v>
      </c>
      <c r="B15" s="24">
        <v>11</v>
      </c>
      <c r="C15" s="85">
        <f>IF(ISNA(VLOOKUP($B15,DD_Info!$A$2:$F$221,5,0)),0,VLOOKUP($B15,DD_Info!$A$2:$F$221,5,0))</f>
        <v>3</v>
      </c>
      <c r="D15" s="62">
        <f>Districts!C13</f>
        <v>172</v>
      </c>
      <c r="E15" s="62">
        <f>Districts!D13</f>
        <v>6</v>
      </c>
      <c r="F15" s="62">
        <f>Districts!E13</f>
        <v>1</v>
      </c>
      <c r="G15" s="62">
        <f>Districts!F13</f>
        <v>0</v>
      </c>
      <c r="H15" s="62">
        <f>Districts!G13</f>
        <v>1</v>
      </c>
      <c r="I15" s="62"/>
      <c r="J15" s="62">
        <f>Districts!H13</f>
        <v>5</v>
      </c>
      <c r="K15" s="62">
        <f>Districts!I13</f>
        <v>0</v>
      </c>
      <c r="L15" s="62">
        <f>Districts!J13</f>
        <v>5</v>
      </c>
      <c r="M15" s="61">
        <f t="shared" si="0"/>
        <v>0.83333333333333337</v>
      </c>
      <c r="N15">
        <f ca="1">IF(ISNA(VLOOKUP($Z15,'DD Mbr'!$A$2:$N$212,14,0)),0,VLOOKUP($Z15,'DD Mbr'!$A$2:$N$212,14,0))</f>
        <v>6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1</v>
      </c>
      <c r="V15" s="62">
        <f>Districts!Q13</f>
        <v>1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1</v>
      </c>
      <c r="Z15">
        <f t="shared" si="1"/>
        <v>11</v>
      </c>
    </row>
    <row r="16" spans="1:26">
      <c r="A16" t="str">
        <f>IF(ISNA(VLOOKUP($B16,DD_Info!$A$2:$F$221,2,0)),0,VLOOKUP($B16,DD_Info!$A$2:$F$221,2,0))</f>
        <v>Juan A Dominguez</v>
      </c>
      <c r="B16" s="24">
        <v>12</v>
      </c>
      <c r="C16" s="85">
        <f>IF(ISNA(VLOOKUP($B16,DD_Info!$A$2:$F$221,5,0)),0,VLOOKUP($B16,DD_Info!$A$2:$F$221,5,0))</f>
        <v>3</v>
      </c>
      <c r="D16" s="62">
        <f>Districts!C14</f>
        <v>246</v>
      </c>
      <c r="E16" s="62">
        <f>Districts!D14</f>
        <v>9</v>
      </c>
      <c r="F16" s="62">
        <f>Districts!E14</f>
        <v>0</v>
      </c>
      <c r="G16" s="62">
        <f>Districts!F14</f>
        <v>0</v>
      </c>
      <c r="H16" s="62">
        <f>Districts!G14</f>
        <v>0</v>
      </c>
      <c r="I16" s="62"/>
      <c r="J16" s="62">
        <f>Districts!H14</f>
        <v>0</v>
      </c>
      <c r="K16" s="62">
        <f>Districts!I14</f>
        <v>0</v>
      </c>
      <c r="L16" s="62">
        <f>Districts!J14</f>
        <v>0</v>
      </c>
      <c r="M16" s="61">
        <f>IFERROR(L16/E16,0)</f>
        <v>0</v>
      </c>
      <c r="N16">
        <f ca="1">IF(ISNA(VLOOKUP($Z16,'DD Mbr'!$A$2:$N$212,14,0)),0,VLOOKUP($Z16,'DD Mbr'!$A$2:$N$212,14,0))</f>
        <v>127</v>
      </c>
      <c r="P16" s="62">
        <f>Districts!L14</f>
        <v>0</v>
      </c>
      <c r="Q16" s="62">
        <f>Districts!M14</f>
        <v>0</v>
      </c>
      <c r="R16" s="62">
        <f>Districts!N14</f>
        <v>0</v>
      </c>
      <c r="S16" s="62">
        <f>Districts!O14</f>
        <v>0</v>
      </c>
      <c r="U16" s="62">
        <f>Districts!P14</f>
        <v>0</v>
      </c>
      <c r="V16" s="62">
        <f>Districts!Q14</f>
        <v>0</v>
      </c>
      <c r="W16" s="62">
        <f>Districts!R14</f>
        <v>0</v>
      </c>
      <c r="X16" s="61" t="e">
        <f>ROUNDDOWN(+W16/P16,3)</f>
        <v>#DIV/0!</v>
      </c>
      <c r="Y16">
        <f>IF(ISNA(VLOOKUP($Z16,'DD Ins'!$A$2:$N$217,14,0)),0,VLOOKUP($Z16,'DD Ins'!$A$2:$N$217,14,0))</f>
        <v>0</v>
      </c>
      <c r="Z16">
        <f>+B16</f>
        <v>12</v>
      </c>
    </row>
    <row r="17" spans="4:23">
      <c r="D17" s="62">
        <f t="shared" ref="D17:L17" si="3">SUM(D5:D16)</f>
        <v>2970</v>
      </c>
      <c r="E17" s="62">
        <f t="shared" si="3"/>
        <v>100</v>
      </c>
      <c r="F17" s="62">
        <f t="shared" si="3"/>
        <v>12</v>
      </c>
      <c r="G17" s="62">
        <f t="shared" si="3"/>
        <v>1</v>
      </c>
      <c r="H17" s="62">
        <f t="shared" si="3"/>
        <v>11</v>
      </c>
      <c r="I17" s="62">
        <f t="shared" si="3"/>
        <v>0</v>
      </c>
      <c r="J17" s="62">
        <f t="shared" si="3"/>
        <v>67</v>
      </c>
      <c r="K17" s="62">
        <f t="shared" si="3"/>
        <v>15</v>
      </c>
      <c r="L17" s="62">
        <f t="shared" si="3"/>
        <v>52</v>
      </c>
      <c r="P17" s="62">
        <f t="shared" ref="P17:W17" si="4">SUM(P5:P16)</f>
        <v>0</v>
      </c>
      <c r="Q17" s="62">
        <f t="shared" si="4"/>
        <v>2</v>
      </c>
      <c r="R17" s="62">
        <f t="shared" si="4"/>
        <v>7</v>
      </c>
      <c r="S17" s="62">
        <f t="shared" si="4"/>
        <v>-5</v>
      </c>
      <c r="T17" s="62">
        <f t="shared" si="4"/>
        <v>0</v>
      </c>
      <c r="U17" s="62">
        <f t="shared" si="4"/>
        <v>6</v>
      </c>
      <c r="V17" s="62">
        <f t="shared" si="4"/>
        <v>14</v>
      </c>
      <c r="W17" s="62">
        <f t="shared" si="4"/>
        <v>-8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  <hyperlink ref="B16" location="'DD12'!A3" tooltip="Display Councils in District" display="'DD12'!A3" xr:uid="{00000000-0004-0000-2100-00000D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2"/>
  <sheetViews>
    <sheetView workbookViewId="0">
      <selection activeCell="W11" sqref="W11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847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Ron  Railsback</v>
      </c>
      <c r="B5" s="55">
        <v>196</v>
      </c>
      <c r="C5" s="85">
        <f>IF(ISNA(VLOOKUP($B5,DD_Info!$A$2:$F$221,5,0)),0,VLOOKUP($B5,DD_Info!$A$2:$F$221,5,0))</f>
        <v>1</v>
      </c>
      <c r="D5" s="62">
        <f>Districts!C177</f>
        <v>585</v>
      </c>
      <c r="E5" s="62">
        <f>Districts!D177</f>
        <v>19</v>
      </c>
      <c r="F5" s="62">
        <f>Districts!E177</f>
        <v>1</v>
      </c>
      <c r="G5" s="62">
        <f>Districts!F177</f>
        <v>1</v>
      </c>
      <c r="H5" s="62">
        <f>Districts!G177</f>
        <v>0</v>
      </c>
      <c r="J5" s="62">
        <f>Districts!H177</f>
        <v>2</v>
      </c>
      <c r="K5" s="62">
        <f>Districts!I177</f>
        <v>1</v>
      </c>
      <c r="L5" s="62">
        <f>Districts!J177</f>
        <v>1</v>
      </c>
      <c r="M5" s="61">
        <f t="shared" ref="M5:M9" si="0">IFERROR(ROUND(+L5/E5,3),0)</f>
        <v>5.2999999999999999E-2</v>
      </c>
      <c r="N5">
        <f ca="1">IF(ISNA(VLOOKUP($Z5,'DD Mbr'!$A$2:$N$212,14,0)),0,VLOOKUP($Z5,'DD Mbr'!$A$2:$N$212,14,0))</f>
        <v>115</v>
      </c>
      <c r="P5" s="62">
        <f>Districts!L177</f>
        <v>0</v>
      </c>
      <c r="Q5" s="62">
        <f>Districts!M177</f>
        <v>0</v>
      </c>
      <c r="R5" s="62">
        <f>Districts!N177</f>
        <v>2</v>
      </c>
      <c r="S5" s="62">
        <f>Districts!O177</f>
        <v>-2</v>
      </c>
      <c r="U5" s="62">
        <f>Districts!P177</f>
        <v>2</v>
      </c>
      <c r="V5" s="62">
        <f>Districts!Q177</f>
        <v>3</v>
      </c>
      <c r="W5" s="62">
        <f>Districts!R177</f>
        <v>-1</v>
      </c>
      <c r="X5" s="61">
        <f t="shared" ref="X5:X9" si="1">IFERROR(ROUND(+W5/P5,3),0)</f>
        <v>0</v>
      </c>
      <c r="Y5">
        <f>IF(ISNA(VLOOKUP($Z5,'DD Ins'!$A$2:$N$217,14,0)),0,VLOOKUP($Z5,'DD Ins'!$A$2:$N$217,14,0))</f>
        <v>1</v>
      </c>
      <c r="Z5">
        <f t="shared" ref="Z5:Z9" si="2">+B5</f>
        <v>196</v>
      </c>
    </row>
    <row r="6" spans="1:26">
      <c r="A6" t="str">
        <f>IF(ISNA(VLOOKUP($B6,DD_Info!$A$2:$F$221,2,0)),0,VLOOKUP($B6,DD_Info!$A$2:$F$221,2,0))</f>
        <v>James C Stark II</v>
      </c>
      <c r="B6" s="55">
        <v>197</v>
      </c>
      <c r="C6" s="85">
        <f>IF(ISNA(VLOOKUP($B6,DD_Info!$A$2:$F$221,5,0)),0,VLOOKUP($B6,DD_Info!$A$2:$F$221,5,0))</f>
        <v>3</v>
      </c>
      <c r="D6" s="62">
        <f>Districts!C178</f>
        <v>292</v>
      </c>
      <c r="E6" s="62">
        <f>Districts!D178</f>
        <v>11</v>
      </c>
      <c r="F6" s="62">
        <f>Districts!E178</f>
        <v>0</v>
      </c>
      <c r="G6" s="62">
        <f>Districts!F178</f>
        <v>0</v>
      </c>
      <c r="H6" s="62">
        <f>Districts!G178</f>
        <v>0</v>
      </c>
      <c r="J6" s="62">
        <f>Districts!H178</f>
        <v>0</v>
      </c>
      <c r="K6" s="62">
        <f>Districts!I178</f>
        <v>0</v>
      </c>
      <c r="L6" s="62">
        <f>Districts!J178</f>
        <v>0</v>
      </c>
      <c r="M6" s="61">
        <f t="shared" si="0"/>
        <v>0</v>
      </c>
      <c r="N6">
        <f ca="1">IF(ISNA(VLOOKUP($Z6,'DD Mbr'!$A$2:$N$212,14,0)),0,VLOOKUP($Z6,'DD Mbr'!$A$2:$N$212,14,0))</f>
        <v>127</v>
      </c>
      <c r="P6" s="62">
        <f>Districts!L178</f>
        <v>0</v>
      </c>
      <c r="Q6" s="62">
        <f>Districts!M178</f>
        <v>0</v>
      </c>
      <c r="R6" s="62">
        <f>Districts!N178</f>
        <v>0</v>
      </c>
      <c r="S6" s="62">
        <f>Districts!O178</f>
        <v>0</v>
      </c>
      <c r="U6" s="62">
        <f>Districts!P178</f>
        <v>0</v>
      </c>
      <c r="V6" s="62">
        <f>Districts!Q178</f>
        <v>2</v>
      </c>
      <c r="W6" s="62">
        <f>Districts!R178</f>
        <v>-2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197</v>
      </c>
    </row>
    <row r="7" spans="1:26">
      <c r="A7" t="str">
        <f>IF(ISNA(VLOOKUP($B7,DD_Info!$A$2:$F$221,2,0)),0,VLOOKUP($B7,DD_Info!$A$2:$F$221,2,0))</f>
        <v>Ignacio "Richard"  Romero</v>
      </c>
      <c r="B7" s="55">
        <v>198</v>
      </c>
      <c r="C7" s="85">
        <f>IF(ISNA(VLOOKUP($B7,DD_Info!$A$2:$F$221,5,0)),0,VLOOKUP($B7,DD_Info!$A$2:$F$221,5,0))</f>
        <v>2</v>
      </c>
      <c r="D7" s="62">
        <f>Districts!C179</f>
        <v>330</v>
      </c>
      <c r="E7" s="62">
        <f>Districts!D179</f>
        <v>12</v>
      </c>
      <c r="F7" s="62">
        <f>Districts!E179</f>
        <v>0</v>
      </c>
      <c r="G7" s="62">
        <f>Districts!F179</f>
        <v>0</v>
      </c>
      <c r="H7" s="62">
        <f>Districts!G179</f>
        <v>0</v>
      </c>
      <c r="J7" s="62">
        <f>Districts!H179</f>
        <v>0</v>
      </c>
      <c r="K7" s="62">
        <f>Districts!I179</f>
        <v>0</v>
      </c>
      <c r="L7" s="62">
        <f>Districts!J179</f>
        <v>0</v>
      </c>
      <c r="M7" s="61">
        <f t="shared" si="0"/>
        <v>0</v>
      </c>
      <c r="N7">
        <f ca="1">IF(ISNA(VLOOKUP($Z7,'DD Mbr'!$A$2:$N$212,14,0)),0,VLOOKUP($Z7,'DD Mbr'!$A$2:$N$212,14,0))</f>
        <v>127</v>
      </c>
      <c r="P7" s="62">
        <f>Districts!L179</f>
        <v>0</v>
      </c>
      <c r="Q7" s="62">
        <f>Districts!M179</f>
        <v>0</v>
      </c>
      <c r="R7" s="62">
        <f>Districts!N179</f>
        <v>0</v>
      </c>
      <c r="S7" s="62">
        <f>Districts!O179</f>
        <v>0</v>
      </c>
      <c r="U7" s="62">
        <f>Districts!P179</f>
        <v>1</v>
      </c>
      <c r="V7" s="62">
        <f>Districts!Q179</f>
        <v>5</v>
      </c>
      <c r="W7" s="62">
        <f>Districts!R179</f>
        <v>-4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198</v>
      </c>
    </row>
    <row r="8" spans="1:26">
      <c r="A8" t="str">
        <f>IF(ISNA(VLOOKUP($B8,DD_Info!$A$2:$F$221,2,0)),0,VLOOKUP($B8,DD_Info!$A$2:$F$221,2,0))</f>
        <v>Ray G Sistos</v>
      </c>
      <c r="B8" s="55">
        <v>199</v>
      </c>
      <c r="C8" s="85">
        <f>IF(ISNA(VLOOKUP($B8,DD_Info!$A$2:$F$221,5,0)),0,VLOOKUP($B8,DD_Info!$A$2:$F$221,5,0))</f>
        <v>2</v>
      </c>
      <c r="D8" s="62">
        <f>Districts!C180</f>
        <v>356</v>
      </c>
      <c r="E8" s="62">
        <f>Districts!D180</f>
        <v>13</v>
      </c>
      <c r="F8" s="62">
        <f>Districts!E180</f>
        <v>0</v>
      </c>
      <c r="G8" s="62">
        <f>Districts!F180</f>
        <v>0</v>
      </c>
      <c r="H8" s="62">
        <f>Districts!G180</f>
        <v>0</v>
      </c>
      <c r="J8" s="62">
        <f>Districts!H180</f>
        <v>9</v>
      </c>
      <c r="K8" s="62">
        <f>Districts!I180</f>
        <v>4</v>
      </c>
      <c r="L8" s="62">
        <f>Districts!J180</f>
        <v>5</v>
      </c>
      <c r="M8" s="61">
        <f t="shared" si="0"/>
        <v>0.38500000000000001</v>
      </c>
      <c r="N8">
        <f ca="1">IF(ISNA(VLOOKUP($Z8,'DD Mbr'!$A$2:$N$212,14,0)),0,VLOOKUP($Z8,'DD Mbr'!$A$2:$N$212,14,0))</f>
        <v>37</v>
      </c>
      <c r="P8" s="62">
        <f>Districts!L180</f>
        <v>0</v>
      </c>
      <c r="Q8" s="62">
        <f>Districts!M180</f>
        <v>0</v>
      </c>
      <c r="R8" s="62">
        <f>Districts!N180</f>
        <v>0</v>
      </c>
      <c r="S8" s="62">
        <f>Districts!O180</f>
        <v>0</v>
      </c>
      <c r="U8" s="62">
        <f>Districts!P180</f>
        <v>2</v>
      </c>
      <c r="V8" s="62">
        <f>Districts!Q180</f>
        <v>5</v>
      </c>
      <c r="W8" s="62">
        <f>Districts!R180</f>
        <v>-3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199</v>
      </c>
    </row>
    <row r="9" spans="1:26">
      <c r="A9" t="str">
        <f>IF(ISNA(VLOOKUP($B9,DD_Info!$A$2:$F$221,2,0)),0,VLOOKUP($B9,DD_Info!$A$2:$F$221,2,0))</f>
        <v>Heath  Henderson</v>
      </c>
      <c r="B9" s="55">
        <v>200</v>
      </c>
      <c r="C9" s="85">
        <f>IF(ISNA(VLOOKUP($B9,DD_Info!$A$2:$F$221,5,0)),0,VLOOKUP($B9,DD_Info!$A$2:$F$221,5,0))</f>
        <v>2</v>
      </c>
      <c r="D9" s="62">
        <f>Districts!C181</f>
        <v>324</v>
      </c>
      <c r="E9" s="62">
        <f>Districts!D181</f>
        <v>12</v>
      </c>
      <c r="F9" s="62">
        <f>Districts!E181</f>
        <v>0</v>
      </c>
      <c r="G9" s="62">
        <f>Districts!F181</f>
        <v>0</v>
      </c>
      <c r="H9" s="62">
        <f>Districts!G181</f>
        <v>0</v>
      </c>
      <c r="J9" s="62">
        <f>Districts!H181</f>
        <v>0</v>
      </c>
      <c r="K9" s="62">
        <f>Districts!I181</f>
        <v>0</v>
      </c>
      <c r="L9" s="62">
        <f>Districts!J181</f>
        <v>0</v>
      </c>
      <c r="M9" s="61">
        <f t="shared" si="0"/>
        <v>0</v>
      </c>
      <c r="N9">
        <f ca="1">IF(ISNA(VLOOKUP($Z9,'DD Mbr'!$A$2:$N$212,14,0)),0,VLOOKUP($Z9,'DD Mbr'!$A$2:$N$212,14,0))</f>
        <v>127</v>
      </c>
      <c r="P9" s="62">
        <f>Districts!L181</f>
        <v>0</v>
      </c>
      <c r="Q9" s="62">
        <f>Districts!M181</f>
        <v>1</v>
      </c>
      <c r="R9" s="62">
        <f>Districts!N181</f>
        <v>0</v>
      </c>
      <c r="S9" s="62">
        <f>Districts!O181</f>
        <v>1</v>
      </c>
      <c r="U9" s="62">
        <f>Districts!P181</f>
        <v>2</v>
      </c>
      <c r="V9" s="62">
        <f>Districts!Q181</f>
        <v>0</v>
      </c>
      <c r="W9" s="62">
        <f>Districts!R181</f>
        <v>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200</v>
      </c>
    </row>
    <row r="10" spans="1:26">
      <c r="A10" t="str">
        <f>IF(ISNA(VLOOKUP($B10,DD_Info!$A$2:$F$221,2,0)),0,VLOOKUP($B10,DD_Info!$A$2:$F$221,2,0))</f>
        <v>TO BE APPOINTED</v>
      </c>
      <c r="B10" s="55">
        <v>201</v>
      </c>
      <c r="C10" s="85">
        <f>IF(ISNA(VLOOKUP($B10,DD_Info!$A$2:$F$221,5,0)),0,VLOOKUP($B10,DD_Info!$A$2:$F$221,5,0))</f>
        <v>3</v>
      </c>
      <c r="D10" s="62">
        <f>Districts!C182</f>
        <v>289</v>
      </c>
      <c r="E10" s="62">
        <f>Districts!D182</f>
        <v>11</v>
      </c>
      <c r="F10" s="62">
        <f>Districts!E182</f>
        <v>0</v>
      </c>
      <c r="G10" s="62">
        <f>Districts!F182</f>
        <v>0</v>
      </c>
      <c r="H10" s="62">
        <f>Districts!G182</f>
        <v>0</v>
      </c>
      <c r="J10" s="62">
        <f>Districts!H182</f>
        <v>1</v>
      </c>
      <c r="K10" s="62">
        <f>Districts!I182</f>
        <v>0</v>
      </c>
      <c r="L10" s="62">
        <f>Districts!J182</f>
        <v>1</v>
      </c>
      <c r="M10" s="61">
        <f t="shared" ref="M10:M11" si="3">IFERROR(ROUND(+L10/E10,3),0)</f>
        <v>9.0999999999999998E-2</v>
      </c>
      <c r="N10">
        <f ca="1">IF(ISNA(VLOOKUP($Z10,'DD Mbr'!$A$2:$N$212,14,0)),0,VLOOKUP($Z10,'DD Mbr'!$A$2:$N$212,14,0))</f>
        <v>88</v>
      </c>
      <c r="P10" s="62">
        <f>Districts!L182</f>
        <v>0</v>
      </c>
      <c r="Q10" s="62">
        <f>Districts!M182</f>
        <v>0</v>
      </c>
      <c r="R10" s="62">
        <f>Districts!N182</f>
        <v>0</v>
      </c>
      <c r="S10" s="62">
        <f>Districts!O182</f>
        <v>0</v>
      </c>
      <c r="U10" s="62">
        <f>Districts!P182</f>
        <v>0</v>
      </c>
      <c r="V10" s="62">
        <f>Districts!Q182</f>
        <v>1</v>
      </c>
      <c r="W10" s="62">
        <f>Districts!R182</f>
        <v>-1</v>
      </c>
      <c r="X10" s="61">
        <f t="shared" ref="X10:X11" si="4">IFERROR(ROUND(+W10/P10,3),0)</f>
        <v>0</v>
      </c>
      <c r="Y10">
        <f>IF(ISNA(VLOOKUP($Z10,'DD Ins'!$A$2:$N$217,14,0)),0,VLOOKUP($Z10,'DD Ins'!$A$2:$N$217,14,0))</f>
        <v>1</v>
      </c>
      <c r="Z10">
        <v>201</v>
      </c>
    </row>
    <row r="11" spans="1:26">
      <c r="A11" t="str">
        <f>IF(ISNA(VLOOKUP($B11,DD_Info!$A$2:$F$221,2,0)),0,VLOOKUP($B11,DD_Info!$A$2:$F$221,2,0))</f>
        <v>Christopher A Johnson</v>
      </c>
      <c r="B11" s="55">
        <v>202</v>
      </c>
      <c r="C11" s="85">
        <f>IF(ISNA(VLOOKUP($B11,DD_Info!$A$2:$F$221,5,0)),0,VLOOKUP($B11,DD_Info!$A$2:$F$221,5,0))</f>
        <v>3</v>
      </c>
      <c r="D11" s="62">
        <f>Districts!C183</f>
        <v>84</v>
      </c>
      <c r="E11" s="62">
        <f>Districts!D183</f>
        <v>3</v>
      </c>
      <c r="F11" s="62">
        <f>Districts!E183</f>
        <v>0</v>
      </c>
      <c r="G11" s="62">
        <f>Districts!F183</f>
        <v>0</v>
      </c>
      <c r="H11" s="62">
        <f>Districts!G183</f>
        <v>0</v>
      </c>
      <c r="J11" s="62">
        <f>Districts!H183</f>
        <v>0</v>
      </c>
      <c r="K11" s="62">
        <f>Districts!I183</f>
        <v>0</v>
      </c>
      <c r="L11" s="62">
        <f>Districts!J183</f>
        <v>0</v>
      </c>
      <c r="M11" s="61">
        <f t="shared" si="3"/>
        <v>0</v>
      </c>
      <c r="N11">
        <f ca="1">IF(ISNA(VLOOKUP($Z11,'DD Mbr'!$A$2:$N$212,14,0)),0,VLOOKUP($Z11,'DD Mbr'!$A$2:$N$212,14,0))</f>
        <v>127</v>
      </c>
      <c r="P11" s="62">
        <f>Districts!L183</f>
        <v>0</v>
      </c>
      <c r="Q11" s="62">
        <f>Districts!M183</f>
        <v>0</v>
      </c>
      <c r="R11" s="62">
        <f>Districts!N183</f>
        <v>0</v>
      </c>
      <c r="S11" s="62">
        <f>Districts!O183</f>
        <v>0</v>
      </c>
      <c r="U11" s="62">
        <f>Districts!P183</f>
        <v>0</v>
      </c>
      <c r="V11" s="62">
        <f>Districts!Q183</f>
        <v>0</v>
      </c>
      <c r="W11" s="62">
        <f>Districts!R183</f>
        <v>0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v>202</v>
      </c>
    </row>
    <row r="12" spans="1:26">
      <c r="D12" s="62">
        <f>SUM(D5:D9)</f>
        <v>1887</v>
      </c>
      <c r="E12" s="62">
        <f t="shared" ref="E12:L12" si="5">SUM(E5:E9)</f>
        <v>67</v>
      </c>
      <c r="F12" s="62">
        <f t="shared" si="5"/>
        <v>1</v>
      </c>
      <c r="G12" s="62">
        <f t="shared" si="5"/>
        <v>1</v>
      </c>
      <c r="H12" s="62">
        <f t="shared" si="5"/>
        <v>0</v>
      </c>
      <c r="I12" s="62">
        <f t="shared" si="5"/>
        <v>0</v>
      </c>
      <c r="J12" s="62">
        <f t="shared" si="5"/>
        <v>11</v>
      </c>
      <c r="K12" s="62">
        <f t="shared" si="5"/>
        <v>5</v>
      </c>
      <c r="L12" s="62">
        <f t="shared" si="5"/>
        <v>6</v>
      </c>
      <c r="P12" s="62">
        <f>SUM(P5:P9)</f>
        <v>0</v>
      </c>
      <c r="Q12" s="62">
        <f t="shared" ref="Q12:W12" si="6">SUM(Q5:Q9)</f>
        <v>1</v>
      </c>
      <c r="R12" s="62">
        <f t="shared" si="6"/>
        <v>2</v>
      </c>
      <c r="S12" s="62">
        <f t="shared" si="6"/>
        <v>-1</v>
      </c>
      <c r="T12" s="62">
        <f t="shared" si="6"/>
        <v>0</v>
      </c>
      <c r="U12" s="62">
        <f t="shared" si="6"/>
        <v>7</v>
      </c>
      <c r="V12" s="62">
        <f t="shared" si="6"/>
        <v>15</v>
      </c>
      <c r="W12" s="62">
        <f t="shared" si="6"/>
        <v>-8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  <hyperlink ref="B11" location="'DD202'!A3" tooltip="District 200 Councils" display="'DD202'!A3" xr:uid="{7736D292-7A22-4295-BAE3-4B0A625E9E3F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8"/>
  <sheetViews>
    <sheetView topLeftCell="A3" workbookViewId="0">
      <selection activeCell="W27" sqref="W27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IF(ISNA(VLOOKUP($B5,DD_Info!$A$2:$F$222,2,0)),0,VLOOKUP($B5,DD_Info!$A$2:$F$222,2,0))</f>
        <v>Kenneth  Ratajczak</v>
      </c>
      <c r="B5" s="55">
        <v>141</v>
      </c>
      <c r="C5" s="85">
        <f>IF(ISNA(VLOOKUP($B5,DD_Info!$A$2:$F$222,5,0)),0,VLOOKUP($B5,DD_Info!$A$2:$F$222,5,0))</f>
        <v>1</v>
      </c>
      <c r="D5" s="62">
        <f>Districts!C131</f>
        <v>1017</v>
      </c>
      <c r="E5" s="62">
        <f>Districts!D131</f>
        <v>31</v>
      </c>
      <c r="F5" s="62">
        <f>Districts!E131</f>
        <v>0</v>
      </c>
      <c r="G5" s="62">
        <f>Districts!F131</f>
        <v>0</v>
      </c>
      <c r="H5" s="62">
        <f>Districts!G131</f>
        <v>0</v>
      </c>
      <c r="J5" s="62">
        <f>Districts!H131</f>
        <v>4</v>
      </c>
      <c r="K5" s="62">
        <f>Districts!I131</f>
        <v>1</v>
      </c>
      <c r="L5" s="62">
        <f>Districts!J131</f>
        <v>3</v>
      </c>
      <c r="M5" s="61">
        <f>IFERROR(ROUND(+L5/E5,3),0)</f>
        <v>9.7000000000000003E-2</v>
      </c>
      <c r="N5">
        <f ca="1">IF(ISNA(VLOOKUP($Z5,'DD Mbr'!$A$2:$N$214,14,0)),0,VLOOKUP($Z5,'DD Mbr'!$A$2:$N$214,14,0))</f>
        <v>106</v>
      </c>
      <c r="P5" s="62">
        <f>Districts!L131</f>
        <v>0</v>
      </c>
      <c r="Q5" s="62">
        <f>Districts!M131</f>
        <v>0</v>
      </c>
      <c r="R5" s="62">
        <f>Districts!N131</f>
        <v>1</v>
      </c>
      <c r="S5" s="62">
        <f>Districts!O131</f>
        <v>-1</v>
      </c>
      <c r="U5" s="62">
        <f>Districts!P131</f>
        <v>4</v>
      </c>
      <c r="V5" s="62">
        <f>Districts!Q131</f>
        <v>1</v>
      </c>
      <c r="W5" s="62">
        <f>Districts!R131</f>
        <v>3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141</v>
      </c>
    </row>
    <row r="6" spans="1:26">
      <c r="A6" t="str">
        <f>IF(ISNA(VLOOKUP($B6,DD_Info!$A$2:$F$221,2,0)),0,VLOOKUP($B6,DD_Info!$A$2:$F$221,2,0))</f>
        <v>Bernard F Ott Jr</v>
      </c>
      <c r="B6" s="55">
        <v>142</v>
      </c>
      <c r="C6" s="85">
        <f>IF(ISNA(VLOOKUP($B6,DD_Info!$A$2:$F$221,5,0)),0,VLOOKUP($B6,DD_Info!$A$2:$F$221,5,0))</f>
        <v>2</v>
      </c>
      <c r="D6" s="62">
        <f>Districts!C132</f>
        <v>368</v>
      </c>
      <c r="E6" s="62">
        <f>Districts!D132</f>
        <v>14</v>
      </c>
      <c r="F6" s="62">
        <f>Districts!E132</f>
        <v>0</v>
      </c>
      <c r="G6" s="62">
        <f>Districts!F132</f>
        <v>0</v>
      </c>
      <c r="H6" s="62">
        <f>Districts!G132</f>
        <v>0</v>
      </c>
      <c r="J6" s="62">
        <f>Districts!H132</f>
        <v>8</v>
      </c>
      <c r="K6" s="62">
        <f>Districts!I132</f>
        <v>4</v>
      </c>
      <c r="L6" s="62">
        <f>Districts!J132</f>
        <v>4</v>
      </c>
      <c r="M6" s="61">
        <f t="shared" ref="M6:M26" si="0">IFERROR(ROUND(+L6/E6,3),0)</f>
        <v>0.28599999999999998</v>
      </c>
      <c r="N6">
        <f ca="1">IF(ISNA(VLOOKUP($Z6,'DD Mbr'!$A$2:$N$212,14,0)),0,VLOOKUP($Z6,'DD Mbr'!$A$2:$N$212,14,0))</f>
        <v>54</v>
      </c>
      <c r="P6" s="62">
        <f>Districts!L132</f>
        <v>0</v>
      </c>
      <c r="Q6" s="62">
        <f>Districts!M132</f>
        <v>0</v>
      </c>
      <c r="R6" s="62">
        <f>Districts!N132</f>
        <v>1</v>
      </c>
      <c r="S6" s="62">
        <f>Districts!O132</f>
        <v>-1</v>
      </c>
      <c r="U6" s="62">
        <f>Districts!P132</f>
        <v>8</v>
      </c>
      <c r="V6" s="62">
        <f>Districts!Q132</f>
        <v>4</v>
      </c>
      <c r="W6" s="62">
        <f>Districts!R132</f>
        <v>4</v>
      </c>
      <c r="X6" s="61">
        <f t="shared" ref="X6:X26" si="1">IFERROR(ROUND(+W6/P6,3),0)</f>
        <v>0</v>
      </c>
      <c r="Y6">
        <f>IF(ISNA(VLOOKUP($Z6,'DD Ins'!$A$2:$N$217,14,0)),0,VLOOKUP($Z6,'DD Ins'!$A$2:$N$217,14,0))</f>
        <v>1</v>
      </c>
      <c r="Z6">
        <f t="shared" ref="Z6:Z26" si="2">+B6</f>
        <v>142</v>
      </c>
    </row>
    <row r="7" spans="1:26">
      <c r="A7" t="str">
        <f>IF(ISNA(VLOOKUP($B7,DD_Info!$A$2:$F$221,2,0)),0,VLOOKUP($B7,DD_Info!$A$2:$F$221,2,0))</f>
        <v>Eugene  Presta</v>
      </c>
      <c r="B7" s="55">
        <v>143</v>
      </c>
      <c r="C7" s="85">
        <f>IF(ISNA(VLOOKUP($B7,DD_Info!$A$2:$F$221,5,0)),0,VLOOKUP($B7,DD_Info!$A$2:$F$221,5,0))</f>
        <v>1</v>
      </c>
      <c r="D7" s="62">
        <f>Districts!C133</f>
        <v>743</v>
      </c>
      <c r="E7" s="62">
        <f>Districts!D133</f>
        <v>25</v>
      </c>
      <c r="F7" s="62">
        <f>Districts!E133</f>
        <v>1</v>
      </c>
      <c r="G7" s="62">
        <f>Districts!F133</f>
        <v>0</v>
      </c>
      <c r="H7" s="62">
        <f>Districts!G133</f>
        <v>1</v>
      </c>
      <c r="J7" s="62">
        <f>Districts!H133</f>
        <v>10</v>
      </c>
      <c r="K7" s="62">
        <f>Districts!I133</f>
        <v>0</v>
      </c>
      <c r="L7" s="62">
        <f>Districts!J133</f>
        <v>10</v>
      </c>
      <c r="M7" s="61">
        <f t="shared" si="0"/>
        <v>0.4</v>
      </c>
      <c r="N7">
        <f ca="1">IF(ISNA(VLOOKUP($Z7,'DD Mbr'!$A$2:$N$212,14,0)),0,VLOOKUP($Z7,'DD Mbr'!$A$2:$N$212,14,0))</f>
        <v>41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2</v>
      </c>
      <c r="V7" s="62">
        <f>Districts!Q133</f>
        <v>3</v>
      </c>
      <c r="W7" s="62">
        <f>Districts!R133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143</v>
      </c>
    </row>
    <row r="8" spans="1:26">
      <c r="A8" t="str">
        <f>IF(ISNA(VLOOKUP($B8,DD_Info!$A$2:$F$221,2,0)),0,VLOOKUP($B8,DD_Info!$A$2:$F$221,2,0))</f>
        <v>TO BE APPOINTED</v>
      </c>
      <c r="B8" s="55">
        <v>144</v>
      </c>
      <c r="C8" s="85">
        <f>IF(ISNA(VLOOKUP($B8,DD_Info!$A$2:$F$221,5,0)),0,VLOOKUP($B8,DD_Info!$A$2:$F$221,5,0))</f>
        <v>3</v>
      </c>
      <c r="D8" s="62">
        <f>Districts!C134</f>
        <v>299</v>
      </c>
      <c r="E8" s="62">
        <f>Districts!D134</f>
        <v>11</v>
      </c>
      <c r="F8" s="62">
        <f>Districts!E134</f>
        <v>2</v>
      </c>
      <c r="G8" s="62">
        <f>Districts!F134</f>
        <v>0</v>
      </c>
      <c r="H8" s="62">
        <f>Districts!G134</f>
        <v>2</v>
      </c>
      <c r="J8" s="62">
        <f>Districts!H134</f>
        <v>2</v>
      </c>
      <c r="K8" s="62">
        <f>Districts!I134</f>
        <v>0</v>
      </c>
      <c r="L8" s="62">
        <f>Districts!J134</f>
        <v>2</v>
      </c>
      <c r="M8" s="61">
        <f t="shared" si="0"/>
        <v>0.182</v>
      </c>
      <c r="N8">
        <f ca="1">IF(ISNA(VLOOKUP($Z8,'DD Mbr'!$A$2:$N$212,14,0)),0,VLOOKUP($Z8,'DD Mbr'!$A$2:$N$212,14,0))</f>
        <v>74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0</v>
      </c>
      <c r="V8" s="62">
        <f>Districts!Q134</f>
        <v>0</v>
      </c>
      <c r="W8" s="62">
        <f>Districts!R134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144</v>
      </c>
    </row>
    <row r="9" spans="1:26">
      <c r="A9" t="str">
        <f>IF(ISNA(VLOOKUP($B9,DD_Info!$A$2:$F$221,2,0)),0,VLOOKUP($B9,DD_Info!$A$2:$F$221,2,0))</f>
        <v>Wayne  McCart</v>
      </c>
      <c r="B9" s="55">
        <v>145</v>
      </c>
      <c r="C9" s="85">
        <f>IF(ISNA(VLOOKUP($B9,DD_Info!$A$2:$F$221,5,0)),0,VLOOKUP($B9,DD_Info!$A$2:$F$221,5,0))</f>
        <v>3</v>
      </c>
      <c r="D9" s="62">
        <f>Districts!C135</f>
        <v>80</v>
      </c>
      <c r="E9" s="62">
        <f>Districts!D135</f>
        <v>4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0</v>
      </c>
      <c r="K9" s="62">
        <f>Districts!I135</f>
        <v>0</v>
      </c>
      <c r="L9" s="62">
        <f>Districts!J135</f>
        <v>0</v>
      </c>
      <c r="M9" s="61">
        <f t="shared" si="0"/>
        <v>0</v>
      </c>
      <c r="N9">
        <f ca="1">IF(ISNA(VLOOKUP($Z9,'DD Mbr'!$A$2:$N$212,14,0)),0,VLOOKUP($Z9,'DD Mbr'!$A$2:$N$212,14,0))</f>
        <v>127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1</v>
      </c>
      <c r="W9" s="62">
        <f>Districts!R135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145</v>
      </c>
    </row>
    <row r="10" spans="1:26">
      <c r="A10" t="str">
        <f>IF(ISNA(VLOOKUP($B10,DD_Info!$A$2:$F$221,2,0)),0,VLOOKUP($B10,DD_Info!$A$2:$F$221,2,0))</f>
        <v>David  Lamme</v>
      </c>
      <c r="B10" s="55">
        <v>146</v>
      </c>
      <c r="C10" s="85">
        <f>IF(ISNA(VLOOKUP($B10,DD_Info!$A$2:$F$221,5,0)),0,VLOOKUP($B10,DD_Info!$A$2:$F$221,5,0))</f>
        <v>1</v>
      </c>
      <c r="D10" s="62">
        <f>Districts!C136</f>
        <v>1148</v>
      </c>
      <c r="E10" s="62">
        <f>Districts!D136</f>
        <v>37</v>
      </c>
      <c r="F10" s="62">
        <f>Districts!E136</f>
        <v>0</v>
      </c>
      <c r="G10" s="62">
        <f>Districts!F136</f>
        <v>1</v>
      </c>
      <c r="H10" s="62">
        <f>Districts!G136</f>
        <v>-1</v>
      </c>
      <c r="J10" s="62">
        <f>Districts!H136</f>
        <v>37</v>
      </c>
      <c r="K10" s="62">
        <f>Districts!I136</f>
        <v>4</v>
      </c>
      <c r="L10" s="62">
        <f>Districts!J136</f>
        <v>33</v>
      </c>
      <c r="M10" s="61">
        <f t="shared" si="0"/>
        <v>0.89200000000000002</v>
      </c>
      <c r="N10">
        <f ca="1">IF(ISNA(VLOOKUP($Z10,'DD Mbr'!$A$2:$N$212,14,0)),0,VLOOKUP($Z10,'DD Mbr'!$A$2:$N$212,14,0))</f>
        <v>8</v>
      </c>
      <c r="P10" s="62">
        <f>Districts!L136</f>
        <v>0</v>
      </c>
      <c r="Q10" s="62">
        <f>Districts!M136</f>
        <v>0</v>
      </c>
      <c r="R10" s="62">
        <f>Districts!N136</f>
        <v>2</v>
      </c>
      <c r="S10" s="62">
        <f>Districts!O136</f>
        <v>-2</v>
      </c>
      <c r="U10" s="62">
        <f>Districts!P136</f>
        <v>3</v>
      </c>
      <c r="V10" s="62">
        <f>Districts!Q136</f>
        <v>7</v>
      </c>
      <c r="W10" s="62">
        <f>Districts!R136</f>
        <v>-4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146</v>
      </c>
    </row>
    <row r="11" spans="1:26">
      <c r="A11" t="str">
        <f>IF(ISNA(VLOOKUP($B11,DD_Info!$A$2:$F$221,2,0)),0,VLOOKUP($B11,DD_Info!$A$2:$F$221,2,0))</f>
        <v>Clarence  Troy</v>
      </c>
      <c r="B11" s="55">
        <v>147</v>
      </c>
      <c r="C11" s="85">
        <f>IF(ISNA(VLOOKUP($B11,DD_Info!$A$2:$F$221,5,0)),0,VLOOKUP($B11,DD_Info!$A$2:$F$221,5,0))</f>
        <v>1</v>
      </c>
      <c r="D11" s="62">
        <f>Districts!C137</f>
        <v>700</v>
      </c>
      <c r="E11" s="62">
        <f>Districts!D137</f>
        <v>23</v>
      </c>
      <c r="F11" s="62">
        <f>Districts!E137</f>
        <v>0</v>
      </c>
      <c r="G11" s="62">
        <f>Districts!F137</f>
        <v>1</v>
      </c>
      <c r="H11" s="62">
        <f>Districts!G137</f>
        <v>-1</v>
      </c>
      <c r="J11" s="62">
        <f>Districts!H137</f>
        <v>2</v>
      </c>
      <c r="K11" s="62">
        <f>Districts!I137</f>
        <v>8</v>
      </c>
      <c r="L11" s="62">
        <f>Districts!J137</f>
        <v>-6</v>
      </c>
      <c r="M11" s="61">
        <f t="shared" si="0"/>
        <v>-0.26100000000000001</v>
      </c>
      <c r="N11">
        <f ca="1">IF(ISNA(VLOOKUP($Z11,'DD Mbr'!$A$2:$N$212,14,0)),0,VLOOKUP($Z11,'DD Mbr'!$A$2:$N$212,14,0))</f>
        <v>189</v>
      </c>
      <c r="P11" s="62">
        <f>Districts!L137</f>
        <v>0</v>
      </c>
      <c r="Q11" s="62">
        <f>Districts!M137</f>
        <v>0</v>
      </c>
      <c r="R11" s="62">
        <f>Districts!N137</f>
        <v>1</v>
      </c>
      <c r="S11" s="62">
        <f>Districts!O137</f>
        <v>-1</v>
      </c>
      <c r="U11" s="62">
        <f>Districts!P137</f>
        <v>2</v>
      </c>
      <c r="V11" s="62">
        <f>Districts!Q137</f>
        <v>9</v>
      </c>
      <c r="W11" s="62">
        <f>Districts!R137</f>
        <v>-7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147</v>
      </c>
    </row>
    <row r="12" spans="1:26">
      <c r="A12" t="str">
        <f>IF(ISNA(VLOOKUP($B12,DD_Info!$A$2:$F$221,2,0)),0,VLOOKUP($B12,DD_Info!$A$2:$F$221,2,0))</f>
        <v>Maurice  Jurena</v>
      </c>
      <c r="B12" s="55">
        <v>148</v>
      </c>
      <c r="C12" s="85">
        <f>IF(ISNA(VLOOKUP($B12,DD_Info!$A$2:$F$221,5,0)),0,VLOOKUP($B12,DD_Info!$A$2:$F$221,5,0))</f>
        <v>1</v>
      </c>
      <c r="D12" s="62">
        <f>Districts!C138</f>
        <v>575</v>
      </c>
      <c r="E12" s="62">
        <f>Districts!D138</f>
        <v>20</v>
      </c>
      <c r="F12" s="62">
        <f>Districts!E138</f>
        <v>0</v>
      </c>
      <c r="G12" s="62">
        <f>Districts!F138</f>
        <v>0</v>
      </c>
      <c r="H12" s="62">
        <f>Districts!G138</f>
        <v>0</v>
      </c>
      <c r="J12" s="62">
        <f>Districts!H138</f>
        <v>0</v>
      </c>
      <c r="K12" s="62">
        <f>Districts!I138</f>
        <v>0</v>
      </c>
      <c r="L12" s="62">
        <f>Districts!J138</f>
        <v>0</v>
      </c>
      <c r="M12" s="61">
        <f t="shared" si="0"/>
        <v>0</v>
      </c>
      <c r="N12">
        <f ca="1">IF(ISNA(VLOOKUP($Z12,'DD Mbr'!$A$2:$N$212,14,0)),0,VLOOKUP($Z12,'DD Mbr'!$A$2:$N$212,14,0))</f>
        <v>127</v>
      </c>
      <c r="P12" s="62">
        <f>Districts!L138</f>
        <v>0</v>
      </c>
      <c r="Q12" s="62">
        <f>Districts!M138</f>
        <v>0</v>
      </c>
      <c r="R12" s="62">
        <f>Districts!N138</f>
        <v>0</v>
      </c>
      <c r="S12" s="62">
        <f>Districts!O138</f>
        <v>0</v>
      </c>
      <c r="U12" s="62">
        <f>Districts!P138</f>
        <v>0</v>
      </c>
      <c r="V12" s="62">
        <f>Districts!Q138</f>
        <v>1</v>
      </c>
      <c r="W12" s="62">
        <f>Districts!R138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148</v>
      </c>
    </row>
    <row r="13" spans="1:26">
      <c r="A13" t="str">
        <f>IF(ISNA(VLOOKUP($B13,DD_Info!$A$2:$F$221,2,0)),0,VLOOKUP($B13,DD_Info!$A$2:$F$221,2,0))</f>
        <v>Vince  Verdicchio</v>
      </c>
      <c r="B13" s="55">
        <v>149</v>
      </c>
      <c r="C13" s="85">
        <f>IF(ISNA(VLOOKUP($B13,DD_Info!$A$2:$F$221,5,0)),0,VLOOKUP($B13,DD_Info!$A$2:$F$221,5,0))</f>
        <v>1</v>
      </c>
      <c r="D13" s="62">
        <f>Districts!C139</f>
        <v>683</v>
      </c>
      <c r="E13" s="62">
        <f>Districts!D139</f>
        <v>25</v>
      </c>
      <c r="F13" s="62">
        <f>Districts!E139</f>
        <v>0</v>
      </c>
      <c r="G13" s="62">
        <f>Districts!F139</f>
        <v>0</v>
      </c>
      <c r="H13" s="62">
        <f>Districts!G139</f>
        <v>0</v>
      </c>
      <c r="J13" s="62">
        <f>Districts!H139</f>
        <v>4</v>
      </c>
      <c r="K13" s="62">
        <f>Districts!I139</f>
        <v>0</v>
      </c>
      <c r="L13" s="62">
        <f>Districts!J139</f>
        <v>4</v>
      </c>
      <c r="M13" s="61">
        <f t="shared" si="0"/>
        <v>0.16</v>
      </c>
      <c r="N13">
        <f ca="1">IF(ISNA(VLOOKUP($Z13,'DD Mbr'!$A$2:$N$212,14,0)),0,VLOOKUP($Z13,'DD Mbr'!$A$2:$N$212,14,0))</f>
        <v>79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2</v>
      </c>
      <c r="V13" s="62">
        <f>Districts!Q139</f>
        <v>0</v>
      </c>
      <c r="W13" s="62">
        <f>Districts!R139</f>
        <v>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149</v>
      </c>
    </row>
    <row r="14" spans="1:26">
      <c r="A14" t="str">
        <f>IF(ISNA(VLOOKUP($B14,DD_Info!$A$2:$F$221,2,0)),0,VLOOKUP($B14,DD_Info!$A$2:$F$221,2,0))</f>
        <v>Michael  Barnett</v>
      </c>
      <c r="B14" s="55">
        <v>150</v>
      </c>
      <c r="C14" s="85">
        <f>IF(ISNA(VLOOKUP($B14,DD_Info!$A$2:$F$221,5,0)),0,VLOOKUP($B14,DD_Info!$A$2:$F$221,5,0))</f>
        <v>1</v>
      </c>
      <c r="D14" s="62">
        <f>Districts!C140</f>
        <v>837</v>
      </c>
      <c r="E14" s="62">
        <f>Districts!D140</f>
        <v>29</v>
      </c>
      <c r="F14" s="62">
        <f>Districts!E140</f>
        <v>2</v>
      </c>
      <c r="G14" s="62">
        <f>Districts!F140</f>
        <v>0</v>
      </c>
      <c r="H14" s="62">
        <f>Districts!G140</f>
        <v>2</v>
      </c>
      <c r="J14" s="62">
        <f>Districts!H140</f>
        <v>10</v>
      </c>
      <c r="K14" s="62">
        <f>Districts!I140</f>
        <v>0</v>
      </c>
      <c r="L14" s="62">
        <f>Districts!J140</f>
        <v>10</v>
      </c>
      <c r="M14" s="61">
        <f t="shared" si="0"/>
        <v>0.34499999999999997</v>
      </c>
      <c r="N14">
        <f ca="1">IF(ISNA(VLOOKUP($Z14,'DD Mbr'!$A$2:$N$212,14,0)),0,VLOOKUP($Z14,'DD Mbr'!$A$2:$N$212,14,0))</f>
        <v>50</v>
      </c>
      <c r="P14" s="62">
        <f>Districts!L140</f>
        <v>0</v>
      </c>
      <c r="Q14" s="62">
        <f>Districts!M140</f>
        <v>1</v>
      </c>
      <c r="R14" s="62">
        <f>Districts!N140</f>
        <v>3</v>
      </c>
      <c r="S14" s="62">
        <f>Districts!O140</f>
        <v>-2</v>
      </c>
      <c r="U14" s="62">
        <f>Districts!P140</f>
        <v>3</v>
      </c>
      <c r="V14" s="62">
        <f>Districts!Q140</f>
        <v>3</v>
      </c>
      <c r="W14" s="62">
        <f>Districts!R140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150</v>
      </c>
    </row>
    <row r="15" spans="1:26">
      <c r="A15" t="str">
        <f>IF(ISNA(VLOOKUP($B15,DD_Info!$A$2:$F$221,2,0)),0,VLOOKUP($B15,DD_Info!$A$2:$F$221,2,0))</f>
        <v>John W Hicks</v>
      </c>
      <c r="B15" s="55">
        <v>151</v>
      </c>
      <c r="C15" s="85">
        <f>IF(ISNA(VLOOKUP($B15,DD_Info!$A$2:$F$221,5,0)),0,VLOOKUP($B15,DD_Info!$A$2:$F$221,5,0))</f>
        <v>1</v>
      </c>
      <c r="D15" s="62">
        <f>Districts!C141</f>
        <v>673</v>
      </c>
      <c r="E15" s="62">
        <f>Districts!D141</f>
        <v>23</v>
      </c>
      <c r="F15" s="62">
        <f>Districts!E141</f>
        <v>1</v>
      </c>
      <c r="G15" s="62">
        <f>Districts!F141</f>
        <v>0</v>
      </c>
      <c r="H15" s="62">
        <f>Districts!G141</f>
        <v>1</v>
      </c>
      <c r="J15" s="62">
        <f>Districts!H141</f>
        <v>18</v>
      </c>
      <c r="K15" s="62">
        <f>Districts!I141</f>
        <v>3</v>
      </c>
      <c r="L15" s="62">
        <f>Districts!J141</f>
        <v>15</v>
      </c>
      <c r="M15" s="61">
        <f t="shared" si="0"/>
        <v>0.65200000000000002</v>
      </c>
      <c r="N15">
        <f ca="1">IF(ISNA(VLOOKUP($Z15,'DD Mbr'!$A$2:$N$212,14,0)),0,VLOOKUP($Z15,'DD Mbr'!$A$2:$N$212,14,0))</f>
        <v>16</v>
      </c>
      <c r="P15" s="62">
        <f>Districts!L141</f>
        <v>0</v>
      </c>
      <c r="Q15" s="62">
        <f>Districts!M141</f>
        <v>1</v>
      </c>
      <c r="R15" s="62">
        <f>Districts!N141</f>
        <v>0</v>
      </c>
      <c r="S15" s="62">
        <f>Districts!O141</f>
        <v>1</v>
      </c>
      <c r="U15" s="62">
        <f>Districts!P141</f>
        <v>6</v>
      </c>
      <c r="V15" s="62">
        <f>Districts!Q141</f>
        <v>5</v>
      </c>
      <c r="W15" s="62">
        <f>Districts!R141</f>
        <v>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151</v>
      </c>
    </row>
    <row r="16" spans="1:26">
      <c r="A16" t="str">
        <f>IF(ISNA(VLOOKUP($B16,DD_Info!$A$2:$F$221,2,0)),0,VLOOKUP($B16,DD_Info!$A$2:$F$221,2,0))</f>
        <v>Michael  D'Antonio</v>
      </c>
      <c r="B16" s="55">
        <v>152</v>
      </c>
      <c r="C16" s="85">
        <f>IF(ISNA(VLOOKUP($B16,DD_Info!$A$2:$F$221,5,0)),0,VLOOKUP($B16,DD_Info!$A$2:$F$221,5,0))</f>
        <v>2</v>
      </c>
      <c r="D16" s="62">
        <f>Districts!C142</f>
        <v>486</v>
      </c>
      <c r="E16" s="62">
        <f>Districts!D142</f>
        <v>16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5</v>
      </c>
      <c r="K16" s="62">
        <f>Districts!I142</f>
        <v>0</v>
      </c>
      <c r="L16" s="62">
        <f>Districts!J142</f>
        <v>5</v>
      </c>
      <c r="M16" s="61">
        <f t="shared" si="0"/>
        <v>0.313</v>
      </c>
      <c r="N16">
        <f ca="1">IF(ISNA(VLOOKUP($Z16,'DD Mbr'!$A$2:$N$212,14,0)),0,VLOOKUP($Z16,'DD Mbr'!$A$2:$N$212,14,0))</f>
        <v>46</v>
      </c>
      <c r="P16" s="62">
        <f>Districts!L142</f>
        <v>0</v>
      </c>
      <c r="Q16" s="62">
        <f>Districts!M142</f>
        <v>0</v>
      </c>
      <c r="R16" s="62">
        <f>Districts!N142</f>
        <v>4</v>
      </c>
      <c r="S16" s="62">
        <f>Districts!O142</f>
        <v>-4</v>
      </c>
      <c r="U16" s="62">
        <f>Districts!P142</f>
        <v>1</v>
      </c>
      <c r="V16" s="62">
        <f>Districts!Q142</f>
        <v>6</v>
      </c>
      <c r="W16" s="62">
        <f>Districts!R142</f>
        <v>-5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152</v>
      </c>
    </row>
    <row r="17" spans="1:26">
      <c r="A17" t="str">
        <f>IF(ISNA(VLOOKUP($B17,DD_Info!$A$2:$F$221,2,0)),0,VLOOKUP($B17,DD_Info!$A$2:$F$221,2,0))</f>
        <v>Alex  Martinez</v>
      </c>
      <c r="B17" s="55">
        <v>153</v>
      </c>
      <c r="C17" s="85">
        <f>IF(ISNA(VLOOKUP($B17,DD_Info!$A$2:$F$221,5,0)),0,VLOOKUP($B17,DD_Info!$A$2:$F$221,5,0))</f>
        <v>2</v>
      </c>
      <c r="D17" s="62">
        <f>Districts!C143</f>
        <v>325</v>
      </c>
      <c r="E17" s="62">
        <f>Districts!D143</f>
        <v>11</v>
      </c>
      <c r="F17" s="62">
        <f>Districts!E143</f>
        <v>0</v>
      </c>
      <c r="G17" s="62">
        <f>Districts!F143</f>
        <v>0</v>
      </c>
      <c r="H17" s="62">
        <f>Districts!G143</f>
        <v>0</v>
      </c>
      <c r="J17" s="62">
        <f>Districts!H143</f>
        <v>5</v>
      </c>
      <c r="K17" s="62">
        <f>Districts!I143</f>
        <v>0</v>
      </c>
      <c r="L17" s="62">
        <f>Districts!J143</f>
        <v>5</v>
      </c>
      <c r="M17" s="61">
        <f t="shared" si="0"/>
        <v>0.45500000000000002</v>
      </c>
      <c r="N17">
        <f ca="1">IF(ISNA(VLOOKUP($Z17,'DD Mbr'!$A$2:$N$212,14,0)),0,VLOOKUP($Z17,'DD Mbr'!$A$2:$N$212,14,0))</f>
        <v>29</v>
      </c>
      <c r="P17" s="62">
        <f>Districts!L143</f>
        <v>0</v>
      </c>
      <c r="Q17" s="62">
        <f>Districts!M143</f>
        <v>0</v>
      </c>
      <c r="R17" s="62">
        <f>Districts!N143</f>
        <v>1</v>
      </c>
      <c r="S17" s="62">
        <f>Districts!O143</f>
        <v>-1</v>
      </c>
      <c r="U17" s="62">
        <f>Districts!P143</f>
        <v>1</v>
      </c>
      <c r="V17" s="62">
        <f>Districts!Q143</f>
        <v>2</v>
      </c>
      <c r="W17" s="62">
        <f>Districts!R143</f>
        <v>-1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153</v>
      </c>
    </row>
    <row r="18" spans="1:26">
      <c r="A18" t="str">
        <f>IF(ISNA(VLOOKUP($B18,DD_Info!$A$2:$F$221,2,0)),0,VLOOKUP($B18,DD_Info!$A$2:$F$221,2,0))</f>
        <v>Darris  Chapple</v>
      </c>
      <c r="B18" s="55">
        <v>154</v>
      </c>
      <c r="C18" s="85">
        <f>IF(ISNA(VLOOKUP($B18,DD_Info!$A$2:$F$221,5,0)),0,VLOOKUP($B18,DD_Info!$A$2:$F$221,5,0))</f>
        <v>1</v>
      </c>
      <c r="D18" s="62">
        <f>Districts!C144</f>
        <v>855</v>
      </c>
      <c r="E18" s="62">
        <f>Districts!D144</f>
        <v>22</v>
      </c>
      <c r="F18" s="62">
        <f>Districts!E144</f>
        <v>1</v>
      </c>
      <c r="G18" s="62">
        <f>Districts!F144</f>
        <v>0</v>
      </c>
      <c r="H18" s="62">
        <f>Districts!G144</f>
        <v>1</v>
      </c>
      <c r="J18" s="62">
        <f>Districts!H144</f>
        <v>13</v>
      </c>
      <c r="K18" s="62">
        <f>Districts!I144</f>
        <v>0</v>
      </c>
      <c r="L18" s="62">
        <f>Districts!J144</f>
        <v>13</v>
      </c>
      <c r="M18" s="61">
        <f t="shared" si="0"/>
        <v>0.59099999999999997</v>
      </c>
      <c r="N18">
        <f ca="1">IF(ISNA(VLOOKUP($Z18,'DD Mbr'!$A$2:$N$212,14,0)),0,VLOOKUP($Z18,'DD Mbr'!$A$2:$N$212,14,0))</f>
        <v>24</v>
      </c>
      <c r="P18" s="62">
        <f>Districts!L144</f>
        <v>0</v>
      </c>
      <c r="Q18" s="62">
        <f>Districts!M144</f>
        <v>1</v>
      </c>
      <c r="R18" s="62">
        <f>Districts!N144</f>
        <v>2</v>
      </c>
      <c r="S18" s="62">
        <f>Districts!O144</f>
        <v>-1</v>
      </c>
      <c r="U18" s="62">
        <f>Districts!P144</f>
        <v>9</v>
      </c>
      <c r="V18" s="62">
        <f>Districts!Q144</f>
        <v>3</v>
      </c>
      <c r="W18" s="62">
        <f>Districts!R144</f>
        <v>6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154</v>
      </c>
    </row>
    <row r="19" spans="1:26">
      <c r="A19" t="str">
        <f>IF(ISNA(VLOOKUP($B19,DD_Info!$A$2:$F$221,2,0)),0,VLOOKUP($B19,DD_Info!$A$2:$F$221,2,0))</f>
        <v>Joseph "Pat" P Ortiz</v>
      </c>
      <c r="B19" s="55">
        <v>155</v>
      </c>
      <c r="C19" s="85">
        <f>IF(ISNA(VLOOKUP($B19,DD_Info!$A$2:$F$221,5,0)),0,VLOOKUP($B19,DD_Info!$A$2:$F$221,5,0))</f>
        <v>1</v>
      </c>
      <c r="D19" s="62">
        <f>Districts!C145</f>
        <v>677</v>
      </c>
      <c r="E19" s="62">
        <f>Districts!D145</f>
        <v>25</v>
      </c>
      <c r="F19" s="62">
        <f>Districts!E145</f>
        <v>1</v>
      </c>
      <c r="G19" s="62">
        <f>Districts!F145</f>
        <v>0</v>
      </c>
      <c r="H19" s="62">
        <f>Districts!G145</f>
        <v>1</v>
      </c>
      <c r="J19" s="62">
        <f>Districts!H145</f>
        <v>3</v>
      </c>
      <c r="K19" s="62">
        <f>Districts!I145</f>
        <v>1</v>
      </c>
      <c r="L19" s="62">
        <f>Districts!J145</f>
        <v>2</v>
      </c>
      <c r="M19" s="61">
        <f t="shared" si="0"/>
        <v>0.08</v>
      </c>
      <c r="N19">
        <f ca="1">IF(ISNA(VLOOKUP($Z19,'DD Mbr'!$A$2:$N$212,14,0)),0,VLOOKUP($Z19,'DD Mbr'!$A$2:$N$212,14,0))</f>
        <v>122</v>
      </c>
      <c r="P19" s="62">
        <f>Districts!L145</f>
        <v>0</v>
      </c>
      <c r="Q19" s="62">
        <f>Districts!M145</f>
        <v>0</v>
      </c>
      <c r="R19" s="62">
        <f>Districts!N145</f>
        <v>0</v>
      </c>
      <c r="S19" s="62">
        <f>Districts!O145</f>
        <v>0</v>
      </c>
      <c r="U19" s="62">
        <f>Districts!P145</f>
        <v>2</v>
      </c>
      <c r="V19" s="62">
        <f>Districts!Q145</f>
        <v>2</v>
      </c>
      <c r="W19" s="62">
        <f>Districts!R145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155</v>
      </c>
    </row>
    <row r="20" spans="1:26">
      <c r="A20" t="str">
        <f>IF(ISNA(VLOOKUP($B20,DD_Info!$A$2:$F$221,2,0)),0,VLOOKUP($B20,DD_Info!$A$2:$F$221,2,0))</f>
        <v>George G Scott</v>
      </c>
      <c r="B20" s="55">
        <v>156</v>
      </c>
      <c r="C20" s="85">
        <f>IF(ISNA(VLOOKUP($B20,DD_Info!$A$2:$F$221,5,0)),0,VLOOKUP($B20,DD_Info!$A$2:$F$221,5,0))</f>
        <v>1</v>
      </c>
      <c r="D20" s="62">
        <f>Districts!C146</f>
        <v>662</v>
      </c>
      <c r="E20" s="62">
        <f>Districts!D146</f>
        <v>22</v>
      </c>
      <c r="F20" s="62">
        <f>Districts!E146</f>
        <v>7</v>
      </c>
      <c r="G20" s="62">
        <f>Districts!F146</f>
        <v>1</v>
      </c>
      <c r="H20" s="62">
        <f>Districts!G146</f>
        <v>6</v>
      </c>
      <c r="J20" s="62">
        <f>Districts!H146</f>
        <v>25</v>
      </c>
      <c r="K20" s="62">
        <f>Districts!I146</f>
        <v>4</v>
      </c>
      <c r="L20" s="62">
        <f>Districts!J146</f>
        <v>21</v>
      </c>
      <c r="M20" s="61">
        <f t="shared" si="0"/>
        <v>0.95499999999999996</v>
      </c>
      <c r="N20">
        <f ca="1">IF(ISNA(VLOOKUP($Z20,'DD Mbr'!$A$2:$N$212,14,0)),0,VLOOKUP($Z20,'DD Mbr'!$A$2:$N$212,14,0))</f>
        <v>5</v>
      </c>
      <c r="P20" s="62">
        <f>Districts!L146</f>
        <v>0</v>
      </c>
      <c r="Q20" s="62">
        <f>Districts!M146</f>
        <v>0</v>
      </c>
      <c r="R20" s="62">
        <f>Districts!N146</f>
        <v>0</v>
      </c>
      <c r="S20" s="62">
        <f>Districts!O146</f>
        <v>0</v>
      </c>
      <c r="U20" s="62">
        <f>Districts!P146</f>
        <v>3</v>
      </c>
      <c r="V20" s="62">
        <f>Districts!Q146</f>
        <v>4</v>
      </c>
      <c r="W20" s="62">
        <f>Districts!R146</f>
        <v>-1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156</v>
      </c>
    </row>
    <row r="21" spans="1:26">
      <c r="A21" t="str">
        <f>IF(ISNA(VLOOKUP($B21,DD_Info!$A$2:$F$221,2,0)),0,VLOOKUP($B21,DD_Info!$A$2:$F$221,2,0))</f>
        <v>TO BE APPOINTED</v>
      </c>
      <c r="B21" s="55">
        <v>157</v>
      </c>
      <c r="C21" s="85">
        <f>IF(ISNA(VLOOKUP($B21,DD_Info!$A$2:$F$221,5,0)),0,VLOOKUP($B21,DD_Info!$A$2:$F$221,5,0))</f>
        <v>2</v>
      </c>
      <c r="D21" s="62">
        <f>Districts!C147</f>
        <v>381</v>
      </c>
      <c r="E21" s="62">
        <f>Districts!D147</f>
        <v>13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0</v>
      </c>
      <c r="K21" s="62">
        <f>Districts!I147</f>
        <v>0</v>
      </c>
      <c r="L21" s="62">
        <f>Districts!J147</f>
        <v>0</v>
      </c>
      <c r="M21" s="61">
        <f t="shared" si="0"/>
        <v>0</v>
      </c>
      <c r="N21">
        <f ca="1">IF(ISNA(VLOOKUP($Z21,'DD Mbr'!$A$2:$N$212,14,0)),0,VLOOKUP($Z21,'DD Mbr'!$A$2:$N$212,14,0))</f>
        <v>127</v>
      </c>
      <c r="P21" s="62">
        <f>Districts!L147</f>
        <v>0</v>
      </c>
      <c r="Q21" s="62">
        <f>Districts!M147</f>
        <v>0</v>
      </c>
      <c r="R21" s="62">
        <f>Districts!N147</f>
        <v>2</v>
      </c>
      <c r="S21" s="62">
        <f>Districts!O147</f>
        <v>-2</v>
      </c>
      <c r="U21" s="62">
        <f>Districts!P147</f>
        <v>0</v>
      </c>
      <c r="V21" s="62">
        <f>Districts!Q147</f>
        <v>2</v>
      </c>
      <c r="W21" s="62">
        <f>Districts!R147</f>
        <v>-2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157</v>
      </c>
    </row>
    <row r="22" spans="1:26">
      <c r="A22" t="str">
        <f>IF(ISNA(VLOOKUP($B22,DD_Info!$A$2:$F$221,2,0)),0,VLOOKUP($B22,DD_Info!$A$2:$F$221,2,0))</f>
        <v>Kevin  Russell</v>
      </c>
      <c r="B22" s="55">
        <v>158</v>
      </c>
      <c r="C22" s="85">
        <f>IF(ISNA(VLOOKUP($B22,DD_Info!$A$2:$F$221,5,0)),0,VLOOKUP($B22,DD_Info!$A$2:$F$221,5,0))</f>
        <v>1</v>
      </c>
      <c r="D22" s="62">
        <f>Districts!C148</f>
        <v>767</v>
      </c>
      <c r="E22" s="62">
        <f>Districts!D148</f>
        <v>26</v>
      </c>
      <c r="F22" s="62">
        <f>Districts!E148</f>
        <v>0</v>
      </c>
      <c r="G22" s="62">
        <f>Districts!F148</f>
        <v>1</v>
      </c>
      <c r="H22" s="62">
        <f>Districts!G148</f>
        <v>-1</v>
      </c>
      <c r="J22" s="62">
        <f>Districts!H148</f>
        <v>0</v>
      </c>
      <c r="K22" s="62">
        <f>Districts!I148</f>
        <v>1</v>
      </c>
      <c r="L22" s="62">
        <f>Districts!J148</f>
        <v>-1</v>
      </c>
      <c r="M22" s="61">
        <f t="shared" si="0"/>
        <v>-3.7999999999999999E-2</v>
      </c>
      <c r="N22">
        <f ca="1">IF(ISNA(VLOOKUP($Z22,'DD Mbr'!$A$2:$N$212,14,0)),0,VLOOKUP($Z22,'DD Mbr'!$A$2:$N$212,14,0))</f>
        <v>174</v>
      </c>
      <c r="P22" s="62">
        <f>Districts!L148</f>
        <v>0</v>
      </c>
      <c r="Q22" s="62">
        <f>Districts!M148</f>
        <v>0</v>
      </c>
      <c r="R22" s="62">
        <f>Districts!N148</f>
        <v>0</v>
      </c>
      <c r="S22" s="62">
        <f>Districts!O148</f>
        <v>0</v>
      </c>
      <c r="U22" s="62">
        <f>Districts!P148</f>
        <v>0</v>
      </c>
      <c r="V22" s="62">
        <f>Districts!Q148</f>
        <v>6</v>
      </c>
      <c r="W22" s="62">
        <f>Districts!R148</f>
        <v>-6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158</v>
      </c>
    </row>
    <row r="23" spans="1:26">
      <c r="A23" t="str">
        <f>IF(ISNA(VLOOKUP($B23,DD_Info!$A$2:$F$221,2,0)),0,VLOOKUP($B23,DD_Info!$A$2:$F$221,2,0))</f>
        <v>Tony  Grandinetti</v>
      </c>
      <c r="B23" s="55">
        <v>159</v>
      </c>
      <c r="C23" s="85">
        <f>IF(ISNA(VLOOKUP($B23,DD_Info!$A$2:$F$221,5,0)),0,VLOOKUP($B23,DD_Info!$A$2:$F$221,5,0))</f>
        <v>2</v>
      </c>
      <c r="D23" s="62">
        <f>Districts!C149</f>
        <v>573</v>
      </c>
      <c r="E23" s="62">
        <f>Districts!D149</f>
        <v>20</v>
      </c>
      <c r="F23" s="62">
        <f>Districts!E149</f>
        <v>0</v>
      </c>
      <c r="G23" s="62">
        <f>Districts!F149</f>
        <v>0</v>
      </c>
      <c r="H23" s="62">
        <f>Districts!G149</f>
        <v>0</v>
      </c>
      <c r="J23" s="62">
        <f>Districts!H149</f>
        <v>8</v>
      </c>
      <c r="K23" s="62">
        <f>Districts!I149</f>
        <v>3</v>
      </c>
      <c r="L23" s="62">
        <f>Districts!J149</f>
        <v>5</v>
      </c>
      <c r="M23" s="61">
        <f t="shared" si="0"/>
        <v>0.25</v>
      </c>
      <c r="N23">
        <f ca="1">IF(ISNA(VLOOKUP($Z23,'DD Mbr'!$A$2:$N$212,14,0)),0,VLOOKUP($Z23,'DD Mbr'!$A$2:$N$212,14,0))</f>
        <v>58</v>
      </c>
      <c r="P23" s="62">
        <f>Districts!L149</f>
        <v>0</v>
      </c>
      <c r="Q23" s="62">
        <f>Districts!M149</f>
        <v>0</v>
      </c>
      <c r="R23" s="62">
        <f>Districts!N149</f>
        <v>1</v>
      </c>
      <c r="S23" s="62">
        <f>Districts!O149</f>
        <v>-1</v>
      </c>
      <c r="U23" s="62">
        <f>Districts!P149</f>
        <v>3</v>
      </c>
      <c r="V23" s="62">
        <f>Districts!Q149</f>
        <v>2</v>
      </c>
      <c r="W23" s="62">
        <f>Districts!R149</f>
        <v>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IF(ISNA(VLOOKUP($B24,DD_Info!$A$2:$F$221,2,0)),0,VLOOKUP($B24,DD_Info!$A$2:$F$221,2,0))</f>
        <v>Patrick J Quinlan</v>
      </c>
      <c r="B24" s="55">
        <v>160</v>
      </c>
      <c r="C24" s="85">
        <f>IF(ISNA(VLOOKUP($B24,DD_Info!$A$2:$F$221,5,0)),0,VLOOKUP($B24,DD_Info!$A$2:$F$221,5,0))</f>
        <v>2</v>
      </c>
      <c r="D24" s="62">
        <f>Districts!C150</f>
        <v>300</v>
      </c>
      <c r="E24" s="62">
        <f>Districts!D150</f>
        <v>11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1</v>
      </c>
      <c r="K24" s="62">
        <f>Districts!I150</f>
        <v>1</v>
      </c>
      <c r="L24" s="62">
        <f>Districts!J150</f>
        <v>0</v>
      </c>
      <c r="M24" s="61">
        <f t="shared" si="0"/>
        <v>0</v>
      </c>
      <c r="N24">
        <f ca="1">IF(ISNA(VLOOKUP($Z24,'DD Mbr'!$A$2:$N$212,14,0)),0,VLOOKUP($Z24,'DD Mbr'!$A$2:$N$212,14,0))</f>
        <v>127</v>
      </c>
      <c r="P24" s="62">
        <f>Districts!L150</f>
        <v>0</v>
      </c>
      <c r="Q24" s="62">
        <f>Districts!M150</f>
        <v>0</v>
      </c>
      <c r="R24" s="62">
        <f>Districts!N150</f>
        <v>1</v>
      </c>
      <c r="S24" s="62">
        <f>Districts!O150</f>
        <v>-1</v>
      </c>
      <c r="U24" s="62">
        <f>Districts!P150</f>
        <v>1</v>
      </c>
      <c r="V24" s="62">
        <f>Districts!Q150</f>
        <v>2</v>
      </c>
      <c r="W24" s="62">
        <f>Districts!R150</f>
        <v>-1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160</v>
      </c>
    </row>
    <row r="25" spans="1:26">
      <c r="A25" t="str">
        <f>IF(ISNA(VLOOKUP($B25,DD_Info!$A$2:$F$221,2,0)),0,VLOOKUP($B25,DD_Info!$A$2:$F$221,2,0))</f>
        <v>Armando  Montes Jr</v>
      </c>
      <c r="B25" s="55">
        <v>161</v>
      </c>
      <c r="C25" s="85">
        <f>IF(ISNA(VLOOKUP($B25,DD_Info!$A$2:$F$221,5,0)),0,VLOOKUP($B25,DD_Info!$A$2:$F$221,5,0))</f>
        <v>3</v>
      </c>
      <c r="D25" s="62">
        <f>Districts!C151</f>
        <v>242</v>
      </c>
      <c r="E25" s="62">
        <f>Districts!D151</f>
        <v>11</v>
      </c>
      <c r="F25" s="62">
        <f>Districts!E151</f>
        <v>0</v>
      </c>
      <c r="G25" s="62">
        <f>Districts!F151</f>
        <v>1</v>
      </c>
      <c r="H25" s="62">
        <f>Districts!G151</f>
        <v>-1</v>
      </c>
      <c r="J25" s="62">
        <f>Districts!H151</f>
        <v>2</v>
      </c>
      <c r="K25" s="62">
        <f>Districts!I151</f>
        <v>1</v>
      </c>
      <c r="L25" s="62">
        <f>Districts!J151</f>
        <v>1</v>
      </c>
      <c r="M25" s="61">
        <f t="shared" si="0"/>
        <v>9.0999999999999998E-2</v>
      </c>
      <c r="N25">
        <f ca="1">IF(ISNA(VLOOKUP($Z25,'DD Mbr'!$A$2:$N$212,14,0)),0,VLOOKUP($Z25,'DD Mbr'!$A$2:$N$212,14,0))</f>
        <v>88</v>
      </c>
      <c r="P25" s="62">
        <f>Districts!L151</f>
        <v>0</v>
      </c>
      <c r="Q25" s="62">
        <f>Districts!M151</f>
        <v>0</v>
      </c>
      <c r="R25" s="62">
        <f>Districts!N151</f>
        <v>1</v>
      </c>
      <c r="S25" s="62">
        <f>Districts!O151</f>
        <v>-1</v>
      </c>
      <c r="U25" s="62">
        <f>Districts!P151</f>
        <v>0</v>
      </c>
      <c r="V25" s="62">
        <f>Districts!Q151</f>
        <v>2</v>
      </c>
      <c r="W25" s="62">
        <f>Districts!R151</f>
        <v>-2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161</v>
      </c>
    </row>
    <row r="26" spans="1:26">
      <c r="A26" t="str">
        <f>IF(ISNA(VLOOKUP($B26,DD_Info!$A$2:$F$221,2,0)),0,VLOOKUP($B26,DD_Info!$A$2:$F$221,2,0))</f>
        <v>Edward  Tydings</v>
      </c>
      <c r="B26" s="55">
        <v>162</v>
      </c>
      <c r="C26" s="85">
        <f>IF(ISNA(VLOOKUP($B26,DD_Info!$A$2:$F$221,5,0)),0,VLOOKUP($B26,DD_Info!$A$2:$F$221,5,0))</f>
        <v>3</v>
      </c>
      <c r="D26" s="62">
        <f>Districts!C152</f>
        <v>72</v>
      </c>
      <c r="E26" s="62">
        <f>Districts!D152</f>
        <v>3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Mbr'!$A$2:$N$212,14,0)),0,VLOOKUP($Z26,'DD Mbr'!$A$2:$N$212,14,0))</f>
        <v>127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162</v>
      </c>
    </row>
    <row r="27" spans="1:26">
      <c r="A27" t="str">
        <f>IF(ISNA(VLOOKUP($B27,DD_Info!$A$2:$F$221,2,0)),0,VLOOKUP($B27,DD_Info!$A$2:$F$221,2,0))</f>
        <v>Michael J Gasper</v>
      </c>
      <c r="B27" s="55">
        <v>163</v>
      </c>
      <c r="C27" s="85">
        <f>IF(ISNA(VLOOKUP($B27,DD_Info!$A$2:$F$221,5,0)),0,VLOOKUP($B27,DD_Info!$A$2:$F$221,5,0))</f>
        <v>2</v>
      </c>
      <c r="D27" s="62">
        <f>Districts!C153</f>
        <v>388</v>
      </c>
      <c r="E27" s="62">
        <f>Districts!D153</f>
        <v>13</v>
      </c>
      <c r="F27" s="62">
        <f>Districts!E153</f>
        <v>0</v>
      </c>
      <c r="G27" s="62">
        <f>Districts!F153</f>
        <v>0</v>
      </c>
      <c r="H27" s="62">
        <f>Districts!G153</f>
        <v>0</v>
      </c>
      <c r="J27" s="62">
        <f>Districts!H153</f>
        <v>3</v>
      </c>
      <c r="K27" s="62">
        <f>Districts!I153</f>
        <v>1</v>
      </c>
      <c r="L27" s="62">
        <f>Districts!J153</f>
        <v>2</v>
      </c>
      <c r="M27" s="61">
        <f t="shared" ref="M27" si="3">IFERROR(ROUND(+L27/E27,3),0)</f>
        <v>0.154</v>
      </c>
      <c r="N27">
        <f>IF(ISNA(VLOOKUP($Z27,'DD Mbr'!$A$2:$N$212,14,0)),0,VLOOKUP($Z27,'DD Mbr'!$A$2:$N$212,14,0))</f>
        <v>0</v>
      </c>
      <c r="P27" s="62">
        <f>Districts!L153</f>
        <v>0</v>
      </c>
      <c r="Q27" s="62">
        <f>Districts!M153</f>
        <v>0</v>
      </c>
      <c r="R27" s="62">
        <f>Districts!N153</f>
        <v>1</v>
      </c>
      <c r="S27" s="62">
        <f>Districts!O153</f>
        <v>-1</v>
      </c>
      <c r="U27" s="62">
        <f>Districts!P153</f>
        <v>0</v>
      </c>
      <c r="V27" s="62">
        <f>Districts!Q153</f>
        <v>2</v>
      </c>
      <c r="W27" s="62">
        <f>Districts!R153</f>
        <v>-2</v>
      </c>
      <c r="X27" s="61">
        <f t="shared" ref="X27" si="4">IFERROR(ROUND(+W27/P27,3),0)</f>
        <v>0</v>
      </c>
      <c r="Y27">
        <f>IF(ISNA(VLOOKUP($Z27,'DD Ins'!$A$2:$N$217,14,0)),0,VLOOKUP($Z27,'DD Ins'!$A$2:$N$217,14,0))</f>
        <v>0</v>
      </c>
    </row>
    <row r="28" spans="1:26">
      <c r="D28" s="62">
        <f>SUM(D5:D26)</f>
        <v>12463</v>
      </c>
      <c r="E28" s="62">
        <f t="shared" ref="E28:L28" si="5">SUM(E5:E26)</f>
        <v>422</v>
      </c>
      <c r="F28" s="62">
        <f t="shared" si="5"/>
        <v>15</v>
      </c>
      <c r="G28" s="62">
        <f t="shared" si="5"/>
        <v>5</v>
      </c>
      <c r="H28" s="62">
        <f t="shared" si="5"/>
        <v>10</v>
      </c>
      <c r="I28" s="62">
        <f t="shared" si="5"/>
        <v>0</v>
      </c>
      <c r="J28" s="62">
        <f t="shared" si="5"/>
        <v>157</v>
      </c>
      <c r="K28" s="62">
        <f t="shared" si="5"/>
        <v>31</v>
      </c>
      <c r="L28" s="62">
        <f t="shared" si="5"/>
        <v>126</v>
      </c>
    </row>
  </sheetData>
  <hyperlinks>
    <hyperlink ref="B5" location="'DD141'!B1" tooltip="District 141 Councils" display="'DD141'!B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  <hyperlink ref="B27" location="'DD163'!A3" tooltip="District 162 Councils" display="'DD163'!A3" xr:uid="{D9843307-24E1-41BD-AFE6-4D2B9F259953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28515625" hidden="1" customWidth="1"/>
  </cols>
  <sheetData>
    <row r="1" spans="1:26">
      <c r="A1" s="24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Gary L Walton</v>
      </c>
      <c r="B5" s="24">
        <v>101</v>
      </c>
      <c r="C5" s="85">
        <f>IF(ISNA(VLOOKUP($B5,DD_Info!$A$2:$F$221,5,0)),0,VLOOKUP($B5,DD_Info!$A$2:$F$221,5,0))</f>
        <v>2</v>
      </c>
      <c r="D5" s="62">
        <f>Districts!C100</f>
        <v>458</v>
      </c>
      <c r="E5" s="62">
        <f>Districts!D100</f>
        <v>15</v>
      </c>
      <c r="F5" s="62">
        <f>Districts!E100</f>
        <v>1</v>
      </c>
      <c r="G5" s="62">
        <f>Districts!F100</f>
        <v>9</v>
      </c>
      <c r="H5" s="62">
        <f>Districts!G100</f>
        <v>-8</v>
      </c>
      <c r="J5" s="62">
        <f>Districts!H100</f>
        <v>7</v>
      </c>
      <c r="K5" s="62">
        <f>Districts!I100</f>
        <v>9</v>
      </c>
      <c r="L5" s="62">
        <f>Districts!J100</f>
        <v>-2</v>
      </c>
      <c r="M5" s="61">
        <f>IFERROR(L5/E5,0)</f>
        <v>-0.13333333333333333</v>
      </c>
      <c r="N5">
        <f ca="1">IF(ISNA(VLOOKUP($Z5,'DD Mbr'!$A$2:$N$212,14,0)),0,VLOOKUP($Z5,'DD Mbr'!$A$2:$N$212,14,0))</f>
        <v>179</v>
      </c>
      <c r="P5" s="62">
        <f>Districts!L100</f>
        <v>0</v>
      </c>
      <c r="Q5" s="62">
        <f>Districts!M100</f>
        <v>1</v>
      </c>
      <c r="R5" s="62">
        <f>Districts!N100</f>
        <v>3</v>
      </c>
      <c r="S5" s="62">
        <f>Districts!O100</f>
        <v>-2</v>
      </c>
      <c r="U5" s="62">
        <f>Districts!P100</f>
        <v>4</v>
      </c>
      <c r="V5" s="62">
        <f>Districts!Q100</f>
        <v>7</v>
      </c>
      <c r="W5" s="62">
        <f>Districts!R100</f>
        <v>-3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101</v>
      </c>
    </row>
    <row r="6" spans="1:26">
      <c r="A6" t="str">
        <f>IF(ISNA(VLOOKUP($B6,DD_Info!$A$2:$F$221,2,0)),0,VLOOKUP($B6,DD_Info!$A$2:$F$221,2,0))</f>
        <v>Jose "John" J Casarez</v>
      </c>
      <c r="B6" s="24">
        <v>102</v>
      </c>
      <c r="C6" s="85">
        <f>IF(ISNA(VLOOKUP($B6,DD_Info!$A$2:$F$221,5,0)),0,VLOOKUP($B6,DD_Info!$A$2:$F$221,5,0))</f>
        <v>1</v>
      </c>
      <c r="D6" s="62">
        <f>Districts!C101</f>
        <v>767</v>
      </c>
      <c r="E6" s="62">
        <f>Districts!D101</f>
        <v>26</v>
      </c>
      <c r="F6" s="62">
        <f>Districts!E101</f>
        <v>1</v>
      </c>
      <c r="G6" s="62">
        <f>Districts!F101</f>
        <v>0</v>
      </c>
      <c r="H6" s="62">
        <f>Districts!G101</f>
        <v>1</v>
      </c>
      <c r="J6" s="62">
        <f>Districts!H101</f>
        <v>11</v>
      </c>
      <c r="K6" s="62">
        <f>Districts!I101</f>
        <v>4</v>
      </c>
      <c r="L6" s="62">
        <f>Districts!J101</f>
        <v>7</v>
      </c>
      <c r="M6" s="61">
        <f t="shared" ref="M6:M19" si="0">IFERROR(L6/E6,0)</f>
        <v>0.26923076923076922</v>
      </c>
      <c r="N6">
        <f ca="1">IF(ISNA(VLOOKUP($Z6,'DD Mbr'!$A$2:$N$212,14,0)),0,VLOOKUP($Z6,'DD Mbr'!$A$2:$N$212,14,0))</f>
        <v>63</v>
      </c>
      <c r="P6" s="62">
        <f>Districts!L101</f>
        <v>0</v>
      </c>
      <c r="Q6" s="62">
        <f>Districts!M101</f>
        <v>1</v>
      </c>
      <c r="R6" s="62">
        <f>Districts!N101</f>
        <v>0</v>
      </c>
      <c r="S6" s="62">
        <f>Districts!O101</f>
        <v>1</v>
      </c>
      <c r="U6" s="62">
        <f>Districts!P101</f>
        <v>5</v>
      </c>
      <c r="V6" s="62">
        <f>Districts!Q101</f>
        <v>5</v>
      </c>
      <c r="W6" s="62">
        <f>Districts!R101</f>
        <v>0</v>
      </c>
      <c r="X6" s="61">
        <f t="shared" ref="X6:X19" si="1">IFERROR(W6/P6,0)</f>
        <v>0</v>
      </c>
      <c r="Y6">
        <f>IF(ISNA(VLOOKUP($Z6,'DD Ins'!$A$2:$N$217,14,0)),0,VLOOKUP($Z6,'DD Ins'!$A$2:$N$217,14,0))</f>
        <v>1</v>
      </c>
      <c r="Z6">
        <f t="shared" ref="Z6:Z19" si="2">+B6</f>
        <v>102</v>
      </c>
    </row>
    <row r="7" spans="1:26">
      <c r="A7" t="str">
        <f>IF(ISNA(VLOOKUP($B7,DD_Info!$A$2:$F$221,2,0)),0,VLOOKUP($B7,DD_Info!$A$2:$F$221,2,0))</f>
        <v>Kevin  Quinn</v>
      </c>
      <c r="B7" s="24">
        <v>103</v>
      </c>
      <c r="C7" s="85">
        <f>IF(ISNA(VLOOKUP($B7,DD_Info!$A$2:$F$221,5,0)),0,VLOOKUP($B7,DD_Info!$A$2:$F$221,5,0))</f>
        <v>1</v>
      </c>
      <c r="D7" s="62">
        <f>Districts!C102</f>
        <v>888</v>
      </c>
      <c r="E7" s="62">
        <f>Districts!D102</f>
        <v>31</v>
      </c>
      <c r="F7" s="62">
        <f>Districts!E102</f>
        <v>1</v>
      </c>
      <c r="G7" s="62">
        <f>Districts!F102</f>
        <v>0</v>
      </c>
      <c r="H7" s="62">
        <f>Districts!G102</f>
        <v>1</v>
      </c>
      <c r="J7" s="62">
        <f>Districts!H102</f>
        <v>10</v>
      </c>
      <c r="K7" s="62">
        <f>Districts!I102</f>
        <v>7</v>
      </c>
      <c r="L7" s="62">
        <f>Districts!J102</f>
        <v>3</v>
      </c>
      <c r="M7" s="61">
        <f t="shared" si="0"/>
        <v>9.6774193548387094E-2</v>
      </c>
      <c r="N7">
        <f ca="1">IF(ISNA(VLOOKUP($Z7,'DD Mbr'!$A$2:$N$212,14,0)),0,VLOOKUP($Z7,'DD Mbr'!$A$2:$N$212,14,0))</f>
        <v>106</v>
      </c>
      <c r="P7" s="62">
        <f>Districts!L102</f>
        <v>0</v>
      </c>
      <c r="Q7" s="62">
        <f>Districts!M102</f>
        <v>0</v>
      </c>
      <c r="R7" s="62">
        <f>Districts!N102</f>
        <v>1</v>
      </c>
      <c r="S7" s="62">
        <f>Districts!O102</f>
        <v>-1</v>
      </c>
      <c r="U7" s="62">
        <f>Districts!P102</f>
        <v>6</v>
      </c>
      <c r="V7" s="62">
        <f>Districts!Q102</f>
        <v>7</v>
      </c>
      <c r="W7" s="62">
        <f>Districts!R102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103</v>
      </c>
    </row>
    <row r="8" spans="1:26">
      <c r="A8" t="str">
        <f>IF(ISNA(VLOOKUP($B8,DD_Info!$A$2:$F$221,2,0)),0,VLOOKUP($B8,DD_Info!$A$2:$F$221,2,0))</f>
        <v>Scott  Brkovich</v>
      </c>
      <c r="B8" s="24">
        <v>104</v>
      </c>
      <c r="C8" s="85">
        <f>IF(ISNA(VLOOKUP($B8,DD_Info!$A$2:$F$221,5,0)),0,VLOOKUP($B8,DD_Info!$A$2:$F$221,5,0))</f>
        <v>1</v>
      </c>
      <c r="D8" s="62">
        <f>Districts!C103</f>
        <v>2177</v>
      </c>
      <c r="E8" s="62">
        <f>Districts!D103</f>
        <v>31</v>
      </c>
      <c r="F8" s="62">
        <f>Districts!E103</f>
        <v>1</v>
      </c>
      <c r="G8" s="62">
        <f>Districts!F103</f>
        <v>3</v>
      </c>
      <c r="H8" s="62">
        <f>Districts!G103</f>
        <v>-2</v>
      </c>
      <c r="J8" s="62">
        <f>Districts!H103</f>
        <v>6</v>
      </c>
      <c r="K8" s="62">
        <f>Districts!I103</f>
        <v>9</v>
      </c>
      <c r="L8" s="62">
        <f>Districts!J103</f>
        <v>-3</v>
      </c>
      <c r="M8" s="61">
        <f t="shared" si="0"/>
        <v>-9.6774193548387094E-2</v>
      </c>
      <c r="N8">
        <f ca="1">IF(ISNA(VLOOKUP($Z8,'DD Mbr'!$A$2:$N$212,14,0)),0,VLOOKUP($Z8,'DD Mbr'!$A$2:$N$212,14,0))</f>
        <v>178</v>
      </c>
      <c r="P8" s="62">
        <f>Districts!L103</f>
        <v>0</v>
      </c>
      <c r="Q8" s="62">
        <f>Districts!M103</f>
        <v>0</v>
      </c>
      <c r="R8" s="62">
        <f>Districts!N103</f>
        <v>2</v>
      </c>
      <c r="S8" s="62">
        <f>Districts!O103</f>
        <v>-2</v>
      </c>
      <c r="U8" s="62">
        <f>Districts!P103</f>
        <v>3</v>
      </c>
      <c r="V8" s="62">
        <f>Districts!Q103</f>
        <v>7</v>
      </c>
      <c r="W8" s="62">
        <f>Districts!R103</f>
        <v>-4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104</v>
      </c>
    </row>
    <row r="9" spans="1:26">
      <c r="A9" t="str">
        <f>IF(ISNA(VLOOKUP($B9,DD_Info!$A$2:$F$221,2,0)),0,VLOOKUP($B9,DD_Info!$A$2:$F$221,2,0))</f>
        <v>Royce G Cheek</v>
      </c>
      <c r="B9" s="24">
        <v>105</v>
      </c>
      <c r="C9" s="85">
        <f>IF(ISNA(VLOOKUP($B9,DD_Info!$A$2:$F$221,5,0)),0,VLOOKUP($B9,DD_Info!$A$2:$F$221,5,0))</f>
        <v>1</v>
      </c>
      <c r="D9" s="62">
        <f>Districts!C104</f>
        <v>661</v>
      </c>
      <c r="E9" s="62">
        <f>Districts!D104</f>
        <v>22</v>
      </c>
      <c r="F9" s="62">
        <f>Districts!E104</f>
        <v>0</v>
      </c>
      <c r="G9" s="62">
        <f>Districts!F104</f>
        <v>0</v>
      </c>
      <c r="H9" s="62">
        <f>Districts!G104</f>
        <v>0</v>
      </c>
      <c r="J9" s="62">
        <f>Districts!H104</f>
        <v>1</v>
      </c>
      <c r="K9" s="62">
        <f>Districts!I104</f>
        <v>15</v>
      </c>
      <c r="L9" s="62">
        <f>Districts!J104</f>
        <v>-14</v>
      </c>
      <c r="M9" s="61">
        <f t="shared" si="0"/>
        <v>-0.63636363636363635</v>
      </c>
      <c r="N9">
        <f ca="1">IF(ISNA(VLOOKUP($Z9,'DD Mbr'!$A$2:$N$212,14,0)),0,VLOOKUP($Z9,'DD Mbr'!$A$2:$N$212,14,0))</f>
        <v>198</v>
      </c>
      <c r="P9" s="62">
        <f>Districts!L104</f>
        <v>0</v>
      </c>
      <c r="Q9" s="62">
        <f>Districts!M104</f>
        <v>1</v>
      </c>
      <c r="R9" s="62">
        <f>Districts!N104</f>
        <v>0</v>
      </c>
      <c r="S9" s="62">
        <f>Districts!O104</f>
        <v>1</v>
      </c>
      <c r="U9" s="62">
        <f>Districts!P104</f>
        <v>4</v>
      </c>
      <c r="V9" s="62">
        <f>Districts!Q104</f>
        <v>4</v>
      </c>
      <c r="W9" s="62">
        <f>Districts!R104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105</v>
      </c>
    </row>
    <row r="10" spans="1:26">
      <c r="A10" t="str">
        <f>IF(ISNA(VLOOKUP($B10,DD_Info!$A$2:$F$221,2,0)),0,VLOOKUP($B10,DD_Info!$A$2:$F$221,2,0))</f>
        <v>Dan  Stoffel</v>
      </c>
      <c r="B10" s="24">
        <v>106</v>
      </c>
      <c r="C10" s="85">
        <f>IF(ISNA(VLOOKUP($B10,DD_Info!$A$2:$F$221,5,0)),0,VLOOKUP($B10,DD_Info!$A$2:$F$221,5,0))</f>
        <v>1</v>
      </c>
      <c r="D10" s="62">
        <f>Districts!C105</f>
        <v>940</v>
      </c>
      <c r="E10" s="62">
        <f>Districts!D105</f>
        <v>31</v>
      </c>
      <c r="F10" s="62">
        <f>Districts!E105</f>
        <v>0</v>
      </c>
      <c r="G10" s="62">
        <f>Districts!F105</f>
        <v>0</v>
      </c>
      <c r="H10" s="62">
        <f>Districts!G105</f>
        <v>0</v>
      </c>
      <c r="J10" s="62">
        <f>Districts!H105</f>
        <v>11</v>
      </c>
      <c r="K10" s="62">
        <f>Districts!I105</f>
        <v>13</v>
      </c>
      <c r="L10" s="62">
        <f>Districts!J105</f>
        <v>-2</v>
      </c>
      <c r="M10" s="61">
        <f t="shared" si="0"/>
        <v>-6.4516129032258063E-2</v>
      </c>
      <c r="N10">
        <f ca="1">IF(ISNA(VLOOKUP($Z10,'DD Mbr'!$A$2:$N$212,14,0)),0,VLOOKUP($Z10,'DD Mbr'!$A$2:$N$212,14,0))</f>
        <v>173</v>
      </c>
      <c r="P10" s="62">
        <f>Districts!L105</f>
        <v>0</v>
      </c>
      <c r="Q10" s="62">
        <f>Districts!M105</f>
        <v>1</v>
      </c>
      <c r="R10" s="62">
        <f>Districts!N105</f>
        <v>1</v>
      </c>
      <c r="S10" s="62">
        <f>Districts!O105</f>
        <v>0</v>
      </c>
      <c r="U10" s="62">
        <f>Districts!P105</f>
        <v>5</v>
      </c>
      <c r="V10" s="62">
        <f>Districts!Q105</f>
        <v>6</v>
      </c>
      <c r="W10" s="62">
        <f>Districts!R105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106</v>
      </c>
    </row>
    <row r="11" spans="1:26">
      <c r="A11" t="str">
        <f>IF(ISNA(VLOOKUP($B11,DD_Info!$A$2:$F$221,2,0)),0,VLOOKUP($B11,DD_Info!$A$2:$F$221,2,0))</f>
        <v>Robert M Repka Jr</v>
      </c>
      <c r="B11" s="24">
        <v>107</v>
      </c>
      <c r="C11" s="85">
        <f>IF(ISNA(VLOOKUP($B11,DD_Info!$A$2:$F$221,5,0)),0,VLOOKUP($B11,DD_Info!$A$2:$F$221,5,0))</f>
        <v>2</v>
      </c>
      <c r="D11" s="62">
        <f>Districts!C106</f>
        <v>459</v>
      </c>
      <c r="E11" s="62">
        <f>Districts!D106</f>
        <v>16</v>
      </c>
      <c r="F11" s="62">
        <f>Districts!E106</f>
        <v>0</v>
      </c>
      <c r="G11" s="62">
        <f>Districts!F106</f>
        <v>0</v>
      </c>
      <c r="H11" s="62">
        <f>Districts!G106</f>
        <v>0</v>
      </c>
      <c r="J11" s="62">
        <f>Districts!H106</f>
        <v>3</v>
      </c>
      <c r="K11" s="62">
        <f>Districts!I106</f>
        <v>0</v>
      </c>
      <c r="L11" s="62">
        <f>Districts!J106</f>
        <v>3</v>
      </c>
      <c r="M11" s="61">
        <f t="shared" si="0"/>
        <v>0.1875</v>
      </c>
      <c r="N11">
        <f ca="1">IF(ISNA(VLOOKUP($Z11,'DD Mbr'!$A$2:$N$212,14,0)),0,VLOOKUP($Z11,'DD Mbr'!$A$2:$N$212,14,0))</f>
        <v>74</v>
      </c>
      <c r="P11" s="62">
        <f>Districts!L106</f>
        <v>0</v>
      </c>
      <c r="Q11" s="62">
        <f>Districts!M106</f>
        <v>0</v>
      </c>
      <c r="R11" s="62">
        <f>Districts!N106</f>
        <v>1</v>
      </c>
      <c r="S11" s="62">
        <f>Districts!O106</f>
        <v>-1</v>
      </c>
      <c r="U11" s="62">
        <f>Districts!P106</f>
        <v>2</v>
      </c>
      <c r="V11" s="62">
        <f>Districts!Q106</f>
        <v>2</v>
      </c>
      <c r="W11" s="62">
        <f>Districts!R106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107</v>
      </c>
    </row>
    <row r="12" spans="1:26">
      <c r="A12" t="str">
        <f>IF(ISNA(VLOOKUP($B12,DD_Info!$A$2:$F$221,2,0)),0,VLOOKUP($B12,DD_Info!$A$2:$F$221,2,0))</f>
        <v>John "Jack" G Ayers</v>
      </c>
      <c r="B12" s="24">
        <v>108</v>
      </c>
      <c r="C12" s="85">
        <f>IF(ISNA(VLOOKUP($B12,DD_Info!$A$2:$F$221,5,0)),0,VLOOKUP($B12,DD_Info!$A$2:$F$221,5,0))</f>
        <v>1</v>
      </c>
      <c r="D12" s="62">
        <f>Districts!C107</f>
        <v>822</v>
      </c>
      <c r="E12" s="62">
        <f>Districts!D107</f>
        <v>28</v>
      </c>
      <c r="F12" s="62">
        <f>Districts!E107</f>
        <v>1</v>
      </c>
      <c r="G12" s="62">
        <f>Districts!F107</f>
        <v>0</v>
      </c>
      <c r="H12" s="62">
        <f>Districts!G107</f>
        <v>1</v>
      </c>
      <c r="J12" s="62">
        <f>Districts!H107</f>
        <v>4</v>
      </c>
      <c r="K12" s="62">
        <f>Districts!I107</f>
        <v>1</v>
      </c>
      <c r="L12" s="62">
        <f>Districts!J107</f>
        <v>3</v>
      </c>
      <c r="M12" s="61">
        <f t="shared" si="0"/>
        <v>0.10714285714285714</v>
      </c>
      <c r="N12">
        <f ca="1">IF(ISNA(VLOOKUP($Z12,'DD Mbr'!$A$2:$N$212,14,0)),0,VLOOKUP($Z12,'DD Mbr'!$A$2:$N$212,14,0))</f>
        <v>102</v>
      </c>
      <c r="P12" s="62">
        <f>Districts!L107</f>
        <v>0</v>
      </c>
      <c r="Q12" s="62">
        <f>Districts!M107</f>
        <v>1</v>
      </c>
      <c r="R12" s="62">
        <f>Districts!N107</f>
        <v>1</v>
      </c>
      <c r="S12" s="62">
        <f>Districts!O107</f>
        <v>0</v>
      </c>
      <c r="U12" s="62">
        <f>Districts!P107</f>
        <v>7</v>
      </c>
      <c r="V12" s="62">
        <f>Districts!Q107</f>
        <v>3</v>
      </c>
      <c r="W12" s="62">
        <f>Districts!R107</f>
        <v>4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108</v>
      </c>
    </row>
    <row r="13" spans="1:26">
      <c r="A13" t="str">
        <f>IF(ISNA(VLOOKUP($B13,DD_Info!$A$2:$F$221,2,0)),0,VLOOKUP($B13,DD_Info!$A$2:$F$221,2,0))</f>
        <v>Kebran W Alexander</v>
      </c>
      <c r="B13" s="24">
        <v>109</v>
      </c>
      <c r="C13" s="85">
        <f>IF(ISNA(VLOOKUP($B13,DD_Info!$A$2:$F$221,5,0)),0,VLOOKUP($B13,DD_Info!$A$2:$F$221,5,0))</f>
        <v>2</v>
      </c>
      <c r="D13" s="62">
        <f>Districts!C108</f>
        <v>482</v>
      </c>
      <c r="E13" s="62">
        <f>Districts!D108</f>
        <v>16</v>
      </c>
      <c r="F13" s="62">
        <f>Districts!E108</f>
        <v>0</v>
      </c>
      <c r="G13" s="62">
        <f>Districts!F108</f>
        <v>0</v>
      </c>
      <c r="H13" s="62">
        <f>Districts!G108</f>
        <v>0</v>
      </c>
      <c r="J13" s="62">
        <f>Districts!H108</f>
        <v>5</v>
      </c>
      <c r="K13" s="62">
        <f>Districts!I108</f>
        <v>0</v>
      </c>
      <c r="L13" s="62">
        <f>Districts!J108</f>
        <v>5</v>
      </c>
      <c r="M13" s="61">
        <f t="shared" si="0"/>
        <v>0.3125</v>
      </c>
      <c r="N13">
        <f ca="1">IF(ISNA(VLOOKUP($Z13,'DD Mbr'!$A$2:$N$212,14,0)),0,VLOOKUP($Z13,'DD Mbr'!$A$2:$N$212,14,0))</f>
        <v>46</v>
      </c>
      <c r="P13" s="62">
        <f>Districts!L108</f>
        <v>0</v>
      </c>
      <c r="Q13" s="62">
        <f>Districts!M108</f>
        <v>0</v>
      </c>
      <c r="R13" s="62">
        <f>Districts!N108</f>
        <v>1</v>
      </c>
      <c r="S13" s="62">
        <f>Districts!O108</f>
        <v>-1</v>
      </c>
      <c r="U13" s="62">
        <f>Districts!P108</f>
        <v>1</v>
      </c>
      <c r="V13" s="62">
        <f>Districts!Q108</f>
        <v>6</v>
      </c>
      <c r="W13" s="62">
        <f>Districts!R108</f>
        <v>-5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109</v>
      </c>
    </row>
    <row r="14" spans="1:26">
      <c r="A14" t="str">
        <f>IF(ISNA(VLOOKUP($B14,DD_Info!$A$2:$F$221,2,0)),0,VLOOKUP($B14,DD_Info!$A$2:$F$221,2,0))</f>
        <v>Richard C Frasco</v>
      </c>
      <c r="B14" s="24">
        <v>110</v>
      </c>
      <c r="C14" s="85">
        <f>IF(ISNA(VLOOKUP($B14,DD_Info!$A$2:$F$221,5,0)),0,VLOOKUP($B14,DD_Info!$A$2:$F$221,5,0))</f>
        <v>2</v>
      </c>
      <c r="D14" s="62">
        <f>Districts!C109</f>
        <v>557</v>
      </c>
      <c r="E14" s="62">
        <f>Districts!D109</f>
        <v>20</v>
      </c>
      <c r="F14" s="62">
        <f>Districts!E109</f>
        <v>0</v>
      </c>
      <c r="G14" s="62">
        <f>Districts!F109</f>
        <v>0</v>
      </c>
      <c r="H14" s="62">
        <f>Districts!G109</f>
        <v>0</v>
      </c>
      <c r="J14" s="62">
        <f>Districts!H109</f>
        <v>7</v>
      </c>
      <c r="K14" s="62">
        <f>Districts!I109</f>
        <v>2</v>
      </c>
      <c r="L14" s="62">
        <f>Districts!J109</f>
        <v>5</v>
      </c>
      <c r="M14" s="61">
        <f t="shared" si="0"/>
        <v>0.25</v>
      </c>
      <c r="N14">
        <f ca="1">IF(ISNA(VLOOKUP($Z14,'DD Mbr'!$A$2:$N$212,14,0)),0,VLOOKUP($Z14,'DD Mbr'!$A$2:$N$212,14,0))</f>
        <v>58</v>
      </c>
      <c r="P14" s="62">
        <f>Districts!L109</f>
        <v>0</v>
      </c>
      <c r="Q14" s="62">
        <f>Districts!M109</f>
        <v>0</v>
      </c>
      <c r="R14" s="62">
        <f>Districts!N109</f>
        <v>1</v>
      </c>
      <c r="S14" s="62">
        <f>Districts!O109</f>
        <v>-1</v>
      </c>
      <c r="U14" s="62">
        <f>Districts!P109</f>
        <v>3</v>
      </c>
      <c r="V14" s="62">
        <f>Districts!Q109</f>
        <v>2</v>
      </c>
      <c r="W14" s="62">
        <f>Districts!R109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110</v>
      </c>
    </row>
    <row r="15" spans="1:26">
      <c r="A15" t="str">
        <f>IF(ISNA(VLOOKUP($B15,DD_Info!$A$2:$F$221,2,0)),0,VLOOKUP($B15,DD_Info!$A$2:$F$221,2,0))</f>
        <v>Edward J Stankunas</v>
      </c>
      <c r="B15" s="24">
        <v>111</v>
      </c>
      <c r="C15" s="85">
        <f>IF(ISNA(VLOOKUP($B15,DD_Info!$A$2:$F$221,5,0)),0,VLOOKUP($B15,DD_Info!$A$2:$F$221,5,0))</f>
        <v>1</v>
      </c>
      <c r="D15" s="62">
        <f>Districts!C110</f>
        <v>1531</v>
      </c>
      <c r="E15" s="62">
        <f>Districts!D110</f>
        <v>46</v>
      </c>
      <c r="F15" s="62">
        <f>Districts!E110</f>
        <v>0</v>
      </c>
      <c r="G15" s="62">
        <f>Districts!F110</f>
        <v>49</v>
      </c>
      <c r="H15" s="62">
        <f>Districts!G110</f>
        <v>-49</v>
      </c>
      <c r="J15" s="62">
        <f>Districts!H110</f>
        <v>17</v>
      </c>
      <c r="K15" s="62">
        <f>Districts!I110</f>
        <v>76</v>
      </c>
      <c r="L15" s="62">
        <f>Districts!J110</f>
        <v>-59</v>
      </c>
      <c r="M15" s="61">
        <f t="shared" si="0"/>
        <v>-1.2826086956521738</v>
      </c>
      <c r="N15">
        <f ca="1">IF(ISNA(VLOOKUP($Z15,'DD Mbr'!$A$2:$N$212,14,0)),0,VLOOKUP($Z15,'DD Mbr'!$A$2:$N$212,14,0))</f>
        <v>205</v>
      </c>
      <c r="P15" s="62">
        <f>Districts!L110</f>
        <v>0</v>
      </c>
      <c r="Q15" s="62">
        <f>Districts!M110</f>
        <v>2</v>
      </c>
      <c r="R15" s="62">
        <f>Districts!N110</f>
        <v>5</v>
      </c>
      <c r="S15" s="62">
        <f>Districts!O110</f>
        <v>-3</v>
      </c>
      <c r="U15" s="62">
        <f>Districts!P110</f>
        <v>9</v>
      </c>
      <c r="V15" s="62">
        <f>Districts!Q110</f>
        <v>18</v>
      </c>
      <c r="W15" s="62">
        <f>Districts!R110</f>
        <v>-9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111</v>
      </c>
    </row>
    <row r="16" spans="1:26">
      <c r="A16" t="str">
        <f>IF(ISNA(VLOOKUP($B16,DD_Info!$A$2:$F$221,2,0)),0,VLOOKUP($B16,DD_Info!$A$2:$F$221,2,0))</f>
        <v>Alberto  Castro</v>
      </c>
      <c r="B16" s="24">
        <v>112</v>
      </c>
      <c r="C16" s="85">
        <f>IF(ISNA(VLOOKUP($B16,DD_Info!$A$2:$F$221,5,0)),0,VLOOKUP($B16,DD_Info!$A$2:$F$221,5,0))</f>
        <v>3</v>
      </c>
      <c r="D16" s="62">
        <f>Districts!C111</f>
        <v>266</v>
      </c>
      <c r="E16" s="62">
        <f>Districts!D111</f>
        <v>11</v>
      </c>
      <c r="F16" s="62">
        <f>Districts!E111</f>
        <v>1</v>
      </c>
      <c r="G16" s="62">
        <f>Districts!F111</f>
        <v>0</v>
      </c>
      <c r="H16" s="62">
        <f>Districts!G111</f>
        <v>1</v>
      </c>
      <c r="J16" s="62">
        <f>Districts!H111</f>
        <v>8</v>
      </c>
      <c r="K16" s="62">
        <f>Districts!I111</f>
        <v>0</v>
      </c>
      <c r="L16" s="62">
        <f>Districts!J111</f>
        <v>8</v>
      </c>
      <c r="M16" s="61">
        <f t="shared" si="0"/>
        <v>0.72727272727272729</v>
      </c>
      <c r="N16">
        <f ca="1">IF(ISNA(VLOOKUP($Z16,'DD Mbr'!$A$2:$N$212,14,0)),0,VLOOKUP($Z16,'DD Mbr'!$A$2:$N$212,14,0))</f>
        <v>12</v>
      </c>
      <c r="P16" s="62">
        <f>Districts!L111</f>
        <v>0</v>
      </c>
      <c r="Q16" s="62">
        <f>Districts!M111</f>
        <v>0</v>
      </c>
      <c r="R16" s="62">
        <f>Districts!N111</f>
        <v>0</v>
      </c>
      <c r="S16" s="62">
        <f>Districts!O111</f>
        <v>0</v>
      </c>
      <c r="U16" s="62">
        <f>Districts!P111</f>
        <v>4</v>
      </c>
      <c r="V16" s="62">
        <f>Districts!Q111</f>
        <v>0</v>
      </c>
      <c r="W16" s="62">
        <f>Districts!R111</f>
        <v>4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112</v>
      </c>
    </row>
    <row r="17" spans="1:26">
      <c r="A17" t="str">
        <f>IF(ISNA(VLOOKUP($B17,DD_Info!$A$2:$F$221,2,0)),0,VLOOKUP($B17,DD_Info!$A$2:$F$221,2,0))</f>
        <v>Nick  Flores</v>
      </c>
      <c r="B17" s="24">
        <v>113</v>
      </c>
      <c r="C17" s="85">
        <f>IF(ISNA(VLOOKUP($B17,DD_Info!$A$2:$F$221,5,0)),0,VLOOKUP($B17,DD_Info!$A$2:$F$221,5,0))</f>
        <v>2</v>
      </c>
      <c r="D17" s="62">
        <f>Districts!C112</f>
        <v>369</v>
      </c>
      <c r="E17" s="62">
        <f>Districts!D112</f>
        <v>13</v>
      </c>
      <c r="F17" s="62">
        <f>Districts!E112</f>
        <v>0</v>
      </c>
      <c r="G17" s="62">
        <f>Districts!F112</f>
        <v>0</v>
      </c>
      <c r="H17" s="62">
        <f>Districts!G112</f>
        <v>0</v>
      </c>
      <c r="J17" s="62">
        <f>Districts!H112</f>
        <v>0</v>
      </c>
      <c r="K17" s="62">
        <f>Districts!I112</f>
        <v>0</v>
      </c>
      <c r="L17" s="62">
        <f>Districts!J112</f>
        <v>0</v>
      </c>
      <c r="M17" s="61">
        <f t="shared" si="0"/>
        <v>0</v>
      </c>
      <c r="N17">
        <f ca="1">IF(ISNA(VLOOKUP($Z17,'DD Mbr'!$A$2:$N$212,14,0)),0,VLOOKUP($Z17,'DD Mbr'!$A$2:$N$212,14,0))</f>
        <v>127</v>
      </c>
      <c r="P17" s="62">
        <f>Districts!L112</f>
        <v>0</v>
      </c>
      <c r="Q17" s="62">
        <f>Districts!M112</f>
        <v>0</v>
      </c>
      <c r="R17" s="62">
        <f>Districts!N112</f>
        <v>0</v>
      </c>
      <c r="S17" s="62">
        <f>Districts!O112</f>
        <v>0</v>
      </c>
      <c r="U17" s="62">
        <f>Districts!P112</f>
        <v>3</v>
      </c>
      <c r="V17" s="62">
        <f>Districts!Q112</f>
        <v>1</v>
      </c>
      <c r="W17" s="62">
        <f>Districts!R112</f>
        <v>2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113</v>
      </c>
    </row>
    <row r="18" spans="1:26">
      <c r="A18" t="str">
        <f>IF(ISNA(VLOOKUP($B18,DD_Info!$A$2:$F$221,2,0)),0,VLOOKUP($B18,DD_Info!$A$2:$F$221,2,0))</f>
        <v>Michael  Steffens</v>
      </c>
      <c r="B18" s="24">
        <v>114</v>
      </c>
      <c r="C18" s="85">
        <f>IF(ISNA(VLOOKUP($B18,DD_Info!$A$2:$F$221,5,0)),0,VLOOKUP($B18,DD_Info!$A$2:$F$221,5,0))</f>
        <v>1</v>
      </c>
      <c r="D18" s="62">
        <f>Districts!C113</f>
        <v>1138</v>
      </c>
      <c r="E18" s="62">
        <f>Districts!D113</f>
        <v>36</v>
      </c>
      <c r="F18" s="62">
        <f>Districts!E113</f>
        <v>5</v>
      </c>
      <c r="G18" s="62">
        <f>Districts!F113</f>
        <v>5</v>
      </c>
      <c r="H18" s="62">
        <f>Districts!G113</f>
        <v>0</v>
      </c>
      <c r="J18" s="62">
        <f>Districts!H113</f>
        <v>10</v>
      </c>
      <c r="K18" s="62">
        <f>Districts!I113</f>
        <v>6</v>
      </c>
      <c r="L18" s="62">
        <f>Districts!J113</f>
        <v>4</v>
      </c>
      <c r="M18" s="61">
        <f t="shared" si="0"/>
        <v>0.1111111111111111</v>
      </c>
      <c r="N18">
        <f ca="1">IF(ISNA(VLOOKUP($Z18,'DD Mbr'!$A$2:$N$212,14,0)),0,VLOOKUP($Z18,'DD Mbr'!$A$2:$N$212,14,0))</f>
        <v>96</v>
      </c>
      <c r="P18" s="62">
        <f>Districts!L113</f>
        <v>0</v>
      </c>
      <c r="Q18" s="62">
        <f>Districts!M113</f>
        <v>1</v>
      </c>
      <c r="R18" s="62">
        <f>Districts!N113</f>
        <v>3</v>
      </c>
      <c r="S18" s="62">
        <f>Districts!O113</f>
        <v>-2</v>
      </c>
      <c r="U18" s="62">
        <f>Districts!P113</f>
        <v>2</v>
      </c>
      <c r="V18" s="62">
        <f>Districts!Q113</f>
        <v>9</v>
      </c>
      <c r="W18" s="62">
        <f>Districts!R113</f>
        <v>-7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114</v>
      </c>
    </row>
    <row r="19" spans="1:26">
      <c r="A19" t="str">
        <f>IF(ISNA(VLOOKUP($B19,DD_Info!$A$2:$F$221,2,0)),0,VLOOKUP($B19,DD_Info!$A$2:$F$221,2,0))</f>
        <v>Ed  Romack</v>
      </c>
      <c r="B19" s="24">
        <v>115</v>
      </c>
      <c r="C19" s="85">
        <f>IF(ISNA(VLOOKUP($B19,DD_Info!$A$2:$F$221,5,0)),0,VLOOKUP($B19,DD_Info!$A$2:$F$221,5,0))</f>
        <v>2</v>
      </c>
      <c r="D19" s="62">
        <f>Districts!C114</f>
        <v>462</v>
      </c>
      <c r="E19" s="62">
        <f>Districts!D114</f>
        <v>17</v>
      </c>
      <c r="F19" s="62">
        <f>Districts!E114</f>
        <v>0</v>
      </c>
      <c r="G19" s="62">
        <f>Districts!F114</f>
        <v>0</v>
      </c>
      <c r="H19" s="62">
        <f>Districts!G114</f>
        <v>0</v>
      </c>
      <c r="J19" s="62">
        <f>Districts!H114</f>
        <v>9</v>
      </c>
      <c r="K19" s="62">
        <f>Districts!I114</f>
        <v>38</v>
      </c>
      <c r="L19" s="62">
        <f>Districts!J114</f>
        <v>-29</v>
      </c>
      <c r="M19" s="61">
        <f t="shared" si="0"/>
        <v>-1.7058823529411764</v>
      </c>
      <c r="N19">
        <f ca="1">IF(ISNA(VLOOKUP($Z19,'DD Mbr'!$A$2:$N$212,14,0)),0,VLOOKUP($Z19,'DD Mbr'!$A$2:$N$212,14,0))</f>
        <v>209</v>
      </c>
      <c r="P19" s="62">
        <f>Districts!L114</f>
        <v>0</v>
      </c>
      <c r="Q19" s="62">
        <f>Districts!M114</f>
        <v>0</v>
      </c>
      <c r="R19" s="62">
        <f>Districts!N114</f>
        <v>1</v>
      </c>
      <c r="S19" s="62">
        <f>Districts!O114</f>
        <v>-1</v>
      </c>
      <c r="U19" s="62">
        <f>Districts!P114</f>
        <v>4</v>
      </c>
      <c r="V19" s="62">
        <f>Districts!Q114</f>
        <v>10</v>
      </c>
      <c r="W19" s="62">
        <f>Districts!R114</f>
        <v>-6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115</v>
      </c>
    </row>
    <row r="20" spans="1:26">
      <c r="A20" t="str">
        <f>IF(ISNA(VLOOKUP($B20,DD_Info!$A$2:$F$221,2,0)),0,VLOOKUP($B20,DD_Info!$A$2:$F$221,2,0))</f>
        <v>Mike  Courtney</v>
      </c>
      <c r="B20" s="24">
        <v>116</v>
      </c>
      <c r="C20" s="85">
        <v>2</v>
      </c>
      <c r="D20" s="62">
        <f>Districts!C115</f>
        <v>171</v>
      </c>
      <c r="E20" s="62">
        <f>Districts!D115</f>
        <v>8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0</v>
      </c>
      <c r="K20" s="62">
        <f>Districts!I115</f>
        <v>0</v>
      </c>
      <c r="L20" s="62">
        <f>Districts!J115</f>
        <v>0</v>
      </c>
      <c r="M20" s="61">
        <f t="shared" ref="M20" si="3">IFERROR(L20/E20,0)</f>
        <v>0</v>
      </c>
      <c r="N20">
        <f ca="1">IF(ISNA(VLOOKUP($Z20,'DD Mbr'!$A$2:$N$212,14,0)),0,VLOOKUP($Z20,'DD Mbr'!$A$2:$N$212,14,0))</f>
        <v>127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1</v>
      </c>
      <c r="V20" s="62">
        <f>Districts!Q115</f>
        <v>0</v>
      </c>
      <c r="W20" s="62">
        <f>Districts!R115</f>
        <v>1</v>
      </c>
      <c r="X20" s="61">
        <f t="shared" ref="X20" si="4">IFERROR(W20/P20,0)</f>
        <v>0</v>
      </c>
      <c r="Y20">
        <f>IF(ISNA(VLOOKUP($Z20,'DD Ins'!$A$2:$N$217,14,0)),0,VLOOKUP($Z20,'DD Ins'!$A$2:$N$217,14,0))</f>
        <v>0</v>
      </c>
      <c r="Z20">
        <v>116</v>
      </c>
    </row>
  </sheetData>
  <hyperlinks>
    <hyperlink ref="B5" location="'DD101'!A3" tooltip="District 101 Councils" display="'DD101'!A3" xr:uid="{00000000-0004-0000-2400-000000000000}"/>
    <hyperlink ref="B6:B18" location="'DD16'!A3" tooltip="District 16 Councils" display="'DD16'!A3" xr:uid="{00000000-0004-0000-2400-000001000000}"/>
    <hyperlink ref="B19" location="'DD115'!A3" tooltip="District 115 Councils" display="'DD115'!A3" xr:uid="{00000000-0004-0000-2400-000002000000}"/>
    <hyperlink ref="B6" location="'DD102'!A3" tooltip="District 102 Councils" display="'DD102'!A3" xr:uid="{00000000-0004-0000-2400-000003000000}"/>
    <hyperlink ref="B7" location="'DD103'!A3" tooltip="District 103 Councils" display="'DD103'!A3" xr:uid="{00000000-0004-0000-2400-000004000000}"/>
    <hyperlink ref="B8" location="'DD104'!A3" tooltip="District 104 Councils" display="'DD104'!A3" xr:uid="{00000000-0004-0000-2400-000005000000}"/>
    <hyperlink ref="B9" location="'DD105'!A3" tooltip="District 105 Councils" display="'DD105'!A3" xr:uid="{00000000-0004-0000-2400-000006000000}"/>
    <hyperlink ref="B10" location="'DD106'!A3" tooltip="District 106 Councils" display="'DD106'!A3" xr:uid="{00000000-0004-0000-2400-000007000000}"/>
    <hyperlink ref="B11" location="'DD107'!A3" tooltip="District 107 Councils" display="'DD107'!A3" xr:uid="{00000000-0004-0000-2400-000008000000}"/>
    <hyperlink ref="B12" location="'DD108'!A3" tooltip="District 108 Councils" display="'DD108'!A3" xr:uid="{00000000-0004-0000-2400-000009000000}"/>
    <hyperlink ref="B13" location="'DD109'!A3" tooltip="District 109 Councils" display="'DD109'!A3" xr:uid="{00000000-0004-0000-2400-00000A000000}"/>
    <hyperlink ref="B14" location="'DD110'!A3" tooltip="District 110 Councils" display="'DD110'!A3" xr:uid="{00000000-0004-0000-2400-00000B000000}"/>
    <hyperlink ref="B15" location="'DD111'!A3" tooltip="District 111 Councils" display="'DD111'!A3" xr:uid="{00000000-0004-0000-2400-00000C000000}"/>
    <hyperlink ref="B16" location="'DD112'!A3" tooltip="District 112 Councils" display="'DD112'!A3" xr:uid="{00000000-0004-0000-2400-00000D000000}"/>
    <hyperlink ref="B17" location="'DD113'!A3" tooltip="District 113 Councils" display="'DD113'!A3" xr:uid="{00000000-0004-0000-2400-00000E000000}"/>
    <hyperlink ref="B18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20" location="'DD116'!A3" tooltip="District 115 Councils" display="'DD116'!A3" xr:uid="{457E5D87-FDFC-4DEE-8AF8-32495EE2DAFA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>
      <selection activeCell="D13" sqref="D13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Isaac A Gonzalez</v>
      </c>
      <c r="B5" s="86">
        <v>231</v>
      </c>
      <c r="C5" s="85">
        <f>IF(ISNA(VLOOKUP($B5,DD_Info!$A$2:$F$221,5,0)),0,VLOOKUP($B5,DD_Info!$A$2:$F$221,5,0))</f>
        <v>2</v>
      </c>
      <c r="D5" s="62">
        <f>Districts!C208</f>
        <v>354</v>
      </c>
      <c r="E5" s="62">
        <f>Districts!D208</f>
        <v>15</v>
      </c>
      <c r="F5" s="62">
        <f>Districts!E208</f>
        <v>0</v>
      </c>
      <c r="G5" s="62">
        <f>Districts!F208</f>
        <v>0</v>
      </c>
      <c r="H5" s="62">
        <f>Districts!G208</f>
        <v>0</v>
      </c>
      <c r="J5" s="62">
        <f>Districts!H208</f>
        <v>8</v>
      </c>
      <c r="K5" s="62">
        <f>Districts!I208</f>
        <v>21</v>
      </c>
      <c r="L5" s="62">
        <f>Districts!J208</f>
        <v>-13</v>
      </c>
      <c r="M5" s="61">
        <f>IFERROR(ROUND(+L5/E5,3),0)</f>
        <v>-0.86699999999999999</v>
      </c>
      <c r="N5">
        <f ca="1">IF(ISNA(VLOOKUP($Z5,'DD Mbr'!$A$2:$N$212,14,0)),0,VLOOKUP($Z5,'DD Mbr'!$A$2:$N$212,14,0))</f>
        <v>199</v>
      </c>
      <c r="P5" s="62">
        <f>Districts!L208</f>
        <v>0</v>
      </c>
      <c r="Q5" s="62">
        <f>Districts!M208</f>
        <v>0</v>
      </c>
      <c r="R5" s="62">
        <f>Districts!N208</f>
        <v>0</v>
      </c>
      <c r="S5" s="62">
        <f>Districts!O208</f>
        <v>0</v>
      </c>
      <c r="T5" s="62">
        <f>Districts!P203</f>
        <v>0</v>
      </c>
      <c r="U5" s="62">
        <f>Districts!Q208</f>
        <v>1</v>
      </c>
      <c r="V5" s="62">
        <f>Districts!R208</f>
        <v>-1</v>
      </c>
      <c r="W5" s="62">
        <f>Districts!S208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231</v>
      </c>
    </row>
    <row r="6" spans="1:26">
      <c r="A6" t="str">
        <f>IF(ISNA(VLOOKUP($B6,DD_Info!$A$2:$F$221,2,0)),0,VLOOKUP($B6,DD_Info!$A$2:$F$221,2,0))</f>
        <v>Jose Luis  Rodriguez</v>
      </c>
      <c r="B6" s="55">
        <v>232</v>
      </c>
      <c r="C6" s="85">
        <f>IF(ISNA(VLOOKUP($B6,DD_Info!$A$2:$F$221,5,0)),0,VLOOKUP($B6,DD_Info!$A$2:$F$221,5,0))</f>
        <v>3</v>
      </c>
      <c r="D6" s="62">
        <f>Districts!C209</f>
        <v>189</v>
      </c>
      <c r="E6" s="62">
        <f>Districts!D209</f>
        <v>12</v>
      </c>
      <c r="F6" s="62">
        <f>Districts!E209</f>
        <v>0</v>
      </c>
      <c r="G6" s="62">
        <f>Districts!F209</f>
        <v>0</v>
      </c>
      <c r="H6" s="62">
        <f>Districts!G209</f>
        <v>0</v>
      </c>
      <c r="J6" s="62">
        <f>Districts!H209</f>
        <v>1</v>
      </c>
      <c r="K6" s="62">
        <f>Districts!I209</f>
        <v>0</v>
      </c>
      <c r="L6" s="62">
        <f>Districts!J209</f>
        <v>1</v>
      </c>
      <c r="M6" s="61">
        <f>IFERROR(ROUND(+L6/E6,3),0)</f>
        <v>8.3000000000000004E-2</v>
      </c>
      <c r="N6">
        <f ca="1">IF(ISNA(VLOOKUP($Z6,'DD Mbr'!$A$2:$N$212,14,0)),0,VLOOKUP($Z6,'DD Mbr'!$A$2:$N$212,14,0))</f>
        <v>96</v>
      </c>
      <c r="P6" s="62">
        <f>Districts!L209</f>
        <v>0</v>
      </c>
      <c r="Q6" s="62">
        <f>Districts!M209</f>
        <v>0</v>
      </c>
      <c r="R6" s="62">
        <f>Districts!N209</f>
        <v>0</v>
      </c>
      <c r="S6" s="62">
        <f>Districts!O209</f>
        <v>0</v>
      </c>
      <c r="T6" s="62">
        <f>Districts!P204</f>
        <v>0</v>
      </c>
      <c r="U6" s="62">
        <f>Districts!Q209</f>
        <v>0</v>
      </c>
      <c r="V6" s="62">
        <f>Districts!R209</f>
        <v>0</v>
      </c>
      <c r="W6" s="62">
        <f>Districts!S209</f>
        <v>0</v>
      </c>
      <c r="X6" s="61">
        <f>IFERROR(ROUND(+W6/P6,3),0)</f>
        <v>0</v>
      </c>
      <c r="Y6">
        <f>IF(ISNA(VLOOKUP($Z6,'DD Ins'!$A$2:$N$217,14,0)),0,VLOOKUP($Z6,'DD Ins'!$A$2:$N$217,14,0))</f>
        <v>1</v>
      </c>
      <c r="Z6">
        <f>+B6</f>
        <v>232</v>
      </c>
    </row>
    <row r="7" spans="1:26">
      <c r="A7" t="str">
        <f>IF(ISNA(VLOOKUP($B7,DD_Info!$A$2:$F$221,2,0)),0,VLOOKUP($B7,DD_Info!$A$2:$F$221,2,0))</f>
        <v>Luis J Collazo</v>
      </c>
      <c r="B7" s="55">
        <v>233</v>
      </c>
      <c r="C7" s="85">
        <f>IF(ISNA(VLOOKUP($B7,DD_Info!$A$2:$F$221,5,0)),0,VLOOKUP($B7,DD_Info!$A$2:$F$221,5,0))</f>
        <v>3</v>
      </c>
      <c r="D7" s="62">
        <f>Districts!C210</f>
        <v>135</v>
      </c>
      <c r="E7" s="62">
        <f>Districts!D210</f>
        <v>5</v>
      </c>
      <c r="F7" s="62">
        <f>Districts!E210</f>
        <v>0</v>
      </c>
      <c r="G7" s="62">
        <f>Districts!F210</f>
        <v>0</v>
      </c>
      <c r="H7" s="62">
        <f>Districts!G210</f>
        <v>0</v>
      </c>
      <c r="J7" s="62">
        <f>Districts!H210</f>
        <v>0</v>
      </c>
      <c r="K7" s="62">
        <f>Districts!I210</f>
        <v>0</v>
      </c>
      <c r="L7" s="62">
        <f>Districts!J210</f>
        <v>0</v>
      </c>
      <c r="M7" s="61">
        <f t="shared" ref="M7:M12" si="0">IFERROR(ROUND(+L7/E7,3),0)</f>
        <v>0</v>
      </c>
      <c r="N7">
        <f ca="1">IF(ISNA(VLOOKUP($Z7,'DD Mbr'!$A$2:$N$212,14,0)),0,VLOOKUP($Z7,'DD Mbr'!$A$2:$N$212,14,0))</f>
        <v>127</v>
      </c>
      <c r="P7" s="62">
        <f>Districts!L210</f>
        <v>0</v>
      </c>
      <c r="Q7" s="62">
        <f>Districts!M210</f>
        <v>0</v>
      </c>
      <c r="R7" s="62">
        <f>Districts!N210</f>
        <v>0</v>
      </c>
      <c r="S7" s="62">
        <f>Districts!O210</f>
        <v>0</v>
      </c>
      <c r="T7" s="62">
        <f>Districts!P205</f>
        <v>0</v>
      </c>
      <c r="U7" s="62">
        <f>Districts!Q210</f>
        <v>0</v>
      </c>
      <c r="V7" s="62">
        <f>Districts!R210</f>
        <v>0</v>
      </c>
      <c r="W7" s="62">
        <f>Districts!S210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</v>
      </c>
      <c r="Z7">
        <f t="shared" ref="Z7:Z12" si="2">+B7</f>
        <v>233</v>
      </c>
    </row>
    <row r="8" spans="1:26">
      <c r="A8" t="str">
        <f>IF(ISNA(VLOOKUP($B8,DD_Info!$A$2:$F$221,2,0)),0,VLOOKUP($B8,DD_Info!$A$2:$F$221,2,0))</f>
        <v>Jose A Ramos</v>
      </c>
      <c r="B8" s="55">
        <v>234</v>
      </c>
      <c r="C8" s="85">
        <f>IF(ISNA(VLOOKUP($B8,DD_Info!$A$2:$F$221,5,0)),0,VLOOKUP($B8,DD_Info!$A$2:$F$221,5,0))</f>
        <v>2</v>
      </c>
      <c r="D8" s="62">
        <f>Districts!C211</f>
        <v>332</v>
      </c>
      <c r="E8" s="62">
        <f>Districts!D211</f>
        <v>13</v>
      </c>
      <c r="F8" s="62">
        <f>Districts!E211</f>
        <v>0</v>
      </c>
      <c r="G8" s="62">
        <f>Districts!F211</f>
        <v>0</v>
      </c>
      <c r="H8" s="62">
        <f>Districts!G211</f>
        <v>0</v>
      </c>
      <c r="J8" s="62">
        <f>Districts!H211</f>
        <v>8</v>
      </c>
      <c r="K8" s="62">
        <f>Districts!I211</f>
        <v>0</v>
      </c>
      <c r="L8" s="62">
        <f>Districts!J211</f>
        <v>8</v>
      </c>
      <c r="M8" s="61">
        <f t="shared" si="0"/>
        <v>0.61499999999999999</v>
      </c>
      <c r="N8">
        <f ca="1">IF(ISNA(VLOOKUP($Z8,'DD Mbr'!$A$2:$N$212,14,0)),0,VLOOKUP($Z8,'DD Mbr'!$A$2:$N$212,14,0))</f>
        <v>18</v>
      </c>
      <c r="P8" s="62">
        <f>Districts!L211</f>
        <v>0</v>
      </c>
      <c r="Q8" s="62">
        <f>Districts!M211</f>
        <v>0</v>
      </c>
      <c r="R8" s="62">
        <f>Districts!N211</f>
        <v>0</v>
      </c>
      <c r="S8" s="62">
        <f>Districts!O211</f>
        <v>0</v>
      </c>
      <c r="T8" s="62">
        <f>Districts!P206</f>
        <v>2</v>
      </c>
      <c r="U8" s="62">
        <f>Districts!Q211</f>
        <v>0</v>
      </c>
      <c r="V8" s="62">
        <f>Districts!R211</f>
        <v>1</v>
      </c>
      <c r="W8" s="62">
        <f>Districts!S211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234</v>
      </c>
    </row>
    <row r="9" spans="1:26">
      <c r="A9" t="str">
        <f>IF(ISNA(VLOOKUP($B9,DD_Info!$A$2:$F$221,2,0)),0,VLOOKUP($B9,DD_Info!$A$2:$F$221,2,0))</f>
        <v>Luciano V Vargas</v>
      </c>
      <c r="B9" s="55">
        <v>235</v>
      </c>
      <c r="C9" s="85">
        <f>IF(ISNA(VLOOKUP($B9,DD_Info!$A$2:$F$221,5,0)),0,VLOOKUP($B9,DD_Info!$A$2:$F$221,5,0))</f>
        <v>2</v>
      </c>
      <c r="D9" s="62">
        <f>Districts!C212</f>
        <v>307</v>
      </c>
      <c r="E9" s="62">
        <f>Districts!D212</f>
        <v>11</v>
      </c>
      <c r="F9" s="62">
        <f>Districts!E212</f>
        <v>0</v>
      </c>
      <c r="G9" s="62">
        <f>Districts!F212</f>
        <v>0</v>
      </c>
      <c r="H9" s="62">
        <f>Districts!G212</f>
        <v>0</v>
      </c>
      <c r="J9" s="62">
        <f>Districts!H212</f>
        <v>1</v>
      </c>
      <c r="K9" s="62">
        <f>Districts!I212</f>
        <v>0</v>
      </c>
      <c r="L9" s="62">
        <f>Districts!J212</f>
        <v>1</v>
      </c>
      <c r="M9" s="61">
        <f t="shared" si="0"/>
        <v>9.0999999999999998E-2</v>
      </c>
      <c r="N9">
        <f ca="1">IF(ISNA(VLOOKUP($Z9,'DD Mbr'!$A$2:$N$212,14,0)),0,VLOOKUP($Z9,'DD Mbr'!$A$2:$N$212,14,0))</f>
        <v>88</v>
      </c>
      <c r="P9" s="62">
        <f>Districts!L212</f>
        <v>0</v>
      </c>
      <c r="Q9" s="62">
        <f>Districts!M212</f>
        <v>0</v>
      </c>
      <c r="R9" s="62">
        <f>Districts!N212</f>
        <v>0</v>
      </c>
      <c r="S9" s="62">
        <f>Districts!O212</f>
        <v>0</v>
      </c>
      <c r="T9" s="62">
        <f>Districts!P207</f>
        <v>0</v>
      </c>
      <c r="U9" s="62">
        <f>Districts!Q212</f>
        <v>1</v>
      </c>
      <c r="V9" s="62">
        <f>Districts!R212</f>
        <v>-1</v>
      </c>
      <c r="W9" s="62">
        <f>Districts!S212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235</v>
      </c>
    </row>
    <row r="10" spans="1:26">
      <c r="A10" t="str">
        <f>IF(ISNA(VLOOKUP($B10,DD_Info!$A$2:$F$221,2,0)),0,VLOOKUP($B10,DD_Info!$A$2:$F$221,2,0))</f>
        <v>Enrique  Adriano</v>
      </c>
      <c r="B10" s="55">
        <v>236</v>
      </c>
      <c r="C10" s="85">
        <f>IF(ISNA(VLOOKUP($B10,DD_Info!$A$2:$F$221,5,0)),0,VLOOKUP($B10,DD_Info!$A$2:$F$221,5,0))</f>
        <v>3</v>
      </c>
      <c r="D10" s="62">
        <f>Districts!C213</f>
        <v>193</v>
      </c>
      <c r="E10" s="62">
        <f>Districts!D213</f>
        <v>8</v>
      </c>
      <c r="F10" s="62">
        <f>Districts!E213</f>
        <v>0</v>
      </c>
      <c r="G10" s="62">
        <f>Districts!F213</f>
        <v>0</v>
      </c>
      <c r="H10" s="62">
        <f>Districts!G213</f>
        <v>0</v>
      </c>
      <c r="J10" s="62">
        <f>Districts!H213</f>
        <v>2</v>
      </c>
      <c r="K10" s="62">
        <f>Districts!I213</f>
        <v>0</v>
      </c>
      <c r="L10" s="62">
        <f>Districts!J213</f>
        <v>2</v>
      </c>
      <c r="M10" s="61">
        <f t="shared" si="0"/>
        <v>0.25</v>
      </c>
      <c r="N10">
        <f ca="1">IF(ISNA(VLOOKUP($Z10,'DD Mbr'!$A$2:$N$212,14,0)),0,VLOOKUP($Z10,'DD Mbr'!$A$2:$N$212,14,0))</f>
        <v>74</v>
      </c>
      <c r="P10" s="62">
        <f>Districts!L213</f>
        <v>0</v>
      </c>
      <c r="Q10" s="62">
        <f>Districts!M213</f>
        <v>0</v>
      </c>
      <c r="R10" s="62">
        <f>Districts!N213</f>
        <v>0</v>
      </c>
      <c r="S10" s="62">
        <f>Districts!O213</f>
        <v>0</v>
      </c>
      <c r="T10" s="62">
        <f>Districts!P208</f>
        <v>0</v>
      </c>
      <c r="U10" s="62">
        <f>Districts!Q213</f>
        <v>1</v>
      </c>
      <c r="V10" s="62">
        <f>Districts!R213</f>
        <v>0</v>
      </c>
      <c r="W10" s="62">
        <f>Districts!S213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236</v>
      </c>
    </row>
    <row r="11" spans="1:26">
      <c r="A11" t="str">
        <f>IF(ISNA(VLOOKUP($B11,DD_Info!$A$2:$F$221,2,0)),0,VLOOKUP($B11,DD_Info!$A$2:$F$221,2,0))</f>
        <v>Eduardo  Benavidez</v>
      </c>
      <c r="B11" s="55">
        <v>237</v>
      </c>
      <c r="C11" s="85">
        <f>IF(ISNA(VLOOKUP($B11,DD_Info!$A$2:$F$221,5,0)),0,VLOOKUP($B11,DD_Info!$A$2:$F$221,5,0))</f>
        <v>3</v>
      </c>
      <c r="D11" s="62">
        <f>Districts!C214</f>
        <v>155</v>
      </c>
      <c r="E11" s="62">
        <f>Districts!D214</f>
        <v>7</v>
      </c>
      <c r="F11" s="62">
        <f>Districts!E214</f>
        <v>0</v>
      </c>
      <c r="G11" s="62">
        <f>Districts!F214</f>
        <v>0</v>
      </c>
      <c r="H11" s="62">
        <f>Districts!G214</f>
        <v>0</v>
      </c>
      <c r="J11" s="62">
        <f>Districts!H214</f>
        <v>0</v>
      </c>
      <c r="K11" s="62">
        <f>Districts!I214</f>
        <v>0</v>
      </c>
      <c r="L11" s="62">
        <f>Districts!J214</f>
        <v>0</v>
      </c>
      <c r="M11" s="61">
        <f t="shared" si="0"/>
        <v>0</v>
      </c>
      <c r="N11">
        <f ca="1">IF(ISNA(VLOOKUP($Z11,'DD Mbr'!$A$2:$N$212,14,0)),0,VLOOKUP($Z11,'DD Mbr'!$A$2:$N$212,14,0))</f>
        <v>127</v>
      </c>
      <c r="P11" s="62">
        <f>Districts!L214</f>
        <v>0</v>
      </c>
      <c r="Q11" s="62">
        <f>Districts!M214</f>
        <v>0</v>
      </c>
      <c r="R11" s="62">
        <f>Districts!N214</f>
        <v>0</v>
      </c>
      <c r="S11" s="62">
        <f>Districts!O214</f>
        <v>0</v>
      </c>
      <c r="T11" s="62">
        <f>Districts!P209</f>
        <v>0</v>
      </c>
      <c r="U11" s="62">
        <f>Districts!Q214</f>
        <v>1</v>
      </c>
      <c r="V11" s="62">
        <f>Districts!R214</f>
        <v>-1</v>
      </c>
      <c r="W11" s="62">
        <f>Districts!S214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237</v>
      </c>
    </row>
    <row r="12" spans="1:26">
      <c r="A12" t="str">
        <f>IF(ISNA(VLOOKUP($B12,DD_Info!$A$2:$F$221,2,0)),0,VLOOKUP($B12,DD_Info!$A$2:$F$221,2,0))</f>
        <v>Adan  Gonzalez</v>
      </c>
      <c r="B12" s="86">
        <v>238</v>
      </c>
      <c r="C12" s="85">
        <f>IF(ISNA(VLOOKUP($B12,DD_Info!$A$2:$F$221,5,0)),0,VLOOKUP($B12,DD_Info!$A$2:$F$221,5,0))</f>
        <v>3</v>
      </c>
      <c r="D12" s="62">
        <f>Districts!C215</f>
        <v>176</v>
      </c>
      <c r="E12" s="62">
        <f>Districts!D215</f>
        <v>7</v>
      </c>
      <c r="F12" s="62">
        <f>Districts!E215</f>
        <v>0</v>
      </c>
      <c r="G12" s="62">
        <f>Districts!F215</f>
        <v>0</v>
      </c>
      <c r="H12" s="62">
        <f>Districts!G215</f>
        <v>0</v>
      </c>
      <c r="J12" s="62">
        <f>Districts!H215</f>
        <v>0</v>
      </c>
      <c r="K12" s="62">
        <f>Districts!I215</f>
        <v>0</v>
      </c>
      <c r="L12" s="62">
        <f>Districts!J215</f>
        <v>0</v>
      </c>
      <c r="M12" s="61">
        <f t="shared" si="0"/>
        <v>0</v>
      </c>
      <c r="N12">
        <f ca="1">IF(ISNA(VLOOKUP($Z12,'DD Mbr'!$A$2:$N$212,14,0)),0,VLOOKUP($Z12,'DD Mbr'!$A$2:$N$212,14,0))</f>
        <v>127</v>
      </c>
      <c r="P12" s="62">
        <f>Districts!L215</f>
        <v>0</v>
      </c>
      <c r="Q12" s="62">
        <f>Districts!M215</f>
        <v>0</v>
      </c>
      <c r="R12" s="62">
        <f>Districts!N215</f>
        <v>0</v>
      </c>
      <c r="S12" s="62">
        <f>Districts!O215</f>
        <v>0</v>
      </c>
      <c r="T12" s="62">
        <f>Districts!P210</f>
        <v>0</v>
      </c>
      <c r="U12" s="62">
        <f>Districts!Q215</f>
        <v>0</v>
      </c>
      <c r="V12" s="62">
        <f>Districts!R215</f>
        <v>0</v>
      </c>
      <c r="W12" s="62">
        <f>Districts!S215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238</v>
      </c>
    </row>
    <row r="13" spans="1:26">
      <c r="D13" s="62">
        <f>SUM(D5:D12)</f>
        <v>1841</v>
      </c>
      <c r="E13" s="62">
        <f t="shared" ref="E13:L13" si="3">SUM(E5:E12)</f>
        <v>78</v>
      </c>
      <c r="F13" s="62">
        <f t="shared" si="3"/>
        <v>0</v>
      </c>
      <c r="G13" s="62">
        <f t="shared" si="3"/>
        <v>0</v>
      </c>
      <c r="H13" s="62">
        <f t="shared" si="3"/>
        <v>0</v>
      </c>
      <c r="I13" s="62">
        <f t="shared" si="3"/>
        <v>0</v>
      </c>
      <c r="J13" s="62">
        <f t="shared" si="3"/>
        <v>20</v>
      </c>
      <c r="K13" s="62">
        <f t="shared" si="3"/>
        <v>21</v>
      </c>
      <c r="L13" s="62">
        <f t="shared" si="3"/>
        <v>-1</v>
      </c>
      <c r="P13" s="62">
        <f>SUM(P5:P12)</f>
        <v>0</v>
      </c>
      <c r="Q13" s="62">
        <f t="shared" ref="Q13:W13" si="4">SUM(Q5:Q12)</f>
        <v>0</v>
      </c>
      <c r="R13" s="62">
        <f t="shared" si="4"/>
        <v>0</v>
      </c>
      <c r="S13" s="62">
        <f t="shared" si="4"/>
        <v>0</v>
      </c>
      <c r="T13" s="62">
        <f t="shared" si="4"/>
        <v>2</v>
      </c>
      <c r="U13" s="62">
        <f t="shared" si="4"/>
        <v>4</v>
      </c>
      <c r="V13" s="62">
        <f t="shared" si="4"/>
        <v>-2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E22" sqref="E22:F22"/>
    </sheetView>
  </sheetViews>
  <sheetFormatPr defaultRowHeight="12.75"/>
  <sheetData>
    <row r="1" spans="1:1" ht="15">
      <c r="A1" s="263" t="s">
        <v>1012</v>
      </c>
    </row>
    <row r="3" spans="1:1">
      <c r="A3" t="s">
        <v>964</v>
      </c>
    </row>
    <row r="5" spans="1:1">
      <c r="A5" t="s">
        <v>965</v>
      </c>
    </row>
    <row r="6" spans="1:1">
      <c r="A6" t="s">
        <v>966</v>
      </c>
    </row>
    <row r="7" spans="1:1">
      <c r="A7" t="s">
        <v>971</v>
      </c>
    </row>
    <row r="8" spans="1:1">
      <c r="A8" t="s">
        <v>972</v>
      </c>
    </row>
    <row r="9" spans="1:1">
      <c r="A9" t="s">
        <v>973</v>
      </c>
    </row>
    <row r="10" spans="1:1">
      <c r="A10" t="s">
        <v>967</v>
      </c>
    </row>
    <row r="12" spans="1:1">
      <c r="A12" t="s">
        <v>968</v>
      </c>
    </row>
    <row r="13" spans="1:1">
      <c r="A13" t="s">
        <v>969</v>
      </c>
    </row>
    <row r="14" spans="1:1">
      <c r="A14" t="s">
        <v>970</v>
      </c>
    </row>
    <row r="15" spans="1:1">
      <c r="A15" t="s">
        <v>974</v>
      </c>
    </row>
    <row r="17" spans="1:6">
      <c r="A17" t="s">
        <v>975</v>
      </c>
    </row>
    <row r="18" spans="1:6">
      <c r="A18" t="s">
        <v>976</v>
      </c>
    </row>
    <row r="20" spans="1:6">
      <c r="A20" t="s">
        <v>977</v>
      </c>
    </row>
    <row r="22" spans="1:6" ht="15">
      <c r="E22" s="392" t="s">
        <v>978</v>
      </c>
      <c r="F22" s="392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44227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TO BE APPOINTED</v>
      </c>
      <c r="B5" s="24">
        <v>16</v>
      </c>
      <c r="C5" s="85">
        <f>IF(ISNA(VLOOKUP($B5,DD_Info!$A$2:$F$221,5,0)),0,VLOOKUP($B5,DD_Info!$A$2:$F$221,5,0))</f>
        <v>3</v>
      </c>
      <c r="D5" s="62">
        <f>Districts!C16</f>
        <v>268</v>
      </c>
      <c r="E5" s="62">
        <f>Districts!D16</f>
        <v>11</v>
      </c>
      <c r="F5" s="62">
        <f>Districts!E16</f>
        <v>0</v>
      </c>
      <c r="G5" s="62">
        <f>Districts!F16</f>
        <v>0</v>
      </c>
      <c r="H5" s="62">
        <f>Districts!G16</f>
        <v>0</v>
      </c>
      <c r="J5" s="62">
        <f>Districts!H16</f>
        <v>0</v>
      </c>
      <c r="K5" s="62">
        <f>Districts!I16</f>
        <v>0</v>
      </c>
      <c r="L5" s="62">
        <f>Districts!J16</f>
        <v>0</v>
      </c>
      <c r="M5" s="61">
        <f>IFERROR(L5/E5,0)</f>
        <v>0</v>
      </c>
      <c r="N5">
        <f ca="1">IF(ISNA(VLOOKUP($Z5,'DD Mbr'!$A$2:$N$216,14,0)),0,VLOOKUP($Z5,'DD Mbr'!$A$2:$N$216,14,0))</f>
        <v>127</v>
      </c>
      <c r="P5" s="62">
        <f>Districts!L16</f>
        <v>0</v>
      </c>
      <c r="Q5" s="62">
        <f>Districts!M16</f>
        <v>0</v>
      </c>
      <c r="R5" s="62">
        <f>Districts!N16</f>
        <v>0</v>
      </c>
      <c r="S5" s="62">
        <f>Districts!O16</f>
        <v>0</v>
      </c>
      <c r="U5" s="62">
        <f>Districts!P16</f>
        <v>1</v>
      </c>
      <c r="V5" s="62">
        <f>Districts!Q16</f>
        <v>0</v>
      </c>
      <c r="W5" s="62">
        <f>Districts!R16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16</v>
      </c>
    </row>
    <row r="6" spans="1:26">
      <c r="A6" t="str">
        <f>IF(ISNA(VLOOKUP($B6,DD_Info!$A$2:$F$221,2,0)),0,VLOOKUP($B6,DD_Info!$A$2:$F$221,2,0))</f>
        <v>Gregory  Brown</v>
      </c>
      <c r="B6" s="24">
        <v>17</v>
      </c>
      <c r="C6" s="85">
        <f>IF(ISNA(VLOOKUP($B6,DD_Info!$A$2:$F$221,5,0)),0,VLOOKUP($B6,DD_Info!$A$2:$F$221,5,0))</f>
        <v>1</v>
      </c>
      <c r="D6" s="62">
        <f>Districts!C17</f>
        <v>622</v>
      </c>
      <c r="E6" s="62">
        <f>Districts!D17</f>
        <v>21</v>
      </c>
      <c r="F6" s="62">
        <f>Districts!E17</f>
        <v>0</v>
      </c>
      <c r="G6" s="62">
        <f>Districts!F17</f>
        <v>0</v>
      </c>
      <c r="H6" s="62">
        <f>Districts!G17</f>
        <v>0</v>
      </c>
      <c r="J6" s="62">
        <f>Districts!H17</f>
        <v>4</v>
      </c>
      <c r="K6" s="62">
        <f>Districts!I17</f>
        <v>0</v>
      </c>
      <c r="L6" s="62">
        <f>Districts!J17</f>
        <v>4</v>
      </c>
      <c r="M6" s="61">
        <f t="shared" ref="M6:M22" si="0">IFERROR(L6/E6,0)</f>
        <v>0.19047619047619047</v>
      </c>
      <c r="N6">
        <f ca="1">IF(ISNA(VLOOKUP($Z6,'DD Mbr'!$A$2:$N$216,14,0)),0,VLOOKUP($Z6,'DD Mbr'!$A$2:$N$216,14,0))</f>
        <v>71</v>
      </c>
      <c r="P6" s="62">
        <f>Districts!L17</f>
        <v>0</v>
      </c>
      <c r="Q6" s="62">
        <f>Districts!M17</f>
        <v>0</v>
      </c>
      <c r="R6" s="62">
        <f>Districts!N17</f>
        <v>2</v>
      </c>
      <c r="S6" s="62">
        <f>Districts!O17</f>
        <v>-2</v>
      </c>
      <c r="U6" s="62">
        <f>Districts!P17</f>
        <v>5</v>
      </c>
      <c r="V6" s="62">
        <f>Districts!Q17</f>
        <v>2</v>
      </c>
      <c r="W6" s="62">
        <f>Districts!R17</f>
        <v>3</v>
      </c>
      <c r="X6" s="61">
        <f t="shared" ref="X6:X21" si="1">IFERROR(W6/P6,0)</f>
        <v>0</v>
      </c>
      <c r="Y6">
        <f>IF(ISNA(VLOOKUP($Z6,'DD Ins'!$A$2:$N$217,14,0)),0,VLOOKUP($Z6,'DD Ins'!$A$2:$N$217,14,0))</f>
        <v>1</v>
      </c>
      <c r="Z6">
        <f t="shared" ref="Z6:Z20" si="2">+B6</f>
        <v>17</v>
      </c>
    </row>
    <row r="7" spans="1:26">
      <c r="A7" t="str">
        <f>IF(ISNA(VLOOKUP($B7,DD_Info!$A$2:$F$221,2,0)),0,VLOOKUP($B7,DD_Info!$A$2:$F$221,2,0))</f>
        <v>Richard  Norgaard</v>
      </c>
      <c r="B7" s="24">
        <v>18</v>
      </c>
      <c r="C7" s="85">
        <f>IF(ISNA(VLOOKUP($B7,DD_Info!$A$2:$F$221,5,0)),0,VLOOKUP($B7,DD_Info!$A$2:$F$221,5,0))</f>
        <v>1</v>
      </c>
      <c r="D7" s="62">
        <f>Districts!C18</f>
        <v>979</v>
      </c>
      <c r="E7" s="62">
        <f>Districts!D18</f>
        <v>28</v>
      </c>
      <c r="F7" s="62">
        <f>Districts!E18</f>
        <v>2</v>
      </c>
      <c r="G7" s="62">
        <f>Districts!F18</f>
        <v>0</v>
      </c>
      <c r="H7" s="62">
        <f>Districts!G18</f>
        <v>2</v>
      </c>
      <c r="J7" s="62">
        <f>Districts!H18</f>
        <v>8</v>
      </c>
      <c r="K7" s="62">
        <f>Districts!I18</f>
        <v>0</v>
      </c>
      <c r="L7" s="62">
        <f>Districts!J18</f>
        <v>8</v>
      </c>
      <c r="M7" s="61">
        <f t="shared" si="0"/>
        <v>0.2857142857142857</v>
      </c>
      <c r="N7">
        <f ca="1">IF(ISNA(VLOOKUP($Z7,'DD Mbr'!$A$2:$N$216,14,0)),0,VLOOKUP($Z7,'DD Mbr'!$A$2:$N$216,14,0))</f>
        <v>54</v>
      </c>
      <c r="P7" s="62">
        <f>Districts!L18</f>
        <v>0</v>
      </c>
      <c r="Q7" s="62">
        <f>Districts!M18</f>
        <v>2</v>
      </c>
      <c r="R7" s="62">
        <f>Districts!N18</f>
        <v>1</v>
      </c>
      <c r="S7" s="62">
        <f>Districts!O18</f>
        <v>1</v>
      </c>
      <c r="U7" s="62">
        <f>Districts!P18</f>
        <v>8</v>
      </c>
      <c r="V7" s="62">
        <f>Districts!Q18</f>
        <v>2</v>
      </c>
      <c r="W7" s="62">
        <f>Districts!R18</f>
        <v>6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</v>
      </c>
    </row>
    <row r="8" spans="1:26">
      <c r="A8" t="str">
        <f>IF(ISNA(VLOOKUP($B8,DD_Info!$A$2:$F$221,2,0)),0,VLOOKUP($B8,DD_Info!$A$2:$F$221,2,0))</f>
        <v>Richard  Rumenapp</v>
      </c>
      <c r="B8" s="24">
        <v>19</v>
      </c>
      <c r="C8" s="85">
        <f>IF(ISNA(VLOOKUP($B8,DD_Info!$A$2:$F$221,5,0)),0,VLOOKUP($B8,DD_Info!$A$2:$F$221,5,0))</f>
        <v>1</v>
      </c>
      <c r="D8" s="62">
        <f>Districts!C19</f>
        <v>586</v>
      </c>
      <c r="E8" s="62">
        <f>Districts!D19</f>
        <v>20</v>
      </c>
      <c r="F8" s="62">
        <f>Districts!E19</f>
        <v>1</v>
      </c>
      <c r="G8" s="62">
        <f>Districts!F19</f>
        <v>1</v>
      </c>
      <c r="H8" s="62">
        <f>Districts!G19</f>
        <v>0</v>
      </c>
      <c r="J8" s="62">
        <f>Districts!H19</f>
        <v>12</v>
      </c>
      <c r="K8" s="62">
        <f>Districts!I19</f>
        <v>33</v>
      </c>
      <c r="L8" s="62">
        <f>Districts!J19</f>
        <v>-21</v>
      </c>
      <c r="M8" s="61">
        <f t="shared" si="0"/>
        <v>-1.05</v>
      </c>
      <c r="N8">
        <f ca="1">IF(ISNA(VLOOKUP($Z8,'DD Mbr'!$A$2:$N$216,14,0)),0,VLOOKUP($Z8,'DD Mbr'!$A$2:$N$216,14,0))</f>
        <v>203</v>
      </c>
      <c r="P8" s="62">
        <f>Districts!L19</f>
        <v>0</v>
      </c>
      <c r="Q8" s="62">
        <f>Districts!M19</f>
        <v>1</v>
      </c>
      <c r="R8" s="62">
        <f>Districts!N19</f>
        <v>1</v>
      </c>
      <c r="S8" s="62">
        <f>Districts!O19</f>
        <v>0</v>
      </c>
      <c r="U8" s="62">
        <f>Districts!P19</f>
        <v>8</v>
      </c>
      <c r="V8" s="62">
        <f>Districts!Q19</f>
        <v>7</v>
      </c>
      <c r="W8" s="62">
        <f>Districts!R19</f>
        <v>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</v>
      </c>
    </row>
    <row r="9" spans="1:26">
      <c r="A9" t="str">
        <f>IF(ISNA(VLOOKUP($B9,DD_Info!$A$2:$F$221,2,0)),0,VLOOKUP($B9,DD_Info!$A$2:$F$221,2,0))</f>
        <v>Walter A Hoesing</v>
      </c>
      <c r="B9" s="24">
        <v>20</v>
      </c>
      <c r="C9" s="85">
        <f>IF(ISNA(VLOOKUP($B9,DD_Info!$A$2:$F$221,5,0)),0,VLOOKUP($B9,DD_Info!$A$2:$F$221,5,0))</f>
        <v>2</v>
      </c>
      <c r="D9" s="62">
        <f>Districts!C20</f>
        <v>487</v>
      </c>
      <c r="E9" s="62">
        <f>Districts!D20</f>
        <v>17</v>
      </c>
      <c r="F9" s="62">
        <f>Districts!E20</f>
        <v>1</v>
      </c>
      <c r="G9" s="62">
        <f>Districts!F20</f>
        <v>0</v>
      </c>
      <c r="H9" s="62">
        <f>Districts!G20</f>
        <v>1</v>
      </c>
      <c r="J9" s="62">
        <f>Districts!H20</f>
        <v>7</v>
      </c>
      <c r="K9" s="62">
        <f>Districts!I20</f>
        <v>0</v>
      </c>
      <c r="L9" s="62">
        <f>Districts!J20</f>
        <v>7</v>
      </c>
      <c r="M9" s="61">
        <f t="shared" si="0"/>
        <v>0.41176470588235292</v>
      </c>
      <c r="N9">
        <f ca="1">IF(ISNA(VLOOKUP($Z9,'DD Mbr'!$A$2:$N$216,14,0)),0,VLOOKUP($Z9,'DD Mbr'!$A$2:$N$216,14,0))</f>
        <v>40</v>
      </c>
      <c r="P9" s="62">
        <f>Districts!L20</f>
        <v>0</v>
      </c>
      <c r="Q9" s="62">
        <f>Districts!M20</f>
        <v>0</v>
      </c>
      <c r="R9" s="62">
        <f>Districts!N20</f>
        <v>0</v>
      </c>
      <c r="S9" s="62">
        <f>Districts!O20</f>
        <v>0</v>
      </c>
      <c r="U9" s="62">
        <f>Districts!P20</f>
        <v>3</v>
      </c>
      <c r="V9" s="62">
        <f>Districts!Q20</f>
        <v>0</v>
      </c>
      <c r="W9" s="62">
        <f>Districts!R20</f>
        <v>3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</v>
      </c>
    </row>
    <row r="10" spans="1:26">
      <c r="A10" t="str">
        <f>IF(ISNA(VLOOKUP($B10,DD_Info!$A$2:$F$221,2,0)),0,VLOOKUP($B10,DD_Info!$A$2:$F$221,2,0))</f>
        <v>Mike G Becan Sr</v>
      </c>
      <c r="B10" s="24">
        <v>21</v>
      </c>
      <c r="C10" s="85">
        <f>IF(ISNA(VLOOKUP($B10,DD_Info!$A$2:$F$221,5,0)),0,VLOOKUP($B10,DD_Info!$A$2:$F$221,5,0))</f>
        <v>1</v>
      </c>
      <c r="D10" s="62">
        <f>Districts!C21</f>
        <v>839</v>
      </c>
      <c r="E10" s="62">
        <f>Districts!D21</f>
        <v>28</v>
      </c>
      <c r="F10" s="62">
        <f>Districts!E21</f>
        <v>0</v>
      </c>
      <c r="G10" s="62">
        <f>Districts!F21</f>
        <v>0</v>
      </c>
      <c r="H10" s="62">
        <f>Districts!G21</f>
        <v>0</v>
      </c>
      <c r="J10" s="62">
        <f>Districts!H21</f>
        <v>3</v>
      </c>
      <c r="K10" s="62">
        <f>Districts!I21</f>
        <v>0</v>
      </c>
      <c r="L10" s="62">
        <f>Districts!J21</f>
        <v>3</v>
      </c>
      <c r="M10" s="61">
        <f t="shared" si="0"/>
        <v>0.10714285714285714</v>
      </c>
      <c r="N10">
        <f ca="1">IF(ISNA(VLOOKUP($Z10,'DD Mbr'!$A$2:$N$216,14,0)),0,VLOOKUP($Z10,'DD Mbr'!$A$2:$N$216,14,0))</f>
        <v>102</v>
      </c>
      <c r="P10" s="62">
        <f>Districts!L21</f>
        <v>0</v>
      </c>
      <c r="Q10" s="62">
        <f>Districts!M21</f>
        <v>0</v>
      </c>
      <c r="R10" s="62">
        <f>Districts!N21</f>
        <v>0</v>
      </c>
      <c r="S10" s="62">
        <f>Districts!O21</f>
        <v>0</v>
      </c>
      <c r="U10" s="62">
        <f>Districts!P21</f>
        <v>1</v>
      </c>
      <c r="V10" s="62">
        <f>Districts!Q21</f>
        <v>0</v>
      </c>
      <c r="W10" s="62">
        <f>Districts!R21</f>
        <v>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</v>
      </c>
    </row>
    <row r="11" spans="1:26">
      <c r="A11" t="str">
        <f>IF(ISNA(VLOOKUP($B11,DD_Info!$A$2:$F$221,2,0)),0,VLOOKUP($B11,DD_Info!$A$2:$F$221,2,0))</f>
        <v>John  Walker</v>
      </c>
      <c r="B11" s="24">
        <v>22</v>
      </c>
      <c r="C11" s="85">
        <f>IF(ISNA(VLOOKUP($B11,DD_Info!$A$2:$F$221,5,0)),0,VLOOKUP($B11,DD_Info!$A$2:$F$221,5,0))</f>
        <v>2</v>
      </c>
      <c r="D11" s="62">
        <f>Districts!C22</f>
        <v>569</v>
      </c>
      <c r="E11" s="62">
        <f>Districts!D22</f>
        <v>20</v>
      </c>
      <c r="F11" s="62">
        <f>Districts!E22</f>
        <v>0</v>
      </c>
      <c r="G11" s="62">
        <f>Districts!F22</f>
        <v>0</v>
      </c>
      <c r="H11" s="62">
        <f>Districts!G22</f>
        <v>0</v>
      </c>
      <c r="J11" s="62">
        <f>Districts!H22</f>
        <v>2</v>
      </c>
      <c r="K11" s="62">
        <f>Districts!I22</f>
        <v>0</v>
      </c>
      <c r="L11" s="62">
        <f>Districts!J22</f>
        <v>2</v>
      </c>
      <c r="M11" s="61">
        <f t="shared" si="0"/>
        <v>0.1</v>
      </c>
      <c r="N11">
        <f ca="1">IF(ISNA(VLOOKUP($Z11,'DD Mbr'!$A$2:$N$216,14,0)),0,VLOOKUP($Z11,'DD Mbr'!$A$2:$N$216,14,0))</f>
        <v>119</v>
      </c>
      <c r="P11" s="62">
        <f>Districts!L22</f>
        <v>0</v>
      </c>
      <c r="Q11" s="62">
        <f>Districts!M22</f>
        <v>1</v>
      </c>
      <c r="R11" s="62">
        <f>Districts!N22</f>
        <v>1</v>
      </c>
      <c r="S11" s="62">
        <f>Districts!O22</f>
        <v>0</v>
      </c>
      <c r="U11" s="62">
        <f>Districts!P22</f>
        <v>2</v>
      </c>
      <c r="V11" s="62">
        <f>Districts!Q22</f>
        <v>3</v>
      </c>
      <c r="W11" s="62">
        <f>Districts!R22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</v>
      </c>
    </row>
    <row r="12" spans="1:26">
      <c r="A12" t="str">
        <f>IF(ISNA(VLOOKUP($B12,DD_Info!$A$2:$F$221,2,0)),0,VLOOKUP($B12,DD_Info!$A$2:$F$221,2,0))</f>
        <v>Michael  Rueschenberg</v>
      </c>
      <c r="B12" s="24">
        <v>23</v>
      </c>
      <c r="C12" s="85">
        <f>IF(ISNA(VLOOKUP($B12,DD_Info!$A$2:$F$221,5,0)),0,VLOOKUP($B12,DD_Info!$A$2:$F$221,5,0))</f>
        <v>2</v>
      </c>
      <c r="D12" s="62">
        <f>Districts!C23</f>
        <v>554</v>
      </c>
      <c r="E12" s="62">
        <f>Districts!D23</f>
        <v>18</v>
      </c>
      <c r="F12" s="62">
        <f>Districts!E23</f>
        <v>0</v>
      </c>
      <c r="G12" s="62">
        <f>Districts!F23</f>
        <v>0</v>
      </c>
      <c r="H12" s="62">
        <f>Districts!G23</f>
        <v>0</v>
      </c>
      <c r="J12" s="62">
        <f>Districts!H23</f>
        <v>1</v>
      </c>
      <c r="K12" s="62">
        <f>Districts!I23</f>
        <v>0</v>
      </c>
      <c r="L12" s="62">
        <f>Districts!J23</f>
        <v>1</v>
      </c>
      <c r="M12" s="61">
        <f t="shared" si="0"/>
        <v>5.5555555555555552E-2</v>
      </c>
      <c r="N12">
        <f ca="1">IF(ISNA(VLOOKUP($Z12,'DD Mbr'!$A$2:$N$216,14,0)),0,VLOOKUP($Z12,'DD Mbr'!$A$2:$N$216,14,0))</f>
        <v>110</v>
      </c>
      <c r="P12" s="62">
        <f>Districts!L23</f>
        <v>0</v>
      </c>
      <c r="Q12" s="62">
        <f>Districts!M23</f>
        <v>0</v>
      </c>
      <c r="R12" s="62">
        <f>Districts!N23</f>
        <v>1</v>
      </c>
      <c r="S12" s="62">
        <f>Districts!O23</f>
        <v>-1</v>
      </c>
      <c r="U12" s="62">
        <f>Districts!P23</f>
        <v>1</v>
      </c>
      <c r="V12" s="62">
        <f>Districts!Q23</f>
        <v>3</v>
      </c>
      <c r="W12" s="62">
        <f>Districts!R23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</v>
      </c>
    </row>
    <row r="13" spans="1:26">
      <c r="A13" t="str">
        <f>IF(ISNA(VLOOKUP($B13,DD_Info!$A$2:$F$221,2,0)),0,VLOOKUP($B13,DD_Info!$A$2:$F$221,2,0))</f>
        <v>Ruben  Cisneros</v>
      </c>
      <c r="B13" s="24">
        <v>24</v>
      </c>
      <c r="C13" s="85">
        <f>IF(ISNA(VLOOKUP($B13,DD_Info!$A$2:$F$221,5,0)),0,VLOOKUP($B13,DD_Info!$A$2:$F$221,5,0))</f>
        <v>1</v>
      </c>
      <c r="D13" s="62">
        <f>Districts!C24</f>
        <v>831</v>
      </c>
      <c r="E13" s="62">
        <f>Districts!D24</f>
        <v>27</v>
      </c>
      <c r="F13" s="62">
        <f>Districts!E24</f>
        <v>4</v>
      </c>
      <c r="G13" s="62">
        <f>Districts!F24</f>
        <v>1</v>
      </c>
      <c r="H13" s="62">
        <f>Districts!G24</f>
        <v>3</v>
      </c>
      <c r="J13" s="62">
        <f>Districts!H24</f>
        <v>13</v>
      </c>
      <c r="K13" s="62">
        <f>Districts!I24</f>
        <v>4</v>
      </c>
      <c r="L13" s="62">
        <f>Districts!J24</f>
        <v>9</v>
      </c>
      <c r="M13" s="61">
        <f t="shared" si="0"/>
        <v>0.33333333333333331</v>
      </c>
      <c r="N13">
        <f ca="1">IF(ISNA(VLOOKUP($Z13,'DD Mbr'!$A$2:$N$216,14,0)),0,VLOOKUP($Z13,'DD Mbr'!$A$2:$N$216,14,0))</f>
        <v>51</v>
      </c>
      <c r="P13" s="62">
        <f>Districts!L24</f>
        <v>0</v>
      </c>
      <c r="Q13" s="62">
        <f>Districts!M24</f>
        <v>0</v>
      </c>
      <c r="R13" s="62">
        <f>Districts!N24</f>
        <v>2</v>
      </c>
      <c r="S13" s="62">
        <f>Districts!O24</f>
        <v>-2</v>
      </c>
      <c r="U13" s="62">
        <f>Districts!P24</f>
        <v>7</v>
      </c>
      <c r="V13" s="62">
        <f>Districts!Q24</f>
        <v>8</v>
      </c>
      <c r="W13" s="62">
        <f>Districts!R24</f>
        <v>-1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24</v>
      </c>
    </row>
    <row r="14" spans="1:26">
      <c r="A14" t="str">
        <f>IF(ISNA(VLOOKUP($B14,DD_Info!$A$2:$F$221,2,0)),0,VLOOKUP($B14,DD_Info!$A$2:$F$221,2,0))</f>
        <v>Alfonso "Obie"  Obregon Sr</v>
      </c>
      <c r="B14" s="24">
        <v>25</v>
      </c>
      <c r="C14" s="85">
        <f>IF(ISNA(VLOOKUP($B14,DD_Info!$A$2:$F$221,5,0)),0,VLOOKUP($B14,DD_Info!$A$2:$F$221,5,0))</f>
        <v>1</v>
      </c>
      <c r="D14" s="62">
        <f>Districts!C25</f>
        <v>741</v>
      </c>
      <c r="E14" s="62">
        <f>Districts!D25</f>
        <v>26</v>
      </c>
      <c r="F14" s="62">
        <f>Districts!E25</f>
        <v>1</v>
      </c>
      <c r="G14" s="62">
        <f>Districts!F25</f>
        <v>2</v>
      </c>
      <c r="H14" s="62">
        <f>Districts!G25</f>
        <v>-1</v>
      </c>
      <c r="J14" s="62">
        <f>Districts!H25</f>
        <v>8</v>
      </c>
      <c r="K14" s="62">
        <f>Districts!I25</f>
        <v>3</v>
      </c>
      <c r="L14" s="62">
        <f>Districts!J25</f>
        <v>5</v>
      </c>
      <c r="M14" s="61">
        <f t="shared" si="0"/>
        <v>0.19230769230769232</v>
      </c>
      <c r="N14">
        <f ca="1">IF(ISNA(VLOOKUP($Z14,'DD Mbr'!$A$2:$N$216,14,0)),0,VLOOKUP($Z14,'DD Mbr'!$A$2:$N$216,14,0))</f>
        <v>69</v>
      </c>
      <c r="P14" s="62">
        <f>Districts!L25</f>
        <v>0</v>
      </c>
      <c r="Q14" s="62">
        <f>Districts!M25</f>
        <v>0</v>
      </c>
      <c r="R14" s="62">
        <f>Districts!N25</f>
        <v>0</v>
      </c>
      <c r="S14" s="62">
        <f>Districts!O25</f>
        <v>0</v>
      </c>
      <c r="U14" s="62">
        <f>Districts!P25</f>
        <v>6</v>
      </c>
      <c r="V14" s="62">
        <f>Districts!Q25</f>
        <v>6</v>
      </c>
      <c r="W14" s="62">
        <f>Districts!R25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25</v>
      </c>
    </row>
    <row r="15" spans="1:26">
      <c r="A15" t="str">
        <f>IF(ISNA(VLOOKUP($B15,DD_Info!$A$2:$F$221,2,0)),0,VLOOKUP($B15,DD_Info!$A$2:$F$221,2,0))</f>
        <v>Gerald  Hightower</v>
      </c>
      <c r="B15" s="24">
        <v>26</v>
      </c>
      <c r="C15" s="85">
        <f>IF(ISNA(VLOOKUP($B15,DD_Info!$A$2:$F$221,5,0)),0,VLOOKUP($B15,DD_Info!$A$2:$F$221,5,0))</f>
        <v>1</v>
      </c>
      <c r="D15" s="62">
        <f>Districts!C26</f>
        <v>634</v>
      </c>
      <c r="E15" s="62">
        <f>Districts!D26</f>
        <v>22</v>
      </c>
      <c r="F15" s="62">
        <f>Districts!E26</f>
        <v>0</v>
      </c>
      <c r="G15" s="62">
        <f>Districts!F26</f>
        <v>0</v>
      </c>
      <c r="H15" s="62">
        <f>Districts!G26</f>
        <v>0</v>
      </c>
      <c r="J15" s="62">
        <f>Districts!H26</f>
        <v>2</v>
      </c>
      <c r="K15" s="62">
        <f>Districts!I26</f>
        <v>25</v>
      </c>
      <c r="L15" s="62">
        <f>Districts!J26</f>
        <v>-23</v>
      </c>
      <c r="M15" s="61">
        <f t="shared" si="0"/>
        <v>-1.0454545454545454</v>
      </c>
      <c r="N15">
        <f ca="1">IF(ISNA(VLOOKUP($Z15,'DD Mbr'!$A$2:$N$216,14,0)),0,VLOOKUP($Z15,'DD Mbr'!$A$2:$N$216,14,0))</f>
        <v>202</v>
      </c>
      <c r="P15" s="62">
        <f>Districts!L26</f>
        <v>0</v>
      </c>
      <c r="Q15" s="62">
        <f>Districts!M26</f>
        <v>0</v>
      </c>
      <c r="R15" s="62">
        <f>Districts!N26</f>
        <v>1</v>
      </c>
      <c r="S15" s="62">
        <f>Districts!O26</f>
        <v>-1</v>
      </c>
      <c r="U15" s="62">
        <f>Districts!P26</f>
        <v>3</v>
      </c>
      <c r="V15" s="62">
        <f>Districts!Q26</f>
        <v>9</v>
      </c>
      <c r="W15" s="62">
        <f>Districts!R26</f>
        <v>-6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26</v>
      </c>
    </row>
    <row r="16" spans="1:26">
      <c r="A16" t="str">
        <f>IF(ISNA(VLOOKUP($B16,DD_Info!$A$2:$F$221,2,0)),0,VLOOKUP($B16,DD_Info!$A$2:$F$221,2,0))</f>
        <v>Archie  Wright II</v>
      </c>
      <c r="B16" s="24">
        <v>27</v>
      </c>
      <c r="C16" s="85">
        <f>IF(ISNA(VLOOKUP($B16,DD_Info!$A$2:$F$221,5,0)),0,VLOOKUP($B16,DD_Info!$A$2:$F$221,5,0))</f>
        <v>1</v>
      </c>
      <c r="D16" s="62">
        <f>Districts!C27</f>
        <v>814</v>
      </c>
      <c r="E16" s="62">
        <f>Districts!D27</f>
        <v>29</v>
      </c>
      <c r="F16" s="62">
        <f>Districts!E27</f>
        <v>2</v>
      </c>
      <c r="G16" s="62">
        <f>Districts!F27</f>
        <v>5</v>
      </c>
      <c r="H16" s="62">
        <f>Districts!G27</f>
        <v>-3</v>
      </c>
      <c r="J16" s="62">
        <f>Districts!H27</f>
        <v>21</v>
      </c>
      <c r="K16" s="62">
        <f>Districts!I27</f>
        <v>8</v>
      </c>
      <c r="L16" s="62">
        <f>Districts!J27</f>
        <v>13</v>
      </c>
      <c r="M16" s="61">
        <f t="shared" si="0"/>
        <v>0.44827586206896552</v>
      </c>
      <c r="N16">
        <f ca="1">IF(ISNA(VLOOKUP($Z16,'DD Mbr'!$A$2:$N$216,14,0)),0,VLOOKUP($Z16,'DD Mbr'!$A$2:$N$216,14,0))</f>
        <v>36</v>
      </c>
      <c r="P16" s="62">
        <f>Districts!L27</f>
        <v>0</v>
      </c>
      <c r="Q16" s="62">
        <f>Districts!M27</f>
        <v>1</v>
      </c>
      <c r="R16" s="62">
        <f>Districts!N27</f>
        <v>1</v>
      </c>
      <c r="S16" s="62">
        <f>Districts!O27</f>
        <v>0</v>
      </c>
      <c r="U16" s="62">
        <f>Districts!P27</f>
        <v>10</v>
      </c>
      <c r="V16" s="62">
        <f>Districts!Q27</f>
        <v>3</v>
      </c>
      <c r="W16" s="62">
        <f>Districts!R27</f>
        <v>7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27</v>
      </c>
    </row>
    <row r="17" spans="1:26">
      <c r="A17" t="str">
        <f>IF(ISNA(VLOOKUP($B17,DD_Info!$A$2:$F$221,2,0)),0,VLOOKUP($B17,DD_Info!$A$2:$F$221,2,0))</f>
        <v>Anson  Geisel</v>
      </c>
      <c r="B17" s="24">
        <v>28</v>
      </c>
      <c r="C17" s="85">
        <f>IF(ISNA(VLOOKUP($B17,DD_Info!$A$2:$F$221,5,0)),0,VLOOKUP($B17,DD_Info!$A$2:$F$221,5,0))</f>
        <v>1</v>
      </c>
      <c r="D17" s="62">
        <f>Districts!C28</f>
        <v>601</v>
      </c>
      <c r="E17" s="62">
        <f>Districts!D28</f>
        <v>19</v>
      </c>
      <c r="F17" s="62">
        <f>Districts!E28</f>
        <v>5</v>
      </c>
      <c r="G17" s="62">
        <f>Districts!F28</f>
        <v>1</v>
      </c>
      <c r="H17" s="62">
        <f>Districts!G28</f>
        <v>4</v>
      </c>
      <c r="J17" s="62">
        <f>Districts!H28</f>
        <v>15</v>
      </c>
      <c r="K17" s="62">
        <f>Districts!I28</f>
        <v>2</v>
      </c>
      <c r="L17" s="62">
        <f>Districts!J28</f>
        <v>13</v>
      </c>
      <c r="M17" s="61">
        <f t="shared" si="0"/>
        <v>0.68421052631578949</v>
      </c>
      <c r="N17">
        <f ca="1">IF(ISNA(VLOOKUP($Z17,'DD Mbr'!$A$2:$N$216,14,0)),0,VLOOKUP($Z17,'DD Mbr'!$A$2:$N$216,14,0))</f>
        <v>17</v>
      </c>
      <c r="P17" s="62">
        <f>Districts!L28</f>
        <v>0</v>
      </c>
      <c r="Q17" s="62">
        <f>Districts!M28</f>
        <v>0</v>
      </c>
      <c r="R17" s="62">
        <f>Districts!N28</f>
        <v>1</v>
      </c>
      <c r="S17" s="62">
        <f>Districts!O28</f>
        <v>-1</v>
      </c>
      <c r="U17" s="62">
        <f>Districts!P28</f>
        <v>2</v>
      </c>
      <c r="V17" s="62">
        <f>Districts!Q28</f>
        <v>2</v>
      </c>
      <c r="W17" s="62">
        <f>Districts!R28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28</v>
      </c>
    </row>
    <row r="18" spans="1:26">
      <c r="A18" t="str">
        <f>IF(ISNA(VLOOKUP($B18,DD_Info!$A$2:$F$221,2,0)),0,VLOOKUP($B18,DD_Info!$A$2:$F$221,2,0))</f>
        <v>James Halfmann</v>
      </c>
      <c r="B18" s="24">
        <v>29</v>
      </c>
      <c r="C18" s="85">
        <f>IF(ISNA(VLOOKUP($B18,DD_Info!$A$2:$F$221,5,0)),0,VLOOKUP($B18,DD_Info!$A$2:$F$221,5,0))</f>
        <v>3</v>
      </c>
      <c r="D18" s="62">
        <f>Districts!C29</f>
        <v>243</v>
      </c>
      <c r="E18" s="62">
        <f>Districts!D29</f>
        <v>9</v>
      </c>
      <c r="F18" s="62">
        <f>Districts!E29</f>
        <v>0</v>
      </c>
      <c r="G18" s="62">
        <f>Districts!F29</f>
        <v>1</v>
      </c>
      <c r="H18" s="62">
        <f>Districts!G29</f>
        <v>-1</v>
      </c>
      <c r="J18" s="62">
        <f>Districts!H29</f>
        <v>2</v>
      </c>
      <c r="K18" s="62">
        <f>Districts!I29</f>
        <v>1</v>
      </c>
      <c r="L18" s="62">
        <f>Districts!J29</f>
        <v>1</v>
      </c>
      <c r="M18" s="61">
        <f t="shared" si="0"/>
        <v>0.1111111111111111</v>
      </c>
      <c r="N18">
        <f ca="1">IF(ISNA(VLOOKUP($Z18,'DD Mbr'!$A$2:$N$216,14,0)),0,VLOOKUP($Z18,'DD Mbr'!$A$2:$N$216,14,0))</f>
        <v>82</v>
      </c>
      <c r="P18" s="62">
        <f>Districts!L29</f>
        <v>0</v>
      </c>
      <c r="Q18" s="62">
        <f>Districts!M29</f>
        <v>2</v>
      </c>
      <c r="R18" s="62">
        <f>Districts!N29</f>
        <v>1</v>
      </c>
      <c r="S18" s="62">
        <f>Districts!O29</f>
        <v>1</v>
      </c>
      <c r="U18" s="62">
        <f>Districts!P29</f>
        <v>5</v>
      </c>
      <c r="V18" s="62">
        <f>Districts!Q29</f>
        <v>2</v>
      </c>
      <c r="W18" s="62">
        <f>Districts!R29</f>
        <v>3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29</v>
      </c>
    </row>
    <row r="19" spans="1:26">
      <c r="A19" t="str">
        <f>IF(ISNA(VLOOKUP($B19,DD_Info!$A$2:$F$221,2,0)),0,VLOOKUP($B19,DD_Info!$A$2:$F$221,2,0))</f>
        <v>Robert  Daleo</v>
      </c>
      <c r="B19" s="24">
        <v>30</v>
      </c>
      <c r="C19" s="85">
        <f>IF(ISNA(VLOOKUP($B19,DD_Info!$A$2:$F$221,5,0)),0,VLOOKUP($B19,DD_Info!$A$2:$F$221,5,0))</f>
        <v>2</v>
      </c>
      <c r="D19" s="62">
        <f>Districts!C30</f>
        <v>504</v>
      </c>
      <c r="E19" s="62">
        <f>Districts!D30</f>
        <v>16</v>
      </c>
      <c r="F19" s="62">
        <f>Districts!E30</f>
        <v>0</v>
      </c>
      <c r="G19" s="62">
        <f>Districts!F30</f>
        <v>0</v>
      </c>
      <c r="H19" s="62">
        <f>Districts!G30</f>
        <v>0</v>
      </c>
      <c r="J19" s="62">
        <f>Districts!H30</f>
        <v>13</v>
      </c>
      <c r="K19" s="62">
        <f>Districts!I30</f>
        <v>1</v>
      </c>
      <c r="L19" s="62">
        <f>Districts!J30</f>
        <v>12</v>
      </c>
      <c r="M19" s="61">
        <f t="shared" si="0"/>
        <v>0.75</v>
      </c>
      <c r="N19">
        <f ca="1">IF(ISNA(VLOOKUP($Z19,'DD Mbr'!$A$2:$N$216,14,0)),0,VLOOKUP($Z19,'DD Mbr'!$A$2:$N$216,14,0))</f>
        <v>14</v>
      </c>
      <c r="P19" s="62">
        <f>Districts!L30</f>
        <v>0</v>
      </c>
      <c r="Q19" s="62">
        <f>Districts!M30</f>
        <v>1</v>
      </c>
      <c r="R19" s="62">
        <f>Districts!N30</f>
        <v>0</v>
      </c>
      <c r="S19" s="62">
        <f>Districts!O30</f>
        <v>1</v>
      </c>
      <c r="U19" s="62">
        <f>Districts!P30</f>
        <v>2</v>
      </c>
      <c r="V19" s="62">
        <f>Districts!Q30</f>
        <v>0</v>
      </c>
      <c r="W19" s="62">
        <f>Districts!R30</f>
        <v>2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30</v>
      </c>
    </row>
    <row r="20" spans="1:26">
      <c r="A20" t="str">
        <f>IF(ISNA(VLOOKUP($B20,DD_Info!$A$2:$F$221,2,0)),0,VLOOKUP($B20,DD_Info!$A$2:$F$221,2,0))</f>
        <v>William  Tillotson</v>
      </c>
      <c r="B20" s="24">
        <v>31</v>
      </c>
      <c r="C20" s="85">
        <f>IF(ISNA(VLOOKUP($B20,DD_Info!$A$2:$F$221,5,0)),0,VLOOKUP($B20,DD_Info!$A$2:$F$221,5,0))</f>
        <v>3</v>
      </c>
      <c r="D20" s="62">
        <f>Districts!C31</f>
        <v>42</v>
      </c>
      <c r="E20" s="62">
        <f>Districts!D31</f>
        <v>4</v>
      </c>
      <c r="F20" s="62">
        <f>Districts!E31</f>
        <v>0</v>
      </c>
      <c r="G20" s="62">
        <f>Districts!F31</f>
        <v>0</v>
      </c>
      <c r="H20" s="62">
        <f>Districts!G31</f>
        <v>0</v>
      </c>
      <c r="J20" s="62">
        <f>Districts!H31</f>
        <v>0</v>
      </c>
      <c r="K20" s="62">
        <f>Districts!I31</f>
        <v>0</v>
      </c>
      <c r="L20" s="62">
        <f>Districts!J31</f>
        <v>0</v>
      </c>
      <c r="M20" s="61">
        <f t="shared" si="0"/>
        <v>0</v>
      </c>
      <c r="N20">
        <f ca="1">IF(ISNA(VLOOKUP($Z20,'DD Mbr'!$A$2:$N$216,14,0)),0,VLOOKUP($Z20,'DD Mbr'!$A$2:$N$216,14,0))</f>
        <v>127</v>
      </c>
      <c r="P20" s="62">
        <f>Districts!L31</f>
        <v>0</v>
      </c>
      <c r="Q20" s="62">
        <f>Districts!M31</f>
        <v>0</v>
      </c>
      <c r="R20" s="62">
        <f>Districts!N31</f>
        <v>0</v>
      </c>
      <c r="S20" s="62">
        <f>Districts!O31</f>
        <v>0</v>
      </c>
      <c r="U20" s="62">
        <f>Districts!P31</f>
        <v>0</v>
      </c>
      <c r="V20" s="62">
        <f>Districts!Q31</f>
        <v>0</v>
      </c>
      <c r="W20" s="62">
        <f>Districts!R31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31</v>
      </c>
    </row>
    <row r="21" spans="1:26">
      <c r="A21" t="str">
        <f>IF(ISNA(VLOOKUP($B21,DD_Info!$A$2:$F$221,2,0)),0,VLOOKUP($B21,DD_Info!$A$2:$F$221,2,0))</f>
        <v>David  Pels</v>
      </c>
      <c r="B21" s="24">
        <v>32</v>
      </c>
      <c r="C21" s="85">
        <f>IF(ISNA(VLOOKUP($B21,DD_Info!$A$2:$F$221,5,0)),0,VLOOKUP($B21,DD_Info!$A$2:$F$221,5,0))</f>
        <v>2</v>
      </c>
      <c r="D21" s="62">
        <f>Districts!C32</f>
        <v>479</v>
      </c>
      <c r="E21" s="62">
        <f>Districts!D32</f>
        <v>17</v>
      </c>
      <c r="F21" s="62">
        <f>Districts!E32</f>
        <v>0</v>
      </c>
      <c r="G21" s="62">
        <f>Districts!F32</f>
        <v>0</v>
      </c>
      <c r="H21" s="62">
        <f>Districts!G32</f>
        <v>0</v>
      </c>
      <c r="J21" s="62">
        <f>Districts!H32</f>
        <v>17</v>
      </c>
      <c r="K21" s="62">
        <f>Districts!I32</f>
        <v>1</v>
      </c>
      <c r="L21" s="62">
        <f>Districts!J32</f>
        <v>16</v>
      </c>
      <c r="M21" s="61">
        <f t="shared" si="0"/>
        <v>0.94117647058823528</v>
      </c>
      <c r="N21">
        <f ca="1">IF(ISNA(VLOOKUP($Z21,'DD Mbr'!$A$2:$N$216,14,0)),0,VLOOKUP($Z21,'DD Mbr'!$A$2:$N$216,14,0))</f>
        <v>7</v>
      </c>
      <c r="P21" s="62">
        <f>Districts!L32</f>
        <v>0</v>
      </c>
      <c r="Q21" s="62">
        <f>Districts!M32</f>
        <v>0</v>
      </c>
      <c r="R21" s="62">
        <f>Districts!N32</f>
        <v>1</v>
      </c>
      <c r="S21" s="62">
        <f>Districts!O32</f>
        <v>-1</v>
      </c>
      <c r="U21" s="62">
        <f>Districts!P32</f>
        <v>6</v>
      </c>
      <c r="V21" s="62">
        <f>Districts!Q32</f>
        <v>1</v>
      </c>
      <c r="W21" s="62">
        <f>Districts!R32</f>
        <v>5</v>
      </c>
      <c r="X21" s="61">
        <f t="shared" si="1"/>
        <v>0</v>
      </c>
      <c r="Y21">
        <f>IF(ISNA(VLOOKUP($Z21,'DD Ins'!$A$2:$N$217,14,0)),0,VLOOKUP($Z21,'DD Ins'!$A$2:$N$217,14,0))</f>
        <v>0</v>
      </c>
      <c r="Z21">
        <f>+B21</f>
        <v>32</v>
      </c>
    </row>
    <row r="22" spans="1:26">
      <c r="A22" t="str">
        <f>IF(ISNA(VLOOKUP($B22,DD_Info!$A$2:$F$221,2,0)),0,VLOOKUP($B22,DD_Info!$A$2:$F$221,2,0))</f>
        <v>William J Mechura</v>
      </c>
      <c r="B22" s="24">
        <v>33</v>
      </c>
      <c r="C22" s="85">
        <f>IF(ISNA(VLOOKUP($B22,DD_Info!$A$2:$F$221,5,0)),0,VLOOKUP($B22,DD_Info!$A$2:$F$221,5,0))</f>
        <v>3</v>
      </c>
      <c r="D22" s="62">
        <f>Districts!C33</f>
        <v>28</v>
      </c>
      <c r="E22" s="62">
        <f>Districts!D33</f>
        <v>2</v>
      </c>
      <c r="F22" s="62">
        <f>Districts!E33</f>
        <v>0</v>
      </c>
      <c r="G22" s="62">
        <f>Districts!F33</f>
        <v>0</v>
      </c>
      <c r="H22" s="62">
        <f>Districts!G33</f>
        <v>0</v>
      </c>
      <c r="J22" s="62">
        <f>Districts!H33</f>
        <v>1</v>
      </c>
      <c r="K22" s="62">
        <f>Districts!I33</f>
        <v>0</v>
      </c>
      <c r="L22" s="62">
        <f>Districts!J33</f>
        <v>1</v>
      </c>
      <c r="M22" s="61">
        <f t="shared" si="0"/>
        <v>0.5</v>
      </c>
      <c r="N22">
        <f>IF(ISNA(VLOOKUP($Z22,'DD Mbr'!$A$2:$N$216,14,0)),0,VLOOKUP($Z22,'DD Mbr'!$A$2:$N$216,14,0))</f>
        <v>0</v>
      </c>
      <c r="P22" s="62">
        <f>Districts!L33</f>
        <v>0</v>
      </c>
      <c r="Q22" s="62">
        <f>Districts!M33</f>
        <v>0</v>
      </c>
      <c r="R22" s="62">
        <f>Districts!N33</f>
        <v>0</v>
      </c>
      <c r="S22" s="62">
        <f>Districts!O33</f>
        <v>0</v>
      </c>
      <c r="U22" s="62">
        <f>Districts!P33</f>
        <v>0</v>
      </c>
      <c r="V22" s="62">
        <f>Districts!Q33</f>
        <v>0</v>
      </c>
      <c r="W22" s="62">
        <f>Districts!R33</f>
        <v>0</v>
      </c>
      <c r="X22" s="61">
        <f t="shared" ref="X22" si="3">IFERROR(W22/P22,0)</f>
        <v>0</v>
      </c>
      <c r="Y22">
        <f>IF(ISNA(VLOOKUP($Z22,'DD Ins'!$A$2:$N$217,14,0)),0,VLOOKUP($Z22,'DD Ins'!$A$2:$N$217,14,0))</f>
        <v>0</v>
      </c>
      <c r="Z22">
        <f>+B22</f>
        <v>33</v>
      </c>
    </row>
  </sheetData>
  <hyperlinks>
    <hyperlink ref="B5" location="'DD16'!A3" tooltip="District 16 Councils" display="'DD16'!A3" xr:uid="{00000000-0004-0000-2600-000000000000}"/>
    <hyperlink ref="B6:B18" location="'DD16'!A3" tooltip="District 16 Councils" display="'DD16'!A3" xr:uid="{00000000-0004-0000-2600-000001000000}"/>
    <hyperlink ref="B19:B20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6" location="'DD17'!A3" tooltip="District 17 Councils" display="'DD17'!A3" xr:uid="{00000000-0004-0000-2600-000005000000}"/>
    <hyperlink ref="B7" location="'DD18'!A3" tooltip="District 18 Councils" display="'DD18'!A3" xr:uid="{00000000-0004-0000-2600-000006000000}"/>
    <hyperlink ref="B8" location="'DD19'!A3" tooltip="District 19 Councils" display="'DD19'!A3" xr:uid="{00000000-0004-0000-2600-000007000000}"/>
    <hyperlink ref="B9" location="'DD20'!A3" tooltip="District 20 Councils" display="'DD20'!A3" xr:uid="{00000000-0004-0000-2600-000008000000}"/>
    <hyperlink ref="B10" location="'DD21'!A3" tooltip="District 21 Councils" display="'DD21'!A3" xr:uid="{00000000-0004-0000-2600-000009000000}"/>
    <hyperlink ref="B11" location="'DD22'!A3" tooltip="District 22 Councils" display="'DD22'!A3" xr:uid="{00000000-0004-0000-2600-00000A000000}"/>
    <hyperlink ref="B12" location="'DD23'!A3" tooltip="District 23 Councils" display="'DD23'!A3" xr:uid="{00000000-0004-0000-2600-00000B000000}"/>
    <hyperlink ref="B13" location="'DD24'!A3" tooltip="District 24 Councils" display="'DD24'!A3" xr:uid="{00000000-0004-0000-2600-00000C000000}"/>
    <hyperlink ref="B14" location="'DD25'!A3" tooltip="District 25 Councils" display="'DD25'!A3" xr:uid="{00000000-0004-0000-2600-00000D000000}"/>
    <hyperlink ref="B15" location="'DD26'!A3" tooltip="District 26 Councils" display="'DD26'!A3" xr:uid="{00000000-0004-0000-2600-00000E000000}"/>
    <hyperlink ref="B16" location="'DD27'!A3" tooltip="District 27 Councils" display="'DD27'!A3" xr:uid="{00000000-0004-0000-2600-00000F000000}"/>
    <hyperlink ref="B17" location="'DD28'!A3" tooltip="District 28 Councils" display="'DD28'!A3" xr:uid="{00000000-0004-0000-2600-000010000000}"/>
    <hyperlink ref="B18" location="'DD29'!A3" tooltip="District 29 Councils" display="'DD29'!A3" xr:uid="{00000000-0004-0000-2600-000011000000}"/>
    <hyperlink ref="B19" location="'DD30'!A3" tooltip="District 30 Councils" display="'DD30'!A3" xr:uid="{00000000-0004-0000-2600-000012000000}"/>
    <hyperlink ref="B20" location="'DD31'!A3" tooltip="District 31 Councils" display="'DD31'!A3" xr:uid="{00000000-0004-0000-2600-000013000000}"/>
    <hyperlink ref="B21" location="'DD32'!A3" tooltip="District 32 Councils" display="'DD32'!A3" xr:uid="{00000000-0004-0000-2600-000014000000}"/>
    <hyperlink ref="B22" location="'DD32'!A3" tooltip="District 32 Councils" display="'DD32'!A3" xr:uid="{23E1CB2D-276E-4A69-8069-1423D3E3330F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850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50">
        <v>2778</v>
      </c>
      <c r="B4" s="50" t="str">
        <f>IF(ISNA(VLOOKUP($A4,Council_Data!$A$3:$AB$840,2,0)),0,VLOOKUP($A4,Council_Data!$A$3:$AB$840,2,0))</f>
        <v>200</v>
      </c>
      <c r="C4" s="50" t="str">
        <f>IF(ISNA(VLOOKUP($A4,Council_Data!$A$3:$AB$840,3,0)),0,VLOOKUP($A4,Council_Data!$A$3:$AB$840,3,0))</f>
        <v>Hereford</v>
      </c>
      <c r="D4" s="50">
        <f>IF(ISNA(VLOOKUP($A4,Council_Data!$A$3:$AB$840,5,0)),0,VLOOKUP($A4,Council_Data!$A$3:$AB$840,5,0))</f>
        <v>152</v>
      </c>
      <c r="E4" s="50">
        <f>IF(ISNA(VLOOKUP($A4,Council_Data!$A$3:$AB$840,6,0)),0,VLOOKUP($A4,Council_Data!$A$3:$AB$840,6,0))</f>
        <v>7</v>
      </c>
      <c r="F4" s="50">
        <f>IF(ISNA(VLOOKUP($A4,Council_Data!$A$3:$AB$840,7,0)),0,VLOOKUP($A4,Council_Data!$A$3:$AB$840,7,0))</f>
        <v>0</v>
      </c>
      <c r="G4" s="50">
        <f>IF(ISNA(VLOOKUP($A4,Council_Data!$A$3:$AB$840,8,0)),0,VLOOKUP($A4,Council_Data!$A$3:$AB$840,8,0))</f>
        <v>0</v>
      </c>
      <c r="H4" s="50">
        <f>IF(ISNA(VLOOKUP($A4,Council_Data!$A$3:$AB$840,9,0)),0,VLOOKUP($A4,Council_Data!$A$3:$AB$840,9,0))</f>
        <v>0</v>
      </c>
      <c r="I4" s="50">
        <f>IF(ISNA(VLOOKUP($A4,Council_Data!$A$3:$AB$840,10,0)),0,VLOOKUP($A4,Council_Data!$A$3:$AB$840,10,0))</f>
        <v>0</v>
      </c>
      <c r="J4" s="50">
        <f>IF(ISNA(VLOOKUP($A4,Council_Data!$A$3:$AB$840,11,0)),0,VLOOKUP($A4,Council_Data!$A$3:$AB$840,11,0))</f>
        <v>0</v>
      </c>
      <c r="K4" s="50">
        <f>IF(ISNA(VLOOKUP($A4,Council_Data!$A$3:$AB$840,12,0)),0,VLOOKUP($A4,Council_Data!$A$3:$AB$840,12,0))</f>
        <v>0</v>
      </c>
      <c r="L4" s="92">
        <f>IF(ISNA(VLOOKUP($A4,Council_Data!$A$3:$AB$840,13,0)),0,VLOOKUP($A4,Council_Data!$A$3:$AB$840,13,0))</f>
        <v>0</v>
      </c>
      <c r="M4" s="50">
        <f>IF(ISNA(VLOOKUP($A4,Council_Data!$A$3:$AB$840,14,0)),0,VLOOKUP($A4,Council_Data!$A$3:$AB$840,14,0))</f>
        <v>0</v>
      </c>
      <c r="N4" s="50">
        <f>IF(ISNA(VLOOKUP($A4,Council_Data!$A$3:$AB$840,15,0)),0,VLOOKUP($A4,Council_Data!$A$3:$AB$840,15,0))</f>
        <v>0</v>
      </c>
      <c r="O4" s="50">
        <f>IF(ISNA(VLOOKUP($A4,Council_Data!$A$3:$AB$840,16,0)),0,VLOOKUP($A4,Council_Data!$A$3:$AB$840,16,0))</f>
        <v>0</v>
      </c>
      <c r="P4" s="50">
        <f>IF(ISNA(VLOOKUP($A4,Council_Data!$A$3:$AB$840,17,0)),0,VLOOKUP($A4,Council_Data!$A$3:$AB$840,17,0))</f>
        <v>0</v>
      </c>
      <c r="Q4" s="50">
        <f>IF(ISNA(VLOOKUP($A4,Council_Data!$A$3:$AB$840,18,0)),0,VLOOKUP($A4,Council_Data!$A$3:$AB$840,18,0))</f>
        <v>0</v>
      </c>
      <c r="R4" s="50">
        <f>IF(ISNA(VLOOKUP($A4,Council_Data!$A$3:$AB$840,19,0)),0,VLOOKUP($A4,Council_Data!$A$3:$AB$840,19,0))</f>
        <v>0</v>
      </c>
      <c r="S4" s="50">
        <f>IF(ISNA(VLOOKUP($A4,Council_Data!$A$3:$AB$840,20,0)),0,VLOOKUP($A4,Council_Data!$A$3:$AB$840,20,0))</f>
        <v>0</v>
      </c>
      <c r="T4" s="92">
        <f>IF(ISNA(VLOOKUP($A4,Council_Data!$A$3:$AB$840,21,0)),0,VLOOKUP($A4,Council_Data!$A$3:$AB$840,21,0))</f>
        <v>0</v>
      </c>
      <c r="U4" s="50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Payne</v>
      </c>
    </row>
    <row r="5" spans="1:22" ht="29.1" customHeight="1">
      <c r="A5" s="50">
        <v>2808</v>
      </c>
      <c r="B5" s="50" t="str">
        <f>IF(ISNA(VLOOKUP($A5,Council_Data!$A$3:$AB$840,2,0)),0,VLOOKUP($A5,Council_Data!$A$3:$AB$840,2,0))</f>
        <v>200</v>
      </c>
      <c r="C5" s="50" t="str">
        <f>IF(ISNA(VLOOKUP($A5,Council_Data!$A$3:$AB$840,3,0)),0,VLOOKUP($A5,Council_Data!$A$3:$AB$840,3,0))</f>
        <v>Umbarger</v>
      </c>
      <c r="D5" s="50">
        <f>IF(ISNA(VLOOKUP($A5,Council_Data!$A$3:$AB$840,5,0)),0,VLOOKUP($A5,Council_Data!$A$3:$AB$840,5,0))</f>
        <v>50</v>
      </c>
      <c r="E5" s="50">
        <f>IF(ISNA(VLOOKUP($A5,Council_Data!$A$3:$AB$840,6,0)),0,VLOOKUP($A5,Council_Data!$A$3:$AB$840,6,0))</f>
        <v>3</v>
      </c>
      <c r="F5" s="50">
        <f>IF(ISNA(VLOOKUP($A5,Council_Data!$A$3:$AB$840,7,0)),0,VLOOKUP($A5,Council_Data!$A$3:$AB$840,7,0))</f>
        <v>0</v>
      </c>
      <c r="G5" s="50">
        <f>IF(ISNA(VLOOKUP($A5,Council_Data!$A$3:$AB$840,8,0)),0,VLOOKUP($A5,Council_Data!$A$3:$AB$840,8,0))</f>
        <v>0</v>
      </c>
      <c r="H5" s="50">
        <f>IF(ISNA(VLOOKUP($A5,Council_Data!$A$3:$AB$840,9,0)),0,VLOOKUP($A5,Council_Data!$A$3:$AB$840,9,0))</f>
        <v>0</v>
      </c>
      <c r="I5" s="50">
        <f>IF(ISNA(VLOOKUP($A5,Council_Data!$A$3:$AB$840,10,0)),0,VLOOKUP($A5,Council_Data!$A$3:$AB$840,10,0))</f>
        <v>0</v>
      </c>
      <c r="J5" s="50">
        <f>IF(ISNA(VLOOKUP($A5,Council_Data!$A$3:$AB$840,11,0)),0,VLOOKUP($A5,Council_Data!$A$3:$AB$840,11,0))</f>
        <v>0</v>
      </c>
      <c r="K5" s="50">
        <f>IF(ISNA(VLOOKUP($A5,Council_Data!$A$3:$AB$840,12,0)),0,VLOOKUP($A5,Council_Data!$A$3:$AB$840,12,0))</f>
        <v>0</v>
      </c>
      <c r="L5" s="92">
        <f>IF(ISNA(VLOOKUP($A5,Council_Data!$A$3:$AB$840,13,0)),0,VLOOKUP($A5,Council_Data!$A$3:$AB$840,13,0))</f>
        <v>0</v>
      </c>
      <c r="M5" s="50">
        <f>IF(ISNA(VLOOKUP($A5,Council_Data!$A$3:$AB$840,14,0)),0,VLOOKUP($A5,Council_Data!$A$3:$AB$840,14,0))</f>
        <v>0</v>
      </c>
      <c r="N5" s="50">
        <f>IF(ISNA(VLOOKUP($A5,Council_Data!$A$3:$AB$840,15,0)),0,VLOOKUP($A5,Council_Data!$A$3:$AB$840,15,0))</f>
        <v>0</v>
      </c>
      <c r="O5" s="50">
        <f>IF(ISNA(VLOOKUP($A5,Council_Data!$A$3:$AB$840,16,0)),0,VLOOKUP($A5,Council_Data!$A$3:$AB$840,16,0))</f>
        <v>0</v>
      </c>
      <c r="P5" s="50">
        <f>IF(ISNA(VLOOKUP($A5,Council_Data!$A$3:$AB$840,17,0)),0,VLOOKUP($A5,Council_Data!$A$3:$AB$840,17,0))</f>
        <v>0</v>
      </c>
      <c r="Q5" s="50">
        <f>IF(ISNA(VLOOKUP($A5,Council_Data!$A$3:$AB$840,18,0)),0,VLOOKUP($A5,Council_Data!$A$3:$AB$840,18,0))</f>
        <v>0</v>
      </c>
      <c r="R5" s="50">
        <f>IF(ISNA(VLOOKUP($A5,Council_Data!$A$3:$AB$840,19,0)),0,VLOOKUP($A5,Council_Data!$A$3:$AB$840,19,0))</f>
        <v>0</v>
      </c>
      <c r="S5" s="50">
        <f>IF(ISNA(VLOOKUP($A5,Council_Data!$A$3:$AB$840,20,0)),0,VLOOKUP($A5,Council_Data!$A$3:$AB$840,20,0))</f>
        <v>0</v>
      </c>
      <c r="T5" s="92">
        <f>IF(ISNA(VLOOKUP($A5,Council_Data!$A$3:$AB$840,21,0)),0,VLOOKUP($A5,Council_Data!$A$3:$AB$840,21,0))</f>
        <v>0</v>
      </c>
      <c r="U5" s="50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Payne</v>
      </c>
    </row>
    <row r="6" spans="1:22" ht="29.1" customHeight="1">
      <c r="A6" s="50">
        <v>4621</v>
      </c>
      <c r="B6" s="50" t="str">
        <f>IF(ISNA(VLOOKUP($A6,Council_Data!$A$3:$AB$840,2,0)),0,VLOOKUP($A6,Council_Data!$A$3:$AB$840,2,0))</f>
        <v>196</v>
      </c>
      <c r="C6" s="50" t="str">
        <f>IF(ISNA(VLOOKUP($A6,Council_Data!$A$3:$AB$840,3,0)),0,VLOOKUP($A6,Council_Data!$A$3:$AB$840,3,0))</f>
        <v>Amarillo</v>
      </c>
      <c r="D6" s="50">
        <f>IF(ISNA(VLOOKUP($A6,Council_Data!$A$3:$AB$840,5,0)),0,VLOOKUP($A6,Council_Data!$A$3:$AB$840,5,0))</f>
        <v>218</v>
      </c>
      <c r="E6" s="50">
        <f>IF(ISNA(VLOOKUP($A6,Council_Data!$A$3:$AB$840,6,0)),0,VLOOKUP($A6,Council_Data!$A$3:$AB$840,6,0))</f>
        <v>10</v>
      </c>
      <c r="F6" s="50">
        <f>IF(ISNA(VLOOKUP($A6,Council_Data!$A$3:$AB$840,7,0)),0,VLOOKUP($A6,Council_Data!$A$3:$AB$840,7,0))</f>
        <v>1</v>
      </c>
      <c r="G6" s="50">
        <f>IF(ISNA(VLOOKUP($A6,Council_Data!$A$3:$AB$840,8,0)),0,VLOOKUP($A6,Council_Data!$A$3:$AB$840,8,0))</f>
        <v>1</v>
      </c>
      <c r="H6" s="50">
        <f>IF(ISNA(VLOOKUP($A6,Council_Data!$A$3:$AB$840,9,0)),0,VLOOKUP($A6,Council_Data!$A$3:$AB$840,9,0))</f>
        <v>0</v>
      </c>
      <c r="I6" s="50">
        <f>IF(ISNA(VLOOKUP($A6,Council_Data!$A$3:$AB$840,10,0)),0,VLOOKUP($A6,Council_Data!$A$3:$AB$840,10,0))</f>
        <v>1</v>
      </c>
      <c r="J6" s="50">
        <f>IF(ISNA(VLOOKUP($A6,Council_Data!$A$3:$AB$840,11,0)),0,VLOOKUP($A6,Council_Data!$A$3:$AB$840,11,0))</f>
        <v>1</v>
      </c>
      <c r="K6" s="50">
        <f>IF(ISNA(VLOOKUP($A6,Council_Data!$A$3:$AB$840,12,0)),0,VLOOKUP($A6,Council_Data!$A$3:$AB$840,12,0))</f>
        <v>0</v>
      </c>
      <c r="L6" s="92">
        <f>IF(ISNA(VLOOKUP($A6,Council_Data!$A$3:$AB$840,13,0)),0,VLOOKUP($A6,Council_Data!$A$3:$AB$840,13,0))</f>
        <v>0</v>
      </c>
      <c r="M6" s="50">
        <f>IF(ISNA(VLOOKUP($A6,Council_Data!$A$3:$AB$840,14,0)),0,VLOOKUP($A6,Council_Data!$A$3:$AB$840,14,0))</f>
        <v>0</v>
      </c>
      <c r="N6" s="50">
        <f>IF(ISNA(VLOOKUP($A6,Council_Data!$A$3:$AB$840,15,0)),0,VLOOKUP($A6,Council_Data!$A$3:$AB$840,15,0))</f>
        <v>0</v>
      </c>
      <c r="O6" s="50">
        <f>IF(ISNA(VLOOKUP($A6,Council_Data!$A$3:$AB$840,16,0)),0,VLOOKUP($A6,Council_Data!$A$3:$AB$840,16,0))</f>
        <v>1</v>
      </c>
      <c r="P6" s="50">
        <f>IF(ISNA(VLOOKUP($A6,Council_Data!$A$3:$AB$840,17,0)),0,VLOOKUP($A6,Council_Data!$A$3:$AB$840,17,0))</f>
        <v>-1</v>
      </c>
      <c r="Q6" s="50">
        <f>IF(ISNA(VLOOKUP($A6,Council_Data!$A$3:$AB$840,18,0)),0,VLOOKUP($A6,Council_Data!$A$3:$AB$840,18,0))</f>
        <v>1</v>
      </c>
      <c r="R6" s="50">
        <f>IF(ISNA(VLOOKUP($A6,Council_Data!$A$3:$AB$840,19,0)),0,VLOOKUP($A6,Council_Data!$A$3:$AB$840,19,0))</f>
        <v>2</v>
      </c>
      <c r="S6" s="50">
        <f>IF(ISNA(VLOOKUP($A6,Council_Data!$A$3:$AB$840,20,0)),0,VLOOKUP($A6,Council_Data!$A$3:$AB$840,20,0))</f>
        <v>-1</v>
      </c>
      <c r="T6" s="92">
        <f>IF(ISNA(VLOOKUP($A6,Council_Data!$A$3:$AB$840,21,0)),0,VLOOKUP($A6,Council_Data!$A$3:$AB$840,21,0))</f>
        <v>0</v>
      </c>
      <c r="U6" s="50">
        <f>IF(ISNA(VLOOKUP($A6,Council_Data!$A$3:$AB$840,23,0)),0,VLOOKUP($A6,Council_Data!$A$3:$AB$840,23,0))</f>
        <v>1</v>
      </c>
      <c r="V6" s="50" t="str">
        <f>IF(ISNA(VLOOKUP($A6,Council_Data!$A$3:$AB$840,24,0)),0,VLOOKUP($A6,Council_Data!$A$3:$AB$840,24,0))</f>
        <v>Payne</v>
      </c>
    </row>
    <row r="7" spans="1:22" ht="29.1" customHeight="1">
      <c r="A7" s="50">
        <v>7573</v>
      </c>
      <c r="B7" s="50" t="str">
        <f>IF(ISNA(VLOOKUP($A7,Council_Data!$A$3:$AB$840,2,0)),0,VLOOKUP($A7,Council_Data!$A$3:$AB$840,2,0))</f>
        <v>199</v>
      </c>
      <c r="C7" s="50" t="str">
        <f>IF(ISNA(VLOOKUP($A7,Council_Data!$A$3:$AB$840,3,0)),0,VLOOKUP($A7,Council_Data!$A$3:$AB$840,3,0))</f>
        <v>Amarillo</v>
      </c>
      <c r="D7" s="50">
        <f>IF(ISNA(VLOOKUP($A7,Council_Data!$A$3:$AB$840,5,0)),0,VLOOKUP($A7,Council_Data!$A$3:$AB$840,5,0))</f>
        <v>61</v>
      </c>
      <c r="E7" s="50">
        <f>IF(ISNA(VLOOKUP($A7,Council_Data!$A$3:$AB$840,6,0)),0,VLOOKUP($A7,Council_Data!$A$3:$AB$840,6,0))</f>
        <v>3</v>
      </c>
      <c r="F7" s="50">
        <f>IF(ISNA(VLOOKUP($A7,Council_Data!$A$3:$AB$840,7,0)),0,VLOOKUP($A7,Council_Data!$A$3:$AB$840,7,0))</f>
        <v>0</v>
      </c>
      <c r="G7" s="50">
        <f>IF(ISNA(VLOOKUP($A7,Council_Data!$A$3:$AB$840,8,0)),0,VLOOKUP($A7,Council_Data!$A$3:$AB$840,8,0))</f>
        <v>0</v>
      </c>
      <c r="H7" s="50">
        <f>IF(ISNA(VLOOKUP($A7,Council_Data!$A$3:$AB$840,9,0)),0,VLOOKUP($A7,Council_Data!$A$3:$AB$840,9,0))</f>
        <v>0</v>
      </c>
      <c r="I7" s="50">
        <f>IF(ISNA(VLOOKUP($A7,Council_Data!$A$3:$AB$840,10,0)),0,VLOOKUP($A7,Council_Data!$A$3:$AB$840,10,0))</f>
        <v>0</v>
      </c>
      <c r="J7" s="50">
        <f>IF(ISNA(VLOOKUP($A7,Council_Data!$A$3:$AB$840,11,0)),0,VLOOKUP($A7,Council_Data!$A$3:$AB$840,11,0))</f>
        <v>2</v>
      </c>
      <c r="K7" s="50">
        <f>IF(ISNA(VLOOKUP($A7,Council_Data!$A$3:$AB$840,12,0)),0,VLOOKUP($A7,Council_Data!$A$3:$AB$840,12,0))</f>
        <v>-2</v>
      </c>
      <c r="L7" s="92">
        <f>IF(ISNA(VLOOKUP($A7,Council_Data!$A$3:$AB$840,13,0)),0,VLOOKUP($A7,Council_Data!$A$3:$AB$840,13,0))</f>
        <v>0</v>
      </c>
      <c r="M7" s="50">
        <f>IF(ISNA(VLOOKUP($A7,Council_Data!$A$3:$AB$840,14,0)),0,VLOOKUP($A7,Council_Data!$A$3:$AB$840,14,0))</f>
        <v>0</v>
      </c>
      <c r="N7" s="50">
        <f>IF(ISNA(VLOOKUP($A7,Council_Data!$A$3:$AB$840,15,0)),0,VLOOKUP($A7,Council_Data!$A$3:$AB$840,15,0))</f>
        <v>0</v>
      </c>
      <c r="O7" s="50">
        <f>IF(ISNA(VLOOKUP($A7,Council_Data!$A$3:$AB$840,16,0)),0,VLOOKUP($A7,Council_Data!$A$3:$AB$840,16,0))</f>
        <v>0</v>
      </c>
      <c r="P7" s="50">
        <f>IF(ISNA(VLOOKUP($A7,Council_Data!$A$3:$AB$840,17,0)),0,VLOOKUP($A7,Council_Data!$A$3:$AB$840,17,0))</f>
        <v>0</v>
      </c>
      <c r="Q7" s="50">
        <f>IF(ISNA(VLOOKUP($A7,Council_Data!$A$3:$AB$840,18,0)),0,VLOOKUP($A7,Council_Data!$A$3:$AB$840,18,0))</f>
        <v>0</v>
      </c>
      <c r="R7" s="50">
        <f>IF(ISNA(VLOOKUP($A7,Council_Data!$A$3:$AB$840,19,0)),0,VLOOKUP($A7,Council_Data!$A$3:$AB$840,19,0))</f>
        <v>2</v>
      </c>
      <c r="S7" s="50">
        <f>IF(ISNA(VLOOKUP($A7,Council_Data!$A$3:$AB$840,20,0)),0,VLOOKUP($A7,Council_Data!$A$3:$AB$840,20,0))</f>
        <v>-2</v>
      </c>
      <c r="T7" s="92">
        <f>IF(ISNA(VLOOKUP($A7,Council_Data!$A$3:$AB$840,21,0)),0,VLOOKUP($A7,Council_Data!$A$3:$AB$840,21,0))</f>
        <v>0</v>
      </c>
      <c r="U7" s="50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Payne</v>
      </c>
    </row>
    <row r="8" spans="1:22" ht="29.1" customHeight="1">
      <c r="A8" s="50">
        <v>7840</v>
      </c>
      <c r="B8" s="50" t="str">
        <f>IF(ISNA(VLOOKUP($A8,Council_Data!$A$3:$AB$840,2,0)),0,VLOOKUP($A8,Council_Data!$A$3:$AB$840,2,0))</f>
        <v>196</v>
      </c>
      <c r="C8" s="50" t="str">
        <f>IF(ISNA(VLOOKUP($A8,Council_Data!$A$3:$AB$840,3,0)),0,VLOOKUP($A8,Council_Data!$A$3:$AB$840,3,0))</f>
        <v>Canyon</v>
      </c>
      <c r="D8" s="50">
        <f>IF(ISNA(VLOOKUP($A8,Council_Data!$A$3:$AB$840,5,0)),0,VLOOKUP($A8,Council_Data!$A$3:$AB$840,5,0))</f>
        <v>162</v>
      </c>
      <c r="E8" s="50">
        <f>IF(ISNA(VLOOKUP($A8,Council_Data!$A$3:$AB$840,6,0)),0,VLOOKUP($A8,Council_Data!$A$3:$AB$840,6,0))</f>
        <v>8</v>
      </c>
      <c r="F8" s="50">
        <f>IF(ISNA(VLOOKUP($A8,Council_Data!$A$3:$AB$840,7,0)),0,VLOOKUP($A8,Council_Data!$A$3:$AB$840,7,0))</f>
        <v>0</v>
      </c>
      <c r="G8" s="50">
        <f>IF(ISNA(VLOOKUP($A8,Council_Data!$A$3:$AB$840,8,0)),0,VLOOKUP($A8,Council_Data!$A$3:$AB$840,8,0))</f>
        <v>0</v>
      </c>
      <c r="H8" s="50">
        <f>IF(ISNA(VLOOKUP($A8,Council_Data!$A$3:$AB$840,9,0)),0,VLOOKUP($A8,Council_Data!$A$3:$AB$840,9,0))</f>
        <v>0</v>
      </c>
      <c r="I8" s="50">
        <f>IF(ISNA(VLOOKUP($A8,Council_Data!$A$3:$AB$840,10,0)),0,VLOOKUP($A8,Council_Data!$A$3:$AB$840,10,0))</f>
        <v>1</v>
      </c>
      <c r="J8" s="50">
        <f>IF(ISNA(VLOOKUP($A8,Council_Data!$A$3:$AB$840,11,0)),0,VLOOKUP($A8,Council_Data!$A$3:$AB$840,11,0))</f>
        <v>0</v>
      </c>
      <c r="K8" s="50">
        <f>IF(ISNA(VLOOKUP($A8,Council_Data!$A$3:$AB$840,12,0)),0,VLOOKUP($A8,Council_Data!$A$3:$AB$840,12,0))</f>
        <v>1</v>
      </c>
      <c r="L8" s="92">
        <f>IF(ISNA(VLOOKUP($A8,Council_Data!$A$3:$AB$840,13,0)),0,VLOOKUP($A8,Council_Data!$A$3:$AB$840,13,0))</f>
        <v>12.5</v>
      </c>
      <c r="M8" s="50">
        <f>IF(ISNA(VLOOKUP($A8,Council_Data!$A$3:$AB$840,14,0)),0,VLOOKUP($A8,Council_Data!$A$3:$AB$840,14,0))</f>
        <v>0</v>
      </c>
      <c r="N8" s="50">
        <f>IF(ISNA(VLOOKUP($A8,Council_Data!$A$3:$AB$840,15,0)),0,VLOOKUP($A8,Council_Data!$A$3:$AB$840,15,0))</f>
        <v>0</v>
      </c>
      <c r="O8" s="50">
        <f>IF(ISNA(VLOOKUP($A8,Council_Data!$A$3:$AB$840,16,0)),0,VLOOKUP($A8,Council_Data!$A$3:$AB$840,16,0))</f>
        <v>1</v>
      </c>
      <c r="P8" s="50">
        <f>IF(ISNA(VLOOKUP($A8,Council_Data!$A$3:$AB$840,17,0)),0,VLOOKUP($A8,Council_Data!$A$3:$AB$840,17,0))</f>
        <v>-1</v>
      </c>
      <c r="Q8" s="50">
        <f>IF(ISNA(VLOOKUP($A8,Council_Data!$A$3:$AB$840,18,0)),0,VLOOKUP($A8,Council_Data!$A$3:$AB$840,18,0))</f>
        <v>1</v>
      </c>
      <c r="R8" s="50">
        <f>IF(ISNA(VLOOKUP($A8,Council_Data!$A$3:$AB$840,19,0)),0,VLOOKUP($A8,Council_Data!$A$3:$AB$840,19,0))</f>
        <v>1</v>
      </c>
      <c r="S8" s="50">
        <f>IF(ISNA(VLOOKUP($A8,Council_Data!$A$3:$AB$840,20,0)),0,VLOOKUP($A8,Council_Data!$A$3:$AB$840,20,0))</f>
        <v>0</v>
      </c>
      <c r="T8" s="92">
        <f>IF(ISNA(VLOOKUP($A8,Council_Data!$A$3:$AB$840,21,0)),0,VLOOKUP($A8,Council_Data!$A$3:$AB$840,21,0))</f>
        <v>0</v>
      </c>
      <c r="U8" s="50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Payne</v>
      </c>
    </row>
    <row r="9" spans="1:22" ht="29.1" customHeight="1">
      <c r="A9" s="50">
        <v>2767</v>
      </c>
      <c r="B9" s="50" t="str">
        <f>IF(ISNA(VLOOKUP($A9,Council_Data!$A$3:$AB$840,2,0)),0,VLOOKUP($A9,Council_Data!$A$3:$AB$840,2,0))</f>
        <v>197</v>
      </c>
      <c r="C9" s="50" t="str">
        <f>IF(ISNA(VLOOKUP($A9,Council_Data!$A$3:$AB$840,3,0)),0,VLOOKUP($A9,Council_Data!$A$3:$AB$840,3,0))</f>
        <v>Pampa</v>
      </c>
      <c r="D9" s="50">
        <f>IF(ISNA(VLOOKUP($A9,Council_Data!$A$3:$AB$840,5,0)),0,VLOOKUP($A9,Council_Data!$A$3:$AB$840,5,0))</f>
        <v>131</v>
      </c>
      <c r="E9" s="50">
        <f>IF(ISNA(VLOOKUP($A9,Council_Data!$A$3:$AB$840,6,0)),0,VLOOKUP($A9,Council_Data!$A$3:$AB$840,6,0))</f>
        <v>6</v>
      </c>
      <c r="F9" s="50">
        <f>IF(ISNA(VLOOKUP($A9,Council_Data!$A$3:$AB$840,7,0)),0,VLOOKUP($A9,Council_Data!$A$3:$AB$840,7,0))</f>
        <v>0</v>
      </c>
      <c r="G9" s="50">
        <f>IF(ISNA(VLOOKUP($A9,Council_Data!$A$3:$AB$840,8,0)),0,VLOOKUP($A9,Council_Data!$A$3:$AB$840,8,0))</f>
        <v>0</v>
      </c>
      <c r="H9" s="50">
        <f>IF(ISNA(VLOOKUP($A9,Council_Data!$A$3:$AB$840,9,0)),0,VLOOKUP($A9,Council_Data!$A$3:$AB$840,9,0))</f>
        <v>0</v>
      </c>
      <c r="I9" s="50">
        <f>IF(ISNA(VLOOKUP($A9,Council_Data!$A$3:$AB$840,10,0)),0,VLOOKUP($A9,Council_Data!$A$3:$AB$840,10,0))</f>
        <v>0</v>
      </c>
      <c r="J9" s="50">
        <f>IF(ISNA(VLOOKUP($A9,Council_Data!$A$3:$AB$840,11,0)),0,VLOOKUP($A9,Council_Data!$A$3:$AB$840,11,0))</f>
        <v>0</v>
      </c>
      <c r="K9" s="50">
        <f>IF(ISNA(VLOOKUP($A9,Council_Data!$A$3:$AB$840,12,0)),0,VLOOKUP($A9,Council_Data!$A$3:$AB$840,12,0))</f>
        <v>0</v>
      </c>
      <c r="L9" s="92">
        <f>IF(ISNA(VLOOKUP($A9,Council_Data!$A$3:$AB$840,13,0)),0,VLOOKUP($A9,Council_Data!$A$3:$AB$840,13,0))</f>
        <v>0</v>
      </c>
      <c r="M9" s="50">
        <f>IF(ISNA(VLOOKUP($A9,Council_Data!$A$3:$AB$840,14,0)),0,VLOOKUP($A9,Council_Data!$A$3:$AB$840,14,0))</f>
        <v>0</v>
      </c>
      <c r="N9" s="50">
        <f>IF(ISNA(VLOOKUP($A9,Council_Data!$A$3:$AB$840,15,0)),0,VLOOKUP($A9,Council_Data!$A$3:$AB$840,15,0))</f>
        <v>0</v>
      </c>
      <c r="O9" s="50">
        <f>IF(ISNA(VLOOKUP($A9,Council_Data!$A$3:$AB$840,16,0)),0,VLOOKUP($A9,Council_Data!$A$3:$AB$840,16,0))</f>
        <v>0</v>
      </c>
      <c r="P9" s="50">
        <f>IF(ISNA(VLOOKUP($A9,Council_Data!$A$3:$AB$840,17,0)),0,VLOOKUP($A9,Council_Data!$A$3:$AB$840,17,0))</f>
        <v>0</v>
      </c>
      <c r="Q9" s="50">
        <f>IF(ISNA(VLOOKUP($A9,Council_Data!$A$3:$AB$840,18,0)),0,VLOOKUP($A9,Council_Data!$A$3:$AB$840,18,0))</f>
        <v>0</v>
      </c>
      <c r="R9" s="50">
        <f>IF(ISNA(VLOOKUP($A9,Council_Data!$A$3:$AB$840,19,0)),0,VLOOKUP($A9,Council_Data!$A$3:$AB$840,19,0))</f>
        <v>2</v>
      </c>
      <c r="S9" s="50">
        <f>IF(ISNA(VLOOKUP($A9,Council_Data!$A$3:$AB$840,20,0)),0,VLOOKUP($A9,Council_Data!$A$3:$AB$840,20,0))</f>
        <v>-2</v>
      </c>
      <c r="T9" s="92">
        <f>IF(ISNA(VLOOKUP($A9,Council_Data!$A$3:$AB$840,21,0)),0,VLOOKUP($A9,Council_Data!$A$3:$AB$840,21,0))</f>
        <v>0</v>
      </c>
      <c r="U9" s="50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Payne</v>
      </c>
    </row>
    <row r="10" spans="1:22" ht="29.1" customHeight="1">
      <c r="A10" s="50">
        <v>3558</v>
      </c>
      <c r="B10" s="50" t="str">
        <f>IF(ISNA(VLOOKUP($A10,Council_Data!$A$3:$AB$840,2,0)),0,VLOOKUP($A10,Council_Data!$A$3:$AB$840,2,0))</f>
        <v>197</v>
      </c>
      <c r="C10" s="50" t="str">
        <f>IF(ISNA(VLOOKUP($A10,Council_Data!$A$3:$AB$840,3,0)),0,VLOOKUP($A10,Council_Data!$A$3:$AB$840,3,0))</f>
        <v>Borger</v>
      </c>
      <c r="D10" s="50">
        <f>IF(ISNA(VLOOKUP($A10,Council_Data!$A$3:$AB$840,5,0)),0,VLOOKUP($A10,Council_Data!$A$3:$AB$840,5,0))</f>
        <v>88</v>
      </c>
      <c r="E10" s="50">
        <f>IF(ISNA(VLOOKUP($A10,Council_Data!$A$3:$AB$840,6,0)),0,VLOOKUP($A10,Council_Data!$A$3:$AB$840,6,0))</f>
        <v>4</v>
      </c>
      <c r="F10" s="50">
        <f>IF(ISNA(VLOOKUP($A10,Council_Data!$A$3:$AB$840,7,0)),0,VLOOKUP($A10,Council_Data!$A$3:$AB$840,7,0))</f>
        <v>0</v>
      </c>
      <c r="G10" s="50">
        <f>IF(ISNA(VLOOKUP($A10,Council_Data!$A$3:$AB$840,8,0)),0,VLOOKUP($A10,Council_Data!$A$3:$AB$840,8,0))</f>
        <v>0</v>
      </c>
      <c r="H10" s="50">
        <f>IF(ISNA(VLOOKUP($A10,Council_Data!$A$3:$AB$840,9,0)),0,VLOOKUP($A10,Council_Data!$A$3:$AB$840,9,0))</f>
        <v>0</v>
      </c>
      <c r="I10" s="50">
        <f>IF(ISNA(VLOOKUP($A10,Council_Data!$A$3:$AB$840,10,0)),0,VLOOKUP($A10,Council_Data!$A$3:$AB$840,10,0))</f>
        <v>0</v>
      </c>
      <c r="J10" s="50">
        <f>IF(ISNA(VLOOKUP($A10,Council_Data!$A$3:$AB$840,11,0)),0,VLOOKUP($A10,Council_Data!$A$3:$AB$840,11,0))</f>
        <v>0</v>
      </c>
      <c r="K10" s="50">
        <f>IF(ISNA(VLOOKUP($A10,Council_Data!$A$3:$AB$840,12,0)),0,VLOOKUP($A10,Council_Data!$A$3:$AB$840,12,0))</f>
        <v>0</v>
      </c>
      <c r="L10" s="92">
        <f>IF(ISNA(VLOOKUP($A10,Council_Data!$A$3:$AB$840,13,0)),0,VLOOKUP($A10,Council_Data!$A$3:$AB$840,13,0))</f>
        <v>0</v>
      </c>
      <c r="M10" s="50">
        <f>IF(ISNA(VLOOKUP($A10,Council_Data!$A$3:$AB$840,14,0)),0,VLOOKUP($A10,Council_Data!$A$3:$AB$840,14,0))</f>
        <v>0</v>
      </c>
      <c r="N10" s="50">
        <f>IF(ISNA(VLOOKUP($A10,Council_Data!$A$3:$AB$840,15,0)),0,VLOOKUP($A10,Council_Data!$A$3:$AB$840,15,0))</f>
        <v>0</v>
      </c>
      <c r="O10" s="50">
        <f>IF(ISNA(VLOOKUP($A10,Council_Data!$A$3:$AB$840,16,0)),0,VLOOKUP($A10,Council_Data!$A$3:$AB$840,16,0))</f>
        <v>0</v>
      </c>
      <c r="P10" s="50">
        <f>IF(ISNA(VLOOKUP($A10,Council_Data!$A$3:$AB$840,17,0)),0,VLOOKUP($A10,Council_Data!$A$3:$AB$840,17,0))</f>
        <v>0</v>
      </c>
      <c r="Q10" s="50">
        <f>IF(ISNA(VLOOKUP($A10,Council_Data!$A$3:$AB$840,18,0)),0,VLOOKUP($A10,Council_Data!$A$3:$AB$840,18,0))</f>
        <v>0</v>
      </c>
      <c r="R10" s="50">
        <f>IF(ISNA(VLOOKUP($A10,Council_Data!$A$3:$AB$840,19,0)),0,VLOOKUP($A10,Council_Data!$A$3:$AB$840,19,0))</f>
        <v>0</v>
      </c>
      <c r="S10" s="50">
        <f>IF(ISNA(VLOOKUP($A10,Council_Data!$A$3:$AB$840,20,0)),0,VLOOKUP($A10,Council_Data!$A$3:$AB$840,20,0))</f>
        <v>0</v>
      </c>
      <c r="T10" s="92">
        <f>IF(ISNA(VLOOKUP($A10,Council_Data!$A$3:$AB$840,21,0)),0,VLOOKUP($A10,Council_Data!$A$3:$AB$840,21,0))</f>
        <v>0</v>
      </c>
      <c r="U10" s="50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Payne</v>
      </c>
    </row>
    <row r="11" spans="1:22" ht="29.1" customHeight="1">
      <c r="A11" s="50">
        <v>12493</v>
      </c>
      <c r="B11" s="50" t="str">
        <f>IF(ISNA(VLOOKUP($A11,Council_Data!$A$3:$AB$840,2,0)),0,VLOOKUP($A11,Council_Data!$A$3:$AB$840,2,0))</f>
        <v>197</v>
      </c>
      <c r="C11" s="50" t="str">
        <f>IF(ISNA(VLOOKUP($A11,Council_Data!$A$3:$AB$840,3,0)),0,VLOOKUP($A11,Council_Data!$A$3:$AB$840,3,0))</f>
        <v>Canadian</v>
      </c>
      <c r="D11" s="50">
        <f>IF(ISNA(VLOOKUP($A11,Council_Data!$A$3:$AB$840,5,0)),0,VLOOKUP($A11,Council_Data!$A$3:$AB$840,5,0))</f>
        <v>35</v>
      </c>
      <c r="E11" s="50">
        <f>IF(ISNA(VLOOKUP($A11,Council_Data!$A$3:$AB$840,6,0)),0,VLOOKUP($A11,Council_Data!$A$3:$AB$840,6,0))</f>
        <v>3</v>
      </c>
      <c r="F11" s="50">
        <f>IF(ISNA(VLOOKUP($A11,Council_Data!$A$3:$AB$840,7,0)),0,VLOOKUP($A11,Council_Data!$A$3:$AB$840,7,0))</f>
        <v>0</v>
      </c>
      <c r="G11" s="50">
        <f>IF(ISNA(VLOOKUP($A11,Council_Data!$A$3:$AB$840,8,0)),0,VLOOKUP($A11,Council_Data!$A$3:$AB$840,8,0))</f>
        <v>0</v>
      </c>
      <c r="H11" s="50">
        <f>IF(ISNA(VLOOKUP($A11,Council_Data!$A$3:$AB$840,9,0)),0,VLOOKUP($A11,Council_Data!$A$3:$AB$840,9,0))</f>
        <v>0</v>
      </c>
      <c r="I11" s="50">
        <f>IF(ISNA(VLOOKUP($A11,Council_Data!$A$3:$AB$840,10,0)),0,VLOOKUP($A11,Council_Data!$A$3:$AB$840,10,0))</f>
        <v>0</v>
      </c>
      <c r="J11" s="50">
        <f>IF(ISNA(VLOOKUP($A11,Council_Data!$A$3:$AB$840,11,0)),0,VLOOKUP($A11,Council_Data!$A$3:$AB$840,11,0))</f>
        <v>0</v>
      </c>
      <c r="K11" s="50">
        <f>IF(ISNA(VLOOKUP($A11,Council_Data!$A$3:$AB$840,12,0)),0,VLOOKUP($A11,Council_Data!$A$3:$AB$840,12,0))</f>
        <v>0</v>
      </c>
      <c r="L11" s="92">
        <f>IF(ISNA(VLOOKUP($A11,Council_Data!$A$3:$AB$840,13,0)),0,VLOOKUP($A11,Council_Data!$A$3:$AB$840,13,0))</f>
        <v>0</v>
      </c>
      <c r="M11" s="50">
        <f>IF(ISNA(VLOOKUP($A11,Council_Data!$A$3:$AB$840,14,0)),0,VLOOKUP($A11,Council_Data!$A$3:$AB$840,14,0))</f>
        <v>0</v>
      </c>
      <c r="N11" s="50">
        <f>IF(ISNA(VLOOKUP($A11,Council_Data!$A$3:$AB$840,15,0)),0,VLOOKUP($A11,Council_Data!$A$3:$AB$840,15,0))</f>
        <v>0</v>
      </c>
      <c r="O11" s="50">
        <f>IF(ISNA(VLOOKUP($A11,Council_Data!$A$3:$AB$840,16,0)),0,VLOOKUP($A11,Council_Data!$A$3:$AB$840,16,0))</f>
        <v>0</v>
      </c>
      <c r="P11" s="50">
        <f>IF(ISNA(VLOOKUP($A11,Council_Data!$A$3:$AB$840,17,0)),0,VLOOKUP($A11,Council_Data!$A$3:$AB$840,17,0))</f>
        <v>0</v>
      </c>
      <c r="Q11" s="50">
        <f>IF(ISNA(VLOOKUP($A11,Council_Data!$A$3:$AB$840,18,0)),0,VLOOKUP($A11,Council_Data!$A$3:$AB$840,18,0))</f>
        <v>0</v>
      </c>
      <c r="R11" s="50">
        <f>IF(ISNA(VLOOKUP($A11,Council_Data!$A$3:$AB$840,19,0)),0,VLOOKUP($A11,Council_Data!$A$3:$AB$840,19,0))</f>
        <v>0</v>
      </c>
      <c r="S11" s="50">
        <f>IF(ISNA(VLOOKUP($A11,Council_Data!$A$3:$AB$840,20,0)),0,VLOOKUP($A11,Council_Data!$A$3:$AB$840,20,0))</f>
        <v>0</v>
      </c>
      <c r="T11" s="92">
        <f>IF(ISNA(VLOOKUP($A11,Council_Data!$A$3:$AB$840,21,0)),0,VLOOKUP($A11,Council_Data!$A$3:$AB$840,21,0))</f>
        <v>0</v>
      </c>
      <c r="U11" s="50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 ht="29.1" customHeight="1">
      <c r="A12" s="50">
        <v>15782</v>
      </c>
      <c r="B12" s="50" t="str">
        <f>IF(ISNA(VLOOKUP($A12,Council_Data!$A$3:$AB$840,2,0)),0,VLOOKUP($A12,Council_Data!$A$3:$AB$840,2,0))</f>
        <v>197</v>
      </c>
      <c r="C12" s="50" t="str">
        <f>IF(ISNA(VLOOKUP($A12,Council_Data!$A$3:$AB$840,3,0)),0,VLOOKUP($A12,Council_Data!$A$3:$AB$840,3,0))</f>
        <v>Childress</v>
      </c>
      <c r="D12" s="50">
        <f>IF(ISNA(VLOOKUP($A12,Council_Data!$A$3:$AB$840,5,0)),0,VLOOKUP($A12,Council_Data!$A$3:$AB$840,5,0))</f>
        <v>38</v>
      </c>
      <c r="E12" s="50">
        <f>IF(ISNA(VLOOKUP($A12,Council_Data!$A$3:$AB$840,6,0)),0,VLOOKUP($A12,Council_Data!$A$3:$AB$840,6,0))</f>
        <v>3</v>
      </c>
      <c r="F12" s="50">
        <f>IF(ISNA(VLOOKUP($A12,Council_Data!$A$3:$AB$840,7,0)),0,VLOOKUP($A12,Council_Data!$A$3:$AB$840,7,0))</f>
        <v>0</v>
      </c>
      <c r="G12" s="50">
        <f>IF(ISNA(VLOOKUP($A12,Council_Data!$A$3:$AB$840,8,0)),0,VLOOKUP($A12,Council_Data!$A$3:$AB$840,8,0))</f>
        <v>0</v>
      </c>
      <c r="H12" s="50">
        <f>IF(ISNA(VLOOKUP($A12,Council_Data!$A$3:$AB$840,9,0)),0,VLOOKUP($A12,Council_Data!$A$3:$AB$840,9,0))</f>
        <v>0</v>
      </c>
      <c r="I12" s="50">
        <f>IF(ISNA(VLOOKUP($A12,Council_Data!$A$3:$AB$840,10,0)),0,VLOOKUP($A12,Council_Data!$A$3:$AB$840,10,0))</f>
        <v>0</v>
      </c>
      <c r="J12" s="50">
        <f>IF(ISNA(VLOOKUP($A12,Council_Data!$A$3:$AB$840,11,0)),0,VLOOKUP($A12,Council_Data!$A$3:$AB$840,11,0))</f>
        <v>0</v>
      </c>
      <c r="K12" s="50">
        <f>IF(ISNA(VLOOKUP($A12,Council_Data!$A$3:$AB$840,12,0)),0,VLOOKUP($A12,Council_Data!$A$3:$AB$840,12,0))</f>
        <v>0</v>
      </c>
      <c r="L12" s="92">
        <f>IF(ISNA(VLOOKUP($A12,Council_Data!$A$3:$AB$840,13,0)),0,VLOOKUP($A12,Council_Data!$A$3:$AB$840,13,0))</f>
        <v>0</v>
      </c>
      <c r="M12" s="50">
        <f>IF(ISNA(VLOOKUP($A12,Council_Data!$A$3:$AB$840,14,0)),0,VLOOKUP($A12,Council_Data!$A$3:$AB$840,14,0))</f>
        <v>0</v>
      </c>
      <c r="N12" s="50">
        <f>IF(ISNA(VLOOKUP($A12,Council_Data!$A$3:$AB$840,15,0)),0,VLOOKUP($A12,Council_Data!$A$3:$AB$840,15,0))</f>
        <v>0</v>
      </c>
      <c r="O12" s="50">
        <f>IF(ISNA(VLOOKUP($A12,Council_Data!$A$3:$AB$840,16,0)),0,VLOOKUP($A12,Council_Data!$A$3:$AB$840,16,0))</f>
        <v>0</v>
      </c>
      <c r="P12" s="50">
        <f>IF(ISNA(VLOOKUP($A12,Council_Data!$A$3:$AB$840,17,0)),0,VLOOKUP($A12,Council_Data!$A$3:$AB$840,17,0))</f>
        <v>0</v>
      </c>
      <c r="Q12" s="50">
        <f>IF(ISNA(VLOOKUP($A12,Council_Data!$A$3:$AB$840,18,0)),0,VLOOKUP($A12,Council_Data!$A$3:$AB$840,18,0))</f>
        <v>0</v>
      </c>
      <c r="R12" s="50">
        <f>IF(ISNA(VLOOKUP($A12,Council_Data!$A$3:$AB$840,19,0)),0,VLOOKUP($A12,Council_Data!$A$3:$AB$840,19,0))</f>
        <v>0</v>
      </c>
      <c r="S12" s="50">
        <f>IF(ISNA(VLOOKUP($A12,Council_Data!$A$3:$AB$840,20,0)),0,VLOOKUP($A12,Council_Data!$A$3:$AB$840,20,0))</f>
        <v>0</v>
      </c>
      <c r="T12" s="92">
        <f>IF(ISNA(VLOOKUP($A12,Council_Data!$A$3:$AB$840,21,0)),0,VLOOKUP($A12,Council_Data!$A$3:$AB$840,21,0))</f>
        <v>0</v>
      </c>
      <c r="U12" s="50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Payne</v>
      </c>
    </row>
    <row r="13" spans="1:22" ht="29.1" customHeight="1">
      <c r="A13" s="50">
        <v>2776</v>
      </c>
      <c r="B13" s="50" t="str">
        <f>IF(ISNA(VLOOKUP($A13,Council_Data!$A$3:$AB$840,2,0)),0,VLOOKUP($A13,Council_Data!$A$3:$AB$840,2,0))</f>
        <v>198</v>
      </c>
      <c r="C13" s="50" t="str">
        <f>IF(ISNA(VLOOKUP($A13,Council_Data!$A$3:$AB$840,3,0)),0,VLOOKUP($A13,Council_Data!$A$3:$AB$840,3,0))</f>
        <v>Dalhart</v>
      </c>
      <c r="D13" s="50">
        <f>IF(ISNA(VLOOKUP($A13,Council_Data!$A$3:$AB$840,5,0)),0,VLOOKUP($A13,Council_Data!$A$3:$AB$840,5,0))</f>
        <v>136</v>
      </c>
      <c r="E13" s="50">
        <f>IF(ISNA(VLOOKUP($A13,Council_Data!$A$3:$AB$840,6,0)),0,VLOOKUP($A13,Council_Data!$A$3:$AB$840,6,0))</f>
        <v>7</v>
      </c>
      <c r="F13" s="50">
        <f>IF(ISNA(VLOOKUP($A13,Council_Data!$A$3:$AB$840,7,0)),0,VLOOKUP($A13,Council_Data!$A$3:$AB$840,7,0))</f>
        <v>0</v>
      </c>
      <c r="G13" s="50">
        <f>IF(ISNA(VLOOKUP($A13,Council_Data!$A$3:$AB$840,8,0)),0,VLOOKUP($A13,Council_Data!$A$3:$AB$840,8,0))</f>
        <v>0</v>
      </c>
      <c r="H13" s="50">
        <f>IF(ISNA(VLOOKUP($A13,Council_Data!$A$3:$AB$840,9,0)),0,VLOOKUP($A13,Council_Data!$A$3:$AB$840,9,0))</f>
        <v>0</v>
      </c>
      <c r="I13" s="50">
        <f>IF(ISNA(VLOOKUP($A13,Council_Data!$A$3:$AB$840,10,0)),0,VLOOKUP($A13,Council_Data!$A$3:$AB$840,10,0))</f>
        <v>0</v>
      </c>
      <c r="J13" s="50">
        <f>IF(ISNA(VLOOKUP($A13,Council_Data!$A$3:$AB$840,11,0)),0,VLOOKUP($A13,Council_Data!$A$3:$AB$840,11,0))</f>
        <v>0</v>
      </c>
      <c r="K13" s="50">
        <f>IF(ISNA(VLOOKUP($A13,Council_Data!$A$3:$AB$840,12,0)),0,VLOOKUP($A13,Council_Data!$A$3:$AB$840,12,0))</f>
        <v>0</v>
      </c>
      <c r="L13" s="92">
        <f>IF(ISNA(VLOOKUP($A13,Council_Data!$A$3:$AB$840,13,0)),0,VLOOKUP($A13,Council_Data!$A$3:$AB$840,13,0))</f>
        <v>0</v>
      </c>
      <c r="M13" s="50">
        <f>IF(ISNA(VLOOKUP($A13,Council_Data!$A$3:$AB$840,14,0)),0,VLOOKUP($A13,Council_Data!$A$3:$AB$840,14,0))</f>
        <v>0</v>
      </c>
      <c r="N13" s="50">
        <f>IF(ISNA(VLOOKUP($A13,Council_Data!$A$3:$AB$840,15,0)),0,VLOOKUP($A13,Council_Data!$A$3:$AB$840,15,0))</f>
        <v>0</v>
      </c>
      <c r="O13" s="50">
        <f>IF(ISNA(VLOOKUP($A13,Council_Data!$A$3:$AB$840,16,0)),0,VLOOKUP($A13,Council_Data!$A$3:$AB$840,16,0))</f>
        <v>0</v>
      </c>
      <c r="P13" s="50">
        <f>IF(ISNA(VLOOKUP($A13,Council_Data!$A$3:$AB$840,17,0)),0,VLOOKUP($A13,Council_Data!$A$3:$AB$840,17,0))</f>
        <v>0</v>
      </c>
      <c r="Q13" s="50">
        <f>IF(ISNA(VLOOKUP($A13,Council_Data!$A$3:$AB$840,18,0)),0,VLOOKUP($A13,Council_Data!$A$3:$AB$840,18,0))</f>
        <v>0</v>
      </c>
      <c r="R13" s="50">
        <f>IF(ISNA(VLOOKUP($A13,Council_Data!$A$3:$AB$840,19,0)),0,VLOOKUP($A13,Council_Data!$A$3:$AB$840,19,0))</f>
        <v>3</v>
      </c>
      <c r="S13" s="50">
        <f>IF(ISNA(VLOOKUP($A13,Council_Data!$A$3:$AB$840,20,0)),0,VLOOKUP($A13,Council_Data!$A$3:$AB$840,20,0))</f>
        <v>-3</v>
      </c>
      <c r="T13" s="92">
        <f>IF(ISNA(VLOOKUP($A13,Council_Data!$A$3:$AB$840,21,0)),0,VLOOKUP($A13,Council_Data!$A$3:$AB$840,21,0))</f>
        <v>0</v>
      </c>
      <c r="U13" s="50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Payne</v>
      </c>
    </row>
    <row r="14" spans="1:22" ht="29.1" customHeight="1">
      <c r="A14" s="50">
        <v>5061</v>
      </c>
      <c r="B14" s="50" t="str">
        <f>IF(ISNA(VLOOKUP($A14,Council_Data!$A$3:$AB$840,2,0)),0,VLOOKUP($A14,Council_Data!$A$3:$AB$840,2,0))</f>
        <v>198</v>
      </c>
      <c r="C14" s="50" t="str">
        <f>IF(ISNA(VLOOKUP($A14,Council_Data!$A$3:$AB$840,3,0)),0,VLOOKUP($A14,Council_Data!$A$3:$AB$840,3,0))</f>
        <v>Dumas</v>
      </c>
      <c r="D14" s="50">
        <f>IF(ISNA(VLOOKUP($A14,Council_Data!$A$3:$AB$840,5,0)),0,VLOOKUP($A14,Council_Data!$A$3:$AB$840,5,0))</f>
        <v>135</v>
      </c>
      <c r="E14" s="50">
        <f>IF(ISNA(VLOOKUP($A14,Council_Data!$A$3:$AB$840,6,0)),0,VLOOKUP($A14,Council_Data!$A$3:$AB$840,6,0))</f>
        <v>7</v>
      </c>
      <c r="F14" s="50">
        <f>IF(ISNA(VLOOKUP($A14,Council_Data!$A$3:$AB$840,7,0)),0,VLOOKUP($A14,Council_Data!$A$3:$AB$840,7,0))</f>
        <v>0</v>
      </c>
      <c r="G14" s="50">
        <f>IF(ISNA(VLOOKUP($A14,Council_Data!$A$3:$AB$840,8,0)),0,VLOOKUP($A14,Council_Data!$A$3:$AB$840,8,0))</f>
        <v>0</v>
      </c>
      <c r="H14" s="50">
        <f>IF(ISNA(VLOOKUP($A14,Council_Data!$A$3:$AB$840,9,0)),0,VLOOKUP($A14,Council_Data!$A$3:$AB$840,9,0))</f>
        <v>0</v>
      </c>
      <c r="I14" s="50">
        <f>IF(ISNA(VLOOKUP($A14,Council_Data!$A$3:$AB$840,10,0)),0,VLOOKUP($A14,Council_Data!$A$3:$AB$840,10,0))</f>
        <v>0</v>
      </c>
      <c r="J14" s="50">
        <f>IF(ISNA(VLOOKUP($A14,Council_Data!$A$3:$AB$840,11,0)),0,VLOOKUP($A14,Council_Data!$A$3:$AB$840,11,0))</f>
        <v>0</v>
      </c>
      <c r="K14" s="50">
        <f>IF(ISNA(VLOOKUP($A14,Council_Data!$A$3:$AB$840,12,0)),0,VLOOKUP($A14,Council_Data!$A$3:$AB$840,12,0))</f>
        <v>0</v>
      </c>
      <c r="L14" s="92">
        <f>IF(ISNA(VLOOKUP($A14,Council_Data!$A$3:$AB$840,13,0)),0,VLOOKUP($A14,Council_Data!$A$3:$AB$840,13,0))</f>
        <v>0</v>
      </c>
      <c r="M14" s="50">
        <f>IF(ISNA(VLOOKUP($A14,Council_Data!$A$3:$AB$840,14,0)),0,VLOOKUP($A14,Council_Data!$A$3:$AB$840,14,0))</f>
        <v>0</v>
      </c>
      <c r="N14" s="50">
        <f>IF(ISNA(VLOOKUP($A14,Council_Data!$A$3:$AB$840,15,0)),0,VLOOKUP($A14,Council_Data!$A$3:$AB$840,15,0))</f>
        <v>0</v>
      </c>
      <c r="O14" s="50">
        <f>IF(ISNA(VLOOKUP($A14,Council_Data!$A$3:$AB$840,16,0)),0,VLOOKUP($A14,Council_Data!$A$3:$AB$840,16,0))</f>
        <v>0</v>
      </c>
      <c r="P14" s="50">
        <f>IF(ISNA(VLOOKUP($A14,Council_Data!$A$3:$AB$840,17,0)),0,VLOOKUP($A14,Council_Data!$A$3:$AB$840,17,0))</f>
        <v>0</v>
      </c>
      <c r="Q14" s="50">
        <f>IF(ISNA(VLOOKUP($A14,Council_Data!$A$3:$AB$840,18,0)),0,VLOOKUP($A14,Council_Data!$A$3:$AB$840,18,0))</f>
        <v>1</v>
      </c>
      <c r="R14" s="50">
        <f>IF(ISNA(VLOOKUP($A14,Council_Data!$A$3:$AB$840,19,0)),0,VLOOKUP($A14,Council_Data!$A$3:$AB$840,19,0))</f>
        <v>1</v>
      </c>
      <c r="S14" s="50">
        <f>IF(ISNA(VLOOKUP($A14,Council_Data!$A$3:$AB$840,20,0)),0,VLOOKUP($A14,Council_Data!$A$3:$AB$840,20,0))</f>
        <v>0</v>
      </c>
      <c r="T14" s="92">
        <f>IF(ISNA(VLOOKUP($A14,Council_Data!$A$3:$AB$840,21,0)),0,VLOOKUP($A14,Council_Data!$A$3:$AB$840,21,0))</f>
        <v>0</v>
      </c>
      <c r="U14" s="50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Payne</v>
      </c>
    </row>
    <row r="15" spans="1:22" ht="29.1" customHeight="1">
      <c r="A15" s="50">
        <v>5552</v>
      </c>
      <c r="B15" s="50" t="str">
        <f>IF(ISNA(VLOOKUP($A15,Council_Data!$A$3:$AB$840,2,0)),0,VLOOKUP($A15,Council_Data!$A$3:$AB$840,2,0))</f>
        <v>198</v>
      </c>
      <c r="C15" s="50" t="str">
        <f>IF(ISNA(VLOOKUP($A15,Council_Data!$A$3:$AB$840,3,0)),0,VLOOKUP($A15,Council_Data!$A$3:$AB$840,3,0))</f>
        <v>Spearman</v>
      </c>
      <c r="D15" s="50">
        <f>IF(ISNA(VLOOKUP($A15,Council_Data!$A$3:$AB$840,5,0)),0,VLOOKUP($A15,Council_Data!$A$3:$AB$840,5,0))</f>
        <v>59</v>
      </c>
      <c r="E15" s="50">
        <f>IF(ISNA(VLOOKUP($A15,Council_Data!$A$3:$AB$840,6,0)),0,VLOOKUP($A15,Council_Data!$A$3:$AB$840,6,0))</f>
        <v>3</v>
      </c>
      <c r="F15" s="50">
        <f>IF(ISNA(VLOOKUP($A15,Council_Data!$A$3:$AB$840,7,0)),0,VLOOKUP($A15,Council_Data!$A$3:$AB$840,7,0))</f>
        <v>0</v>
      </c>
      <c r="G15" s="50">
        <f>IF(ISNA(VLOOKUP($A15,Council_Data!$A$3:$AB$840,8,0)),0,VLOOKUP($A15,Council_Data!$A$3:$AB$840,8,0))</f>
        <v>0</v>
      </c>
      <c r="H15" s="50">
        <f>IF(ISNA(VLOOKUP($A15,Council_Data!$A$3:$AB$840,9,0)),0,VLOOKUP($A15,Council_Data!$A$3:$AB$840,9,0))</f>
        <v>0</v>
      </c>
      <c r="I15" s="50">
        <f>IF(ISNA(VLOOKUP($A15,Council_Data!$A$3:$AB$840,10,0)),0,VLOOKUP($A15,Council_Data!$A$3:$AB$840,10,0))</f>
        <v>0</v>
      </c>
      <c r="J15" s="50">
        <f>IF(ISNA(VLOOKUP($A15,Council_Data!$A$3:$AB$840,11,0)),0,VLOOKUP($A15,Council_Data!$A$3:$AB$840,11,0))</f>
        <v>0</v>
      </c>
      <c r="K15" s="50">
        <f>IF(ISNA(VLOOKUP($A15,Council_Data!$A$3:$AB$840,12,0)),0,VLOOKUP($A15,Council_Data!$A$3:$AB$840,12,0))</f>
        <v>0</v>
      </c>
      <c r="L15" s="92">
        <f>IF(ISNA(VLOOKUP($A15,Council_Data!$A$3:$AB$840,13,0)),0,VLOOKUP($A15,Council_Data!$A$3:$AB$840,13,0))</f>
        <v>0</v>
      </c>
      <c r="M15" s="50">
        <f>IF(ISNA(VLOOKUP($A15,Council_Data!$A$3:$AB$840,14,0)),0,VLOOKUP($A15,Council_Data!$A$3:$AB$840,14,0))</f>
        <v>0</v>
      </c>
      <c r="N15" s="50">
        <f>IF(ISNA(VLOOKUP($A15,Council_Data!$A$3:$AB$840,15,0)),0,VLOOKUP($A15,Council_Data!$A$3:$AB$840,15,0))</f>
        <v>0</v>
      </c>
      <c r="O15" s="50">
        <f>IF(ISNA(VLOOKUP($A15,Council_Data!$A$3:$AB$840,16,0)),0,VLOOKUP($A15,Council_Data!$A$3:$AB$840,16,0))</f>
        <v>0</v>
      </c>
      <c r="P15" s="50">
        <f>IF(ISNA(VLOOKUP($A15,Council_Data!$A$3:$AB$840,17,0)),0,VLOOKUP($A15,Council_Data!$A$3:$AB$840,17,0))</f>
        <v>0</v>
      </c>
      <c r="Q15" s="50">
        <f>IF(ISNA(VLOOKUP($A15,Council_Data!$A$3:$AB$840,18,0)),0,VLOOKUP($A15,Council_Data!$A$3:$AB$840,18,0))</f>
        <v>0</v>
      </c>
      <c r="R15" s="50">
        <f>IF(ISNA(VLOOKUP($A15,Council_Data!$A$3:$AB$840,19,0)),0,VLOOKUP($A15,Council_Data!$A$3:$AB$840,19,0))</f>
        <v>1</v>
      </c>
      <c r="S15" s="50">
        <f>IF(ISNA(VLOOKUP($A15,Council_Data!$A$3:$AB$840,20,0)),0,VLOOKUP($A15,Council_Data!$A$3:$AB$840,20,0))</f>
        <v>-1</v>
      </c>
      <c r="T15" s="92">
        <f>IF(ISNA(VLOOKUP($A15,Council_Data!$A$3:$AB$840,21,0)),0,VLOOKUP($A15,Council_Data!$A$3:$AB$840,21,0))</f>
        <v>0</v>
      </c>
      <c r="U15" s="50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Payne</v>
      </c>
    </row>
    <row r="16" spans="1:22" ht="29.1" customHeight="1">
      <c r="A16" s="50">
        <v>9600</v>
      </c>
      <c r="B16" s="50" t="str">
        <f>IF(ISNA(VLOOKUP($A16,Council_Data!$A$3:$AB$840,2,0)),0,VLOOKUP($A16,Council_Data!$A$3:$AB$840,2,0))</f>
        <v>202</v>
      </c>
      <c r="C16" s="50" t="str">
        <f>IF(ISNA(VLOOKUP($A16,Council_Data!$A$3:$AB$840,3,0)),0,VLOOKUP($A16,Council_Data!$A$3:$AB$840,3,0))</f>
        <v>Perryton</v>
      </c>
      <c r="D16" s="50">
        <f>IF(ISNA(VLOOKUP($A16,Council_Data!$A$3:$AB$840,5,0)),0,VLOOKUP($A16,Council_Data!$A$3:$AB$840,5,0))</f>
        <v>84</v>
      </c>
      <c r="E16" s="50">
        <f>IF(ISNA(VLOOKUP($A16,Council_Data!$A$3:$AB$840,6,0)),0,VLOOKUP($A16,Council_Data!$A$3:$AB$840,6,0))</f>
        <v>4</v>
      </c>
      <c r="F16" s="50">
        <f>IF(ISNA(VLOOKUP($A16,Council_Data!$A$3:$AB$840,7,0)),0,VLOOKUP($A16,Council_Data!$A$3:$AB$840,7,0))</f>
        <v>0</v>
      </c>
      <c r="G16" s="50">
        <f>IF(ISNA(VLOOKUP($A16,Council_Data!$A$3:$AB$840,8,0)),0,VLOOKUP($A16,Council_Data!$A$3:$AB$840,8,0))</f>
        <v>0</v>
      </c>
      <c r="H16" s="50">
        <f>IF(ISNA(VLOOKUP($A16,Council_Data!$A$3:$AB$840,9,0)),0,VLOOKUP($A16,Council_Data!$A$3:$AB$840,9,0))</f>
        <v>0</v>
      </c>
      <c r="I16" s="50">
        <f>IF(ISNA(VLOOKUP($A16,Council_Data!$A$3:$AB$840,10,0)),0,VLOOKUP($A16,Council_Data!$A$3:$AB$840,10,0))</f>
        <v>0</v>
      </c>
      <c r="J16" s="50">
        <f>IF(ISNA(VLOOKUP($A16,Council_Data!$A$3:$AB$840,11,0)),0,VLOOKUP($A16,Council_Data!$A$3:$AB$840,11,0))</f>
        <v>0</v>
      </c>
      <c r="K16" s="50">
        <f>IF(ISNA(VLOOKUP($A16,Council_Data!$A$3:$AB$840,12,0)),0,VLOOKUP($A16,Council_Data!$A$3:$AB$840,12,0))</f>
        <v>0</v>
      </c>
      <c r="L16" s="92">
        <f>IF(ISNA(VLOOKUP($A16,Council_Data!$A$3:$AB$840,13,0)),0,VLOOKUP($A16,Council_Data!$A$3:$AB$840,13,0))</f>
        <v>0</v>
      </c>
      <c r="M16" s="50">
        <f>IF(ISNA(VLOOKUP($A16,Council_Data!$A$3:$AB$840,14,0)),0,VLOOKUP($A16,Council_Data!$A$3:$AB$840,14,0))</f>
        <v>0</v>
      </c>
      <c r="N16" s="50">
        <f>IF(ISNA(VLOOKUP($A16,Council_Data!$A$3:$AB$840,15,0)),0,VLOOKUP($A16,Council_Data!$A$3:$AB$840,15,0))</f>
        <v>0</v>
      </c>
      <c r="O16" s="50">
        <f>IF(ISNA(VLOOKUP($A16,Council_Data!$A$3:$AB$840,16,0)),0,VLOOKUP($A16,Council_Data!$A$3:$AB$840,16,0))</f>
        <v>0</v>
      </c>
      <c r="P16" s="50">
        <f>IF(ISNA(VLOOKUP($A16,Council_Data!$A$3:$AB$840,17,0)),0,VLOOKUP($A16,Council_Data!$A$3:$AB$840,17,0))</f>
        <v>0</v>
      </c>
      <c r="Q16" s="50">
        <f>IF(ISNA(VLOOKUP($A16,Council_Data!$A$3:$AB$840,18,0)),0,VLOOKUP($A16,Council_Data!$A$3:$AB$840,18,0))</f>
        <v>0</v>
      </c>
      <c r="R16" s="50">
        <f>IF(ISNA(VLOOKUP($A16,Council_Data!$A$3:$AB$840,19,0)),0,VLOOKUP($A16,Council_Data!$A$3:$AB$840,19,0))</f>
        <v>0</v>
      </c>
      <c r="S16" s="50">
        <f>IF(ISNA(VLOOKUP($A16,Council_Data!$A$3:$AB$840,20,0)),0,VLOOKUP($A16,Council_Data!$A$3:$AB$840,20,0))</f>
        <v>0</v>
      </c>
      <c r="T16" s="92">
        <f>IF(ISNA(VLOOKUP($A16,Council_Data!$A$3:$AB$840,21,0)),0,VLOOKUP($A16,Council_Data!$A$3:$AB$840,21,0))</f>
        <v>0</v>
      </c>
      <c r="U16" s="50">
        <f>IF(ISNA(VLOOKUP($A16,Council_Data!$A$3:$AB$840,23,0)),0,VLOOKUP($A16,Council_Data!$A$3:$AB$840,23,0))</f>
        <v>2</v>
      </c>
      <c r="V16" s="50" t="str">
        <f>IF(ISNA(VLOOKUP($A16,Council_Data!$A$3:$AB$840,24,0)),0,VLOOKUP($A16,Council_Data!$A$3:$AB$840,24,0))</f>
        <v>Payne</v>
      </c>
    </row>
    <row r="17" spans="1:22" ht="29.1" customHeight="1">
      <c r="A17" s="50">
        <v>4635</v>
      </c>
      <c r="B17" s="50" t="str">
        <f>IF(ISNA(VLOOKUP($A17,Council_Data!$A$3:$AB$840,2,0)),0,VLOOKUP($A17,Council_Data!$A$3:$AB$840,2,0))</f>
        <v>201</v>
      </c>
      <c r="C17" s="50" t="str">
        <f>IF(ISNA(VLOOKUP($A17,Council_Data!$A$3:$AB$840,3,0)),0,VLOOKUP($A17,Council_Data!$A$3:$AB$840,3,0))</f>
        <v>Amarillo</v>
      </c>
      <c r="D17" s="50">
        <f>IF(ISNA(VLOOKUP($A17,Council_Data!$A$3:$AB$840,5,0)),0,VLOOKUP($A17,Council_Data!$A$3:$AB$840,5,0))</f>
        <v>117</v>
      </c>
      <c r="E17" s="50">
        <f>IF(ISNA(VLOOKUP($A17,Council_Data!$A$3:$AB$840,6,0)),0,VLOOKUP($A17,Council_Data!$A$3:$AB$840,6,0))</f>
        <v>6</v>
      </c>
      <c r="F17" s="50">
        <f>IF(ISNA(VLOOKUP($A17,Council_Data!$A$3:$AB$840,7,0)),0,VLOOKUP($A17,Council_Data!$A$3:$AB$840,7,0))</f>
        <v>0</v>
      </c>
      <c r="G17" s="50">
        <f>IF(ISNA(VLOOKUP($A17,Council_Data!$A$3:$AB$840,8,0)),0,VLOOKUP($A17,Council_Data!$A$3:$AB$840,8,0))</f>
        <v>0</v>
      </c>
      <c r="H17" s="50">
        <f>IF(ISNA(VLOOKUP($A17,Council_Data!$A$3:$AB$840,9,0)),0,VLOOKUP($A17,Council_Data!$A$3:$AB$840,9,0))</f>
        <v>0</v>
      </c>
      <c r="I17" s="50">
        <f>IF(ISNA(VLOOKUP($A17,Council_Data!$A$3:$AB$840,10,0)),0,VLOOKUP($A17,Council_Data!$A$3:$AB$840,10,0))</f>
        <v>0</v>
      </c>
      <c r="J17" s="50">
        <f>IF(ISNA(VLOOKUP($A17,Council_Data!$A$3:$AB$840,11,0)),0,VLOOKUP($A17,Council_Data!$A$3:$AB$840,11,0))</f>
        <v>0</v>
      </c>
      <c r="K17" s="50">
        <f>IF(ISNA(VLOOKUP($A17,Council_Data!$A$3:$AB$840,12,0)),0,VLOOKUP($A17,Council_Data!$A$3:$AB$840,12,0))</f>
        <v>0</v>
      </c>
      <c r="L17" s="92">
        <f>IF(ISNA(VLOOKUP($A17,Council_Data!$A$3:$AB$840,13,0)),0,VLOOKUP($A17,Council_Data!$A$3:$AB$840,13,0))</f>
        <v>0</v>
      </c>
      <c r="M17" s="50">
        <f>IF(ISNA(VLOOKUP($A17,Council_Data!$A$3:$AB$840,14,0)),0,VLOOKUP($A17,Council_Data!$A$3:$AB$840,14,0))</f>
        <v>0</v>
      </c>
      <c r="N17" s="50">
        <f>IF(ISNA(VLOOKUP($A17,Council_Data!$A$3:$AB$840,15,0)),0,VLOOKUP($A17,Council_Data!$A$3:$AB$840,15,0))</f>
        <v>0</v>
      </c>
      <c r="O17" s="50">
        <f>IF(ISNA(VLOOKUP($A17,Council_Data!$A$3:$AB$840,16,0)),0,VLOOKUP($A17,Council_Data!$A$3:$AB$840,16,0))</f>
        <v>0</v>
      </c>
      <c r="P17" s="50">
        <f>IF(ISNA(VLOOKUP($A17,Council_Data!$A$3:$AB$840,17,0)),0,VLOOKUP($A17,Council_Data!$A$3:$AB$840,17,0))</f>
        <v>0</v>
      </c>
      <c r="Q17" s="50">
        <f>IF(ISNA(VLOOKUP($A17,Council_Data!$A$3:$AB$840,18,0)),0,VLOOKUP($A17,Council_Data!$A$3:$AB$840,18,0))</f>
        <v>0</v>
      </c>
      <c r="R17" s="50">
        <f>IF(ISNA(VLOOKUP($A17,Council_Data!$A$3:$AB$840,19,0)),0,VLOOKUP($A17,Council_Data!$A$3:$AB$840,19,0))</f>
        <v>0</v>
      </c>
      <c r="S17" s="50">
        <f>IF(ISNA(VLOOKUP($A17,Council_Data!$A$3:$AB$840,20,0)),0,VLOOKUP($A17,Council_Data!$A$3:$AB$840,20,0))</f>
        <v>0</v>
      </c>
      <c r="T17" s="92">
        <f>IF(ISNA(VLOOKUP($A17,Council_Data!$A$3:$AB$840,21,0)),0,VLOOKUP($A17,Council_Data!$A$3:$AB$840,21,0))</f>
        <v>0</v>
      </c>
      <c r="U17" s="50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Payne</v>
      </c>
    </row>
    <row r="18" spans="1:22" ht="29.1" customHeight="1">
      <c r="A18" s="50">
        <v>9413</v>
      </c>
      <c r="B18" s="50" t="str">
        <f>IF(ISNA(VLOOKUP($A18,Council_Data!$A$3:$AB$840,2,0)),0,VLOOKUP($A18,Council_Data!$A$3:$AB$840,2,0))</f>
        <v>199</v>
      </c>
      <c r="C18" s="50" t="str">
        <f>IF(ISNA(VLOOKUP($A18,Council_Data!$A$3:$AB$840,3,0)),0,VLOOKUP($A18,Council_Data!$A$3:$AB$840,3,0))</f>
        <v>Amarillo</v>
      </c>
      <c r="D18" s="50">
        <f>IF(ISNA(VLOOKUP($A18,Council_Data!$A$3:$AB$840,5,0)),0,VLOOKUP($A18,Council_Data!$A$3:$AB$840,5,0))</f>
        <v>60</v>
      </c>
      <c r="E18" s="50">
        <f>IF(ISNA(VLOOKUP($A18,Council_Data!$A$3:$AB$840,6,0)),0,VLOOKUP($A18,Council_Data!$A$3:$AB$840,6,0))</f>
        <v>3</v>
      </c>
      <c r="F18" s="50">
        <f>IF(ISNA(VLOOKUP($A18,Council_Data!$A$3:$AB$840,7,0)),0,VLOOKUP($A18,Council_Data!$A$3:$AB$840,7,0))</f>
        <v>0</v>
      </c>
      <c r="G18" s="50">
        <f>IF(ISNA(VLOOKUP($A18,Council_Data!$A$3:$AB$840,8,0)),0,VLOOKUP($A18,Council_Data!$A$3:$AB$840,8,0))</f>
        <v>0</v>
      </c>
      <c r="H18" s="50">
        <f>IF(ISNA(VLOOKUP($A18,Council_Data!$A$3:$AB$840,9,0)),0,VLOOKUP($A18,Council_Data!$A$3:$AB$840,9,0))</f>
        <v>0</v>
      </c>
      <c r="I18" s="50">
        <f>IF(ISNA(VLOOKUP($A18,Council_Data!$A$3:$AB$840,10,0)),0,VLOOKUP($A18,Council_Data!$A$3:$AB$840,10,0))</f>
        <v>0</v>
      </c>
      <c r="J18" s="50">
        <f>IF(ISNA(VLOOKUP($A18,Council_Data!$A$3:$AB$840,11,0)),0,VLOOKUP($A18,Council_Data!$A$3:$AB$840,11,0))</f>
        <v>0</v>
      </c>
      <c r="K18" s="50">
        <f>IF(ISNA(VLOOKUP($A18,Council_Data!$A$3:$AB$840,12,0)),0,VLOOKUP($A18,Council_Data!$A$3:$AB$840,12,0))</f>
        <v>0</v>
      </c>
      <c r="L18" s="92">
        <f>IF(ISNA(VLOOKUP($A18,Council_Data!$A$3:$AB$840,13,0)),0,VLOOKUP($A18,Council_Data!$A$3:$AB$840,13,0))</f>
        <v>0</v>
      </c>
      <c r="M18" s="50">
        <f>IF(ISNA(VLOOKUP($A18,Council_Data!$A$3:$AB$840,14,0)),0,VLOOKUP($A18,Council_Data!$A$3:$AB$840,14,0))</f>
        <v>0</v>
      </c>
      <c r="N18" s="50">
        <f>IF(ISNA(VLOOKUP($A18,Council_Data!$A$3:$AB$840,15,0)),0,VLOOKUP($A18,Council_Data!$A$3:$AB$840,15,0))</f>
        <v>0</v>
      </c>
      <c r="O18" s="50">
        <f>IF(ISNA(VLOOKUP($A18,Council_Data!$A$3:$AB$840,16,0)),0,VLOOKUP($A18,Council_Data!$A$3:$AB$840,16,0))</f>
        <v>0</v>
      </c>
      <c r="P18" s="50">
        <f>IF(ISNA(VLOOKUP($A18,Council_Data!$A$3:$AB$840,17,0)),0,VLOOKUP($A18,Council_Data!$A$3:$AB$840,17,0))</f>
        <v>0</v>
      </c>
      <c r="Q18" s="50">
        <f>IF(ISNA(VLOOKUP($A18,Council_Data!$A$3:$AB$840,18,0)),0,VLOOKUP($A18,Council_Data!$A$3:$AB$840,18,0))</f>
        <v>0</v>
      </c>
      <c r="R18" s="50">
        <f>IF(ISNA(VLOOKUP($A18,Council_Data!$A$3:$AB$840,19,0)),0,VLOOKUP($A18,Council_Data!$A$3:$AB$840,19,0))</f>
        <v>0</v>
      </c>
      <c r="S18" s="50">
        <f>IF(ISNA(VLOOKUP($A18,Council_Data!$A$3:$AB$840,20,0)),0,VLOOKUP($A18,Council_Data!$A$3:$AB$840,20,0))</f>
        <v>0</v>
      </c>
      <c r="T18" s="92">
        <f>IF(ISNA(VLOOKUP($A18,Council_Data!$A$3:$AB$840,21,0)),0,VLOOKUP($A18,Council_Data!$A$3:$AB$840,21,0))</f>
        <v>0</v>
      </c>
      <c r="U18" s="50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Payne</v>
      </c>
    </row>
    <row r="19" spans="1:22" ht="29.1" customHeight="1">
      <c r="A19" s="50">
        <v>12563</v>
      </c>
      <c r="B19" s="50" t="str">
        <f>IF(ISNA(VLOOKUP($A19,Council_Data!$A$3:$AB$840,2,0)),0,VLOOKUP($A19,Council_Data!$A$3:$AB$840,2,0))</f>
        <v>201</v>
      </c>
      <c r="C19" s="50" t="str">
        <f>IF(ISNA(VLOOKUP($A19,Council_Data!$A$3:$AB$840,3,0)),0,VLOOKUP($A19,Council_Data!$A$3:$AB$840,3,0))</f>
        <v>Amarillo</v>
      </c>
      <c r="D19" s="50">
        <f>IF(ISNA(VLOOKUP($A19,Council_Data!$A$3:$AB$840,5,0)),0,VLOOKUP($A19,Council_Data!$A$3:$AB$840,5,0))</f>
        <v>73</v>
      </c>
      <c r="E19" s="50">
        <f>IF(ISNA(VLOOKUP($A19,Council_Data!$A$3:$AB$840,6,0)),0,VLOOKUP($A19,Council_Data!$A$3:$AB$840,6,0))</f>
        <v>4</v>
      </c>
      <c r="F19" s="50">
        <f>IF(ISNA(VLOOKUP($A19,Council_Data!$A$3:$AB$840,7,0)),0,VLOOKUP($A19,Council_Data!$A$3:$AB$840,7,0))</f>
        <v>0</v>
      </c>
      <c r="G19" s="50">
        <f>IF(ISNA(VLOOKUP($A19,Council_Data!$A$3:$AB$840,8,0)),0,VLOOKUP($A19,Council_Data!$A$3:$AB$840,8,0))</f>
        <v>0</v>
      </c>
      <c r="H19" s="50">
        <f>IF(ISNA(VLOOKUP($A19,Council_Data!$A$3:$AB$840,9,0)),0,VLOOKUP($A19,Council_Data!$A$3:$AB$840,9,0))</f>
        <v>0</v>
      </c>
      <c r="I19" s="50">
        <f>IF(ISNA(VLOOKUP($A19,Council_Data!$A$3:$AB$840,10,0)),0,VLOOKUP($A19,Council_Data!$A$3:$AB$840,10,0))</f>
        <v>0</v>
      </c>
      <c r="J19" s="50">
        <f>IF(ISNA(VLOOKUP($A19,Council_Data!$A$3:$AB$840,11,0)),0,VLOOKUP($A19,Council_Data!$A$3:$AB$840,11,0))</f>
        <v>0</v>
      </c>
      <c r="K19" s="50">
        <f>IF(ISNA(VLOOKUP($A19,Council_Data!$A$3:$AB$840,12,0)),0,VLOOKUP($A19,Council_Data!$A$3:$AB$840,12,0))</f>
        <v>0</v>
      </c>
      <c r="L19" s="92">
        <f>IF(ISNA(VLOOKUP($A19,Council_Data!$A$3:$AB$840,13,0)),0,VLOOKUP($A19,Council_Data!$A$3:$AB$840,13,0))</f>
        <v>0</v>
      </c>
      <c r="M19" s="50">
        <f>IF(ISNA(VLOOKUP($A19,Council_Data!$A$3:$AB$840,14,0)),0,VLOOKUP($A19,Council_Data!$A$3:$AB$840,14,0))</f>
        <v>0</v>
      </c>
      <c r="N19" s="50">
        <f>IF(ISNA(VLOOKUP($A19,Council_Data!$A$3:$AB$840,15,0)),0,VLOOKUP($A19,Council_Data!$A$3:$AB$840,15,0))</f>
        <v>0</v>
      </c>
      <c r="O19" s="50">
        <f>IF(ISNA(VLOOKUP($A19,Council_Data!$A$3:$AB$840,16,0)),0,VLOOKUP($A19,Council_Data!$A$3:$AB$840,16,0))</f>
        <v>0</v>
      </c>
      <c r="P19" s="50">
        <f>IF(ISNA(VLOOKUP($A19,Council_Data!$A$3:$AB$840,17,0)),0,VLOOKUP($A19,Council_Data!$A$3:$AB$840,17,0))</f>
        <v>0</v>
      </c>
      <c r="Q19" s="50">
        <f>IF(ISNA(VLOOKUP($A19,Council_Data!$A$3:$AB$840,18,0)),0,VLOOKUP($A19,Council_Data!$A$3:$AB$840,18,0))</f>
        <v>0</v>
      </c>
      <c r="R19" s="50">
        <f>IF(ISNA(VLOOKUP($A19,Council_Data!$A$3:$AB$840,19,0)),0,VLOOKUP($A19,Council_Data!$A$3:$AB$840,19,0))</f>
        <v>0</v>
      </c>
      <c r="S19" s="50">
        <f>IF(ISNA(VLOOKUP($A19,Council_Data!$A$3:$AB$840,20,0)),0,VLOOKUP($A19,Council_Data!$A$3:$AB$840,20,0))</f>
        <v>0</v>
      </c>
      <c r="T19" s="92">
        <f>IF(ISNA(VLOOKUP($A19,Council_Data!$A$3:$AB$840,21,0)),0,VLOOKUP($A19,Council_Data!$A$3:$AB$840,21,0))</f>
        <v>0</v>
      </c>
      <c r="U19" s="50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Payne</v>
      </c>
    </row>
    <row r="20" spans="1:22" ht="29.1" customHeight="1">
      <c r="A20" s="50">
        <v>13134</v>
      </c>
      <c r="B20" s="50" t="str">
        <f>IF(ISNA(VLOOKUP($A20,Council_Data!$A$3:$AB$840,2,0)),0,VLOOKUP($A20,Council_Data!$A$3:$AB$840,2,0))</f>
        <v>201</v>
      </c>
      <c r="C20" s="50" t="str">
        <f>IF(ISNA(VLOOKUP($A20,Council_Data!$A$3:$AB$840,3,0)),0,VLOOKUP($A20,Council_Data!$A$3:$AB$840,3,0))</f>
        <v>Amarillo</v>
      </c>
      <c r="D20" s="50">
        <f>IF(ISNA(VLOOKUP($A20,Council_Data!$A$3:$AB$840,5,0)),0,VLOOKUP($A20,Council_Data!$A$3:$AB$840,5,0))</f>
        <v>52</v>
      </c>
      <c r="E20" s="50">
        <f>IF(ISNA(VLOOKUP($A20,Council_Data!$A$3:$AB$840,6,0)),0,VLOOKUP($A20,Council_Data!$A$3:$AB$840,6,0))</f>
        <v>3</v>
      </c>
      <c r="F20" s="50">
        <f>IF(ISNA(VLOOKUP($A20,Council_Data!$A$3:$AB$840,7,0)),0,VLOOKUP($A20,Council_Data!$A$3:$AB$840,7,0))</f>
        <v>0</v>
      </c>
      <c r="G20" s="50">
        <f>IF(ISNA(VLOOKUP($A20,Council_Data!$A$3:$AB$840,8,0)),0,VLOOKUP($A20,Council_Data!$A$3:$AB$840,8,0))</f>
        <v>0</v>
      </c>
      <c r="H20" s="50">
        <f>IF(ISNA(VLOOKUP($A20,Council_Data!$A$3:$AB$840,9,0)),0,VLOOKUP($A20,Council_Data!$A$3:$AB$840,9,0))</f>
        <v>0</v>
      </c>
      <c r="I20" s="50">
        <f>IF(ISNA(VLOOKUP($A20,Council_Data!$A$3:$AB$840,10,0)),0,VLOOKUP($A20,Council_Data!$A$3:$AB$840,10,0))</f>
        <v>1</v>
      </c>
      <c r="J20" s="50">
        <f>IF(ISNA(VLOOKUP($A20,Council_Data!$A$3:$AB$840,11,0)),0,VLOOKUP($A20,Council_Data!$A$3:$AB$840,11,0))</f>
        <v>0</v>
      </c>
      <c r="K20" s="50">
        <f>IF(ISNA(VLOOKUP($A20,Council_Data!$A$3:$AB$840,12,0)),0,VLOOKUP($A20,Council_Data!$A$3:$AB$840,12,0))</f>
        <v>1</v>
      </c>
      <c r="L20" s="92">
        <f>IF(ISNA(VLOOKUP($A20,Council_Data!$A$3:$AB$840,13,0)),0,VLOOKUP($A20,Council_Data!$A$3:$AB$840,13,0))</f>
        <v>33.33</v>
      </c>
      <c r="M20" s="50">
        <f>IF(ISNA(VLOOKUP($A20,Council_Data!$A$3:$AB$840,14,0)),0,VLOOKUP($A20,Council_Data!$A$3:$AB$840,14,0))</f>
        <v>0</v>
      </c>
      <c r="N20" s="50">
        <f>IF(ISNA(VLOOKUP($A20,Council_Data!$A$3:$AB$840,15,0)),0,VLOOKUP($A20,Council_Data!$A$3:$AB$840,15,0))</f>
        <v>0</v>
      </c>
      <c r="O20" s="50">
        <f>IF(ISNA(VLOOKUP($A20,Council_Data!$A$3:$AB$840,16,0)),0,VLOOKUP($A20,Council_Data!$A$3:$AB$840,16,0))</f>
        <v>0</v>
      </c>
      <c r="P20" s="50">
        <f>IF(ISNA(VLOOKUP($A20,Council_Data!$A$3:$AB$840,17,0)),0,VLOOKUP($A20,Council_Data!$A$3:$AB$840,17,0))</f>
        <v>0</v>
      </c>
      <c r="Q20" s="50">
        <f>IF(ISNA(VLOOKUP($A20,Council_Data!$A$3:$AB$840,18,0)),0,VLOOKUP($A20,Council_Data!$A$3:$AB$840,18,0))</f>
        <v>0</v>
      </c>
      <c r="R20" s="50">
        <f>IF(ISNA(VLOOKUP($A20,Council_Data!$A$3:$AB$840,19,0)),0,VLOOKUP($A20,Council_Data!$A$3:$AB$840,19,0))</f>
        <v>0</v>
      </c>
      <c r="S20" s="50">
        <f>IF(ISNA(VLOOKUP($A20,Council_Data!$A$3:$AB$840,20,0)),0,VLOOKUP($A20,Council_Data!$A$3:$AB$840,20,0))</f>
        <v>0</v>
      </c>
      <c r="T20" s="92">
        <f>IF(ISNA(VLOOKUP($A20,Council_Data!$A$3:$AB$840,21,0)),0,VLOOKUP($A20,Council_Data!$A$3:$AB$840,21,0))</f>
        <v>0</v>
      </c>
      <c r="U20" s="50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 ht="29.1" customHeight="1">
      <c r="A21" s="50">
        <v>16205</v>
      </c>
      <c r="B21" s="50" t="str">
        <f>IF(ISNA(VLOOKUP($A21,Council_Data!$A$3:$AB$840,2,0)),0,VLOOKUP($A21,Council_Data!$A$3:$AB$840,2,0))</f>
        <v>201</v>
      </c>
      <c r="C21" s="50" t="str">
        <f>IF(ISNA(VLOOKUP($A21,Council_Data!$A$3:$AB$840,3,0)),0,VLOOKUP($A21,Council_Data!$A$3:$AB$840,3,0))</f>
        <v>Amarillo</v>
      </c>
      <c r="D21" s="50">
        <f>IF(ISNA(VLOOKUP($A21,Council_Data!$A$3:$AB$840,5,0)),0,VLOOKUP($A21,Council_Data!$A$3:$AB$840,5,0))</f>
        <v>47</v>
      </c>
      <c r="E21" s="50">
        <f>IF(ISNA(VLOOKUP($A21,Council_Data!$A$3:$AB$840,6,0)),0,VLOOKUP($A21,Council_Data!$A$3:$AB$840,6,0))</f>
        <v>3</v>
      </c>
      <c r="F21" s="50">
        <f>IF(ISNA(VLOOKUP($A21,Council_Data!$A$3:$AB$840,7,0)),0,VLOOKUP($A21,Council_Data!$A$3:$AB$840,7,0))</f>
        <v>0</v>
      </c>
      <c r="G21" s="50">
        <f>IF(ISNA(VLOOKUP($A21,Council_Data!$A$3:$AB$840,8,0)),0,VLOOKUP($A21,Council_Data!$A$3:$AB$840,8,0))</f>
        <v>0</v>
      </c>
      <c r="H21" s="50">
        <f>IF(ISNA(VLOOKUP($A21,Council_Data!$A$3:$AB$840,9,0)),0,VLOOKUP($A21,Council_Data!$A$3:$AB$840,9,0))</f>
        <v>0</v>
      </c>
      <c r="I21" s="50">
        <f>IF(ISNA(VLOOKUP($A21,Council_Data!$A$3:$AB$840,10,0)),0,VLOOKUP($A21,Council_Data!$A$3:$AB$840,10,0))</f>
        <v>0</v>
      </c>
      <c r="J21" s="50">
        <f>IF(ISNA(VLOOKUP($A21,Council_Data!$A$3:$AB$840,11,0)),0,VLOOKUP($A21,Council_Data!$A$3:$AB$840,11,0))</f>
        <v>0</v>
      </c>
      <c r="K21" s="50">
        <f>IF(ISNA(VLOOKUP($A21,Council_Data!$A$3:$AB$840,12,0)),0,VLOOKUP($A21,Council_Data!$A$3:$AB$840,12,0))</f>
        <v>0</v>
      </c>
      <c r="L21" s="92">
        <f>IF(ISNA(VLOOKUP($A21,Council_Data!$A$3:$AB$840,13,0)),0,VLOOKUP($A21,Council_Data!$A$3:$AB$840,13,0))</f>
        <v>0</v>
      </c>
      <c r="M21" s="50">
        <f>IF(ISNA(VLOOKUP($A21,Council_Data!$A$3:$AB$840,14,0)),0,VLOOKUP($A21,Council_Data!$A$3:$AB$840,14,0))</f>
        <v>0</v>
      </c>
      <c r="N21" s="50">
        <f>IF(ISNA(VLOOKUP($A21,Council_Data!$A$3:$AB$840,15,0)),0,VLOOKUP($A21,Council_Data!$A$3:$AB$840,15,0))</f>
        <v>0</v>
      </c>
      <c r="O21" s="50">
        <f>IF(ISNA(VLOOKUP($A21,Council_Data!$A$3:$AB$840,16,0)),0,VLOOKUP($A21,Council_Data!$A$3:$AB$840,16,0))</f>
        <v>0</v>
      </c>
      <c r="P21" s="50">
        <f>IF(ISNA(VLOOKUP($A21,Council_Data!$A$3:$AB$840,17,0)),0,VLOOKUP($A21,Council_Data!$A$3:$AB$840,17,0))</f>
        <v>0</v>
      </c>
      <c r="Q21" s="50">
        <f>IF(ISNA(VLOOKUP($A21,Council_Data!$A$3:$AB$840,18,0)),0,VLOOKUP($A21,Council_Data!$A$3:$AB$840,18,0))</f>
        <v>0</v>
      </c>
      <c r="R21" s="50">
        <f>IF(ISNA(VLOOKUP($A21,Council_Data!$A$3:$AB$840,19,0)),0,VLOOKUP($A21,Council_Data!$A$3:$AB$840,19,0))</f>
        <v>1</v>
      </c>
      <c r="S21" s="50">
        <f>IF(ISNA(VLOOKUP($A21,Council_Data!$A$3:$AB$840,20,0)),0,VLOOKUP($A21,Council_Data!$A$3:$AB$840,20,0))</f>
        <v>-1</v>
      </c>
      <c r="T21" s="92">
        <f>IF(ISNA(VLOOKUP($A21,Council_Data!$A$3:$AB$840,21,0)),0,VLOOKUP($A21,Council_Data!$A$3:$AB$840,21,0))</f>
        <v>0</v>
      </c>
      <c r="U21" s="50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Payne</v>
      </c>
    </row>
    <row r="22" spans="1:22" ht="29.1" customHeight="1">
      <c r="A22" s="50">
        <v>2654</v>
      </c>
      <c r="B22" s="50" t="str">
        <f>IF(ISNA(VLOOKUP($A22,Council_Data!$A$3:$AB$840,2,0)),0,VLOOKUP($A22,Council_Data!$A$3:$AB$840,2,0))</f>
        <v>196</v>
      </c>
      <c r="C22" s="50" t="str">
        <f>IF(ISNA(VLOOKUP($A22,Council_Data!$A$3:$AB$840,3,0)),0,VLOOKUP($A22,Council_Data!$A$3:$AB$840,3,0))</f>
        <v>Nazareth</v>
      </c>
      <c r="D22" s="50">
        <f>IF(ISNA(VLOOKUP($A22,Council_Data!$A$3:$AB$840,5,0)),0,VLOOKUP($A22,Council_Data!$A$3:$AB$840,5,0))</f>
        <v>143</v>
      </c>
      <c r="E22" s="50">
        <f>IF(ISNA(VLOOKUP($A22,Council_Data!$A$3:$AB$840,6,0)),0,VLOOKUP($A22,Council_Data!$A$3:$AB$840,6,0))</f>
        <v>6</v>
      </c>
      <c r="F22" s="50">
        <f>IF(ISNA(VLOOKUP($A22,Council_Data!$A$3:$AB$840,7,0)),0,VLOOKUP($A22,Council_Data!$A$3:$AB$840,7,0))</f>
        <v>0</v>
      </c>
      <c r="G22" s="50">
        <f>IF(ISNA(VLOOKUP($A22,Council_Data!$A$3:$AB$840,8,0)),0,VLOOKUP($A22,Council_Data!$A$3:$AB$840,8,0))</f>
        <v>0</v>
      </c>
      <c r="H22" s="50">
        <f>IF(ISNA(VLOOKUP($A22,Council_Data!$A$3:$AB$840,9,0)),0,VLOOKUP($A22,Council_Data!$A$3:$AB$840,9,0))</f>
        <v>0</v>
      </c>
      <c r="I22" s="50">
        <f>IF(ISNA(VLOOKUP($A22,Council_Data!$A$3:$AB$840,10,0)),0,VLOOKUP($A22,Council_Data!$A$3:$AB$840,10,0))</f>
        <v>0</v>
      </c>
      <c r="J22" s="50">
        <f>IF(ISNA(VLOOKUP($A22,Council_Data!$A$3:$AB$840,11,0)),0,VLOOKUP($A22,Council_Data!$A$3:$AB$840,11,0))</f>
        <v>0</v>
      </c>
      <c r="K22" s="50">
        <f>IF(ISNA(VLOOKUP($A22,Council_Data!$A$3:$AB$840,12,0)),0,VLOOKUP($A22,Council_Data!$A$3:$AB$840,12,0))</f>
        <v>0</v>
      </c>
      <c r="L22" s="92">
        <f>IF(ISNA(VLOOKUP($A22,Council_Data!$A$3:$AB$840,13,0)),0,VLOOKUP($A22,Council_Data!$A$3:$AB$840,13,0))</f>
        <v>0</v>
      </c>
      <c r="M22" s="50">
        <f>IF(ISNA(VLOOKUP($A22,Council_Data!$A$3:$AB$840,14,0)),0,VLOOKUP($A22,Council_Data!$A$3:$AB$840,14,0))</f>
        <v>0</v>
      </c>
      <c r="N22" s="50">
        <f>IF(ISNA(VLOOKUP($A22,Council_Data!$A$3:$AB$840,15,0)),0,VLOOKUP($A22,Council_Data!$A$3:$AB$840,15,0))</f>
        <v>0</v>
      </c>
      <c r="O22" s="50">
        <f>IF(ISNA(VLOOKUP($A22,Council_Data!$A$3:$AB$840,16,0)),0,VLOOKUP($A22,Council_Data!$A$3:$AB$840,16,0))</f>
        <v>0</v>
      </c>
      <c r="P22" s="50">
        <f>IF(ISNA(VLOOKUP($A22,Council_Data!$A$3:$AB$840,17,0)),0,VLOOKUP($A22,Council_Data!$A$3:$AB$840,17,0))</f>
        <v>0</v>
      </c>
      <c r="Q22" s="50">
        <f>IF(ISNA(VLOOKUP($A22,Council_Data!$A$3:$AB$840,18,0)),0,VLOOKUP($A22,Council_Data!$A$3:$AB$840,18,0))</f>
        <v>0</v>
      </c>
      <c r="R22" s="50">
        <f>IF(ISNA(VLOOKUP($A22,Council_Data!$A$3:$AB$840,19,0)),0,VLOOKUP($A22,Council_Data!$A$3:$AB$840,19,0))</f>
        <v>0</v>
      </c>
      <c r="S22" s="50">
        <f>IF(ISNA(VLOOKUP($A22,Council_Data!$A$3:$AB$840,20,0)),0,VLOOKUP($A22,Council_Data!$A$3:$AB$840,20,0))</f>
        <v>0</v>
      </c>
      <c r="T22" s="92">
        <f>IF(ISNA(VLOOKUP($A22,Council_Data!$A$3:$AB$840,21,0)),0,VLOOKUP($A22,Council_Data!$A$3:$AB$840,21,0))</f>
        <v>0</v>
      </c>
      <c r="U22" s="50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Payne</v>
      </c>
    </row>
    <row r="23" spans="1:22" ht="29.1" customHeight="1">
      <c r="A23" s="50">
        <v>5426</v>
      </c>
      <c r="B23" s="50" t="str">
        <f>IF(ISNA(VLOOKUP($A23,Council_Data!$A$3:$AB$840,2,0)),0,VLOOKUP($A23,Council_Data!$A$3:$AB$840,2,0))</f>
        <v>200</v>
      </c>
      <c r="C23" s="50" t="str">
        <f>IF(ISNA(VLOOKUP($A23,Council_Data!$A$3:$AB$840,3,0)),0,VLOOKUP($A23,Council_Data!$A$3:$AB$840,3,0))</f>
        <v>Bovina</v>
      </c>
      <c r="D23" s="50">
        <f>IF(ISNA(VLOOKUP($A23,Council_Data!$A$3:$AB$840,5,0)),0,VLOOKUP($A23,Council_Data!$A$3:$AB$840,5,0))</f>
        <v>47</v>
      </c>
      <c r="E23" s="50">
        <f>IF(ISNA(VLOOKUP($A23,Council_Data!$A$3:$AB$840,6,0)),0,VLOOKUP($A23,Council_Data!$A$3:$AB$840,6,0))</f>
        <v>3</v>
      </c>
      <c r="F23" s="50">
        <f>IF(ISNA(VLOOKUP($A23,Council_Data!$A$3:$AB$840,7,0)),0,VLOOKUP($A23,Council_Data!$A$3:$AB$840,7,0))</f>
        <v>0</v>
      </c>
      <c r="G23" s="50">
        <f>IF(ISNA(VLOOKUP($A23,Council_Data!$A$3:$AB$840,8,0)),0,VLOOKUP($A23,Council_Data!$A$3:$AB$840,8,0))</f>
        <v>0</v>
      </c>
      <c r="H23" s="50">
        <f>IF(ISNA(VLOOKUP($A23,Council_Data!$A$3:$AB$840,9,0)),0,VLOOKUP($A23,Council_Data!$A$3:$AB$840,9,0))</f>
        <v>0</v>
      </c>
      <c r="I23" s="50">
        <f>IF(ISNA(VLOOKUP($A23,Council_Data!$A$3:$AB$840,10,0)),0,VLOOKUP($A23,Council_Data!$A$3:$AB$840,10,0))</f>
        <v>0</v>
      </c>
      <c r="J23" s="50">
        <f>IF(ISNA(VLOOKUP($A23,Council_Data!$A$3:$AB$840,11,0)),0,VLOOKUP($A23,Council_Data!$A$3:$AB$840,11,0))</f>
        <v>0</v>
      </c>
      <c r="K23" s="50">
        <f>IF(ISNA(VLOOKUP($A23,Council_Data!$A$3:$AB$840,12,0)),0,VLOOKUP($A23,Council_Data!$A$3:$AB$840,12,0))</f>
        <v>0</v>
      </c>
      <c r="L23" s="92">
        <f>IF(ISNA(VLOOKUP($A23,Council_Data!$A$3:$AB$840,13,0)),0,VLOOKUP($A23,Council_Data!$A$3:$AB$840,13,0))</f>
        <v>0</v>
      </c>
      <c r="M23" s="50">
        <f>IF(ISNA(VLOOKUP($A23,Council_Data!$A$3:$AB$840,14,0)),0,VLOOKUP($A23,Council_Data!$A$3:$AB$840,14,0))</f>
        <v>0</v>
      </c>
      <c r="N23" s="50">
        <f>IF(ISNA(VLOOKUP($A23,Council_Data!$A$3:$AB$840,15,0)),0,VLOOKUP($A23,Council_Data!$A$3:$AB$840,15,0))</f>
        <v>0</v>
      </c>
      <c r="O23" s="50">
        <f>IF(ISNA(VLOOKUP($A23,Council_Data!$A$3:$AB$840,16,0)),0,VLOOKUP($A23,Council_Data!$A$3:$AB$840,16,0))</f>
        <v>0</v>
      </c>
      <c r="P23" s="50">
        <f>IF(ISNA(VLOOKUP($A23,Council_Data!$A$3:$AB$840,17,0)),0,VLOOKUP($A23,Council_Data!$A$3:$AB$840,17,0))</f>
        <v>0</v>
      </c>
      <c r="Q23" s="50">
        <f>IF(ISNA(VLOOKUP($A23,Council_Data!$A$3:$AB$840,18,0)),0,VLOOKUP($A23,Council_Data!$A$3:$AB$840,18,0))</f>
        <v>1</v>
      </c>
      <c r="R23" s="50">
        <f>IF(ISNA(VLOOKUP($A23,Council_Data!$A$3:$AB$840,19,0)),0,VLOOKUP($A23,Council_Data!$A$3:$AB$840,19,0))</f>
        <v>0</v>
      </c>
      <c r="S23" s="50">
        <f>IF(ISNA(VLOOKUP($A23,Council_Data!$A$3:$AB$840,20,0)),0,VLOOKUP($A23,Council_Data!$A$3:$AB$840,20,0))</f>
        <v>1</v>
      </c>
      <c r="T23" s="92">
        <f>IF(ISNA(VLOOKUP($A23,Council_Data!$A$3:$AB$840,21,0)),0,VLOOKUP($A23,Council_Data!$A$3:$AB$840,21,0))</f>
        <v>0</v>
      </c>
      <c r="U23" s="50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Payne</v>
      </c>
    </row>
    <row r="24" spans="1:22" ht="29.1" customHeight="1">
      <c r="A24" s="50">
        <v>8938</v>
      </c>
      <c r="B24" s="50" t="str">
        <f>IF(ISNA(VLOOKUP($A24,Council_Data!$A$3:$AB$840,2,0)),0,VLOOKUP($A24,Council_Data!$A$3:$AB$840,2,0))</f>
        <v>200</v>
      </c>
      <c r="C24" s="50" t="str">
        <f>IF(ISNA(VLOOKUP($A24,Council_Data!$A$3:$AB$840,3,0)),0,VLOOKUP($A24,Council_Data!$A$3:$AB$840,3,0))</f>
        <v>Hereford</v>
      </c>
      <c r="D24" s="50">
        <f>IF(ISNA(VLOOKUP($A24,Council_Data!$A$3:$AB$840,5,0)),0,VLOOKUP($A24,Council_Data!$A$3:$AB$840,5,0))</f>
        <v>75</v>
      </c>
      <c r="E24" s="50">
        <f>IF(ISNA(VLOOKUP($A24,Council_Data!$A$3:$AB$840,6,0)),0,VLOOKUP($A24,Council_Data!$A$3:$AB$840,6,0))</f>
        <v>4</v>
      </c>
      <c r="F24" s="50">
        <f>IF(ISNA(VLOOKUP($A24,Council_Data!$A$3:$AB$840,7,0)),0,VLOOKUP($A24,Council_Data!$A$3:$AB$840,7,0))</f>
        <v>0</v>
      </c>
      <c r="G24" s="50">
        <f>IF(ISNA(VLOOKUP($A24,Council_Data!$A$3:$AB$840,8,0)),0,VLOOKUP($A24,Council_Data!$A$3:$AB$840,8,0))</f>
        <v>0</v>
      </c>
      <c r="H24" s="50">
        <f>IF(ISNA(VLOOKUP($A24,Council_Data!$A$3:$AB$840,9,0)),0,VLOOKUP($A24,Council_Data!$A$3:$AB$840,9,0))</f>
        <v>0</v>
      </c>
      <c r="I24" s="50">
        <f>IF(ISNA(VLOOKUP($A24,Council_Data!$A$3:$AB$840,10,0)),0,VLOOKUP($A24,Council_Data!$A$3:$AB$840,10,0))</f>
        <v>0</v>
      </c>
      <c r="J24" s="50">
        <f>IF(ISNA(VLOOKUP($A24,Council_Data!$A$3:$AB$840,11,0)),0,VLOOKUP($A24,Council_Data!$A$3:$AB$840,11,0))</f>
        <v>0</v>
      </c>
      <c r="K24" s="50">
        <f>IF(ISNA(VLOOKUP($A24,Council_Data!$A$3:$AB$840,12,0)),0,VLOOKUP($A24,Council_Data!$A$3:$AB$840,12,0))</f>
        <v>0</v>
      </c>
      <c r="L24" s="92">
        <f>IF(ISNA(VLOOKUP($A24,Council_Data!$A$3:$AB$840,13,0)),0,VLOOKUP($A24,Council_Data!$A$3:$AB$840,13,0))</f>
        <v>0</v>
      </c>
      <c r="M24" s="50">
        <f>IF(ISNA(VLOOKUP($A24,Council_Data!$A$3:$AB$840,14,0)),0,VLOOKUP($A24,Council_Data!$A$3:$AB$840,14,0))</f>
        <v>0</v>
      </c>
      <c r="N24" s="50">
        <f>IF(ISNA(VLOOKUP($A24,Council_Data!$A$3:$AB$840,15,0)),0,VLOOKUP($A24,Council_Data!$A$3:$AB$840,15,0))</f>
        <v>1</v>
      </c>
      <c r="O24" s="50">
        <f>IF(ISNA(VLOOKUP($A24,Council_Data!$A$3:$AB$840,16,0)),0,VLOOKUP($A24,Council_Data!$A$3:$AB$840,16,0))</f>
        <v>0</v>
      </c>
      <c r="P24" s="50">
        <f>IF(ISNA(VLOOKUP($A24,Council_Data!$A$3:$AB$840,17,0)),0,VLOOKUP($A24,Council_Data!$A$3:$AB$840,17,0))</f>
        <v>1</v>
      </c>
      <c r="Q24" s="50">
        <f>IF(ISNA(VLOOKUP($A24,Council_Data!$A$3:$AB$840,18,0)),0,VLOOKUP($A24,Council_Data!$A$3:$AB$840,18,0))</f>
        <v>1</v>
      </c>
      <c r="R24" s="50">
        <f>IF(ISNA(VLOOKUP($A24,Council_Data!$A$3:$AB$840,19,0)),0,VLOOKUP($A24,Council_Data!$A$3:$AB$840,19,0))</f>
        <v>0</v>
      </c>
      <c r="S24" s="50">
        <f>IF(ISNA(VLOOKUP($A24,Council_Data!$A$3:$AB$840,20,0)),0,VLOOKUP($A24,Council_Data!$A$3:$AB$840,20,0))</f>
        <v>1</v>
      </c>
      <c r="T24" s="92">
        <f>IF(ISNA(VLOOKUP($A24,Council_Data!$A$3:$AB$840,21,0)),0,VLOOKUP($A24,Council_Data!$A$3:$AB$840,21,0))</f>
        <v>0</v>
      </c>
      <c r="U24" s="50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Payne</v>
      </c>
    </row>
    <row r="25" spans="1:22" ht="29.1" customHeight="1">
      <c r="A25" s="50">
        <v>12534</v>
      </c>
      <c r="B25" s="50" t="str">
        <f>IF(ISNA(VLOOKUP($A25,Council_Data!$A$3:$AB$840,2,0)),0,VLOOKUP($A25,Council_Data!$A$3:$AB$840,2,0))</f>
        <v>196</v>
      </c>
      <c r="C25" s="50" t="str">
        <f>IF(ISNA(VLOOKUP($A25,Council_Data!$A$3:$AB$840,3,0)),0,VLOOKUP($A25,Council_Data!$A$3:$AB$840,3,0))</f>
        <v>Tulia</v>
      </c>
      <c r="D25" s="50">
        <f>IF(ISNA(VLOOKUP($A25,Council_Data!$A$3:$AB$840,5,0)),0,VLOOKUP($A25,Council_Data!$A$3:$AB$840,5,0))</f>
        <v>62</v>
      </c>
      <c r="E25" s="50">
        <f>IF(ISNA(VLOOKUP($A25,Council_Data!$A$3:$AB$840,6,0)),0,VLOOKUP($A25,Council_Data!$A$3:$AB$840,6,0))</f>
        <v>3</v>
      </c>
      <c r="F25" s="50">
        <f>IF(ISNA(VLOOKUP($A25,Council_Data!$A$3:$AB$840,7,0)),0,VLOOKUP($A25,Council_Data!$A$3:$AB$840,7,0))</f>
        <v>0</v>
      </c>
      <c r="G25" s="50">
        <f>IF(ISNA(VLOOKUP($A25,Council_Data!$A$3:$AB$840,8,0)),0,VLOOKUP($A25,Council_Data!$A$3:$AB$840,8,0))</f>
        <v>0</v>
      </c>
      <c r="H25" s="50">
        <f>IF(ISNA(VLOOKUP($A25,Council_Data!$A$3:$AB$840,9,0)),0,VLOOKUP($A25,Council_Data!$A$3:$AB$840,9,0))</f>
        <v>0</v>
      </c>
      <c r="I25" s="50">
        <f>IF(ISNA(VLOOKUP($A25,Council_Data!$A$3:$AB$840,10,0)),0,VLOOKUP($A25,Council_Data!$A$3:$AB$840,10,0))</f>
        <v>0</v>
      </c>
      <c r="J25" s="50">
        <f>IF(ISNA(VLOOKUP($A25,Council_Data!$A$3:$AB$840,11,0)),0,VLOOKUP($A25,Council_Data!$A$3:$AB$840,11,0))</f>
        <v>0</v>
      </c>
      <c r="K25" s="50">
        <f>IF(ISNA(VLOOKUP($A25,Council_Data!$A$3:$AB$840,12,0)),0,VLOOKUP($A25,Council_Data!$A$3:$AB$840,12,0))</f>
        <v>0</v>
      </c>
      <c r="L25" s="92">
        <f>IF(ISNA(VLOOKUP($A25,Council_Data!$A$3:$AB$840,13,0)),0,VLOOKUP($A25,Council_Data!$A$3:$AB$840,13,0))</f>
        <v>0</v>
      </c>
      <c r="M25" s="50">
        <f>IF(ISNA(VLOOKUP($A25,Council_Data!$A$3:$AB$840,14,0)),0,VLOOKUP($A25,Council_Data!$A$3:$AB$840,14,0))</f>
        <v>0</v>
      </c>
      <c r="N25" s="50">
        <f>IF(ISNA(VLOOKUP($A25,Council_Data!$A$3:$AB$840,15,0)),0,VLOOKUP($A25,Council_Data!$A$3:$AB$840,15,0))</f>
        <v>0</v>
      </c>
      <c r="O25" s="50">
        <f>IF(ISNA(VLOOKUP($A25,Council_Data!$A$3:$AB$840,16,0)),0,VLOOKUP($A25,Council_Data!$A$3:$AB$840,16,0))</f>
        <v>0</v>
      </c>
      <c r="P25" s="50">
        <f>IF(ISNA(VLOOKUP($A25,Council_Data!$A$3:$AB$840,17,0)),0,VLOOKUP($A25,Council_Data!$A$3:$AB$840,17,0))</f>
        <v>0</v>
      </c>
      <c r="Q25" s="50">
        <f>IF(ISNA(VLOOKUP($A25,Council_Data!$A$3:$AB$840,18,0)),0,VLOOKUP($A25,Council_Data!$A$3:$AB$840,18,0))</f>
        <v>0</v>
      </c>
      <c r="R25" s="50">
        <f>IF(ISNA(VLOOKUP($A25,Council_Data!$A$3:$AB$840,19,0)),0,VLOOKUP($A25,Council_Data!$A$3:$AB$840,19,0))</f>
        <v>0</v>
      </c>
      <c r="S25" s="50">
        <f>IF(ISNA(VLOOKUP($A25,Council_Data!$A$3:$AB$840,20,0)),0,VLOOKUP($A25,Council_Data!$A$3:$AB$840,20,0))</f>
        <v>0</v>
      </c>
      <c r="T25" s="92">
        <f>IF(ISNA(VLOOKUP($A25,Council_Data!$A$3:$AB$840,21,0)),0,VLOOKUP($A25,Council_Data!$A$3:$AB$840,21,0))</f>
        <v>0</v>
      </c>
      <c r="U25" s="50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 ht="29.1" customHeight="1">
      <c r="A26" s="50">
        <v>1450</v>
      </c>
      <c r="B26" s="50" t="str">
        <f>IF(ISNA(VLOOKUP($A26,Council_Data!$A$3:$AB$840,2,0)),0,VLOOKUP($A26,Council_Data!$A$3:$AB$840,2,0))</f>
        <v>199</v>
      </c>
      <c r="C26" s="50" t="str">
        <f>IF(ISNA(VLOOKUP($A26,Council_Data!$A$3:$AB$840,3,0)),0,VLOOKUP($A26,Council_Data!$A$3:$AB$840,3,0))</f>
        <v>Amarillo</v>
      </c>
      <c r="D26" s="50">
        <f>IF(ISNA(VLOOKUP($A26,Council_Data!$A$3:$AB$840,5,0)),0,VLOOKUP($A26,Council_Data!$A$3:$AB$840,5,0))</f>
        <v>199</v>
      </c>
      <c r="E26" s="50">
        <f>IF(ISNA(VLOOKUP($A26,Council_Data!$A$3:$AB$840,6,0)),0,VLOOKUP($A26,Council_Data!$A$3:$AB$840,6,0))</f>
        <v>9</v>
      </c>
      <c r="F26" s="50">
        <f>IF(ISNA(VLOOKUP($A26,Council_Data!$A$3:$AB$840,7,0)),0,VLOOKUP($A26,Council_Data!$A$3:$AB$840,7,0))</f>
        <v>0</v>
      </c>
      <c r="G26" s="50">
        <f>IF(ISNA(VLOOKUP($A26,Council_Data!$A$3:$AB$840,8,0)),0,VLOOKUP($A26,Council_Data!$A$3:$AB$840,8,0))</f>
        <v>0</v>
      </c>
      <c r="H26" s="50">
        <f>IF(ISNA(VLOOKUP($A26,Council_Data!$A$3:$AB$840,9,0)),0,VLOOKUP($A26,Council_Data!$A$3:$AB$840,9,0))</f>
        <v>0</v>
      </c>
      <c r="I26" s="50">
        <f>IF(ISNA(VLOOKUP($A26,Council_Data!$A$3:$AB$840,10,0)),0,VLOOKUP($A26,Council_Data!$A$3:$AB$840,10,0))</f>
        <v>1</v>
      </c>
      <c r="J26" s="50">
        <f>IF(ISNA(VLOOKUP($A26,Council_Data!$A$3:$AB$840,11,0)),0,VLOOKUP($A26,Council_Data!$A$3:$AB$840,11,0))</f>
        <v>2</v>
      </c>
      <c r="K26" s="50">
        <f>IF(ISNA(VLOOKUP($A26,Council_Data!$A$3:$AB$840,12,0)),0,VLOOKUP($A26,Council_Data!$A$3:$AB$840,12,0))</f>
        <v>-1</v>
      </c>
      <c r="L26" s="92">
        <f>IF(ISNA(VLOOKUP($A26,Council_Data!$A$3:$AB$840,13,0)),0,VLOOKUP($A26,Council_Data!$A$3:$AB$840,13,0))</f>
        <v>0</v>
      </c>
      <c r="M26" s="50">
        <f>IF(ISNA(VLOOKUP($A26,Council_Data!$A$3:$AB$840,14,0)),0,VLOOKUP($A26,Council_Data!$A$3:$AB$840,14,0))</f>
        <v>0</v>
      </c>
      <c r="N26" s="50">
        <f>IF(ISNA(VLOOKUP($A26,Council_Data!$A$3:$AB$840,15,0)),0,VLOOKUP($A26,Council_Data!$A$3:$AB$840,15,0))</f>
        <v>0</v>
      </c>
      <c r="O26" s="50">
        <f>IF(ISNA(VLOOKUP($A26,Council_Data!$A$3:$AB$840,16,0)),0,VLOOKUP($A26,Council_Data!$A$3:$AB$840,16,0))</f>
        <v>0</v>
      </c>
      <c r="P26" s="50">
        <f>IF(ISNA(VLOOKUP($A26,Council_Data!$A$3:$AB$840,17,0)),0,VLOOKUP($A26,Council_Data!$A$3:$AB$840,17,0))</f>
        <v>0</v>
      </c>
      <c r="Q26" s="50">
        <f>IF(ISNA(VLOOKUP($A26,Council_Data!$A$3:$AB$840,18,0)),0,VLOOKUP($A26,Council_Data!$A$3:$AB$840,18,0))</f>
        <v>1</v>
      </c>
      <c r="R26" s="50">
        <f>IF(ISNA(VLOOKUP($A26,Council_Data!$A$3:$AB$840,19,0)),0,VLOOKUP($A26,Council_Data!$A$3:$AB$840,19,0))</f>
        <v>3</v>
      </c>
      <c r="S26" s="50">
        <f>IF(ISNA(VLOOKUP($A26,Council_Data!$A$3:$AB$840,20,0)),0,VLOOKUP($A26,Council_Data!$A$3:$AB$840,20,0))</f>
        <v>-2</v>
      </c>
      <c r="T26" s="92">
        <f>IF(ISNA(VLOOKUP($A26,Council_Data!$A$3:$AB$840,21,0)),0,VLOOKUP($A26,Council_Data!$A$3:$AB$840,21,0))</f>
        <v>0</v>
      </c>
      <c r="U26" s="50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93">
        <v>1017</v>
      </c>
      <c r="B4" s="50" t="str">
        <f>IF(ISNA(VLOOKUP($A4,Council_Data!$A$3:$AB$840,2,0)),0,VLOOKUP($A4,Council_Data!$A$3:$AB$840,2,0))</f>
        <v>153</v>
      </c>
      <c r="C4" s="50" t="str">
        <f>IF(ISNA(VLOOKUP($A4,Council_Data!$A$3:$AB$840,3,0)),0,VLOOKUP($A4,Council_Data!$A$3:$AB$840,3,0))</f>
        <v>Austin</v>
      </c>
      <c r="D4" s="93">
        <f>IF(ISNA(VLOOKUP($A4,Council_Data!$A$3:$AB$840,5,0)),0,VLOOKUP($A4,Council_Data!$A$3:$AB$840,5,0))</f>
        <v>94</v>
      </c>
      <c r="E4" s="93">
        <f>IF(ISNA(VLOOKUP($A4,Council_Data!$A$3:$AB$840,6,0)),0,VLOOKUP($A4,Council_Data!$A$3:$AB$840,6,0))</f>
        <v>4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Britten</v>
      </c>
    </row>
    <row r="5" spans="1:22" ht="29.1" customHeight="1">
      <c r="A5" s="93">
        <v>1235</v>
      </c>
      <c r="B5" s="50" t="str">
        <f>IF(ISNA(VLOOKUP($A5,Council_Data!$A$3:$AB$840,2,0)),0,VLOOKUP($A5,Council_Data!$A$3:$AB$840,2,0))</f>
        <v>150</v>
      </c>
      <c r="C5" s="50" t="str">
        <f>IF(ISNA(VLOOKUP($A5,Council_Data!$A$3:$AB$840,3,0)),0,VLOOKUP($A5,Council_Data!$A$3:$AB$840,3,0))</f>
        <v>Taylor</v>
      </c>
      <c r="D5" s="93">
        <f>IF(ISNA(VLOOKUP($A5,Council_Data!$A$3:$AB$840,5,0)),0,VLOOKUP($A5,Council_Data!$A$3:$AB$840,5,0))</f>
        <v>127</v>
      </c>
      <c r="E5" s="93">
        <f>IF(ISNA(VLOOKUP($A5,Council_Data!$A$3:$AB$840,6,0)),0,VLOOKUP($A5,Council_Data!$A$3:$AB$840,6,0))</f>
        <v>6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Britten</v>
      </c>
    </row>
    <row r="6" spans="1:22" ht="29.1" customHeight="1">
      <c r="A6" s="93">
        <v>1358</v>
      </c>
      <c r="B6" s="50" t="str">
        <f>IF(ISNA(VLOOKUP($A6,Council_Data!$A$3:$AB$840,2,0)),0,VLOOKUP($A6,Council_Data!$A$3:$AB$840,2,0))</f>
        <v>141</v>
      </c>
      <c r="C6" s="50" t="str">
        <f>IF(ISNA(VLOOKUP($A6,Council_Data!$A$3:$AB$840,3,0)),0,VLOOKUP($A6,Council_Data!$A$3:$AB$840,3,0))</f>
        <v>Waco</v>
      </c>
      <c r="D6" s="93">
        <f>IF(ISNA(VLOOKUP($A6,Council_Data!$A$3:$AB$840,5,0)),0,VLOOKUP($A6,Council_Data!$A$3:$AB$840,5,0))</f>
        <v>125</v>
      </c>
      <c r="E6" s="93">
        <f>IF(ISNA(VLOOKUP($A6,Council_Data!$A$3:$AB$840,6,0)),0,VLOOKUP($A6,Council_Data!$A$3:$AB$840,6,0))</f>
        <v>5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Rangel</v>
      </c>
    </row>
    <row r="7" spans="1:22" ht="29.1" customHeight="1">
      <c r="A7" s="93">
        <v>1834</v>
      </c>
      <c r="B7" s="50" t="str">
        <f>IF(ISNA(VLOOKUP($A7,Council_Data!$A$3:$AB$840,2,0)),0,VLOOKUP($A7,Council_Data!$A$3:$AB$840,2,0))</f>
        <v>146</v>
      </c>
      <c r="C7" s="50" t="str">
        <f>IF(ISNA(VLOOKUP($A7,Council_Data!$A$3:$AB$840,3,0)),0,VLOOKUP($A7,Council_Data!$A$3:$AB$840,3,0))</f>
        <v>Bryan</v>
      </c>
      <c r="D7" s="93">
        <f>IF(ISNA(VLOOKUP($A7,Council_Data!$A$3:$AB$840,5,0)),0,VLOOKUP($A7,Council_Data!$A$3:$AB$840,5,0))</f>
        <v>265</v>
      </c>
      <c r="E7" s="93">
        <f>IF(ISNA(VLOOKUP($A7,Council_Data!$A$3:$AB$840,6,0)),0,VLOOKUP($A7,Council_Data!$A$3:$AB$840,6,0))</f>
        <v>11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Britten</v>
      </c>
    </row>
    <row r="8" spans="1:22" ht="29.1" customHeight="1">
      <c r="A8" s="93">
        <v>2305</v>
      </c>
      <c r="B8" s="50" t="str">
        <f>IF(ISNA(VLOOKUP($A8,Council_Data!$A$3:$AB$840,2,0)),0,VLOOKUP($A8,Council_Data!$A$3:$AB$840,2,0))</f>
        <v>141</v>
      </c>
      <c r="C8" s="50" t="str">
        <f>IF(ISNA(VLOOKUP($A8,Council_Data!$A$3:$AB$840,3,0)),0,VLOOKUP($A8,Council_Data!$A$3:$AB$840,3,0))</f>
        <v>West</v>
      </c>
      <c r="D8" s="93">
        <f>IF(ISNA(VLOOKUP($A8,Council_Data!$A$3:$AB$840,5,0)),0,VLOOKUP($A8,Council_Data!$A$3:$AB$840,5,0))</f>
        <v>506</v>
      </c>
      <c r="E8" s="93">
        <f>IF(ISNA(VLOOKUP($A8,Council_Data!$A$3:$AB$840,6,0)),0,VLOOKUP($A8,Council_Data!$A$3:$AB$840,6,0))</f>
        <v>20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2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2</v>
      </c>
      <c r="L8" s="94">
        <f>IF(ISNA(VLOOKUP($A8,Council_Data!$A$3:$AB$840,13,0)),0,VLOOKUP($A8,Council_Data!$A$3:$AB$840,13,0))</f>
        <v>10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1</v>
      </c>
      <c r="P8" s="93">
        <f>IF(ISNA(VLOOKUP($A8,Council_Data!$A$3:$AB$840,17,0)),0,VLOOKUP($A8,Council_Data!$A$3:$AB$840,17,0))</f>
        <v>-1</v>
      </c>
      <c r="Q8" s="93">
        <f>IF(ISNA(VLOOKUP($A8,Council_Data!$A$3:$AB$840,18,0)),0,VLOOKUP($A8,Council_Data!$A$3:$AB$840,18,0))</f>
        <v>1</v>
      </c>
      <c r="R8" s="93">
        <f>IF(ISNA(VLOOKUP($A8,Council_Data!$A$3:$AB$840,19,0)),0,VLOOKUP($A8,Council_Data!$A$3:$AB$840,19,0))</f>
        <v>1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Britten</v>
      </c>
    </row>
    <row r="9" spans="1:22" ht="29.1" customHeight="1">
      <c r="A9" s="93">
        <v>2559</v>
      </c>
      <c r="B9" s="50" t="str">
        <f>IF(ISNA(VLOOKUP($A9,Council_Data!$A$3:$AB$840,2,0)),0,VLOOKUP($A9,Council_Data!$A$3:$AB$840,2,0))</f>
        <v>162</v>
      </c>
      <c r="C9" s="50" t="str">
        <f>IF(ISNA(VLOOKUP($A9,Council_Data!$A$3:$AB$840,3,0)),0,VLOOKUP($A9,Council_Data!$A$3:$AB$840,3,0))</f>
        <v>Austin</v>
      </c>
      <c r="D9" s="93">
        <f>IF(ISNA(VLOOKUP($A9,Council_Data!$A$3:$AB$840,5,0)),0,VLOOKUP($A9,Council_Data!$A$3:$AB$840,5,0))</f>
        <v>72</v>
      </c>
      <c r="E9" s="93">
        <f>IF(ISNA(VLOOKUP($A9,Council_Data!$A$3:$AB$840,6,0)),0,VLOOKUP($A9,Council_Data!$A$3:$AB$840,6,0))</f>
        <v>4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Britten</v>
      </c>
    </row>
    <row r="10" spans="1:22" ht="29.1" customHeight="1">
      <c r="A10" s="93">
        <v>2574</v>
      </c>
      <c r="B10" s="50" t="str">
        <f>IF(ISNA(VLOOKUP($A10,Council_Data!$A$3:$AB$840,2,0)),0,VLOOKUP($A10,Council_Data!$A$3:$AB$840,2,0))</f>
        <v>154</v>
      </c>
      <c r="C10" s="50" t="str">
        <f>IF(ISNA(VLOOKUP($A10,Council_Data!$A$3:$AB$840,3,0)),0,VLOOKUP($A10,Council_Data!$A$3:$AB$840,3,0))</f>
        <v>La Grange</v>
      </c>
      <c r="D10" s="93">
        <f>IF(ISNA(VLOOKUP($A10,Council_Data!$A$3:$AB$840,5,0)),0,VLOOKUP($A10,Council_Data!$A$3:$AB$840,5,0))</f>
        <v>604</v>
      </c>
      <c r="E10" s="93">
        <f>IF(ISNA(VLOOKUP($A10,Council_Data!$A$3:$AB$840,6,0)),0,VLOOKUP($A10,Council_Data!$A$3:$AB$840,6,0))</f>
        <v>20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7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7</v>
      </c>
      <c r="L10" s="94">
        <f>IF(ISNA(VLOOKUP($A10,Council_Data!$A$3:$AB$840,13,0)),0,VLOOKUP($A10,Council_Data!$A$3:$AB$840,13,0))</f>
        <v>35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1</v>
      </c>
      <c r="O10" s="93">
        <f>IF(ISNA(VLOOKUP($A10,Council_Data!$A$3:$AB$840,16,0)),0,VLOOKUP($A10,Council_Data!$A$3:$AB$840,16,0))</f>
        <v>1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7</v>
      </c>
      <c r="R10" s="93">
        <f>IF(ISNA(VLOOKUP($A10,Council_Data!$A$3:$AB$840,19,0)),0,VLOOKUP($A10,Council_Data!$A$3:$AB$840,19,0))</f>
        <v>2</v>
      </c>
      <c r="S10" s="93">
        <f>IF(ISNA(VLOOKUP($A10,Council_Data!$A$3:$AB$840,20,0)),0,VLOOKUP($A10,Council_Data!$A$3:$AB$840,20,0))</f>
        <v>5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Supak</v>
      </c>
    </row>
    <row r="11" spans="1:22" ht="29.1" customHeight="1">
      <c r="A11" s="93">
        <v>3168</v>
      </c>
      <c r="B11" s="50" t="str">
        <f>IF(ISNA(VLOOKUP($A11,Council_Data!$A$3:$AB$840,2,0)),0,VLOOKUP($A11,Council_Data!$A$3:$AB$840,2,0))</f>
        <v>154</v>
      </c>
      <c r="C11" s="50" t="str">
        <f>IF(ISNA(VLOOKUP($A11,Council_Data!$A$3:$AB$840,3,0)),0,VLOOKUP($A11,Council_Data!$A$3:$AB$840,3,0))</f>
        <v>Fayetteville</v>
      </c>
      <c r="D11" s="93">
        <f>IF(ISNA(VLOOKUP($A11,Council_Data!$A$3:$AB$840,5,0)),0,VLOOKUP($A11,Council_Data!$A$3:$AB$840,5,0))</f>
        <v>150</v>
      </c>
      <c r="E11" s="93">
        <f>IF(ISNA(VLOOKUP($A11,Council_Data!$A$3:$AB$840,6,0)),0,VLOOKUP($A11,Council_Data!$A$3:$AB$840,6,0))</f>
        <v>7</v>
      </c>
      <c r="F11" s="93">
        <f>IF(ISNA(VLOOKUP($A11,Council_Data!$A$3:$AB$840,7,0)),0,VLOOKUP($A11,Council_Data!$A$3:$AB$840,7,0))</f>
        <v>1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1</v>
      </c>
      <c r="I11" s="93">
        <f>IF(ISNA(VLOOKUP($A11,Council_Data!$A$3:$AB$840,10,0)),0,VLOOKUP($A11,Council_Data!$A$3:$AB$840,10,0))</f>
        <v>4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4</v>
      </c>
      <c r="L11" s="94">
        <f>IF(ISNA(VLOOKUP($A11,Council_Data!$A$3:$AB$840,13,0)),0,VLOOKUP($A11,Council_Data!$A$3:$AB$840,13,0))</f>
        <v>57.14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Supak</v>
      </c>
    </row>
    <row r="12" spans="1:22" ht="29.1" customHeight="1">
      <c r="A12" s="93">
        <v>3205</v>
      </c>
      <c r="B12" s="50" t="str">
        <f>IF(ISNA(VLOOKUP($A12,Council_Data!$A$3:$AB$840,2,0)),0,VLOOKUP($A12,Council_Data!$A$3:$AB$840,2,0))</f>
        <v>146</v>
      </c>
      <c r="C12" s="50" t="str">
        <f>IF(ISNA(VLOOKUP($A12,Council_Data!$A$3:$AB$840,3,0)),0,VLOOKUP($A12,Council_Data!$A$3:$AB$840,3,0))</f>
        <v>College Station</v>
      </c>
      <c r="D12" s="93">
        <f>IF(ISNA(VLOOKUP($A12,Council_Data!$A$3:$AB$840,5,0)),0,VLOOKUP($A12,Council_Data!$A$3:$AB$840,5,0))</f>
        <v>336</v>
      </c>
      <c r="E12" s="93">
        <f>IF(ISNA(VLOOKUP($A12,Council_Data!$A$3:$AB$840,6,0)),0,VLOOKUP($A12,Council_Data!$A$3:$AB$840,6,0))</f>
        <v>15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1</v>
      </c>
      <c r="H12" s="93">
        <f>IF(ISNA(VLOOKUP($A12,Council_Data!$A$3:$AB$840,9,0)),0,VLOOKUP($A12,Council_Data!$A$3:$AB$840,9,0))</f>
        <v>-1</v>
      </c>
      <c r="I12" s="93">
        <f>IF(ISNA(VLOOKUP($A12,Council_Data!$A$3:$AB$840,10,0)),0,VLOOKUP($A12,Council_Data!$A$3:$AB$840,10,0))</f>
        <v>1</v>
      </c>
      <c r="J12" s="93">
        <f>IF(ISNA(VLOOKUP($A12,Council_Data!$A$3:$AB$840,11,0)),0,VLOOKUP($A12,Council_Data!$A$3:$AB$840,11,0))</f>
        <v>1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1</v>
      </c>
      <c r="P12" s="93">
        <f>IF(ISNA(VLOOKUP($A12,Council_Data!$A$3:$AB$840,17,0)),0,VLOOKUP($A12,Council_Data!$A$3:$AB$840,17,0))</f>
        <v>-1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-2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Britten</v>
      </c>
    </row>
    <row r="13" spans="1:22" ht="29.1" customHeight="1">
      <c r="A13" s="93">
        <v>3287</v>
      </c>
      <c r="B13" s="50" t="str">
        <f>IF(ISNA(VLOOKUP($A13,Council_Data!$A$3:$AB$840,2,0)),0,VLOOKUP($A13,Council_Data!$A$3:$AB$840,2,0))</f>
        <v>148</v>
      </c>
      <c r="C13" s="50" t="str">
        <f>IF(ISNA(VLOOKUP($A13,Council_Data!$A$3:$AB$840,3,0)),0,VLOOKUP($A13,Council_Data!$A$3:$AB$840,3,0))</f>
        <v>Brenham</v>
      </c>
      <c r="D13" s="93">
        <f>IF(ISNA(VLOOKUP($A13,Council_Data!$A$3:$AB$840,5,0)),0,VLOOKUP($A13,Council_Data!$A$3:$AB$840,5,0))</f>
        <v>211</v>
      </c>
      <c r="E13" s="93">
        <f>IF(ISNA(VLOOKUP($A13,Council_Data!$A$3:$AB$840,6,0)),0,VLOOKUP($A13,Council_Data!$A$3:$AB$840,6,0))</f>
        <v>10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Supak</v>
      </c>
    </row>
    <row r="14" spans="1:22" ht="29.1" customHeight="1">
      <c r="A14" s="93">
        <v>3444</v>
      </c>
      <c r="B14" s="50" t="str">
        <f>IF(ISNA(VLOOKUP($A14,Council_Data!$A$3:$AB$840,2,0)),0,VLOOKUP($A14,Council_Data!$A$3:$AB$840,2,0))</f>
        <v>143</v>
      </c>
      <c r="C14" s="50" t="str">
        <f>IF(ISNA(VLOOKUP($A14,Council_Data!$A$3:$AB$840,3,0)),0,VLOOKUP($A14,Council_Data!$A$3:$AB$840,3,0))</f>
        <v>Temple</v>
      </c>
      <c r="D14" s="93">
        <f>IF(ISNA(VLOOKUP($A14,Council_Data!$A$3:$AB$840,5,0)),0,VLOOKUP($A14,Council_Data!$A$3:$AB$840,5,0))</f>
        <v>283</v>
      </c>
      <c r="E14" s="93">
        <f>IF(ISNA(VLOOKUP($A14,Council_Data!$A$3:$AB$840,6,0)),0,VLOOKUP($A14,Council_Data!$A$3:$AB$840,6,0))</f>
        <v>13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3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3</v>
      </c>
      <c r="L14" s="94">
        <f>IF(ISNA(VLOOKUP($A14,Council_Data!$A$3:$AB$840,13,0)),0,VLOOKUP($A14,Council_Data!$A$3:$AB$840,13,0))</f>
        <v>23.08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Britten</v>
      </c>
    </row>
    <row r="15" spans="1:22" ht="29.1" customHeight="1">
      <c r="A15" s="93">
        <v>3458</v>
      </c>
      <c r="B15" s="50" t="str">
        <f>IF(ISNA(VLOOKUP($A15,Council_Data!$A$3:$AB$840,2,0)),0,VLOOKUP($A15,Council_Data!$A$3:$AB$840,2,0))</f>
        <v>159</v>
      </c>
      <c r="C15" s="50" t="str">
        <f>IF(ISNA(VLOOKUP($A15,Council_Data!$A$3:$AB$840,3,0)),0,VLOOKUP($A15,Council_Data!$A$3:$AB$840,3,0))</f>
        <v>San Marcos</v>
      </c>
      <c r="D15" s="93">
        <f>IF(ISNA(VLOOKUP($A15,Council_Data!$A$3:$AB$840,5,0)),0,VLOOKUP($A15,Council_Data!$A$3:$AB$840,5,0))</f>
        <v>134</v>
      </c>
      <c r="E15" s="93">
        <f>IF(ISNA(VLOOKUP($A15,Council_Data!$A$3:$AB$840,6,0)),0,VLOOKUP($A15,Council_Data!$A$3:$AB$840,6,0))</f>
        <v>6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6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6</v>
      </c>
      <c r="L15" s="94">
        <f>IF(ISNA(VLOOKUP($A15,Council_Data!$A$3:$AB$840,13,0)),0,VLOOKUP($A15,Council_Data!$A$3:$AB$840,13,0))</f>
        <v>100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1</v>
      </c>
      <c r="P15" s="93">
        <f>IF(ISNA(VLOOKUP($A15,Council_Data!$A$3:$AB$840,17,0)),0,VLOOKUP($A15,Council_Data!$A$3:$AB$840,17,0))</f>
        <v>-1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Britten</v>
      </c>
    </row>
    <row r="16" spans="1:22" ht="29.1" customHeight="1">
      <c r="A16" s="93">
        <v>4329</v>
      </c>
      <c r="B16" s="50" t="str">
        <f>IF(ISNA(VLOOKUP($A16,Council_Data!$A$3:$AB$840,2,0)),0,VLOOKUP($A16,Council_Data!$A$3:$AB$840,2,0))</f>
        <v>145</v>
      </c>
      <c r="C16" s="50" t="str">
        <f>IF(ISNA(VLOOKUP($A16,Council_Data!$A$3:$AB$840,3,0)),0,VLOOKUP($A16,Council_Data!$A$3:$AB$840,3,0))</f>
        <v>Marlin</v>
      </c>
      <c r="D16" s="93">
        <f>IF(ISNA(VLOOKUP($A16,Council_Data!$A$3:$AB$840,5,0)),0,VLOOKUP($A16,Council_Data!$A$3:$AB$840,5,0))</f>
        <v>45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Britten</v>
      </c>
    </row>
    <row r="17" spans="1:22" ht="29.1" customHeight="1">
      <c r="A17" s="93">
        <v>4457</v>
      </c>
      <c r="B17" s="50" t="str">
        <f>IF(ISNA(VLOOKUP($A17,Council_Data!$A$3:$AB$840,2,0)),0,VLOOKUP($A17,Council_Data!$A$3:$AB$840,2,0))</f>
        <v>149</v>
      </c>
      <c r="C17" s="50" t="str">
        <f>IF(ISNA(VLOOKUP($A17,Council_Data!$A$3:$AB$840,3,0)),0,VLOOKUP($A17,Council_Data!$A$3:$AB$840,3,0))</f>
        <v>Granger</v>
      </c>
      <c r="D17" s="93">
        <f>IF(ISNA(VLOOKUP($A17,Council_Data!$A$3:$AB$840,5,0)),0,VLOOKUP($A17,Council_Data!$A$3:$AB$840,5,0))</f>
        <v>164</v>
      </c>
      <c r="E17" s="93">
        <f>IF(ISNA(VLOOKUP($A17,Council_Data!$A$3:$AB$840,6,0)),0,VLOOKUP($A17,Council_Data!$A$3:$AB$840,6,0))</f>
        <v>8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Britten</v>
      </c>
    </row>
    <row r="18" spans="1:22" ht="29.1" customHeight="1">
      <c r="A18" s="93">
        <v>4724</v>
      </c>
      <c r="B18" s="50" t="str">
        <f>IF(ISNA(VLOOKUP($A18,Council_Data!$A$3:$AB$840,2,0)),0,VLOOKUP($A18,Council_Data!$A$3:$AB$840,2,0))</f>
        <v>147</v>
      </c>
      <c r="C18" s="50" t="str">
        <f>IF(ISNA(VLOOKUP($A18,Council_Data!$A$3:$AB$840,3,0)),0,VLOOKUP($A18,Council_Data!$A$3:$AB$840,3,0))</f>
        <v>Killeen</v>
      </c>
      <c r="D18" s="93">
        <f>IF(ISNA(VLOOKUP($A18,Council_Data!$A$3:$AB$840,5,0)),0,VLOOKUP($A18,Council_Data!$A$3:$AB$840,5,0))</f>
        <v>153</v>
      </c>
      <c r="E18" s="93">
        <f>IF(ISNA(VLOOKUP($A18,Council_Data!$A$3:$AB$840,6,0)),0,VLOOKUP($A18,Council_Data!$A$3:$AB$840,6,0))</f>
        <v>7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1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1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Britten</v>
      </c>
    </row>
    <row r="19" spans="1:22" ht="29.1" customHeight="1">
      <c r="A19" s="93">
        <v>4868</v>
      </c>
      <c r="B19" s="50" t="str">
        <f>IF(ISNA(VLOOKUP($A19,Council_Data!$A$3:$AB$840,2,0)),0,VLOOKUP($A19,Council_Data!$A$3:$AB$840,2,0))</f>
        <v>152</v>
      </c>
      <c r="C19" s="50" t="str">
        <f>IF(ISNA(VLOOKUP($A19,Council_Data!$A$3:$AB$840,3,0)),0,VLOOKUP($A19,Council_Data!$A$3:$AB$840,3,0))</f>
        <v>Smithville</v>
      </c>
      <c r="D19" s="93">
        <f>IF(ISNA(VLOOKUP($A19,Council_Data!$A$3:$AB$840,5,0)),0,VLOOKUP($A19,Council_Data!$A$3:$AB$840,5,0))</f>
        <v>145</v>
      </c>
      <c r="E19" s="93">
        <f>IF(ISNA(VLOOKUP($A19,Council_Data!$A$3:$AB$840,6,0)),0,VLOOKUP($A19,Council_Data!$A$3:$AB$840,6,0))</f>
        <v>7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3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3</v>
      </c>
      <c r="L19" s="94">
        <f>IF(ISNA(VLOOKUP($A19,Council_Data!$A$3:$AB$840,13,0)),0,VLOOKUP($A19,Council_Data!$A$3:$AB$840,13,0))</f>
        <v>42.86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2</v>
      </c>
      <c r="P19" s="93">
        <f>IF(ISNA(VLOOKUP($A19,Council_Data!$A$3:$AB$840,17,0)),0,VLOOKUP($A19,Council_Data!$A$3:$AB$840,17,0))</f>
        <v>-2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3</v>
      </c>
      <c r="S19" s="93">
        <f>IF(ISNA(VLOOKUP($A19,Council_Data!$A$3:$AB$840,20,0)),0,VLOOKUP($A19,Council_Data!$A$3:$AB$840,20,0))</f>
        <v>-3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Britten</v>
      </c>
    </row>
    <row r="20" spans="1:22" ht="29.1" customHeight="1">
      <c r="A20" s="93">
        <v>5053</v>
      </c>
      <c r="B20" s="50" t="str">
        <f>IF(ISNA(VLOOKUP($A20,Council_Data!$A$3:$AB$840,2,0)),0,VLOOKUP($A20,Council_Data!$A$3:$AB$840,2,0))</f>
        <v>163</v>
      </c>
      <c r="C20" s="50" t="str">
        <f>IF(ISNA(VLOOKUP($A20,Council_Data!$A$3:$AB$840,3,0)),0,VLOOKUP($A20,Council_Data!$A$3:$AB$840,3,0))</f>
        <v>Bremond</v>
      </c>
      <c r="D20" s="93">
        <f>IF(ISNA(VLOOKUP($A20,Council_Data!$A$3:$AB$840,5,0)),0,VLOOKUP($A20,Council_Data!$A$3:$AB$840,5,0))</f>
        <v>101</v>
      </c>
      <c r="E20" s="93">
        <f>IF(ISNA(VLOOKUP($A20,Council_Data!$A$3:$AB$840,6,0)),0,VLOOKUP($A20,Council_Data!$A$3:$AB$840,6,0))</f>
        <v>5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1</v>
      </c>
      <c r="P20" s="93">
        <f>IF(ISNA(VLOOKUP($A20,Council_Data!$A$3:$AB$840,17,0)),0,VLOOKUP($A20,Council_Data!$A$3:$AB$840,17,0))</f>
        <v>-1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-1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Britten</v>
      </c>
    </row>
    <row r="21" spans="1:22" ht="29.1" customHeight="1">
      <c r="A21" s="93">
        <v>5967</v>
      </c>
      <c r="B21" s="50" t="str">
        <f>IF(ISNA(VLOOKUP($A21,Council_Data!$A$3:$AB$840,2,0)),0,VLOOKUP($A21,Council_Data!$A$3:$AB$840,2,0))</f>
        <v>156</v>
      </c>
      <c r="C21" s="50" t="str">
        <f>IF(ISNA(VLOOKUP($A21,Council_Data!$A$3:$AB$840,3,0)),0,VLOOKUP($A21,Council_Data!$A$3:$AB$840,3,0))</f>
        <v>Austin</v>
      </c>
      <c r="D21" s="93">
        <f>IF(ISNA(VLOOKUP($A21,Council_Data!$A$3:$AB$840,5,0)),0,VLOOKUP($A21,Council_Data!$A$3:$AB$840,5,0))</f>
        <v>248</v>
      </c>
      <c r="E21" s="93">
        <f>IF(ISNA(VLOOKUP($A21,Council_Data!$A$3:$AB$840,6,0)),0,VLOOKUP($A21,Council_Data!$A$3:$AB$840,6,0))</f>
        <v>12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1</v>
      </c>
      <c r="H21" s="93">
        <f>IF(ISNA(VLOOKUP($A21,Council_Data!$A$3:$AB$840,9,0)),0,VLOOKUP($A21,Council_Data!$A$3:$AB$840,9,0))</f>
        <v>-1</v>
      </c>
      <c r="I21" s="93">
        <f>IF(ISNA(VLOOKUP($A21,Council_Data!$A$3:$AB$840,10,0)),0,VLOOKUP($A21,Council_Data!$A$3:$AB$840,10,0))</f>
        <v>3</v>
      </c>
      <c r="J21" s="93">
        <f>IF(ISNA(VLOOKUP($A21,Council_Data!$A$3:$AB$840,11,0)),0,VLOOKUP($A21,Council_Data!$A$3:$AB$840,11,0))</f>
        <v>1</v>
      </c>
      <c r="K21" s="93">
        <f>IF(ISNA(VLOOKUP($A21,Council_Data!$A$3:$AB$840,12,0)),0,VLOOKUP($A21,Council_Data!$A$3:$AB$840,12,0))</f>
        <v>2</v>
      </c>
      <c r="L21" s="94">
        <f>IF(ISNA(VLOOKUP($A21,Council_Data!$A$3:$AB$840,13,0)),0,VLOOKUP($A21,Council_Data!$A$3:$AB$840,13,0))</f>
        <v>16.670000000000002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Britten</v>
      </c>
    </row>
    <row r="22" spans="1:22" ht="29.1" customHeight="1">
      <c r="A22" s="93">
        <v>6366</v>
      </c>
      <c r="B22" s="50" t="str">
        <f>IF(ISNA(VLOOKUP($A22,Council_Data!$A$3:$AB$840,2,0)),0,VLOOKUP($A22,Council_Data!$A$3:$AB$840,2,0))</f>
        <v>148</v>
      </c>
      <c r="C22" s="50" t="str">
        <f>IF(ISNA(VLOOKUP($A22,Council_Data!$A$3:$AB$840,3,0)),0,VLOOKUP($A22,Council_Data!$A$3:$AB$840,3,0))</f>
        <v>Caldwell</v>
      </c>
      <c r="D22" s="93">
        <f>IF(ISNA(VLOOKUP($A22,Council_Data!$A$3:$AB$840,5,0)),0,VLOOKUP($A22,Council_Data!$A$3:$AB$840,5,0))</f>
        <v>240</v>
      </c>
      <c r="E22" s="93">
        <f>IF(ISNA(VLOOKUP($A22,Council_Data!$A$3:$AB$840,6,0)),0,VLOOKUP($A22,Council_Data!$A$3:$AB$840,6,0))</f>
        <v>11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Britten</v>
      </c>
    </row>
    <row r="23" spans="1:22" ht="29.1" customHeight="1">
      <c r="A23" s="93">
        <v>6453</v>
      </c>
      <c r="B23" s="50" t="str">
        <f>IF(ISNA(VLOOKUP($A23,Council_Data!$A$3:$AB$840,2,0)),0,VLOOKUP($A23,Council_Data!$A$3:$AB$840,2,0))</f>
        <v>149</v>
      </c>
      <c r="C23" s="50" t="str">
        <f>IF(ISNA(VLOOKUP($A23,Council_Data!$A$3:$AB$840,3,0)),0,VLOOKUP($A23,Council_Data!$A$3:$AB$840,3,0))</f>
        <v>Georgetown</v>
      </c>
      <c r="D23" s="93">
        <f>IF(ISNA(VLOOKUP($A23,Council_Data!$A$3:$AB$840,5,0)),0,VLOOKUP($A23,Council_Data!$A$3:$AB$840,5,0))</f>
        <v>206</v>
      </c>
      <c r="E23" s="93">
        <f>IF(ISNA(VLOOKUP($A23,Council_Data!$A$3:$AB$840,6,0)),0,VLOOKUP($A23,Council_Data!$A$3:$AB$840,6,0))</f>
        <v>10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2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2</v>
      </c>
      <c r="L23" s="94">
        <f>IF(ISNA(VLOOKUP($A23,Council_Data!$A$3:$AB$840,13,0)),0,VLOOKUP($A23,Council_Data!$A$3:$AB$840,13,0))</f>
        <v>20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1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Britten</v>
      </c>
    </row>
    <row r="24" spans="1:22" ht="29.1" customHeight="1">
      <c r="A24" s="93">
        <v>6658</v>
      </c>
      <c r="B24" s="50" t="str">
        <f>IF(ISNA(VLOOKUP($A24,Council_Data!$A$3:$AB$840,2,0)),0,VLOOKUP($A24,Council_Data!$A$3:$AB$840,2,0))</f>
        <v>147</v>
      </c>
      <c r="C24" s="50" t="str">
        <f>IF(ISNA(VLOOKUP($A24,Council_Data!$A$3:$AB$840,3,0)),0,VLOOKUP($A24,Council_Data!$A$3:$AB$840,3,0))</f>
        <v>Copperas Cove</v>
      </c>
      <c r="D24" s="93">
        <f>IF(ISNA(VLOOKUP($A24,Council_Data!$A$3:$AB$840,5,0)),0,VLOOKUP($A24,Council_Data!$A$3:$AB$840,5,0))</f>
        <v>154</v>
      </c>
      <c r="E24" s="93">
        <f>IF(ISNA(VLOOKUP($A24,Council_Data!$A$3:$AB$840,6,0)),0,VLOOKUP($A24,Council_Data!$A$3:$AB$840,6,0))</f>
        <v>7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1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1</v>
      </c>
      <c r="L24" s="94">
        <f>IF(ISNA(VLOOKUP($A24,Council_Data!$A$3:$AB$840,13,0)),0,VLOOKUP($A24,Council_Data!$A$3:$AB$840,13,0))</f>
        <v>14.29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Britten</v>
      </c>
    </row>
    <row r="25" spans="1:22" ht="29.1" customHeight="1">
      <c r="A25" s="93">
        <v>6978</v>
      </c>
      <c r="B25" s="50" t="str">
        <f>IF(ISNA(VLOOKUP($A25,Council_Data!$A$3:$AB$840,2,0)),0,VLOOKUP($A25,Council_Data!$A$3:$AB$840,2,0))</f>
        <v>161</v>
      </c>
      <c r="C25" s="50" t="str">
        <f>IF(ISNA(VLOOKUP($A25,Council_Data!$A$3:$AB$840,3,0)),0,VLOOKUP($A25,Council_Data!$A$3:$AB$840,3,0))</f>
        <v>Lampasas</v>
      </c>
      <c r="D25" s="93">
        <f>IF(ISNA(VLOOKUP($A25,Council_Data!$A$3:$AB$840,5,0)),0,VLOOKUP($A25,Council_Data!$A$3:$AB$840,5,0))</f>
        <v>45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Britten</v>
      </c>
    </row>
    <row r="26" spans="1:22" ht="29.1" customHeight="1">
      <c r="A26" s="93">
        <v>7014</v>
      </c>
      <c r="B26" s="50" t="str">
        <f>IF(ISNA(VLOOKUP($A26,Council_Data!$A$3:$AB$840,2,0)),0,VLOOKUP($A26,Council_Data!$A$3:$AB$840,2,0))</f>
        <v>144</v>
      </c>
      <c r="C26" s="50" t="str">
        <f>IF(ISNA(VLOOKUP($A26,Council_Data!$A$3:$AB$840,3,0)),0,VLOOKUP($A26,Council_Data!$A$3:$AB$840,3,0))</f>
        <v>Rockdale</v>
      </c>
      <c r="D26" s="93">
        <f>IF(ISNA(VLOOKUP($A26,Council_Data!$A$3:$AB$840,5,0)),0,VLOOKUP($A26,Council_Data!$A$3:$AB$840,5,0))</f>
        <v>133</v>
      </c>
      <c r="E26" s="93">
        <f>IF(ISNA(VLOOKUP($A26,Council_Data!$A$3:$AB$840,6,0)),0,VLOOKUP($A26,Council_Data!$A$3:$AB$840,6,0))</f>
        <v>6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Britten</v>
      </c>
    </row>
    <row r="27" spans="1:22" ht="29.1" customHeight="1">
      <c r="A27" s="93">
        <v>7196</v>
      </c>
      <c r="B27" s="50" t="str">
        <f>IF(ISNA(VLOOKUP($A27,Council_Data!$A$3:$AB$840,2,0)),0,VLOOKUP($A27,Council_Data!$A$3:$AB$840,2,0))</f>
        <v>143</v>
      </c>
      <c r="C27" s="50" t="str">
        <f>IF(ISNA(VLOOKUP($A27,Council_Data!$A$3:$AB$840,3,0)),0,VLOOKUP($A27,Council_Data!$A$3:$AB$840,3,0))</f>
        <v>Belton</v>
      </c>
      <c r="D27" s="93">
        <f>IF(ISNA(VLOOKUP($A27,Council_Data!$A$3:$AB$840,5,0)),0,VLOOKUP($A27,Council_Data!$A$3:$AB$840,5,0))</f>
        <v>208</v>
      </c>
      <c r="E27" s="93">
        <f>IF(ISNA(VLOOKUP($A27,Council_Data!$A$3:$AB$840,6,0)),0,VLOOKUP($A27,Council_Data!$A$3:$AB$840,6,0))</f>
        <v>10</v>
      </c>
      <c r="F27" s="93">
        <f>IF(ISNA(VLOOKUP($A27,Council_Data!$A$3:$AB$840,7,0)),0,VLOOKUP($A27,Council_Data!$A$3:$AB$840,7,0))</f>
        <v>1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1</v>
      </c>
      <c r="I27" s="93">
        <f>IF(ISNA(VLOOKUP($A27,Council_Data!$A$3:$AB$840,10,0)),0,VLOOKUP($A27,Council_Data!$A$3:$AB$840,10,0))</f>
        <v>2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2</v>
      </c>
      <c r="L27" s="94">
        <f>IF(ISNA(VLOOKUP($A27,Council_Data!$A$3:$AB$840,13,0)),0,VLOOKUP($A27,Council_Data!$A$3:$AB$840,13,0))</f>
        <v>20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Britten</v>
      </c>
    </row>
    <row r="28" spans="1:22" ht="29.1" customHeight="1">
      <c r="A28" s="93">
        <v>7197</v>
      </c>
      <c r="B28" s="50" t="str">
        <f>IF(ISNA(VLOOKUP($A28,Council_Data!$A$3:$AB$840,2,0)),0,VLOOKUP($A28,Council_Data!$A$3:$AB$840,2,0))</f>
        <v>143</v>
      </c>
      <c r="C28" s="50" t="str">
        <f>IF(ISNA(VLOOKUP($A28,Council_Data!$A$3:$AB$840,3,0)),0,VLOOKUP($A28,Council_Data!$A$3:$AB$840,3,0))</f>
        <v>Temple</v>
      </c>
      <c r="D28" s="93">
        <f>IF(ISNA(VLOOKUP($A28,Council_Data!$A$3:$AB$840,5,0)),0,VLOOKUP($A28,Council_Data!$A$3:$AB$840,5,0))</f>
        <v>214</v>
      </c>
      <c r="E28" s="93">
        <f>IF(ISNA(VLOOKUP($A28,Council_Data!$A$3:$AB$840,6,0)),0,VLOOKUP($A28,Council_Data!$A$3:$AB$840,6,0))</f>
        <v>10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4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4</v>
      </c>
      <c r="L28" s="94">
        <f>IF(ISNA(VLOOKUP($A28,Council_Data!$A$3:$AB$840,13,0)),0,VLOOKUP($A28,Council_Data!$A$3:$AB$840,13,0))</f>
        <v>40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Britten</v>
      </c>
    </row>
    <row r="29" spans="1:22" ht="29.1" customHeight="1">
      <c r="A29" s="93">
        <v>7202</v>
      </c>
      <c r="B29" s="50" t="str">
        <f>IF(ISNA(VLOOKUP($A29,Council_Data!$A$3:$AB$840,2,0)),0,VLOOKUP($A29,Council_Data!$A$3:$AB$840,2,0))</f>
        <v>141</v>
      </c>
      <c r="C29" s="50" t="str">
        <f>IF(ISNA(VLOOKUP($A29,Council_Data!$A$3:$AB$840,3,0)),0,VLOOKUP($A29,Council_Data!$A$3:$AB$840,3,0))</f>
        <v>Bellmead</v>
      </c>
      <c r="D29" s="93">
        <f>IF(ISNA(VLOOKUP($A29,Council_Data!$A$3:$AB$840,5,0)),0,VLOOKUP($A29,Council_Data!$A$3:$AB$840,5,0))</f>
        <v>67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1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1</v>
      </c>
      <c r="L29" s="94">
        <f>IF(ISNA(VLOOKUP($A29,Council_Data!$A$3:$AB$840,13,0)),0,VLOOKUP($A29,Council_Data!$A$3:$AB$840,13,0))</f>
        <v>33.33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1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Rangel</v>
      </c>
    </row>
    <row r="30" spans="1:22" ht="29.1" customHeight="1">
      <c r="A30" s="93">
        <v>7600</v>
      </c>
      <c r="B30" s="50" t="str">
        <f>IF(ISNA(VLOOKUP($A30,Council_Data!$A$3:$AB$840,2,0)),0,VLOOKUP($A30,Council_Data!$A$3:$AB$840,2,0))</f>
        <v>151</v>
      </c>
      <c r="C30" s="50" t="str">
        <f>IF(ISNA(VLOOKUP($A30,Council_Data!$A$3:$AB$840,3,0)),0,VLOOKUP($A30,Council_Data!$A$3:$AB$840,3,0))</f>
        <v>Cedar Park</v>
      </c>
      <c r="D30" s="93">
        <f>IF(ISNA(VLOOKUP($A30,Council_Data!$A$3:$AB$840,5,0)),0,VLOOKUP($A30,Council_Data!$A$3:$AB$840,5,0))</f>
        <v>264</v>
      </c>
      <c r="E30" s="93">
        <f>IF(ISNA(VLOOKUP($A30,Council_Data!$A$3:$AB$840,6,0)),0,VLOOKUP($A30,Council_Data!$A$3:$AB$840,6,0))</f>
        <v>13</v>
      </c>
      <c r="F30" s="93">
        <f>IF(ISNA(VLOOKUP($A30,Council_Data!$A$3:$AB$840,7,0)),0,VLOOKUP($A30,Council_Data!$A$3:$AB$840,7,0))</f>
        <v>1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1</v>
      </c>
      <c r="I30" s="93">
        <f>IF(ISNA(VLOOKUP($A30,Council_Data!$A$3:$AB$840,10,0)),0,VLOOKUP($A30,Council_Data!$A$3:$AB$840,10,0))</f>
        <v>7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7</v>
      </c>
      <c r="L30" s="94">
        <f>IF(ISNA(VLOOKUP($A30,Council_Data!$A$3:$AB$840,13,0)),0,VLOOKUP($A30,Council_Data!$A$3:$AB$840,13,0))</f>
        <v>53.85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1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1</v>
      </c>
      <c r="Q30" s="93">
        <f>IF(ISNA(VLOOKUP($A30,Council_Data!$A$3:$AB$840,18,0)),0,VLOOKUP($A30,Council_Data!$A$3:$AB$840,18,0))</f>
        <v>4</v>
      </c>
      <c r="R30" s="93">
        <f>IF(ISNA(VLOOKUP($A30,Council_Data!$A$3:$AB$840,19,0)),0,VLOOKUP($A30,Council_Data!$A$3:$AB$840,19,0))</f>
        <v>2</v>
      </c>
      <c r="S30" s="93">
        <f>IF(ISNA(VLOOKUP($A30,Council_Data!$A$3:$AB$840,20,0)),0,VLOOKUP($A30,Council_Data!$A$3:$AB$840,20,0))</f>
        <v>2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Rangel</v>
      </c>
    </row>
    <row r="31" spans="1:22" ht="29.1" customHeight="1">
      <c r="A31" s="93">
        <v>7975</v>
      </c>
      <c r="B31" s="50" t="str">
        <f>IF(ISNA(VLOOKUP($A31,Council_Data!$A$3:$AB$840,2,0)),0,VLOOKUP($A31,Council_Data!$A$3:$AB$840,2,0))</f>
        <v>159</v>
      </c>
      <c r="C31" s="50" t="str">
        <f>IF(ISNA(VLOOKUP($A31,Council_Data!$A$3:$AB$840,3,0)),0,VLOOKUP($A31,Council_Data!$A$3:$AB$840,3,0))</f>
        <v>Kyle</v>
      </c>
      <c r="D31" s="93">
        <f>IF(ISNA(VLOOKUP($A31,Council_Data!$A$3:$AB$840,5,0)),0,VLOOKUP($A31,Council_Data!$A$3:$AB$840,5,0))</f>
        <v>252</v>
      </c>
      <c r="E31" s="93">
        <f>IF(ISNA(VLOOKUP($A31,Council_Data!$A$3:$AB$840,6,0)),0,VLOOKUP($A31,Council_Data!$A$3:$AB$840,6,0))</f>
        <v>12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2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2</v>
      </c>
      <c r="L31" s="94">
        <f>IF(ISNA(VLOOKUP($A31,Council_Data!$A$3:$AB$840,13,0)),0,VLOOKUP($A31,Council_Data!$A$3:$AB$840,13,0))</f>
        <v>16.670000000000002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3</v>
      </c>
      <c r="R31" s="93">
        <f>IF(ISNA(VLOOKUP($A31,Council_Data!$A$3:$AB$840,19,0)),0,VLOOKUP($A31,Council_Data!$A$3:$AB$840,19,0))</f>
        <v>1</v>
      </c>
      <c r="S31" s="93">
        <f>IF(ISNA(VLOOKUP($A31,Council_Data!$A$3:$AB$840,20,0)),0,VLOOKUP($A31,Council_Data!$A$3:$AB$840,20,0))</f>
        <v>2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Rangel</v>
      </c>
    </row>
    <row r="32" spans="1:22" ht="29.1" customHeight="1">
      <c r="A32" s="93">
        <v>8085</v>
      </c>
      <c r="B32" s="50" t="str">
        <f>IF(ISNA(VLOOKUP($A32,Council_Data!$A$3:$AB$840,2,0)),0,VLOOKUP($A32,Council_Data!$A$3:$AB$840,2,0))</f>
        <v>154</v>
      </c>
      <c r="C32" s="50" t="str">
        <f>IF(ISNA(VLOOKUP($A32,Council_Data!$A$3:$AB$840,3,0)),0,VLOOKUP($A32,Council_Data!$A$3:$AB$840,3,0))</f>
        <v>Giddings</v>
      </c>
      <c r="D32" s="93">
        <f>IF(ISNA(VLOOKUP($A32,Council_Data!$A$3:$AB$840,5,0)),0,VLOOKUP($A32,Council_Data!$A$3:$AB$840,5,0))</f>
        <v>101</v>
      </c>
      <c r="E32" s="93">
        <f>IF(ISNA(VLOOKUP($A32,Council_Data!$A$3:$AB$840,6,0)),0,VLOOKUP($A32,Council_Data!$A$3:$AB$840,6,0))</f>
        <v>5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2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2</v>
      </c>
      <c r="L32" s="94">
        <f>IF(ISNA(VLOOKUP($A32,Council_Data!$A$3:$AB$840,13,0)),0,VLOOKUP($A32,Council_Data!$A$3:$AB$840,13,0))</f>
        <v>40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1</v>
      </c>
      <c r="P32" s="93">
        <f>IF(ISNA(VLOOKUP($A32,Council_Data!$A$3:$AB$840,17,0)),0,VLOOKUP($A32,Council_Data!$A$3:$AB$840,17,0))</f>
        <v>-1</v>
      </c>
      <c r="Q32" s="93">
        <f>IF(ISNA(VLOOKUP($A32,Council_Data!$A$3:$AB$840,18,0)),0,VLOOKUP($A32,Council_Data!$A$3:$AB$840,18,0))</f>
        <v>2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Britten</v>
      </c>
    </row>
    <row r="33" spans="1:22" ht="29.1" customHeight="1">
      <c r="A33" s="93">
        <v>8131</v>
      </c>
      <c r="B33" s="50" t="str">
        <f>IF(ISNA(VLOOKUP($A33,Council_Data!$A$3:$AB$840,2,0)),0,VLOOKUP($A33,Council_Data!$A$3:$AB$840,2,0))</f>
        <v>153</v>
      </c>
      <c r="C33" s="50" t="str">
        <f>IF(ISNA(VLOOKUP($A33,Council_Data!$A$3:$AB$840,3,0)),0,VLOOKUP($A33,Council_Data!$A$3:$AB$840,3,0))</f>
        <v>Lockhart</v>
      </c>
      <c r="D33" s="93">
        <f>IF(ISNA(VLOOKUP($A33,Council_Data!$A$3:$AB$840,5,0)),0,VLOOKUP($A33,Council_Data!$A$3:$AB$840,5,0))</f>
        <v>94</v>
      </c>
      <c r="E33" s="93">
        <f>IF(ISNA(VLOOKUP($A33,Council_Data!$A$3:$AB$840,6,0)),0,VLOOKUP($A33,Council_Data!$A$3:$AB$840,6,0))</f>
        <v>4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5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5</v>
      </c>
      <c r="L33" s="94">
        <f>IF(ISNA(VLOOKUP($A33,Council_Data!$A$3:$AB$840,13,0)),0,VLOOKUP($A33,Council_Data!$A$3:$AB$840,13,0))</f>
        <v>125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1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Rangel</v>
      </c>
    </row>
    <row r="34" spans="1:22" ht="29.1" customHeight="1">
      <c r="A34" s="93">
        <v>8135</v>
      </c>
      <c r="B34" s="50" t="str">
        <f>IF(ISNA(VLOOKUP($A34,Council_Data!$A$3:$AB$840,2,0)),0,VLOOKUP($A34,Council_Data!$A$3:$AB$840,2,0))</f>
        <v>142</v>
      </c>
      <c r="C34" s="50" t="str">
        <f>IF(ISNA(VLOOKUP($A34,Council_Data!$A$3:$AB$840,3,0)),0,VLOOKUP($A34,Council_Data!$A$3:$AB$840,3,0))</f>
        <v>Waco</v>
      </c>
      <c r="D34" s="93">
        <f>IF(ISNA(VLOOKUP($A34,Council_Data!$A$3:$AB$840,5,0)),0,VLOOKUP($A34,Council_Data!$A$3:$AB$840,5,0))</f>
        <v>157</v>
      </c>
      <c r="E34" s="93">
        <f>IF(ISNA(VLOOKUP($A34,Council_Data!$A$3:$AB$840,6,0)),0,VLOOKUP($A34,Council_Data!$A$3:$AB$840,6,0))</f>
        <v>8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1</v>
      </c>
      <c r="P34" s="93">
        <f>IF(ISNA(VLOOKUP($A34,Council_Data!$A$3:$AB$840,17,0)),0,VLOOKUP($A34,Council_Data!$A$3:$AB$840,17,0))</f>
        <v>-1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3</v>
      </c>
      <c r="S34" s="93">
        <f>IF(ISNA(VLOOKUP($A34,Council_Data!$A$3:$AB$840,20,0)),0,VLOOKUP($A34,Council_Data!$A$3:$AB$840,20,0))</f>
        <v>-3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1</v>
      </c>
      <c r="V34" s="50" t="str">
        <f>IF(ISNA(VLOOKUP($A34,Council_Data!$A$3:$AB$840,24,0)),0,VLOOKUP($A34,Council_Data!$A$3:$AB$840,24,0))</f>
        <v>Britten</v>
      </c>
    </row>
    <row r="35" spans="1:22" ht="29.1" customHeight="1">
      <c r="A35" s="93">
        <v>8141</v>
      </c>
      <c r="B35" s="50" t="str">
        <f>IF(ISNA(VLOOKUP($A35,Council_Data!$A$3:$AB$840,2,0)),0,VLOOKUP($A35,Council_Data!$A$3:$AB$840,2,0))</f>
        <v>157</v>
      </c>
      <c r="C35" s="50" t="str">
        <f>IF(ISNA(VLOOKUP($A35,Council_Data!$A$3:$AB$840,3,0)),0,VLOOKUP($A35,Council_Data!$A$3:$AB$840,3,0))</f>
        <v>Austin</v>
      </c>
      <c r="D35" s="93">
        <f>IF(ISNA(VLOOKUP($A35,Council_Data!$A$3:$AB$840,5,0)),0,VLOOKUP($A35,Council_Data!$A$3:$AB$840,5,0))</f>
        <v>64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Rangel</v>
      </c>
    </row>
    <row r="36" spans="1:22" ht="29.1" customHeight="1">
      <c r="A36" s="93">
        <v>8156</v>
      </c>
      <c r="B36" s="50" t="str">
        <f>IF(ISNA(VLOOKUP($A36,Council_Data!$A$3:$AB$840,2,0)),0,VLOOKUP($A36,Council_Data!$A$3:$AB$840,2,0))</f>
        <v>158</v>
      </c>
      <c r="C36" s="50" t="str">
        <f>IF(ISNA(VLOOKUP($A36,Council_Data!$A$3:$AB$840,3,0)),0,VLOOKUP($A36,Council_Data!$A$3:$AB$840,3,0))</f>
        <v>Austin</v>
      </c>
      <c r="D36" s="93">
        <f>IF(ISNA(VLOOKUP($A36,Council_Data!$A$3:$AB$840,5,0)),0,VLOOKUP($A36,Council_Data!$A$3:$AB$840,5,0))</f>
        <v>329</v>
      </c>
      <c r="E36" s="93">
        <f>IF(ISNA(VLOOKUP($A36,Council_Data!$A$3:$AB$840,6,0)),0,VLOOKUP($A36,Council_Data!$A$3:$AB$840,6,0))</f>
        <v>15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1</v>
      </c>
      <c r="H36" s="93">
        <f>IF(ISNA(VLOOKUP($A36,Council_Data!$A$3:$AB$840,9,0)),0,VLOOKUP($A36,Council_Data!$A$3:$AB$840,9,0))</f>
        <v>-1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1</v>
      </c>
      <c r="K36" s="93">
        <f>IF(ISNA(VLOOKUP($A36,Council_Data!$A$3:$AB$840,12,0)),0,VLOOKUP($A36,Council_Data!$A$3:$AB$840,12,0))</f>
        <v>-1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0</v>
      </c>
      <c r="R36" s="93">
        <f>IF(ISNA(VLOOKUP($A36,Council_Data!$A$3:$AB$840,19,0)),0,VLOOKUP($A36,Council_Data!$A$3:$AB$840,19,0))</f>
        <v>5</v>
      </c>
      <c r="S36" s="93">
        <f>IF(ISNA(VLOOKUP($A36,Council_Data!$A$3:$AB$840,20,0)),0,VLOOKUP($A36,Council_Data!$A$3:$AB$840,20,0))</f>
        <v>-5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Rangel</v>
      </c>
    </row>
    <row r="37" spans="1:22" ht="29.1" customHeight="1">
      <c r="A37" s="93">
        <v>8190</v>
      </c>
      <c r="B37" s="50" t="str">
        <f>IF(ISNA(VLOOKUP($A37,Council_Data!$A$3:$AB$840,2,0)),0,VLOOKUP($A37,Council_Data!$A$3:$AB$840,2,0))</f>
        <v>153</v>
      </c>
      <c r="C37" s="50" t="str">
        <f>IF(ISNA(VLOOKUP($A37,Council_Data!$A$3:$AB$840,3,0)),0,VLOOKUP($A37,Council_Data!$A$3:$AB$840,3,0))</f>
        <v>Luling</v>
      </c>
      <c r="D37" s="93">
        <f>IF(ISNA(VLOOKUP($A37,Council_Data!$A$3:$AB$840,5,0)),0,VLOOKUP($A37,Council_Data!$A$3:$AB$840,5,0))</f>
        <v>95</v>
      </c>
      <c r="E37" s="93">
        <f>IF(ISNA(VLOOKUP($A37,Council_Data!$A$3:$AB$840,6,0)),0,VLOOKUP($A37,Council_Data!$A$3:$AB$840,6,0))</f>
        <v>5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1</v>
      </c>
      <c r="P37" s="93">
        <f>IF(ISNA(VLOOKUP($A37,Council_Data!$A$3:$AB$840,17,0)),0,VLOOKUP($A37,Council_Data!$A$3:$AB$840,17,0))</f>
        <v>-1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1</v>
      </c>
      <c r="S37" s="93">
        <f>IF(ISNA(VLOOKUP($A37,Council_Data!$A$3:$AB$840,20,0)),0,VLOOKUP($A37,Council_Data!$A$3:$AB$840,20,0))</f>
        <v>-1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2</v>
      </c>
      <c r="V37" s="50" t="str">
        <f>IF(ISNA(VLOOKUP($A37,Council_Data!$A$3:$AB$840,24,0)),0,VLOOKUP($A37,Council_Data!$A$3:$AB$840,24,0))</f>
        <v>Rangel</v>
      </c>
    </row>
    <row r="38" spans="1:22" ht="29.1" customHeight="1">
      <c r="A38" s="93">
        <v>8225</v>
      </c>
      <c r="B38" s="50" t="str">
        <f>IF(ISNA(VLOOKUP($A38,Council_Data!$A$3:$AB$840,2,0)),0,VLOOKUP($A38,Council_Data!$A$3:$AB$840,2,0))</f>
        <v>152</v>
      </c>
      <c r="C38" s="50" t="str">
        <f>IF(ISNA(VLOOKUP($A38,Council_Data!$A$3:$AB$840,3,0)),0,VLOOKUP($A38,Council_Data!$A$3:$AB$840,3,0))</f>
        <v>Elgin</v>
      </c>
      <c r="D38" s="93">
        <f>IF(ISNA(VLOOKUP($A38,Council_Data!$A$3:$AB$840,5,0)),0,VLOOKUP($A38,Council_Data!$A$3:$AB$840,5,0))</f>
        <v>68</v>
      </c>
      <c r="E38" s="93">
        <f>IF(ISNA(VLOOKUP($A38,Council_Data!$A$3:$AB$840,6,0)),0,VLOOKUP($A38,Council_Data!$A$3:$AB$840,6,0))</f>
        <v>3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1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1</v>
      </c>
      <c r="L38" s="94">
        <f>IF(ISNA(VLOOKUP($A38,Council_Data!$A$3:$AB$840,13,0)),0,VLOOKUP($A38,Council_Data!$A$3:$AB$840,13,0))</f>
        <v>33.33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Britten</v>
      </c>
    </row>
    <row r="39" spans="1:22" ht="29.1" customHeight="1">
      <c r="A39" s="93">
        <v>8935</v>
      </c>
      <c r="B39" s="50" t="str">
        <f>IF(ISNA(VLOOKUP($A39,Council_Data!$A$3:$AB$840,2,0)),0,VLOOKUP($A39,Council_Data!$A$3:$AB$840,2,0))</f>
        <v>160</v>
      </c>
      <c r="C39" s="50" t="str">
        <f>IF(ISNA(VLOOKUP($A39,Council_Data!$A$3:$AB$840,3,0)),0,VLOOKUP($A39,Council_Data!$A$3:$AB$840,3,0))</f>
        <v>Burnet</v>
      </c>
      <c r="D39" s="93">
        <f>IF(ISNA(VLOOKUP($A39,Council_Data!$A$3:$AB$840,5,0)),0,VLOOKUP($A39,Council_Data!$A$3:$AB$840,5,0))</f>
        <v>69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1</v>
      </c>
      <c r="J39" s="93">
        <f>IF(ISNA(VLOOKUP($A39,Council_Data!$A$3:$AB$840,11,0)),0,VLOOKUP($A39,Council_Data!$A$3:$AB$840,11,0))</f>
        <v>1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1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1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2</v>
      </c>
      <c r="V39" s="50" t="str">
        <f>IF(ISNA(VLOOKUP($A39,Council_Data!$A$3:$AB$840,24,0)),0,VLOOKUP($A39,Council_Data!$A$3:$AB$840,24,0))</f>
        <v>Rangel</v>
      </c>
    </row>
    <row r="40" spans="1:22" ht="29.1" customHeight="1">
      <c r="A40" s="93">
        <v>9038</v>
      </c>
      <c r="B40" s="50" t="str">
        <f>IF(ISNA(VLOOKUP($A40,Council_Data!$A$3:$AB$840,2,0)),0,VLOOKUP($A40,Council_Data!$A$3:$AB$840,2,0))</f>
        <v>159</v>
      </c>
      <c r="C40" s="50" t="str">
        <f>IF(ISNA(VLOOKUP($A40,Council_Data!$A$3:$AB$840,3,0)),0,VLOOKUP($A40,Council_Data!$A$3:$AB$840,3,0))</f>
        <v>Buda</v>
      </c>
      <c r="D40" s="93">
        <f>IF(ISNA(VLOOKUP($A40,Council_Data!$A$3:$AB$840,5,0)),0,VLOOKUP($A40,Council_Data!$A$3:$AB$840,5,0))</f>
        <v>152</v>
      </c>
      <c r="E40" s="93">
        <f>IF(ISNA(VLOOKUP($A40,Council_Data!$A$3:$AB$840,6,0)),0,VLOOKUP($A40,Council_Data!$A$3:$AB$840,6,0))</f>
        <v>8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3</v>
      </c>
      <c r="K40" s="93">
        <f>IF(ISNA(VLOOKUP($A40,Council_Data!$A$3:$AB$840,12,0)),0,VLOOKUP($A40,Council_Data!$A$3:$AB$840,12,0))</f>
        <v>-3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1</v>
      </c>
      <c r="V40" s="50" t="str">
        <f>IF(ISNA(VLOOKUP($A40,Council_Data!$A$3:$AB$840,24,0)),0,VLOOKUP($A40,Council_Data!$A$3:$AB$840,24,0))</f>
        <v>Britten</v>
      </c>
    </row>
    <row r="41" spans="1:22" ht="29.1" customHeight="1">
      <c r="A41" s="93">
        <v>9151</v>
      </c>
      <c r="B41" s="50" t="str">
        <f>IF(ISNA(VLOOKUP($A41,Council_Data!$A$3:$AB$840,2,0)),0,VLOOKUP($A41,Council_Data!$A$3:$AB$840,2,0))</f>
        <v>158</v>
      </c>
      <c r="C41" s="50" t="str">
        <f>IF(ISNA(VLOOKUP($A41,Council_Data!$A$3:$AB$840,3,0)),0,VLOOKUP($A41,Council_Data!$A$3:$AB$840,3,0))</f>
        <v>Wimberley</v>
      </c>
      <c r="D41" s="93">
        <f>IF(ISNA(VLOOKUP($A41,Council_Data!$A$3:$AB$840,5,0)),0,VLOOKUP($A41,Council_Data!$A$3:$AB$840,5,0))</f>
        <v>139</v>
      </c>
      <c r="E41" s="93">
        <f>IF(ISNA(VLOOKUP($A41,Council_Data!$A$3:$AB$840,6,0)),0,VLOOKUP($A41,Council_Data!$A$3:$AB$840,6,0))</f>
        <v>7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0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0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Rangel</v>
      </c>
    </row>
    <row r="42" spans="1:22" ht="29.1" customHeight="1">
      <c r="A42" s="93">
        <v>9368</v>
      </c>
      <c r="B42" s="50" t="str">
        <f>IF(ISNA(VLOOKUP($A42,Council_Data!$A$3:$AB$840,2,0)),0,VLOOKUP($A42,Council_Data!$A$3:$AB$840,2,0))</f>
        <v>150</v>
      </c>
      <c r="C42" s="50" t="str">
        <f>IF(ISNA(VLOOKUP($A42,Council_Data!$A$3:$AB$840,3,0)),0,VLOOKUP($A42,Council_Data!$A$3:$AB$840,3,0))</f>
        <v>Round Rock</v>
      </c>
      <c r="D42" s="93">
        <f>IF(ISNA(VLOOKUP($A42,Council_Data!$A$3:$AB$840,5,0)),0,VLOOKUP($A42,Council_Data!$A$3:$AB$840,5,0))</f>
        <v>360</v>
      </c>
      <c r="E42" s="93">
        <f>IF(ISNA(VLOOKUP($A42,Council_Data!$A$3:$AB$840,6,0)),0,VLOOKUP($A42,Council_Data!$A$3:$AB$840,6,0))</f>
        <v>18</v>
      </c>
      <c r="F42" s="93">
        <f>IF(ISNA(VLOOKUP($A42,Council_Data!$A$3:$AB$840,7,0)),0,VLOOKUP($A42,Council_Data!$A$3:$AB$840,7,0))</f>
        <v>1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1</v>
      </c>
      <c r="I42" s="93">
        <f>IF(ISNA(VLOOKUP($A42,Council_Data!$A$3:$AB$840,10,0)),0,VLOOKUP($A42,Council_Data!$A$3:$AB$840,10,0))</f>
        <v>3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3</v>
      </c>
      <c r="L42" s="94">
        <f>IF(ISNA(VLOOKUP($A42,Council_Data!$A$3:$AB$840,13,0)),0,VLOOKUP($A42,Council_Data!$A$3:$AB$840,13,0))</f>
        <v>16.670000000000002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1</v>
      </c>
      <c r="P42" s="93">
        <f>IF(ISNA(VLOOKUP($A42,Council_Data!$A$3:$AB$840,17,0)),0,VLOOKUP($A42,Council_Data!$A$3:$AB$840,17,0))</f>
        <v>-1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1</v>
      </c>
      <c r="S42" s="93">
        <f>IF(ISNA(VLOOKUP($A42,Council_Data!$A$3:$AB$840,20,0)),0,VLOOKUP($A42,Council_Data!$A$3:$AB$840,20,0))</f>
        <v>-1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Rangel</v>
      </c>
    </row>
    <row r="43" spans="1:22" ht="29.1" customHeight="1">
      <c r="A43" s="93">
        <v>9743</v>
      </c>
      <c r="B43" s="50" t="str">
        <f>IF(ISNA(VLOOKUP($A43,Council_Data!$A$3:$AB$840,2,0)),0,VLOOKUP($A43,Council_Data!$A$3:$AB$840,2,0))</f>
        <v>162</v>
      </c>
      <c r="C43" s="50" t="str">
        <f>IF(ISNA(VLOOKUP($A43,Council_Data!$A$3:$AB$840,3,0)),0,VLOOKUP($A43,Council_Data!$A$3:$AB$840,3,0))</f>
        <v>Rosebud</v>
      </c>
      <c r="D43" s="93">
        <f>IF(ISNA(VLOOKUP($A43,Council_Data!$A$3:$AB$840,5,0)),0,VLOOKUP($A43,Council_Data!$A$3:$AB$840,5,0))</f>
        <v>33</v>
      </c>
      <c r="E43" s="93">
        <f>IF(ISNA(VLOOKUP($A43,Council_Data!$A$3:$AB$840,6,0)),0,VLOOKUP($A43,Council_Data!$A$3:$AB$840,6,0))</f>
        <v>3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3</v>
      </c>
      <c r="V43" s="50" t="str">
        <f>IF(ISNA(VLOOKUP($A43,Council_Data!$A$3:$AB$840,24,0)),0,VLOOKUP($A43,Council_Data!$A$3:$AB$840,24,0))</f>
        <v>Rangel</v>
      </c>
    </row>
    <row r="44" spans="1:22" ht="29.1" customHeight="1">
      <c r="A44" s="93">
        <v>9796</v>
      </c>
      <c r="B44" s="50" t="str">
        <f>IF(ISNA(VLOOKUP($A44,Council_Data!$A$3:$AB$840,2,0)),0,VLOOKUP($A44,Council_Data!$A$3:$AB$840,2,0))</f>
        <v>156</v>
      </c>
      <c r="C44" s="50" t="str">
        <f>IF(ISNA(VLOOKUP($A44,Council_Data!$A$3:$AB$840,3,0)),0,VLOOKUP($A44,Council_Data!$A$3:$AB$840,3,0))</f>
        <v>Austin</v>
      </c>
      <c r="D44" s="93">
        <f>IF(ISNA(VLOOKUP($A44,Council_Data!$A$3:$AB$840,5,0)),0,VLOOKUP($A44,Council_Data!$A$3:$AB$840,5,0))</f>
        <v>108</v>
      </c>
      <c r="E44" s="93">
        <f>IF(ISNA(VLOOKUP($A44,Council_Data!$A$3:$AB$840,6,0)),0,VLOOKUP($A44,Council_Data!$A$3:$AB$840,6,0))</f>
        <v>5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7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7</v>
      </c>
      <c r="L44" s="94">
        <f>IF(ISNA(VLOOKUP($A44,Council_Data!$A$3:$AB$840,13,0)),0,VLOOKUP($A44,Council_Data!$A$3:$AB$840,13,0))</f>
        <v>140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0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2</v>
      </c>
      <c r="V44" s="50" t="str">
        <f>IF(ISNA(VLOOKUP($A44,Council_Data!$A$3:$AB$840,24,0)),0,VLOOKUP($A44,Council_Data!$A$3:$AB$840,24,0))</f>
        <v>Rangel</v>
      </c>
    </row>
    <row r="45" spans="1:22" ht="29.1" customHeight="1">
      <c r="A45" s="93">
        <v>9930</v>
      </c>
      <c r="B45" s="50" t="str">
        <f>IF(ISNA(VLOOKUP($A45,Council_Data!$A$3:$AB$840,2,0)),0,VLOOKUP($A45,Council_Data!$A$3:$AB$840,2,0))</f>
        <v>147</v>
      </c>
      <c r="C45" s="50" t="str">
        <f>IF(ISNA(VLOOKUP($A45,Council_Data!$A$3:$AB$840,3,0)),0,VLOOKUP($A45,Council_Data!$A$3:$AB$840,3,0))</f>
        <v>Harker Heights</v>
      </c>
      <c r="D45" s="93">
        <f>IF(ISNA(VLOOKUP($A45,Council_Data!$A$3:$AB$840,5,0)),0,VLOOKUP($A45,Council_Data!$A$3:$AB$840,5,0))</f>
        <v>313</v>
      </c>
      <c r="E45" s="93">
        <f>IF(ISNA(VLOOKUP($A45,Council_Data!$A$3:$AB$840,6,0)),0,VLOOKUP($A45,Council_Data!$A$3:$AB$840,6,0))</f>
        <v>15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1</v>
      </c>
      <c r="H45" s="93">
        <f>IF(ISNA(VLOOKUP($A45,Council_Data!$A$3:$AB$840,9,0)),0,VLOOKUP($A45,Council_Data!$A$3:$AB$840,9,0))</f>
        <v>-1</v>
      </c>
      <c r="I45" s="93">
        <f>IF(ISNA(VLOOKUP($A45,Council_Data!$A$3:$AB$840,10,0)),0,VLOOKUP($A45,Council_Data!$A$3:$AB$840,10,0))</f>
        <v>1</v>
      </c>
      <c r="J45" s="93">
        <f>IF(ISNA(VLOOKUP($A45,Council_Data!$A$3:$AB$840,11,0)),0,VLOOKUP($A45,Council_Data!$A$3:$AB$840,11,0))</f>
        <v>8</v>
      </c>
      <c r="K45" s="93">
        <f>IF(ISNA(VLOOKUP($A45,Council_Data!$A$3:$AB$840,12,0)),0,VLOOKUP($A45,Council_Data!$A$3:$AB$840,12,0))</f>
        <v>-7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1</v>
      </c>
      <c r="P45" s="93">
        <f>IF(ISNA(VLOOKUP($A45,Council_Data!$A$3:$AB$840,17,0)),0,VLOOKUP($A45,Council_Data!$A$3:$AB$840,17,0))</f>
        <v>-1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5</v>
      </c>
      <c r="S45" s="93">
        <f>IF(ISNA(VLOOKUP($A45,Council_Data!$A$3:$AB$840,20,0)),0,VLOOKUP($A45,Council_Data!$A$3:$AB$840,20,0))</f>
        <v>-5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1</v>
      </c>
      <c r="V45" s="50" t="str">
        <f>IF(ISNA(VLOOKUP($A45,Council_Data!$A$3:$AB$840,24,0)),0,VLOOKUP($A45,Council_Data!$A$3:$AB$840,24,0))</f>
        <v>Rangel</v>
      </c>
    </row>
    <row r="46" spans="1:22" ht="29.1" customHeight="1">
      <c r="A46" s="93">
        <v>9997</v>
      </c>
      <c r="B46" s="50" t="str">
        <f>IF(ISNA(VLOOKUP($A46,Council_Data!$A$3:$AB$840,2,0)),0,VLOOKUP($A46,Council_Data!$A$3:$AB$840,2,0))</f>
        <v>151</v>
      </c>
      <c r="C46" s="50" t="str">
        <f>IF(ISNA(VLOOKUP($A46,Council_Data!$A$3:$AB$840,3,0)),0,VLOOKUP($A46,Council_Data!$A$3:$AB$840,3,0))</f>
        <v>Austin</v>
      </c>
      <c r="D46" s="93">
        <f>IF(ISNA(VLOOKUP($A46,Council_Data!$A$3:$AB$840,5,0)),0,VLOOKUP($A46,Council_Data!$A$3:$AB$840,5,0))</f>
        <v>191</v>
      </c>
      <c r="E46" s="93">
        <f>IF(ISNA(VLOOKUP($A46,Council_Data!$A$3:$AB$840,6,0)),0,VLOOKUP($A46,Council_Data!$A$3:$AB$840,6,0))</f>
        <v>9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4</v>
      </c>
      <c r="J46" s="93">
        <f>IF(ISNA(VLOOKUP($A46,Council_Data!$A$3:$AB$840,11,0)),0,VLOOKUP($A46,Council_Data!$A$3:$AB$840,11,0))</f>
        <v>3</v>
      </c>
      <c r="K46" s="93">
        <f>IF(ISNA(VLOOKUP($A46,Council_Data!$A$3:$AB$840,12,0)),0,VLOOKUP($A46,Council_Data!$A$3:$AB$840,12,0))</f>
        <v>1</v>
      </c>
      <c r="L46" s="94">
        <f>IF(ISNA(VLOOKUP($A46,Council_Data!$A$3:$AB$840,13,0)),0,VLOOKUP($A46,Council_Data!$A$3:$AB$840,13,0))</f>
        <v>11.11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1</v>
      </c>
      <c r="R46" s="93">
        <f>IF(ISNA(VLOOKUP($A46,Council_Data!$A$3:$AB$840,19,0)),0,VLOOKUP($A46,Council_Data!$A$3:$AB$840,19,0))</f>
        <v>3</v>
      </c>
      <c r="S46" s="93">
        <f>IF(ISNA(VLOOKUP($A46,Council_Data!$A$3:$AB$840,20,0)),0,VLOOKUP($A46,Council_Data!$A$3:$AB$840,20,0))</f>
        <v>-2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1</v>
      </c>
      <c r="V46" s="50" t="str">
        <f>IF(ISNA(VLOOKUP($A46,Council_Data!$A$3:$AB$840,24,0)),0,VLOOKUP($A46,Council_Data!$A$3:$AB$840,24,0))</f>
        <v>Britten</v>
      </c>
    </row>
    <row r="47" spans="1:22" ht="29.1" customHeight="1">
      <c r="A47" s="93">
        <v>10012</v>
      </c>
      <c r="B47" s="50" t="str">
        <f>IF(ISNA(VLOOKUP($A47,Council_Data!$A$3:$AB$840,2,0)),0,VLOOKUP($A47,Council_Data!$A$3:$AB$840,2,0))</f>
        <v>149</v>
      </c>
      <c r="C47" s="50" t="str">
        <f>IF(ISNA(VLOOKUP($A47,Council_Data!$A$3:$AB$840,3,0)),0,VLOOKUP($A47,Council_Data!$A$3:$AB$840,3,0))</f>
        <v>Taylor</v>
      </c>
      <c r="D47" s="93">
        <f>IF(ISNA(VLOOKUP($A47,Council_Data!$A$3:$AB$840,5,0)),0,VLOOKUP($A47,Council_Data!$A$3:$AB$840,5,0))</f>
        <v>75</v>
      </c>
      <c r="E47" s="93">
        <f>IF(ISNA(VLOOKUP($A47,Council_Data!$A$3:$AB$840,6,0)),0,VLOOKUP($A47,Council_Data!$A$3:$AB$840,6,0))</f>
        <v>4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2</v>
      </c>
      <c r="V47" s="50" t="str">
        <f>IF(ISNA(VLOOKUP($A47,Council_Data!$A$3:$AB$840,24,0)),0,VLOOKUP($A47,Council_Data!$A$3:$AB$840,24,0))</f>
        <v>Rangel</v>
      </c>
    </row>
    <row r="48" spans="1:22" ht="29.1" customHeight="1">
      <c r="A48" s="93">
        <v>10131</v>
      </c>
      <c r="B48" s="50" t="str">
        <f>IF(ISNA(VLOOKUP($A48,Council_Data!$A$3:$AB$840,2,0)),0,VLOOKUP($A48,Council_Data!$A$3:$AB$840,2,0))</f>
        <v>155</v>
      </c>
      <c r="C48" s="50" t="str">
        <f>IF(ISNA(VLOOKUP($A48,Council_Data!$A$3:$AB$840,3,0)),0,VLOOKUP($A48,Council_Data!$A$3:$AB$840,3,0))</f>
        <v>Austin</v>
      </c>
      <c r="D48" s="93">
        <f>IF(ISNA(VLOOKUP($A48,Council_Data!$A$3:$AB$840,5,0)),0,VLOOKUP($A48,Council_Data!$A$3:$AB$840,5,0))</f>
        <v>153</v>
      </c>
      <c r="E48" s="93">
        <f>IF(ISNA(VLOOKUP($A48,Council_Data!$A$3:$AB$840,6,0)),0,VLOOKUP($A48,Council_Data!$A$3:$AB$840,6,0))</f>
        <v>7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1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1</v>
      </c>
      <c r="L48" s="94">
        <f>IF(ISNA(VLOOKUP($A48,Council_Data!$A$3:$AB$840,13,0)),0,VLOOKUP($A48,Council_Data!$A$3:$AB$840,13,0))</f>
        <v>14.29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1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Britten</v>
      </c>
    </row>
    <row r="49" spans="1:22" ht="29.1" customHeight="1">
      <c r="A49" s="93">
        <v>10148</v>
      </c>
      <c r="B49" s="50" t="str">
        <f>IF(ISNA(VLOOKUP($A49,Council_Data!$A$3:$AB$840,2,0)),0,VLOOKUP($A49,Council_Data!$A$3:$AB$840,2,0))</f>
        <v>157</v>
      </c>
      <c r="C49" s="50" t="str">
        <f>IF(ISNA(VLOOKUP($A49,Council_Data!$A$3:$AB$840,3,0)),0,VLOOKUP($A49,Council_Data!$A$3:$AB$840,3,0))</f>
        <v>Austin</v>
      </c>
      <c r="D49" s="93">
        <f>IF(ISNA(VLOOKUP($A49,Council_Data!$A$3:$AB$840,5,0)),0,VLOOKUP($A49,Council_Data!$A$3:$AB$840,5,0))</f>
        <v>107</v>
      </c>
      <c r="E49" s="93">
        <f>IF(ISNA(VLOOKUP($A49,Council_Data!$A$3:$AB$840,6,0)),0,VLOOKUP($A49,Council_Data!$A$3:$AB$840,6,0))</f>
        <v>5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1</v>
      </c>
      <c r="P49" s="93">
        <f>IF(ISNA(VLOOKUP($A49,Council_Data!$A$3:$AB$840,17,0)),0,VLOOKUP($A49,Council_Data!$A$3:$AB$840,17,0))</f>
        <v>-1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1</v>
      </c>
      <c r="S49" s="93">
        <f>IF(ISNA(VLOOKUP($A49,Council_Data!$A$3:$AB$840,20,0)),0,VLOOKUP($A49,Council_Data!$A$3:$AB$840,20,0))</f>
        <v>-1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2</v>
      </c>
      <c r="V49" s="50" t="str">
        <f>IF(ISNA(VLOOKUP($A49,Council_Data!$A$3:$AB$840,24,0)),0,VLOOKUP($A49,Council_Data!$A$3:$AB$840,24,0))</f>
        <v>Britten</v>
      </c>
    </row>
    <row r="50" spans="1:22" ht="29.1" customHeight="1">
      <c r="A50" s="93">
        <v>10186</v>
      </c>
      <c r="B50" s="50" t="str">
        <f>IF(ISNA(VLOOKUP($A50,Council_Data!$A$3:$AB$840,2,0)),0,VLOOKUP($A50,Council_Data!$A$3:$AB$840,2,0))</f>
        <v>163</v>
      </c>
      <c r="C50" s="50" t="str">
        <f>IF(ISNA(VLOOKUP($A50,Council_Data!$A$3:$AB$840,3,0)),0,VLOOKUP($A50,Council_Data!$A$3:$AB$840,3,0))</f>
        <v>Cyclone-Marak</v>
      </c>
      <c r="D50" s="93">
        <f>IF(ISNA(VLOOKUP($A50,Council_Data!$A$3:$AB$840,5,0)),0,VLOOKUP($A50,Council_Data!$A$3:$AB$840,5,0))</f>
        <v>107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1</v>
      </c>
      <c r="K50" s="93">
        <f>IF(ISNA(VLOOKUP($A50,Council_Data!$A$3:$AB$840,12,0)),0,VLOOKUP($A50,Council_Data!$A$3:$AB$840,12,0))</f>
        <v>-1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1</v>
      </c>
      <c r="S50" s="93">
        <f>IF(ISNA(VLOOKUP($A50,Council_Data!$A$3:$AB$840,20,0)),0,VLOOKUP($A50,Council_Data!$A$3:$AB$840,20,0))</f>
        <v>-1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Rangel</v>
      </c>
    </row>
    <row r="51" spans="1:22" ht="29.1" customHeight="1">
      <c r="A51" s="93">
        <v>10209</v>
      </c>
      <c r="B51" s="50" t="str">
        <f>IF(ISNA(VLOOKUP($A51,Council_Data!$A$3:$AB$840,2,0)),0,VLOOKUP($A51,Council_Data!$A$3:$AB$840,2,0))</f>
        <v>158</v>
      </c>
      <c r="C51" s="50" t="str">
        <f>IF(ISNA(VLOOKUP($A51,Council_Data!$A$3:$AB$840,3,0)),0,VLOOKUP($A51,Council_Data!$A$3:$AB$840,3,0))</f>
        <v>Austin</v>
      </c>
      <c r="D51" s="93">
        <f>IF(ISNA(VLOOKUP($A51,Council_Data!$A$3:$AB$840,5,0)),0,VLOOKUP($A51,Council_Data!$A$3:$AB$840,5,0))</f>
        <v>105</v>
      </c>
      <c r="E51" s="93">
        <f>IF(ISNA(VLOOKUP($A51,Council_Data!$A$3:$AB$840,6,0)),0,VLOOKUP($A51,Council_Data!$A$3:$AB$840,6,0))</f>
        <v>5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0</v>
      </c>
      <c r="S51" s="93">
        <f>IF(ISNA(VLOOKUP($A51,Council_Data!$A$3:$AB$840,20,0)),0,VLOOKUP($A51,Council_Data!$A$3:$AB$840,20,0))</f>
        <v>0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2</v>
      </c>
      <c r="V51" s="50" t="str">
        <f>IF(ISNA(VLOOKUP($A51,Council_Data!$A$3:$AB$840,24,0)),0,VLOOKUP($A51,Council_Data!$A$3:$AB$840,24,0))</f>
        <v>Rangel</v>
      </c>
    </row>
    <row r="52" spans="1:22" ht="29.1" customHeight="1">
      <c r="A52" s="93">
        <v>10294</v>
      </c>
      <c r="B52" s="50" t="str">
        <f>IF(ISNA(VLOOKUP($A52,Council_Data!$A$3:$AB$840,2,0)),0,VLOOKUP($A52,Council_Data!$A$3:$AB$840,2,0))</f>
        <v>161</v>
      </c>
      <c r="C52" s="50" t="str">
        <f>IF(ISNA(VLOOKUP($A52,Council_Data!$A$3:$AB$840,3,0)),0,VLOOKUP($A52,Council_Data!$A$3:$AB$840,3,0))</f>
        <v>Gatesville</v>
      </c>
      <c r="D52" s="93">
        <f>IF(ISNA(VLOOKUP($A52,Council_Data!$A$3:$AB$840,5,0)),0,VLOOKUP($A52,Council_Data!$A$3:$AB$840,5,0))</f>
        <v>26</v>
      </c>
      <c r="E52" s="93">
        <f>IF(ISNA(VLOOKUP($A52,Council_Data!$A$3:$AB$840,6,0)),0,VLOOKUP($A52,Council_Data!$A$3:$AB$840,6,0))</f>
        <v>3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1</v>
      </c>
      <c r="L52" s="94">
        <f>IF(ISNA(VLOOKUP($A52,Council_Data!$A$3:$AB$840,13,0)),0,VLOOKUP($A52,Council_Data!$A$3:$AB$840,13,0))</f>
        <v>33.33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3</v>
      </c>
      <c r="V52" s="50" t="str">
        <f>IF(ISNA(VLOOKUP($A52,Council_Data!$A$3:$AB$840,24,0)),0,VLOOKUP($A52,Council_Data!$A$3:$AB$840,24,0))</f>
        <v>Britten</v>
      </c>
    </row>
    <row r="53" spans="1:22" ht="29.1" customHeight="1">
      <c r="A53" s="93">
        <v>10309</v>
      </c>
      <c r="B53" s="50" t="str">
        <f>IF(ISNA(VLOOKUP($A53,Council_Data!$A$3:$AB$840,2,0)),0,VLOOKUP($A53,Council_Data!$A$3:$AB$840,2,0))</f>
        <v>148</v>
      </c>
      <c r="C53" s="50" t="str">
        <f>IF(ISNA(VLOOKUP($A53,Council_Data!$A$3:$AB$840,3,0)),0,VLOOKUP($A53,Council_Data!$A$3:$AB$840,3,0))</f>
        <v>Somerville</v>
      </c>
      <c r="D53" s="93">
        <f>IF(ISNA(VLOOKUP($A53,Council_Data!$A$3:$AB$840,5,0)),0,VLOOKUP($A53,Council_Data!$A$3:$AB$840,5,0))</f>
        <v>49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Rangel</v>
      </c>
    </row>
    <row r="54" spans="1:22" ht="29.1" customHeight="1">
      <c r="A54" s="93">
        <v>10333</v>
      </c>
      <c r="B54" s="50" t="str">
        <f>IF(ISNA(VLOOKUP($A54,Council_Data!$A$3:$AB$840,2,0)),0,VLOOKUP($A54,Council_Data!$A$3:$AB$840,2,0))</f>
        <v>156</v>
      </c>
      <c r="C54" s="50" t="str">
        <f>IF(ISNA(VLOOKUP($A54,Council_Data!$A$3:$AB$840,3,0)),0,VLOOKUP($A54,Council_Data!$A$3:$AB$840,3,0))</f>
        <v>Austin</v>
      </c>
      <c r="D54" s="93">
        <f>IF(ISNA(VLOOKUP($A54,Council_Data!$A$3:$AB$840,5,0)),0,VLOOKUP($A54,Council_Data!$A$3:$AB$840,5,0))</f>
        <v>187</v>
      </c>
      <c r="E54" s="93">
        <f>IF(ISNA(VLOOKUP($A54,Council_Data!$A$3:$AB$840,6,0)),0,VLOOKUP($A54,Council_Data!$A$3:$AB$840,6,0))</f>
        <v>9</v>
      </c>
      <c r="F54" s="93">
        <f>IF(ISNA(VLOOKUP($A54,Council_Data!$A$3:$AB$840,7,0)),0,VLOOKUP($A54,Council_Data!$A$3:$AB$840,7,0))</f>
        <v>3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3</v>
      </c>
      <c r="I54" s="93">
        <f>IF(ISNA(VLOOKUP($A54,Council_Data!$A$3:$AB$840,10,0)),0,VLOOKUP($A54,Council_Data!$A$3:$AB$840,10,0))</f>
        <v>6</v>
      </c>
      <c r="J54" s="93">
        <f>IF(ISNA(VLOOKUP($A54,Council_Data!$A$3:$AB$840,11,0)),0,VLOOKUP($A54,Council_Data!$A$3:$AB$840,11,0))</f>
        <v>1</v>
      </c>
      <c r="K54" s="93">
        <f>IF(ISNA(VLOOKUP($A54,Council_Data!$A$3:$AB$840,12,0)),0,VLOOKUP($A54,Council_Data!$A$3:$AB$840,12,0))</f>
        <v>5</v>
      </c>
      <c r="L54" s="94">
        <f>IF(ISNA(VLOOKUP($A54,Council_Data!$A$3:$AB$840,13,0)),0,VLOOKUP($A54,Council_Data!$A$3:$AB$840,13,0))</f>
        <v>55.56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2</v>
      </c>
      <c r="S54" s="93">
        <f>IF(ISNA(VLOOKUP($A54,Council_Data!$A$3:$AB$840,20,0)),0,VLOOKUP($A54,Council_Data!$A$3:$AB$840,20,0))</f>
        <v>-2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1</v>
      </c>
      <c r="V54" s="50" t="str">
        <f>IF(ISNA(VLOOKUP($A54,Council_Data!$A$3:$AB$840,24,0)),0,VLOOKUP($A54,Council_Data!$A$3:$AB$840,24,0))</f>
        <v>Britten</v>
      </c>
    </row>
    <row r="55" spans="1:22" ht="29.1" customHeight="1">
      <c r="A55" s="93">
        <v>10373</v>
      </c>
      <c r="B55" s="50" t="str">
        <f>IF(ISNA(VLOOKUP($A55,Council_Data!$A$3:$AB$840,2,0)),0,VLOOKUP($A55,Council_Data!$A$3:$AB$840,2,0))</f>
        <v>150</v>
      </c>
      <c r="C55" s="50" t="str">
        <f>IF(ISNA(VLOOKUP($A55,Council_Data!$A$3:$AB$840,3,0)),0,VLOOKUP($A55,Council_Data!$A$3:$AB$840,3,0))</f>
        <v>Pflugerville</v>
      </c>
      <c r="D55" s="93">
        <f>IF(ISNA(VLOOKUP($A55,Council_Data!$A$3:$AB$840,5,0)),0,VLOOKUP($A55,Council_Data!$A$3:$AB$840,5,0))</f>
        <v>208</v>
      </c>
      <c r="E55" s="93">
        <f>IF(ISNA(VLOOKUP($A55,Council_Data!$A$3:$AB$840,6,0)),0,VLOOKUP($A55,Council_Data!$A$3:$AB$840,6,0))</f>
        <v>10</v>
      </c>
      <c r="F55" s="93">
        <f>IF(ISNA(VLOOKUP($A55,Council_Data!$A$3:$AB$840,7,0)),0,VLOOKUP($A55,Council_Data!$A$3:$AB$840,7,0))</f>
        <v>1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1</v>
      </c>
      <c r="I55" s="93">
        <f>IF(ISNA(VLOOKUP($A55,Council_Data!$A$3:$AB$840,10,0)),0,VLOOKUP($A55,Council_Data!$A$3:$AB$840,10,0))</f>
        <v>5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5</v>
      </c>
      <c r="L55" s="94">
        <f>IF(ISNA(VLOOKUP($A55,Council_Data!$A$3:$AB$840,13,0)),0,VLOOKUP($A55,Council_Data!$A$3:$AB$840,13,0))</f>
        <v>50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1</v>
      </c>
      <c r="O55" s="93">
        <f>IF(ISNA(VLOOKUP($A55,Council_Data!$A$3:$AB$840,16,0)),0,VLOOKUP($A55,Council_Data!$A$3:$AB$840,16,0))</f>
        <v>1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2</v>
      </c>
      <c r="R55" s="93">
        <f>IF(ISNA(VLOOKUP($A55,Council_Data!$A$3:$AB$840,19,0)),0,VLOOKUP($A55,Council_Data!$A$3:$AB$840,19,0))</f>
        <v>1</v>
      </c>
      <c r="S55" s="93">
        <f>IF(ISNA(VLOOKUP($A55,Council_Data!$A$3:$AB$840,20,0)),0,VLOOKUP($A55,Council_Data!$A$3:$AB$840,20,0))</f>
        <v>1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1</v>
      </c>
      <c r="V55" s="50" t="str">
        <f>IF(ISNA(VLOOKUP($A55,Council_Data!$A$3:$AB$840,24,0)),0,VLOOKUP($A55,Council_Data!$A$3:$AB$840,24,0))</f>
        <v>Rangel</v>
      </c>
    </row>
    <row r="56" spans="1:22" ht="29.1" customHeight="1">
      <c r="A56" s="93">
        <v>10391</v>
      </c>
      <c r="B56" s="50" t="str">
        <f>IF(ISNA(VLOOKUP($A56,Council_Data!$A$3:$AB$840,2,0)),0,VLOOKUP($A56,Council_Data!$A$3:$AB$840,2,0))</f>
        <v>145</v>
      </c>
      <c r="C56" s="50" t="str">
        <f>IF(ISNA(VLOOKUP($A56,Council_Data!$A$3:$AB$840,3,0)),0,VLOOKUP($A56,Council_Data!$A$3:$AB$840,3,0))</f>
        <v>Waco</v>
      </c>
      <c r="D56" s="93">
        <f>IF(ISNA(VLOOKUP($A56,Council_Data!$A$3:$AB$840,5,0)),0,VLOOKUP($A56,Council_Data!$A$3:$AB$840,5,0))</f>
        <v>35</v>
      </c>
      <c r="E56" s="93">
        <f>IF(ISNA(VLOOKUP($A56,Council_Data!$A$3:$AB$840,6,0)),0,VLOOKUP($A56,Council_Data!$A$3:$AB$840,6,0))</f>
        <v>3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Rangel</v>
      </c>
    </row>
    <row r="57" spans="1:22" ht="29.1" customHeight="1">
      <c r="A57" s="93">
        <v>10426</v>
      </c>
      <c r="B57" s="50" t="str">
        <f>IF(ISNA(VLOOKUP($A57,Council_Data!$A$3:$AB$840,2,0)),0,VLOOKUP($A57,Council_Data!$A$3:$AB$840,2,0))</f>
        <v>157</v>
      </c>
      <c r="C57" s="50" t="str">
        <f>IF(ISNA(VLOOKUP($A57,Council_Data!$A$3:$AB$840,3,0)),0,VLOOKUP($A57,Council_Data!$A$3:$AB$840,3,0))</f>
        <v>Austin</v>
      </c>
      <c r="D57" s="93">
        <f>IF(ISNA(VLOOKUP($A57,Council_Data!$A$3:$AB$840,5,0)),0,VLOOKUP($A57,Council_Data!$A$3:$AB$840,5,0))</f>
        <v>62</v>
      </c>
      <c r="E57" s="93">
        <f>IF(ISNA(VLOOKUP($A57,Council_Data!$A$3:$AB$840,6,0)),0,VLOOKUP($A57,Council_Data!$A$3:$AB$840,6,0))</f>
        <v>3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1</v>
      </c>
      <c r="P57" s="93">
        <f>IF(ISNA(VLOOKUP($A57,Council_Data!$A$3:$AB$840,17,0)),0,VLOOKUP($A57,Council_Data!$A$3:$AB$840,17,0))</f>
        <v>-1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1</v>
      </c>
      <c r="S57" s="93">
        <f>IF(ISNA(VLOOKUP($A57,Council_Data!$A$3:$AB$840,20,0)),0,VLOOKUP($A57,Council_Data!$A$3:$AB$840,20,0))</f>
        <v>-1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3</v>
      </c>
      <c r="V57" s="50" t="str">
        <f>IF(ISNA(VLOOKUP($A57,Council_Data!$A$3:$AB$840,24,0)),0,VLOOKUP($A57,Council_Data!$A$3:$AB$840,24,0))</f>
        <v>Rangel</v>
      </c>
    </row>
    <row r="58" spans="1:22" ht="29.1" customHeight="1">
      <c r="A58" s="93">
        <v>10463</v>
      </c>
      <c r="B58" s="50" t="str">
        <f>IF(ISNA(VLOOKUP($A58,Council_Data!$A$3:$AB$840,2,0)),0,VLOOKUP($A58,Council_Data!$A$3:$AB$840,2,0))</f>
        <v>151</v>
      </c>
      <c r="C58" s="50" t="str">
        <f>IF(ISNA(VLOOKUP($A58,Council_Data!$A$3:$AB$840,3,0)),0,VLOOKUP($A58,Council_Data!$A$3:$AB$840,3,0))</f>
        <v>Lago Vista</v>
      </c>
      <c r="D58" s="93">
        <f>IF(ISNA(VLOOKUP($A58,Council_Data!$A$3:$AB$840,5,0)),0,VLOOKUP($A58,Council_Data!$A$3:$AB$840,5,0))</f>
        <v>99</v>
      </c>
      <c r="E58" s="93">
        <f>IF(ISNA(VLOOKUP($A58,Council_Data!$A$3:$AB$840,6,0)),0,VLOOKUP($A58,Council_Data!$A$3:$AB$840,6,0))</f>
        <v>5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3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3</v>
      </c>
      <c r="L58" s="94">
        <f>IF(ISNA(VLOOKUP($A58,Council_Data!$A$3:$AB$840,13,0)),0,VLOOKUP($A58,Council_Data!$A$3:$AB$840,13,0))</f>
        <v>60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0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0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2</v>
      </c>
      <c r="V58" s="50" t="str">
        <f>IF(ISNA(VLOOKUP($A58,Council_Data!$A$3:$AB$840,24,0)),0,VLOOKUP($A58,Council_Data!$A$3:$AB$840,24,0))</f>
        <v>Rangel</v>
      </c>
    </row>
    <row r="59" spans="1:22" ht="29.1" customHeight="1">
      <c r="A59" s="93">
        <v>10555</v>
      </c>
      <c r="B59" s="50" t="str">
        <f>IF(ISNA(VLOOKUP($A59,Council_Data!$A$3:$AB$840,2,0)),0,VLOOKUP($A59,Council_Data!$A$3:$AB$840,2,0))</f>
        <v>144</v>
      </c>
      <c r="C59" s="50" t="str">
        <f>IF(ISNA(VLOOKUP($A59,Council_Data!$A$3:$AB$840,3,0)),0,VLOOKUP($A59,Council_Data!$A$3:$AB$840,3,0))</f>
        <v>Hearne</v>
      </c>
      <c r="D59" s="93">
        <f>IF(ISNA(VLOOKUP($A59,Council_Data!$A$3:$AB$840,5,0)),0,VLOOKUP($A59,Council_Data!$A$3:$AB$840,5,0))</f>
        <v>66</v>
      </c>
      <c r="E59" s="93">
        <f>IF(ISNA(VLOOKUP($A59,Council_Data!$A$3:$AB$840,6,0)),0,VLOOKUP($A59,Council_Data!$A$3:$AB$840,6,0))</f>
        <v>3</v>
      </c>
      <c r="F59" s="93">
        <f>IF(ISNA(VLOOKUP($A59,Council_Data!$A$3:$AB$840,7,0)),0,VLOOKUP($A59,Council_Data!$A$3:$AB$840,7,0))</f>
        <v>2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2</v>
      </c>
      <c r="I59" s="93">
        <f>IF(ISNA(VLOOKUP($A59,Council_Data!$A$3:$AB$840,10,0)),0,VLOOKUP($A59,Council_Data!$A$3:$AB$840,10,0))</f>
        <v>2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2</v>
      </c>
      <c r="L59" s="94">
        <f>IF(ISNA(VLOOKUP($A59,Council_Data!$A$3:$AB$840,13,0)),0,VLOOKUP($A59,Council_Data!$A$3:$AB$840,13,0))</f>
        <v>66.67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0</v>
      </c>
      <c r="R59" s="93">
        <f>IF(ISNA(VLOOKUP($A59,Council_Data!$A$3:$AB$840,19,0)),0,VLOOKUP($A59,Council_Data!$A$3:$AB$840,19,0))</f>
        <v>0</v>
      </c>
      <c r="S59" s="93">
        <f>IF(ISNA(VLOOKUP($A59,Council_Data!$A$3:$AB$840,20,0)),0,VLOOKUP($A59,Council_Data!$A$3:$AB$840,20,0))</f>
        <v>0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2</v>
      </c>
      <c r="V59" s="50" t="str">
        <f>IF(ISNA(VLOOKUP($A59,Council_Data!$A$3:$AB$840,24,0)),0,VLOOKUP($A59,Council_Data!$A$3:$AB$840,24,0))</f>
        <v>Rangel</v>
      </c>
    </row>
    <row r="60" spans="1:22" ht="29.1" customHeight="1">
      <c r="A60" s="93">
        <v>10624</v>
      </c>
      <c r="B60" s="50" t="str">
        <f>IF(ISNA(VLOOKUP($A60,Council_Data!$A$3:$AB$840,2,0)),0,VLOOKUP($A60,Council_Data!$A$3:$AB$840,2,0))</f>
        <v>146</v>
      </c>
      <c r="C60" s="50" t="str">
        <f>IF(ISNA(VLOOKUP($A60,Council_Data!$A$3:$AB$840,3,0)),0,VLOOKUP($A60,Council_Data!$A$3:$AB$840,3,0))</f>
        <v>College Station</v>
      </c>
      <c r="D60" s="93">
        <f>IF(ISNA(VLOOKUP($A60,Council_Data!$A$3:$AB$840,5,0)),0,VLOOKUP($A60,Council_Data!$A$3:$AB$840,5,0))</f>
        <v>267</v>
      </c>
      <c r="E60" s="93">
        <f>IF(ISNA(VLOOKUP($A60,Council_Data!$A$3:$AB$840,6,0)),0,VLOOKUP($A60,Council_Data!$A$3:$AB$840,6,0))</f>
        <v>13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33</v>
      </c>
      <c r="J60" s="93">
        <f>IF(ISNA(VLOOKUP($A60,Council_Data!$A$3:$AB$840,11,0)),0,VLOOKUP($A60,Council_Data!$A$3:$AB$840,11,0))</f>
        <v>1</v>
      </c>
      <c r="K60" s="93">
        <f>IF(ISNA(VLOOKUP($A60,Council_Data!$A$3:$AB$840,12,0)),0,VLOOKUP($A60,Council_Data!$A$3:$AB$840,12,0))</f>
        <v>32</v>
      </c>
      <c r="L60" s="94">
        <f>IF(ISNA(VLOOKUP($A60,Council_Data!$A$3:$AB$840,13,0)),0,VLOOKUP($A60,Council_Data!$A$3:$AB$840,13,0))</f>
        <v>246.15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1</v>
      </c>
      <c r="P60" s="93">
        <f>IF(ISNA(VLOOKUP($A60,Council_Data!$A$3:$AB$840,17,0)),0,VLOOKUP($A60,Council_Data!$A$3:$AB$840,17,0))</f>
        <v>-1</v>
      </c>
      <c r="Q60" s="93">
        <f>IF(ISNA(VLOOKUP($A60,Council_Data!$A$3:$AB$840,18,0)),0,VLOOKUP($A60,Council_Data!$A$3:$AB$840,18,0))</f>
        <v>1</v>
      </c>
      <c r="R60" s="93">
        <f>IF(ISNA(VLOOKUP($A60,Council_Data!$A$3:$AB$840,19,0)),0,VLOOKUP($A60,Council_Data!$A$3:$AB$840,19,0))</f>
        <v>2</v>
      </c>
      <c r="S60" s="93">
        <f>IF(ISNA(VLOOKUP($A60,Council_Data!$A$3:$AB$840,20,0)),0,VLOOKUP($A60,Council_Data!$A$3:$AB$840,20,0))</f>
        <v>-1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1</v>
      </c>
      <c r="V60" s="50" t="str">
        <f>IF(ISNA(VLOOKUP($A60,Council_Data!$A$3:$AB$840,24,0)),0,VLOOKUP($A60,Council_Data!$A$3:$AB$840,24,0))</f>
        <v>Britten</v>
      </c>
    </row>
    <row r="61" spans="1:22" ht="29.1" customHeight="1">
      <c r="A61" s="93">
        <v>10659</v>
      </c>
      <c r="B61" s="50" t="str">
        <f>IF(ISNA(VLOOKUP($A61,Council_Data!$A$3:$AB$840,2,0)),0,VLOOKUP($A61,Council_Data!$A$3:$AB$840,2,0))</f>
        <v>157</v>
      </c>
      <c r="C61" s="50" t="str">
        <f>IF(ISNA(VLOOKUP($A61,Council_Data!$A$3:$AB$840,3,0)),0,VLOOKUP($A61,Council_Data!$A$3:$AB$840,3,0))</f>
        <v>Austin</v>
      </c>
      <c r="D61" s="93">
        <f>IF(ISNA(VLOOKUP($A61,Council_Data!$A$3:$AB$840,5,0)),0,VLOOKUP($A61,Council_Data!$A$3:$AB$840,5,0))</f>
        <v>66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2</v>
      </c>
      <c r="V61" s="50" t="str">
        <f>IF(ISNA(VLOOKUP($A61,Council_Data!$A$3:$AB$840,24,0)),0,VLOOKUP($A61,Council_Data!$A$3:$AB$840,24,0))</f>
        <v>Rangel</v>
      </c>
    </row>
    <row r="62" spans="1:22" ht="29.1" customHeight="1">
      <c r="A62" s="93">
        <v>10776</v>
      </c>
      <c r="B62" s="50" t="str">
        <f>IF(ISNA(VLOOKUP($A62,Council_Data!$A$3:$AB$840,2,0)),0,VLOOKUP($A62,Council_Data!$A$3:$AB$840,2,0))</f>
        <v>155</v>
      </c>
      <c r="C62" s="50" t="str">
        <f>IF(ISNA(VLOOKUP($A62,Council_Data!$A$3:$AB$840,3,0)),0,VLOOKUP($A62,Council_Data!$A$3:$AB$840,3,0))</f>
        <v>Austin</v>
      </c>
      <c r="D62" s="93">
        <f>IF(ISNA(VLOOKUP($A62,Council_Data!$A$3:$AB$840,5,0)),0,VLOOKUP($A62,Council_Data!$A$3:$AB$840,5,0))</f>
        <v>82</v>
      </c>
      <c r="E62" s="93">
        <f>IF(ISNA(VLOOKUP($A62,Council_Data!$A$3:$AB$840,6,0)),0,VLOOKUP($A62,Council_Data!$A$3:$AB$840,6,0))</f>
        <v>4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1</v>
      </c>
      <c r="J62" s="93">
        <f>IF(ISNA(VLOOKUP($A62,Council_Data!$A$3:$AB$840,11,0)),0,VLOOKUP($A62,Council_Data!$A$3:$AB$840,11,0))</f>
        <v>1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0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2</v>
      </c>
      <c r="V62" s="50" t="str">
        <f>IF(ISNA(VLOOKUP($A62,Council_Data!$A$3:$AB$840,24,0)),0,VLOOKUP($A62,Council_Data!$A$3:$AB$840,24,0))</f>
        <v>Rangel</v>
      </c>
    </row>
    <row r="63" spans="1:22" ht="29.1" customHeight="1">
      <c r="A63" s="93">
        <v>10836</v>
      </c>
      <c r="B63" s="50" t="str">
        <f>IF(ISNA(VLOOKUP($A63,Council_Data!$A$3:$AB$840,2,0)),0,VLOOKUP($A63,Council_Data!$A$3:$AB$840,2,0))</f>
        <v>155</v>
      </c>
      <c r="C63" s="50" t="str">
        <f>IF(ISNA(VLOOKUP($A63,Council_Data!$A$3:$AB$840,3,0)),0,VLOOKUP($A63,Council_Data!$A$3:$AB$840,3,0))</f>
        <v>Austin</v>
      </c>
      <c r="D63" s="93">
        <f>IF(ISNA(VLOOKUP($A63,Council_Data!$A$3:$AB$840,5,0)),0,VLOOKUP($A63,Council_Data!$A$3:$AB$840,5,0))</f>
        <v>256</v>
      </c>
      <c r="E63" s="93">
        <f>IF(ISNA(VLOOKUP($A63,Council_Data!$A$3:$AB$840,6,0)),0,VLOOKUP($A63,Council_Data!$A$3:$AB$840,6,0))</f>
        <v>13</v>
      </c>
      <c r="F63" s="93">
        <f>IF(ISNA(VLOOKUP($A63,Council_Data!$A$3:$AB$840,7,0)),0,VLOOKUP($A63,Council_Data!$A$3:$AB$840,7,0))</f>
        <v>1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1</v>
      </c>
      <c r="I63" s="93">
        <f>IF(ISNA(VLOOKUP($A63,Council_Data!$A$3:$AB$840,10,0)),0,VLOOKUP($A63,Council_Data!$A$3:$AB$840,10,0))</f>
        <v>1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1</v>
      </c>
      <c r="L63" s="94">
        <f>IF(ISNA(VLOOKUP($A63,Council_Data!$A$3:$AB$840,13,0)),0,VLOOKUP($A63,Council_Data!$A$3:$AB$840,13,0))</f>
        <v>7.69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1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1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1</v>
      </c>
      <c r="V63" s="50" t="str">
        <f>IF(ISNA(VLOOKUP($A63,Council_Data!$A$3:$AB$840,24,0)),0,VLOOKUP($A63,Council_Data!$A$3:$AB$840,24,0))</f>
        <v>Britten</v>
      </c>
    </row>
    <row r="64" spans="1:22" ht="29.1" customHeight="1">
      <c r="A64" s="93">
        <v>11015</v>
      </c>
      <c r="B64" s="50" t="str">
        <f>IF(ISNA(VLOOKUP($A64,Council_Data!$A$3:$AB$840,2,0)),0,VLOOKUP($A64,Council_Data!$A$3:$AB$840,2,0))</f>
        <v>142</v>
      </c>
      <c r="C64" s="50" t="str">
        <f>IF(ISNA(VLOOKUP($A64,Council_Data!$A$3:$AB$840,3,0)),0,VLOOKUP($A64,Council_Data!$A$3:$AB$840,3,0))</f>
        <v>Waco</v>
      </c>
      <c r="D64" s="93">
        <f>IF(ISNA(VLOOKUP($A64,Council_Data!$A$3:$AB$840,5,0)),0,VLOOKUP($A64,Council_Data!$A$3:$AB$840,5,0))</f>
        <v>92</v>
      </c>
      <c r="E64" s="93">
        <f>IF(ISNA(VLOOKUP($A64,Council_Data!$A$3:$AB$840,6,0)),0,VLOOKUP($A64,Council_Data!$A$3:$AB$840,6,0))</f>
        <v>5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2</v>
      </c>
      <c r="R64" s="93">
        <f>IF(ISNA(VLOOKUP($A64,Council_Data!$A$3:$AB$840,19,0)),0,VLOOKUP($A64,Council_Data!$A$3:$AB$840,19,0))</f>
        <v>1</v>
      </c>
      <c r="S64" s="93">
        <f>IF(ISNA(VLOOKUP($A64,Council_Data!$A$3:$AB$840,20,0)),0,VLOOKUP($A64,Council_Data!$A$3:$AB$840,20,0))</f>
        <v>1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2</v>
      </c>
      <c r="V64" s="50" t="str">
        <f>IF(ISNA(VLOOKUP($A64,Council_Data!$A$3:$AB$840,24,0)),0,VLOOKUP($A64,Council_Data!$A$3:$AB$840,24,0))</f>
        <v>Rangel</v>
      </c>
    </row>
    <row r="65" spans="1:22" ht="29.1" customHeight="1">
      <c r="A65" s="93">
        <v>11230</v>
      </c>
      <c r="B65" s="50" t="str">
        <f>IF(ISNA(VLOOKUP($A65,Council_Data!$A$3:$AB$840,2,0)),0,VLOOKUP($A65,Council_Data!$A$3:$AB$840,2,0))</f>
        <v>141</v>
      </c>
      <c r="C65" s="50" t="str">
        <f>IF(ISNA(VLOOKUP($A65,Council_Data!$A$3:$AB$840,3,0)),0,VLOOKUP($A65,Council_Data!$A$3:$AB$840,3,0))</f>
        <v>Abbott</v>
      </c>
      <c r="D65" s="93">
        <f>IF(ISNA(VLOOKUP($A65,Council_Data!$A$3:$AB$840,5,0)),0,VLOOKUP($A65,Council_Data!$A$3:$AB$840,5,0))</f>
        <v>85</v>
      </c>
      <c r="E65" s="93">
        <f>IF(ISNA(VLOOKUP($A65,Council_Data!$A$3:$AB$840,6,0)),0,VLOOKUP($A65,Council_Data!$A$3:$AB$840,6,0))</f>
        <v>4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0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0</v>
      </c>
      <c r="L65" s="94">
        <f>IF(ISNA(VLOOKUP($A65,Council_Data!$A$3:$AB$840,13,0)),0,VLOOKUP($A65,Council_Data!$A$3:$AB$840,13,0))</f>
        <v>0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0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0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2</v>
      </c>
      <c r="V65" s="50" t="str">
        <f>IF(ISNA(VLOOKUP($A65,Council_Data!$A$3:$AB$840,24,0)),0,VLOOKUP($A65,Council_Data!$A$3:$AB$840,24,0))</f>
        <v>Stark</v>
      </c>
    </row>
    <row r="66" spans="1:22" ht="29.1" customHeight="1">
      <c r="A66" s="93">
        <v>11277</v>
      </c>
      <c r="B66" s="50" t="str">
        <f>IF(ISNA(VLOOKUP($A66,Council_Data!$A$3:$AB$840,2,0)),0,VLOOKUP($A66,Council_Data!$A$3:$AB$840,2,0))</f>
        <v>148</v>
      </c>
      <c r="C66" s="50" t="str">
        <f>IF(ISNA(VLOOKUP($A66,Council_Data!$A$3:$AB$840,3,0)),0,VLOOKUP($A66,Council_Data!$A$3:$AB$840,3,0))</f>
        <v>Chappell Hill</v>
      </c>
      <c r="D66" s="93">
        <f>IF(ISNA(VLOOKUP($A66,Council_Data!$A$3:$AB$840,5,0)),0,VLOOKUP($A66,Council_Data!$A$3:$AB$840,5,0))</f>
        <v>75</v>
      </c>
      <c r="E66" s="93">
        <f>IF(ISNA(VLOOKUP($A66,Council_Data!$A$3:$AB$840,6,0)),0,VLOOKUP($A66,Council_Data!$A$3:$AB$840,6,0))</f>
        <v>4</v>
      </c>
      <c r="F66" s="93">
        <f>IF(ISNA(VLOOKUP($A66,Council_Data!$A$3:$AB$840,7,0)),0,VLOOKUP($A66,Council_Data!$A$3:$AB$840,7,0))</f>
        <v>0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0</v>
      </c>
      <c r="I66" s="93">
        <f>IF(ISNA(VLOOKUP($A66,Council_Data!$A$3:$AB$840,10,0)),0,VLOOKUP($A66,Council_Data!$A$3:$AB$840,10,0))</f>
        <v>0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0</v>
      </c>
      <c r="L66" s="94">
        <f>IF(ISNA(VLOOKUP($A66,Council_Data!$A$3:$AB$840,13,0)),0,VLOOKUP($A66,Council_Data!$A$3:$AB$840,13,0))</f>
        <v>0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0</v>
      </c>
      <c r="R66" s="93">
        <f>IF(ISNA(VLOOKUP($A66,Council_Data!$A$3:$AB$840,19,0)),0,VLOOKUP($A66,Council_Data!$A$3:$AB$840,19,0))</f>
        <v>0</v>
      </c>
      <c r="S66" s="93">
        <f>IF(ISNA(VLOOKUP($A66,Council_Data!$A$3:$AB$840,20,0)),0,VLOOKUP($A66,Council_Data!$A$3:$AB$840,20,0))</f>
        <v>0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2</v>
      </c>
      <c r="V66" s="50" t="str">
        <f>IF(ISNA(VLOOKUP($A66,Council_Data!$A$3:$AB$840,24,0)),0,VLOOKUP($A66,Council_Data!$A$3:$AB$840,24,0))</f>
        <v>Supak</v>
      </c>
    </row>
    <row r="67" spans="1:22" ht="29.1" customHeight="1">
      <c r="A67" s="93">
        <v>11502</v>
      </c>
      <c r="B67" s="50" t="str">
        <f>IF(ISNA(VLOOKUP($A67,Council_Data!$A$3:$AB$840,2,0)),0,VLOOKUP($A67,Council_Data!$A$3:$AB$840,2,0))</f>
        <v>141</v>
      </c>
      <c r="C67" s="50" t="str">
        <f>IF(ISNA(VLOOKUP($A67,Council_Data!$A$3:$AB$840,3,0)),0,VLOOKUP($A67,Council_Data!$A$3:$AB$840,3,0))</f>
        <v>Mexia</v>
      </c>
      <c r="D67" s="93">
        <f>IF(ISNA(VLOOKUP($A67,Council_Data!$A$3:$AB$840,5,0)),0,VLOOKUP($A67,Council_Data!$A$3:$AB$840,5,0))</f>
        <v>47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0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0</v>
      </c>
      <c r="L67" s="94">
        <f>IF(ISNA(VLOOKUP($A67,Council_Data!$A$3:$AB$840,13,0)),0,VLOOKUP($A67,Council_Data!$A$3:$AB$840,13,0))</f>
        <v>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Rangel</v>
      </c>
    </row>
    <row r="68" spans="1:22" ht="29.1" customHeight="1">
      <c r="A68" s="93">
        <v>11695</v>
      </c>
      <c r="B68" s="50" t="str">
        <f>IF(ISNA(VLOOKUP($A68,Council_Data!$A$3:$AB$840,2,0)),0,VLOOKUP($A68,Council_Data!$A$3:$AB$840,2,0))</f>
        <v>158</v>
      </c>
      <c r="C68" s="50" t="str">
        <f>IF(ISNA(VLOOKUP($A68,Council_Data!$A$3:$AB$840,3,0)),0,VLOOKUP($A68,Council_Data!$A$3:$AB$840,3,0))</f>
        <v>Dripping Springs</v>
      </c>
      <c r="D68" s="93">
        <f>IF(ISNA(VLOOKUP($A68,Council_Data!$A$3:$AB$840,5,0)),0,VLOOKUP($A68,Council_Data!$A$3:$AB$840,5,0))</f>
        <v>194</v>
      </c>
      <c r="E68" s="93">
        <f>IF(ISNA(VLOOKUP($A68,Council_Data!$A$3:$AB$840,6,0)),0,VLOOKUP($A68,Council_Data!$A$3:$AB$840,6,0))</f>
        <v>10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0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0</v>
      </c>
      <c r="L68" s="94">
        <f>IF(ISNA(VLOOKUP($A68,Council_Data!$A$3:$AB$840,13,0)),0,VLOOKUP($A68,Council_Data!$A$3:$AB$840,13,0))</f>
        <v>0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0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0</v>
      </c>
      <c r="Q68" s="93">
        <f>IF(ISNA(VLOOKUP($A68,Council_Data!$A$3:$AB$840,18,0)),0,VLOOKUP($A68,Council_Data!$A$3:$AB$840,18,0))</f>
        <v>0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0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1</v>
      </c>
      <c r="V68" s="50" t="str">
        <f>IF(ISNA(VLOOKUP($A68,Council_Data!$A$3:$AB$840,24,0)),0,VLOOKUP($A68,Council_Data!$A$3:$AB$840,24,0))</f>
        <v>Rangel</v>
      </c>
    </row>
    <row r="69" spans="1:22" ht="29.1" customHeight="1">
      <c r="A69" s="93">
        <v>11759</v>
      </c>
      <c r="B69" s="50" t="str">
        <f>IF(ISNA(VLOOKUP($A69,Council_Data!$A$3:$AB$840,2,0)),0,VLOOKUP($A69,Council_Data!$A$3:$AB$840,2,0))</f>
        <v>146</v>
      </c>
      <c r="C69" s="50" t="str">
        <f>IF(ISNA(VLOOKUP($A69,Council_Data!$A$3:$AB$840,3,0)),0,VLOOKUP($A69,Council_Data!$A$3:$AB$840,3,0))</f>
        <v>Bryan</v>
      </c>
      <c r="D69" s="93">
        <f>IF(ISNA(VLOOKUP($A69,Council_Data!$A$3:$AB$840,5,0)),0,VLOOKUP($A69,Council_Data!$A$3:$AB$840,5,0))</f>
        <v>280</v>
      </c>
      <c r="E69" s="93">
        <f>IF(ISNA(VLOOKUP($A69,Council_Data!$A$3:$AB$840,6,0)),0,VLOOKUP($A69,Council_Data!$A$3:$AB$840,6,0))</f>
        <v>14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3</v>
      </c>
      <c r="J69" s="93">
        <f>IF(ISNA(VLOOKUP($A69,Council_Data!$A$3:$AB$840,11,0)),0,VLOOKUP($A69,Council_Data!$A$3:$AB$840,11,0))</f>
        <v>2</v>
      </c>
      <c r="K69" s="93">
        <f>IF(ISNA(VLOOKUP($A69,Council_Data!$A$3:$AB$840,12,0)),0,VLOOKUP($A69,Council_Data!$A$3:$AB$840,12,0))</f>
        <v>1</v>
      </c>
      <c r="L69" s="94">
        <f>IF(ISNA(VLOOKUP($A69,Council_Data!$A$3:$AB$840,13,0)),0,VLOOKUP($A69,Council_Data!$A$3:$AB$840,13,0))</f>
        <v>7.14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0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0</v>
      </c>
      <c r="Q69" s="93">
        <f>IF(ISNA(VLOOKUP($A69,Council_Data!$A$3:$AB$840,18,0)),0,VLOOKUP($A69,Council_Data!$A$3:$AB$840,18,0))</f>
        <v>2</v>
      </c>
      <c r="R69" s="93">
        <f>IF(ISNA(VLOOKUP($A69,Council_Data!$A$3:$AB$840,19,0)),0,VLOOKUP($A69,Council_Data!$A$3:$AB$840,19,0))</f>
        <v>2</v>
      </c>
      <c r="S69" s="93">
        <f>IF(ISNA(VLOOKUP($A69,Council_Data!$A$3:$AB$840,20,0)),0,VLOOKUP($A69,Council_Data!$A$3:$AB$840,20,0))</f>
        <v>0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1</v>
      </c>
      <c r="V69" s="50" t="str">
        <f>IF(ISNA(VLOOKUP($A69,Council_Data!$A$3:$AB$840,24,0)),0,VLOOKUP($A69,Council_Data!$A$3:$AB$840,24,0))</f>
        <v>Rangel</v>
      </c>
    </row>
    <row r="70" spans="1:22" ht="29.1" customHeight="1">
      <c r="A70" s="93">
        <v>12148</v>
      </c>
      <c r="B70" s="50" t="str">
        <f>IF(ISNA(VLOOKUP($A70,Council_Data!$A$3:$AB$840,2,0)),0,VLOOKUP($A70,Council_Data!$A$3:$AB$840,2,0))</f>
        <v>149</v>
      </c>
      <c r="C70" s="50" t="str">
        <f>IF(ISNA(VLOOKUP($A70,Council_Data!$A$3:$AB$840,3,0)),0,VLOOKUP($A70,Council_Data!$A$3:$AB$840,3,0))</f>
        <v>Round Rock</v>
      </c>
      <c r="D70" s="93">
        <f>IF(ISNA(VLOOKUP($A70,Council_Data!$A$3:$AB$840,5,0)),0,VLOOKUP($A70,Council_Data!$A$3:$AB$840,5,0))</f>
        <v>214</v>
      </c>
      <c r="E70" s="93">
        <f>IF(ISNA(VLOOKUP($A70,Council_Data!$A$3:$AB$840,6,0)),0,VLOOKUP($A70,Council_Data!$A$3:$AB$840,6,0))</f>
        <v>10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0</v>
      </c>
      <c r="I70" s="93">
        <f>IF(ISNA(VLOOKUP($A70,Council_Data!$A$3:$AB$840,10,0)),0,VLOOKUP($A70,Council_Data!$A$3:$AB$840,10,0))</f>
        <v>2</v>
      </c>
      <c r="J70" s="93">
        <f>IF(ISNA(VLOOKUP($A70,Council_Data!$A$3:$AB$840,11,0)),0,VLOOKUP($A70,Council_Data!$A$3:$AB$840,11,0))</f>
        <v>0</v>
      </c>
      <c r="K70" s="93">
        <f>IF(ISNA(VLOOKUP($A70,Council_Data!$A$3:$AB$840,12,0)),0,VLOOKUP($A70,Council_Data!$A$3:$AB$840,12,0))</f>
        <v>2</v>
      </c>
      <c r="L70" s="94">
        <f>IF(ISNA(VLOOKUP($A70,Council_Data!$A$3:$AB$840,13,0)),0,VLOOKUP($A70,Council_Data!$A$3:$AB$840,13,0))</f>
        <v>20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1</v>
      </c>
      <c r="R70" s="93">
        <f>IF(ISNA(VLOOKUP($A70,Council_Data!$A$3:$AB$840,19,0)),0,VLOOKUP($A70,Council_Data!$A$3:$AB$840,19,0))</f>
        <v>0</v>
      </c>
      <c r="S70" s="93">
        <f>IF(ISNA(VLOOKUP($A70,Council_Data!$A$3:$AB$840,20,0)),0,VLOOKUP($A70,Council_Data!$A$3:$AB$840,20,0))</f>
        <v>1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1</v>
      </c>
      <c r="V70" s="50" t="str">
        <f>IF(ISNA(VLOOKUP($A70,Council_Data!$A$3:$AB$840,24,0)),0,VLOOKUP($A70,Council_Data!$A$3:$AB$840,24,0))</f>
        <v>Rangel</v>
      </c>
    </row>
    <row r="71" spans="1:22" ht="29.1" customHeight="1">
      <c r="A71" s="93">
        <v>12409</v>
      </c>
      <c r="B71" s="50" t="str">
        <f>IF(ISNA(VLOOKUP($A71,Council_Data!$A$3:$AB$840,2,0)),0,VLOOKUP($A71,Council_Data!$A$3:$AB$840,2,0))</f>
        <v>155</v>
      </c>
      <c r="C71" s="50" t="str">
        <f>IF(ISNA(VLOOKUP($A71,Council_Data!$A$3:$AB$840,3,0)),0,VLOOKUP($A71,Council_Data!$A$3:$AB$840,3,0))</f>
        <v>Austin</v>
      </c>
      <c r="D71" s="93">
        <f>IF(ISNA(VLOOKUP($A71,Council_Data!$A$3:$AB$840,5,0)),0,VLOOKUP($A71,Council_Data!$A$3:$AB$840,5,0))</f>
        <v>29</v>
      </c>
      <c r="E71" s="93">
        <f>IF(ISNA(VLOOKUP($A71,Council_Data!$A$3:$AB$840,6,0)),0,VLOOKUP($A71,Council_Data!$A$3:$AB$840,6,0))</f>
        <v>3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0</v>
      </c>
      <c r="J71" s="93">
        <f>IF(ISNA(VLOOKUP($A71,Council_Data!$A$3:$AB$840,11,0)),0,VLOOKUP($A71,Council_Data!$A$3:$AB$840,11,0))</f>
        <v>0</v>
      </c>
      <c r="K71" s="93">
        <f>IF(ISNA(VLOOKUP($A71,Council_Data!$A$3:$AB$840,12,0)),0,VLOOKUP($A71,Council_Data!$A$3:$AB$840,12,0))</f>
        <v>0</v>
      </c>
      <c r="L71" s="94">
        <f>IF(ISNA(VLOOKUP($A71,Council_Data!$A$3:$AB$840,13,0)),0,VLOOKUP($A71,Council_Data!$A$3:$AB$840,13,0))</f>
        <v>0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0</v>
      </c>
      <c r="R71" s="93">
        <f>IF(ISNA(VLOOKUP($A71,Council_Data!$A$3:$AB$840,19,0)),0,VLOOKUP($A71,Council_Data!$A$3:$AB$840,19,0))</f>
        <v>0</v>
      </c>
      <c r="S71" s="93">
        <f>IF(ISNA(VLOOKUP($A71,Council_Data!$A$3:$AB$840,20,0)),0,VLOOKUP($A71,Council_Data!$A$3:$AB$840,20,0))</f>
        <v>0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3</v>
      </c>
      <c r="V71" s="50" t="str">
        <f>IF(ISNA(VLOOKUP($A71,Council_Data!$A$3:$AB$840,24,0)),0,VLOOKUP($A71,Council_Data!$A$3:$AB$840,24,0))</f>
        <v>Britten</v>
      </c>
    </row>
    <row r="72" spans="1:22" ht="29.1" customHeight="1">
      <c r="A72" s="93">
        <v>12522</v>
      </c>
      <c r="B72" s="50" t="str">
        <f>IF(ISNA(VLOOKUP($A72,Council_Data!$A$3:$AB$840,2,0)),0,VLOOKUP($A72,Council_Data!$A$3:$AB$840,2,0))</f>
        <v>161</v>
      </c>
      <c r="C72" s="50" t="str">
        <f>IF(ISNA(VLOOKUP($A72,Council_Data!$A$3:$AB$840,3,0)),0,VLOOKUP($A72,Council_Data!$A$3:$AB$840,3,0))</f>
        <v>Andice</v>
      </c>
      <c r="D72" s="93">
        <f>IF(ISNA(VLOOKUP($A72,Council_Data!$A$3:$AB$840,5,0)),0,VLOOKUP($A72,Council_Data!$A$3:$AB$840,5,0))</f>
        <v>143</v>
      </c>
      <c r="E72" s="93">
        <f>IF(ISNA(VLOOKUP($A72,Council_Data!$A$3:$AB$840,6,0)),0,VLOOKUP($A72,Council_Data!$A$3:$AB$840,6,0))</f>
        <v>7</v>
      </c>
      <c r="F72" s="93">
        <f>IF(ISNA(VLOOKUP($A72,Council_Data!$A$3:$AB$840,7,0)),0,VLOOKUP($A72,Council_Data!$A$3:$AB$840,7,0))</f>
        <v>0</v>
      </c>
      <c r="G72" s="93">
        <f>IF(ISNA(VLOOKUP($A72,Council_Data!$A$3:$AB$840,8,0)),0,VLOOKUP($A72,Council_Data!$A$3:$AB$840,8,0))</f>
        <v>1</v>
      </c>
      <c r="H72" s="93">
        <f>IF(ISNA(VLOOKUP($A72,Council_Data!$A$3:$AB$840,9,0)),0,VLOOKUP($A72,Council_Data!$A$3:$AB$840,9,0))</f>
        <v>-1</v>
      </c>
      <c r="I72" s="93">
        <f>IF(ISNA(VLOOKUP($A72,Council_Data!$A$3:$AB$840,10,0)),0,VLOOKUP($A72,Council_Data!$A$3:$AB$840,10,0))</f>
        <v>1</v>
      </c>
      <c r="J72" s="93">
        <f>IF(ISNA(VLOOKUP($A72,Council_Data!$A$3:$AB$840,11,0)),0,VLOOKUP($A72,Council_Data!$A$3:$AB$840,11,0))</f>
        <v>1</v>
      </c>
      <c r="K72" s="93">
        <f>IF(ISNA(VLOOKUP($A72,Council_Data!$A$3:$AB$840,12,0)),0,VLOOKUP($A72,Council_Data!$A$3:$AB$840,12,0))</f>
        <v>0</v>
      </c>
      <c r="L72" s="94">
        <f>IF(ISNA(VLOOKUP($A72,Council_Data!$A$3:$AB$840,13,0)),0,VLOOKUP($A72,Council_Data!$A$3:$AB$840,13,0))</f>
        <v>0</v>
      </c>
      <c r="M72" s="93">
        <f>IF(ISNA(VLOOKUP($A72,Council_Data!$A$3:$AB$840,14,0)),0,VLOOKUP($A72,Council_Data!$A$3:$AB$840,14,0))</f>
        <v>0</v>
      </c>
      <c r="N72" s="93">
        <f>IF(ISNA(VLOOKUP($A72,Council_Data!$A$3:$AB$840,15,0)),0,VLOOKUP($A72,Council_Data!$A$3:$AB$840,15,0))</f>
        <v>0</v>
      </c>
      <c r="O72" s="93">
        <f>IF(ISNA(VLOOKUP($A72,Council_Data!$A$3:$AB$840,16,0)),0,VLOOKUP($A72,Council_Data!$A$3:$AB$840,16,0))</f>
        <v>0</v>
      </c>
      <c r="P72" s="93">
        <f>IF(ISNA(VLOOKUP($A72,Council_Data!$A$3:$AB$840,17,0)),0,VLOOKUP($A72,Council_Data!$A$3:$AB$840,17,0))</f>
        <v>0</v>
      </c>
      <c r="Q72" s="93">
        <f>IF(ISNA(VLOOKUP($A72,Council_Data!$A$3:$AB$840,18,0)),0,VLOOKUP($A72,Council_Data!$A$3:$AB$840,18,0))</f>
        <v>0</v>
      </c>
      <c r="R72" s="93">
        <f>IF(ISNA(VLOOKUP($A72,Council_Data!$A$3:$AB$840,19,0)),0,VLOOKUP($A72,Council_Data!$A$3:$AB$840,19,0))</f>
        <v>1</v>
      </c>
      <c r="S72" s="93">
        <f>IF(ISNA(VLOOKUP($A72,Council_Data!$A$3:$AB$840,20,0)),0,VLOOKUP($A72,Council_Data!$A$3:$AB$840,20,0))</f>
        <v>-1</v>
      </c>
      <c r="T72" s="94">
        <f>IF(ISNA(VLOOKUP($A72,Council_Data!$A$3:$AB$840,21,0)),0,VLOOKUP($A72,Council_Data!$A$3:$AB$840,21,0))</f>
        <v>0</v>
      </c>
      <c r="U72" s="93">
        <f>IF(ISNA(VLOOKUP($A72,Council_Data!$A$3:$AB$840,23,0)),0,VLOOKUP($A72,Council_Data!$A$3:$AB$840,23,0))</f>
        <v>1</v>
      </c>
      <c r="V72" s="50" t="str">
        <f>IF(ISNA(VLOOKUP($A72,Council_Data!$A$3:$AB$840,24,0)),0,VLOOKUP($A72,Council_Data!$A$3:$AB$840,24,0))</f>
        <v>Rangel</v>
      </c>
    </row>
    <row r="73" spans="1:22" ht="29.1" customHeight="1">
      <c r="A73" s="93">
        <v>12574</v>
      </c>
      <c r="B73" s="50" t="str">
        <f>IF(ISNA(VLOOKUP($A73,Council_Data!$A$3:$AB$840,2,0)),0,VLOOKUP($A73,Council_Data!$A$3:$AB$840,2,0))</f>
        <v>161</v>
      </c>
      <c r="C73" s="50" t="str">
        <f>IF(ISNA(VLOOKUP($A73,Council_Data!$A$3:$AB$840,3,0)),0,VLOOKUP($A73,Council_Data!$A$3:$AB$840,3,0))</f>
        <v>San Saba</v>
      </c>
      <c r="D73" s="93">
        <f>IF(ISNA(VLOOKUP($A73,Council_Data!$A$3:$AB$840,5,0)),0,VLOOKUP($A73,Council_Data!$A$3:$AB$840,5,0))</f>
        <v>28</v>
      </c>
      <c r="E73" s="93">
        <f>IF(ISNA(VLOOKUP($A73,Council_Data!$A$3:$AB$840,6,0)),0,VLOOKUP($A73,Council_Data!$A$3:$AB$840,6,0))</f>
        <v>3</v>
      </c>
      <c r="F73" s="93">
        <f>IF(ISNA(VLOOKUP($A73,Council_Data!$A$3:$AB$840,7,0)),0,VLOOKUP($A73,Council_Data!$A$3:$AB$840,7,0))</f>
        <v>0</v>
      </c>
      <c r="G73" s="93">
        <f>IF(ISNA(VLOOKUP($A73,Council_Data!$A$3:$AB$840,8,0)),0,VLOOKUP($A73,Council_Data!$A$3:$AB$840,8,0))</f>
        <v>0</v>
      </c>
      <c r="H73" s="93">
        <f>IF(ISNA(VLOOKUP($A73,Council_Data!$A$3:$AB$840,9,0)),0,VLOOKUP($A73,Council_Data!$A$3:$AB$840,9,0))</f>
        <v>0</v>
      </c>
      <c r="I73" s="93">
        <f>IF(ISNA(VLOOKUP($A73,Council_Data!$A$3:$AB$840,10,0)),0,VLOOKUP($A73,Council_Data!$A$3:$AB$840,10,0))</f>
        <v>0</v>
      </c>
      <c r="J73" s="93">
        <f>IF(ISNA(VLOOKUP($A73,Council_Data!$A$3:$AB$840,11,0)),0,VLOOKUP($A73,Council_Data!$A$3:$AB$840,11,0))</f>
        <v>0</v>
      </c>
      <c r="K73" s="93">
        <f>IF(ISNA(VLOOKUP($A73,Council_Data!$A$3:$AB$840,12,0)),0,VLOOKUP($A73,Council_Data!$A$3:$AB$840,12,0))</f>
        <v>0</v>
      </c>
      <c r="L73" s="94">
        <f>IF(ISNA(VLOOKUP($A73,Council_Data!$A$3:$AB$840,13,0)),0,VLOOKUP($A73,Council_Data!$A$3:$AB$840,13,0))</f>
        <v>0</v>
      </c>
      <c r="M73" s="93">
        <f>IF(ISNA(VLOOKUP($A73,Council_Data!$A$3:$AB$840,14,0)),0,VLOOKUP($A73,Council_Data!$A$3:$AB$840,14,0))</f>
        <v>0</v>
      </c>
      <c r="N73" s="93">
        <f>IF(ISNA(VLOOKUP($A73,Council_Data!$A$3:$AB$840,15,0)),0,VLOOKUP($A73,Council_Data!$A$3:$AB$840,15,0))</f>
        <v>0</v>
      </c>
      <c r="O73" s="93">
        <f>IF(ISNA(VLOOKUP($A73,Council_Data!$A$3:$AB$840,16,0)),0,VLOOKUP($A73,Council_Data!$A$3:$AB$840,16,0))</f>
        <v>1</v>
      </c>
      <c r="P73" s="93">
        <f>IF(ISNA(VLOOKUP($A73,Council_Data!$A$3:$AB$840,17,0)),0,VLOOKUP($A73,Council_Data!$A$3:$AB$840,17,0))</f>
        <v>-1</v>
      </c>
      <c r="Q73" s="93">
        <f>IF(ISNA(VLOOKUP($A73,Council_Data!$A$3:$AB$840,18,0)),0,VLOOKUP($A73,Council_Data!$A$3:$AB$840,18,0))</f>
        <v>0</v>
      </c>
      <c r="R73" s="93">
        <f>IF(ISNA(VLOOKUP($A73,Council_Data!$A$3:$AB$840,19,0)),0,VLOOKUP($A73,Council_Data!$A$3:$AB$840,19,0))</f>
        <v>1</v>
      </c>
      <c r="S73" s="93">
        <f>IF(ISNA(VLOOKUP($A73,Council_Data!$A$3:$AB$840,20,0)),0,VLOOKUP($A73,Council_Data!$A$3:$AB$840,20,0))</f>
        <v>-1</v>
      </c>
      <c r="T73" s="94">
        <f>IF(ISNA(VLOOKUP($A73,Council_Data!$A$3:$AB$840,21,0)),0,VLOOKUP($A73,Council_Data!$A$3:$AB$840,21,0))</f>
        <v>0</v>
      </c>
      <c r="U73" s="93">
        <f>IF(ISNA(VLOOKUP($A73,Council_Data!$A$3:$AB$840,23,0)),0,VLOOKUP($A73,Council_Data!$A$3:$AB$840,23,0))</f>
        <v>3</v>
      </c>
      <c r="V73" s="50" t="str">
        <f>IF(ISNA(VLOOKUP($A73,Council_Data!$A$3:$AB$840,24,0)),0,VLOOKUP($A73,Council_Data!$A$3:$AB$840,24,0))</f>
        <v>Britten</v>
      </c>
    </row>
    <row r="74" spans="1:22" ht="29.1" customHeight="1">
      <c r="A74" s="93">
        <v>12601</v>
      </c>
      <c r="B74" s="50" t="str">
        <f>IF(ISNA(VLOOKUP($A74,Council_Data!$A$3:$AB$840,2,0)),0,VLOOKUP($A74,Council_Data!$A$3:$AB$840,2,0))</f>
        <v>144</v>
      </c>
      <c r="C74" s="50" t="str">
        <f>IF(ISNA(VLOOKUP($A74,Council_Data!$A$3:$AB$840,3,0)),0,VLOOKUP($A74,Council_Data!$A$3:$AB$840,3,0))</f>
        <v>Cameron</v>
      </c>
      <c r="D74" s="93">
        <f>IF(ISNA(VLOOKUP($A74,Council_Data!$A$3:$AB$840,5,0)),0,VLOOKUP($A74,Council_Data!$A$3:$AB$840,5,0))</f>
        <v>67</v>
      </c>
      <c r="E74" s="93">
        <f>IF(ISNA(VLOOKUP($A74,Council_Data!$A$3:$AB$840,6,0)),0,VLOOKUP($A74,Council_Data!$A$3:$AB$840,6,0))</f>
        <v>3</v>
      </c>
      <c r="F74" s="93">
        <f>IF(ISNA(VLOOKUP($A74,Council_Data!$A$3:$AB$840,7,0)),0,VLOOKUP($A74,Council_Data!$A$3:$AB$840,7,0))</f>
        <v>0</v>
      </c>
      <c r="G74" s="93">
        <f>IF(ISNA(VLOOKUP($A74,Council_Data!$A$3:$AB$840,8,0)),0,VLOOKUP($A74,Council_Data!$A$3:$AB$840,8,0))</f>
        <v>0</v>
      </c>
      <c r="H74" s="93">
        <f>IF(ISNA(VLOOKUP($A74,Council_Data!$A$3:$AB$840,9,0)),0,VLOOKUP($A74,Council_Data!$A$3:$AB$840,9,0))</f>
        <v>0</v>
      </c>
      <c r="I74" s="93">
        <f>IF(ISNA(VLOOKUP($A74,Council_Data!$A$3:$AB$840,10,0)),0,VLOOKUP($A74,Council_Data!$A$3:$AB$840,10,0))</f>
        <v>0</v>
      </c>
      <c r="J74" s="93">
        <f>IF(ISNA(VLOOKUP($A74,Council_Data!$A$3:$AB$840,11,0)),0,VLOOKUP($A74,Council_Data!$A$3:$AB$840,11,0))</f>
        <v>0</v>
      </c>
      <c r="K74" s="93">
        <f>IF(ISNA(VLOOKUP($A74,Council_Data!$A$3:$AB$840,12,0)),0,VLOOKUP($A74,Council_Data!$A$3:$AB$840,12,0))</f>
        <v>0</v>
      </c>
      <c r="L74" s="94">
        <f>IF(ISNA(VLOOKUP($A74,Council_Data!$A$3:$AB$840,13,0)),0,VLOOKUP($A74,Council_Data!$A$3:$AB$840,13,0))</f>
        <v>0</v>
      </c>
      <c r="M74" s="93">
        <f>IF(ISNA(VLOOKUP($A74,Council_Data!$A$3:$AB$840,14,0)),0,VLOOKUP($A74,Council_Data!$A$3:$AB$840,14,0))</f>
        <v>0</v>
      </c>
      <c r="N74" s="93">
        <f>IF(ISNA(VLOOKUP($A74,Council_Data!$A$3:$AB$840,15,0)),0,VLOOKUP($A74,Council_Data!$A$3:$AB$840,15,0))</f>
        <v>0</v>
      </c>
      <c r="O74" s="93">
        <f>IF(ISNA(VLOOKUP($A74,Council_Data!$A$3:$AB$840,16,0)),0,VLOOKUP($A74,Council_Data!$A$3:$AB$840,16,0))</f>
        <v>0</v>
      </c>
      <c r="P74" s="93">
        <f>IF(ISNA(VLOOKUP($A74,Council_Data!$A$3:$AB$840,17,0)),0,VLOOKUP($A74,Council_Data!$A$3:$AB$840,17,0))</f>
        <v>0</v>
      </c>
      <c r="Q74" s="93">
        <f>IF(ISNA(VLOOKUP($A74,Council_Data!$A$3:$AB$840,18,0)),0,VLOOKUP($A74,Council_Data!$A$3:$AB$840,18,0))</f>
        <v>0</v>
      </c>
      <c r="R74" s="93">
        <f>IF(ISNA(VLOOKUP($A74,Council_Data!$A$3:$AB$840,19,0)),0,VLOOKUP($A74,Council_Data!$A$3:$AB$840,19,0))</f>
        <v>0</v>
      </c>
      <c r="S74" s="93">
        <f>IF(ISNA(VLOOKUP($A74,Council_Data!$A$3:$AB$840,20,0)),0,VLOOKUP($A74,Council_Data!$A$3:$AB$840,20,0))</f>
        <v>0</v>
      </c>
      <c r="T74" s="94">
        <f>IF(ISNA(VLOOKUP($A74,Council_Data!$A$3:$AB$840,21,0)),0,VLOOKUP($A74,Council_Data!$A$3:$AB$840,21,0))</f>
        <v>0</v>
      </c>
      <c r="U74" s="93">
        <f>IF(ISNA(VLOOKUP($A74,Council_Data!$A$3:$AB$840,23,0)),0,VLOOKUP($A74,Council_Data!$A$3:$AB$840,23,0))</f>
        <v>2</v>
      </c>
      <c r="V74" s="50" t="str">
        <f>IF(ISNA(VLOOKUP($A74,Council_Data!$A$3:$AB$840,24,0)),0,VLOOKUP($A74,Council_Data!$A$3:$AB$840,24,0))</f>
        <v>Britten</v>
      </c>
    </row>
    <row r="75" spans="1:22" ht="29.1" customHeight="1">
      <c r="A75" s="93">
        <v>12642</v>
      </c>
      <c r="B75" s="50" t="str">
        <f>IF(ISNA(VLOOKUP($A75,Council_Data!$A$3:$AB$840,2,0)),0,VLOOKUP($A75,Council_Data!$A$3:$AB$840,2,0))</f>
        <v>152</v>
      </c>
      <c r="C75" s="50" t="str">
        <f>IF(ISNA(VLOOKUP($A75,Council_Data!$A$3:$AB$840,3,0)),0,VLOOKUP($A75,Council_Data!$A$3:$AB$840,3,0))</f>
        <v>Rockne</v>
      </c>
      <c r="D75" s="93">
        <f>IF(ISNA(VLOOKUP($A75,Council_Data!$A$3:$AB$840,5,0)),0,VLOOKUP($A75,Council_Data!$A$3:$AB$840,5,0))</f>
        <v>150</v>
      </c>
      <c r="E75" s="93">
        <f>IF(ISNA(VLOOKUP($A75,Council_Data!$A$3:$AB$840,6,0)),0,VLOOKUP($A75,Council_Data!$A$3:$AB$840,6,0))</f>
        <v>7</v>
      </c>
      <c r="F75" s="93">
        <f>IF(ISNA(VLOOKUP($A75,Council_Data!$A$3:$AB$840,7,0)),0,VLOOKUP($A75,Council_Data!$A$3:$AB$840,7,0))</f>
        <v>0</v>
      </c>
      <c r="G75" s="93">
        <f>IF(ISNA(VLOOKUP($A75,Council_Data!$A$3:$AB$840,8,0)),0,VLOOKUP($A75,Council_Data!$A$3:$AB$840,8,0))</f>
        <v>0</v>
      </c>
      <c r="H75" s="93">
        <f>IF(ISNA(VLOOKUP($A75,Council_Data!$A$3:$AB$840,9,0)),0,VLOOKUP($A75,Council_Data!$A$3:$AB$840,9,0))</f>
        <v>0</v>
      </c>
      <c r="I75" s="93">
        <f>IF(ISNA(VLOOKUP($A75,Council_Data!$A$3:$AB$840,10,0)),0,VLOOKUP($A75,Council_Data!$A$3:$AB$840,10,0))</f>
        <v>0</v>
      </c>
      <c r="J75" s="93">
        <f>IF(ISNA(VLOOKUP($A75,Council_Data!$A$3:$AB$840,11,0)),0,VLOOKUP($A75,Council_Data!$A$3:$AB$840,11,0))</f>
        <v>0</v>
      </c>
      <c r="K75" s="93">
        <f>IF(ISNA(VLOOKUP($A75,Council_Data!$A$3:$AB$840,12,0)),0,VLOOKUP($A75,Council_Data!$A$3:$AB$840,12,0))</f>
        <v>0</v>
      </c>
      <c r="L75" s="94">
        <f>IF(ISNA(VLOOKUP($A75,Council_Data!$A$3:$AB$840,13,0)),0,VLOOKUP($A75,Council_Data!$A$3:$AB$840,13,0))</f>
        <v>0</v>
      </c>
      <c r="M75" s="93">
        <f>IF(ISNA(VLOOKUP($A75,Council_Data!$A$3:$AB$840,14,0)),0,VLOOKUP($A75,Council_Data!$A$3:$AB$840,14,0))</f>
        <v>0</v>
      </c>
      <c r="N75" s="93">
        <f>IF(ISNA(VLOOKUP($A75,Council_Data!$A$3:$AB$840,15,0)),0,VLOOKUP($A75,Council_Data!$A$3:$AB$840,15,0))</f>
        <v>0</v>
      </c>
      <c r="O75" s="93">
        <f>IF(ISNA(VLOOKUP($A75,Council_Data!$A$3:$AB$840,16,0)),0,VLOOKUP($A75,Council_Data!$A$3:$AB$840,16,0))</f>
        <v>1</v>
      </c>
      <c r="P75" s="93">
        <f>IF(ISNA(VLOOKUP($A75,Council_Data!$A$3:$AB$840,17,0)),0,VLOOKUP($A75,Council_Data!$A$3:$AB$840,17,0))</f>
        <v>-1</v>
      </c>
      <c r="Q75" s="93">
        <f>IF(ISNA(VLOOKUP($A75,Council_Data!$A$3:$AB$840,18,0)),0,VLOOKUP($A75,Council_Data!$A$3:$AB$840,18,0))</f>
        <v>0</v>
      </c>
      <c r="R75" s="93">
        <f>IF(ISNA(VLOOKUP($A75,Council_Data!$A$3:$AB$840,19,0)),0,VLOOKUP($A75,Council_Data!$A$3:$AB$840,19,0))</f>
        <v>1</v>
      </c>
      <c r="S75" s="93">
        <f>IF(ISNA(VLOOKUP($A75,Council_Data!$A$3:$AB$840,20,0)),0,VLOOKUP($A75,Council_Data!$A$3:$AB$840,20,0))</f>
        <v>-1</v>
      </c>
      <c r="T75" s="94">
        <f>IF(ISNA(VLOOKUP($A75,Council_Data!$A$3:$AB$840,21,0)),0,VLOOKUP($A75,Council_Data!$A$3:$AB$840,21,0))</f>
        <v>0</v>
      </c>
      <c r="U75" s="93">
        <f>IF(ISNA(VLOOKUP($A75,Council_Data!$A$3:$AB$840,23,0)),0,VLOOKUP($A75,Council_Data!$A$3:$AB$840,23,0))</f>
        <v>1</v>
      </c>
      <c r="V75" s="50" t="str">
        <f>IF(ISNA(VLOOKUP($A75,Council_Data!$A$3:$AB$840,24,0)),0,VLOOKUP($A75,Council_Data!$A$3:$AB$840,24,0))</f>
        <v>Rangel</v>
      </c>
    </row>
    <row r="76" spans="1:22" ht="29.1" customHeight="1">
      <c r="A76" s="93">
        <v>12927</v>
      </c>
      <c r="B76" s="50" t="str">
        <f>IF(ISNA(VLOOKUP($A76,Council_Data!$A$3:$AB$840,2,0)),0,VLOOKUP($A76,Council_Data!$A$3:$AB$840,2,0))</f>
        <v>150</v>
      </c>
      <c r="C76" s="50" t="str">
        <f>IF(ISNA(VLOOKUP($A76,Council_Data!$A$3:$AB$840,3,0)),0,VLOOKUP($A76,Council_Data!$A$3:$AB$840,3,0))</f>
        <v>Hutto</v>
      </c>
      <c r="D76" s="93">
        <f>IF(ISNA(VLOOKUP($A76,Council_Data!$A$3:$AB$840,5,0)),0,VLOOKUP($A76,Council_Data!$A$3:$AB$840,5,0))</f>
        <v>84</v>
      </c>
      <c r="E76" s="93">
        <f>IF(ISNA(VLOOKUP($A76,Council_Data!$A$3:$AB$840,6,0)),0,VLOOKUP($A76,Council_Data!$A$3:$AB$840,6,0))</f>
        <v>4</v>
      </c>
      <c r="F76" s="93">
        <f>IF(ISNA(VLOOKUP($A76,Council_Data!$A$3:$AB$840,7,0)),0,VLOOKUP($A76,Council_Data!$A$3:$AB$840,7,0))</f>
        <v>0</v>
      </c>
      <c r="G76" s="93">
        <f>IF(ISNA(VLOOKUP($A76,Council_Data!$A$3:$AB$840,8,0)),0,VLOOKUP($A76,Council_Data!$A$3:$AB$840,8,0))</f>
        <v>0</v>
      </c>
      <c r="H76" s="93">
        <f>IF(ISNA(VLOOKUP($A76,Council_Data!$A$3:$AB$840,9,0)),0,VLOOKUP($A76,Council_Data!$A$3:$AB$840,9,0))</f>
        <v>0</v>
      </c>
      <c r="I76" s="93">
        <f>IF(ISNA(VLOOKUP($A76,Council_Data!$A$3:$AB$840,10,0)),0,VLOOKUP($A76,Council_Data!$A$3:$AB$840,10,0))</f>
        <v>2</v>
      </c>
      <c r="J76" s="93">
        <f>IF(ISNA(VLOOKUP($A76,Council_Data!$A$3:$AB$840,11,0)),0,VLOOKUP($A76,Council_Data!$A$3:$AB$840,11,0))</f>
        <v>0</v>
      </c>
      <c r="K76" s="93">
        <f>IF(ISNA(VLOOKUP($A76,Council_Data!$A$3:$AB$840,12,0)),0,VLOOKUP($A76,Council_Data!$A$3:$AB$840,12,0))</f>
        <v>2</v>
      </c>
      <c r="L76" s="94">
        <f>IF(ISNA(VLOOKUP($A76,Council_Data!$A$3:$AB$840,13,0)),0,VLOOKUP($A76,Council_Data!$A$3:$AB$840,13,0))</f>
        <v>50</v>
      </c>
      <c r="M76" s="93">
        <f>IF(ISNA(VLOOKUP($A76,Council_Data!$A$3:$AB$840,14,0)),0,VLOOKUP($A76,Council_Data!$A$3:$AB$840,14,0))</f>
        <v>0</v>
      </c>
      <c r="N76" s="93">
        <f>IF(ISNA(VLOOKUP($A76,Council_Data!$A$3:$AB$840,15,0)),0,VLOOKUP($A76,Council_Data!$A$3:$AB$840,15,0))</f>
        <v>0</v>
      </c>
      <c r="O76" s="93">
        <f>IF(ISNA(VLOOKUP($A76,Council_Data!$A$3:$AB$840,16,0)),0,VLOOKUP($A76,Council_Data!$A$3:$AB$840,16,0))</f>
        <v>0</v>
      </c>
      <c r="P76" s="93">
        <f>IF(ISNA(VLOOKUP($A76,Council_Data!$A$3:$AB$840,17,0)),0,VLOOKUP($A76,Council_Data!$A$3:$AB$840,17,0))</f>
        <v>0</v>
      </c>
      <c r="Q76" s="93">
        <f>IF(ISNA(VLOOKUP($A76,Council_Data!$A$3:$AB$840,18,0)),0,VLOOKUP($A76,Council_Data!$A$3:$AB$840,18,0))</f>
        <v>1</v>
      </c>
      <c r="R76" s="93">
        <f>IF(ISNA(VLOOKUP($A76,Council_Data!$A$3:$AB$840,19,0)),0,VLOOKUP($A76,Council_Data!$A$3:$AB$840,19,0))</f>
        <v>0</v>
      </c>
      <c r="S76" s="93">
        <f>IF(ISNA(VLOOKUP($A76,Council_Data!$A$3:$AB$840,20,0)),0,VLOOKUP($A76,Council_Data!$A$3:$AB$840,20,0))</f>
        <v>1</v>
      </c>
      <c r="T76" s="94">
        <f>IF(ISNA(VLOOKUP($A76,Council_Data!$A$3:$AB$840,21,0)),0,VLOOKUP($A76,Council_Data!$A$3:$AB$840,21,0))</f>
        <v>0</v>
      </c>
      <c r="U76" s="93">
        <f>IF(ISNA(VLOOKUP($A76,Council_Data!$A$3:$AB$840,23,0)),0,VLOOKUP($A76,Council_Data!$A$3:$AB$840,23,0))</f>
        <v>2</v>
      </c>
      <c r="V76" s="50" t="str">
        <f>IF(ISNA(VLOOKUP($A76,Council_Data!$A$3:$AB$840,24,0)),0,VLOOKUP($A76,Council_Data!$A$3:$AB$840,24,0))</f>
        <v>Rangel</v>
      </c>
    </row>
    <row r="77" spans="1:22" ht="29.1" customHeight="1">
      <c r="A77" s="93">
        <v>12931</v>
      </c>
      <c r="B77" s="50" t="str">
        <f>IF(ISNA(VLOOKUP($A77,Council_Data!$A$3:$AB$840,2,0)),0,VLOOKUP($A77,Council_Data!$A$3:$AB$840,2,0))</f>
        <v>163</v>
      </c>
      <c r="C77" s="50" t="str">
        <f>IF(ISNA(VLOOKUP($A77,Council_Data!$A$3:$AB$840,3,0)),0,VLOOKUP($A77,Council_Data!$A$3:$AB$840,3,0))</f>
        <v>Rogers</v>
      </c>
      <c r="D77" s="93">
        <f>IF(ISNA(VLOOKUP($A77,Council_Data!$A$3:$AB$840,5,0)),0,VLOOKUP($A77,Council_Data!$A$3:$AB$840,5,0))</f>
        <v>53</v>
      </c>
      <c r="E77" s="93">
        <f>IF(ISNA(VLOOKUP($A77,Council_Data!$A$3:$AB$840,6,0)),0,VLOOKUP($A77,Council_Data!$A$3:$AB$840,6,0))</f>
        <v>3</v>
      </c>
      <c r="F77" s="93">
        <f>IF(ISNA(VLOOKUP($A77,Council_Data!$A$3:$AB$840,7,0)),0,VLOOKUP($A77,Council_Data!$A$3:$AB$840,7,0))</f>
        <v>0</v>
      </c>
      <c r="G77" s="93">
        <f>IF(ISNA(VLOOKUP($A77,Council_Data!$A$3:$AB$840,8,0)),0,VLOOKUP($A77,Council_Data!$A$3:$AB$840,8,0))</f>
        <v>0</v>
      </c>
      <c r="H77" s="93">
        <f>IF(ISNA(VLOOKUP($A77,Council_Data!$A$3:$AB$840,9,0)),0,VLOOKUP($A77,Council_Data!$A$3:$AB$840,9,0))</f>
        <v>0</v>
      </c>
      <c r="I77" s="93">
        <f>IF(ISNA(VLOOKUP($A77,Council_Data!$A$3:$AB$840,10,0)),0,VLOOKUP($A77,Council_Data!$A$3:$AB$840,10,0))</f>
        <v>0</v>
      </c>
      <c r="J77" s="93">
        <f>IF(ISNA(VLOOKUP($A77,Council_Data!$A$3:$AB$840,11,0)),0,VLOOKUP($A77,Council_Data!$A$3:$AB$840,11,0))</f>
        <v>0</v>
      </c>
      <c r="K77" s="93">
        <f>IF(ISNA(VLOOKUP($A77,Council_Data!$A$3:$AB$840,12,0)),0,VLOOKUP($A77,Council_Data!$A$3:$AB$840,12,0))</f>
        <v>0</v>
      </c>
      <c r="L77" s="94">
        <f>IF(ISNA(VLOOKUP($A77,Council_Data!$A$3:$AB$840,13,0)),0,VLOOKUP($A77,Council_Data!$A$3:$AB$840,13,0))</f>
        <v>0</v>
      </c>
      <c r="M77" s="93">
        <f>IF(ISNA(VLOOKUP($A77,Council_Data!$A$3:$AB$840,14,0)),0,VLOOKUP($A77,Council_Data!$A$3:$AB$840,14,0))</f>
        <v>0</v>
      </c>
      <c r="N77" s="93">
        <f>IF(ISNA(VLOOKUP($A77,Council_Data!$A$3:$AB$840,15,0)),0,VLOOKUP($A77,Council_Data!$A$3:$AB$840,15,0))</f>
        <v>0</v>
      </c>
      <c r="O77" s="93">
        <f>IF(ISNA(VLOOKUP($A77,Council_Data!$A$3:$AB$840,16,0)),0,VLOOKUP($A77,Council_Data!$A$3:$AB$840,16,0))</f>
        <v>0</v>
      </c>
      <c r="P77" s="93">
        <f>IF(ISNA(VLOOKUP($A77,Council_Data!$A$3:$AB$840,17,0)),0,VLOOKUP($A77,Council_Data!$A$3:$AB$840,17,0))</f>
        <v>0</v>
      </c>
      <c r="Q77" s="93">
        <f>IF(ISNA(VLOOKUP($A77,Council_Data!$A$3:$AB$840,18,0)),0,VLOOKUP($A77,Council_Data!$A$3:$AB$840,18,0))</f>
        <v>0</v>
      </c>
      <c r="R77" s="93">
        <f>IF(ISNA(VLOOKUP($A77,Council_Data!$A$3:$AB$840,19,0)),0,VLOOKUP($A77,Council_Data!$A$3:$AB$840,19,0))</f>
        <v>0</v>
      </c>
      <c r="S77" s="93">
        <f>IF(ISNA(VLOOKUP($A77,Council_Data!$A$3:$AB$840,20,0)),0,VLOOKUP($A77,Council_Data!$A$3:$AB$840,20,0))</f>
        <v>0</v>
      </c>
      <c r="T77" s="94">
        <f>IF(ISNA(VLOOKUP($A77,Council_Data!$A$3:$AB$840,21,0)),0,VLOOKUP($A77,Council_Data!$A$3:$AB$840,21,0))</f>
        <v>0</v>
      </c>
      <c r="U77" s="93">
        <f>IF(ISNA(VLOOKUP($A77,Council_Data!$A$3:$AB$840,23,0)),0,VLOOKUP($A77,Council_Data!$A$3:$AB$840,23,0))</f>
        <v>3</v>
      </c>
      <c r="V77" s="50" t="str">
        <f>IF(ISNA(VLOOKUP($A77,Council_Data!$A$3:$AB$840,24,0)),0,VLOOKUP($A77,Council_Data!$A$3:$AB$840,24,0))</f>
        <v>Rangel</v>
      </c>
    </row>
    <row r="78" spans="1:22" ht="29.1" customHeight="1">
      <c r="A78" s="93">
        <v>13005</v>
      </c>
      <c r="B78" s="50" t="str">
        <f>IF(ISNA(VLOOKUP($A78,Council_Data!$A$3:$AB$840,2,0)),0,VLOOKUP($A78,Council_Data!$A$3:$AB$840,2,0))</f>
        <v>141</v>
      </c>
      <c r="C78" s="50" t="str">
        <f>IF(ISNA(VLOOKUP($A78,Council_Data!$A$3:$AB$840,3,0)),0,VLOOKUP($A78,Council_Data!$A$3:$AB$840,3,0))</f>
        <v>Waco</v>
      </c>
      <c r="D78" s="93">
        <f>IF(ISNA(VLOOKUP($A78,Council_Data!$A$3:$AB$840,5,0)),0,VLOOKUP($A78,Council_Data!$A$3:$AB$840,5,0))</f>
        <v>187</v>
      </c>
      <c r="E78" s="93">
        <f>IF(ISNA(VLOOKUP($A78,Council_Data!$A$3:$AB$840,6,0)),0,VLOOKUP($A78,Council_Data!$A$3:$AB$840,6,0))</f>
        <v>9</v>
      </c>
      <c r="F78" s="93">
        <f>IF(ISNA(VLOOKUP($A78,Council_Data!$A$3:$AB$840,7,0)),0,VLOOKUP($A78,Council_Data!$A$3:$AB$840,7,0))</f>
        <v>0</v>
      </c>
      <c r="G78" s="93">
        <f>IF(ISNA(VLOOKUP($A78,Council_Data!$A$3:$AB$840,8,0)),0,VLOOKUP($A78,Council_Data!$A$3:$AB$840,8,0))</f>
        <v>0</v>
      </c>
      <c r="H78" s="93">
        <f>IF(ISNA(VLOOKUP($A78,Council_Data!$A$3:$AB$840,9,0)),0,VLOOKUP($A78,Council_Data!$A$3:$AB$840,9,0))</f>
        <v>0</v>
      </c>
      <c r="I78" s="93">
        <f>IF(ISNA(VLOOKUP($A78,Council_Data!$A$3:$AB$840,10,0)),0,VLOOKUP($A78,Council_Data!$A$3:$AB$840,10,0))</f>
        <v>1</v>
      </c>
      <c r="J78" s="93">
        <f>IF(ISNA(VLOOKUP($A78,Council_Data!$A$3:$AB$840,11,0)),0,VLOOKUP($A78,Council_Data!$A$3:$AB$840,11,0))</f>
        <v>1</v>
      </c>
      <c r="K78" s="93">
        <f>IF(ISNA(VLOOKUP($A78,Council_Data!$A$3:$AB$840,12,0)),0,VLOOKUP($A78,Council_Data!$A$3:$AB$840,12,0))</f>
        <v>0</v>
      </c>
      <c r="L78" s="94">
        <f>IF(ISNA(VLOOKUP($A78,Council_Data!$A$3:$AB$840,13,0)),0,VLOOKUP($A78,Council_Data!$A$3:$AB$840,13,0))</f>
        <v>0</v>
      </c>
      <c r="M78" s="93">
        <f>IF(ISNA(VLOOKUP($A78,Council_Data!$A$3:$AB$840,14,0)),0,VLOOKUP($A78,Council_Data!$A$3:$AB$840,14,0))</f>
        <v>0</v>
      </c>
      <c r="N78" s="93">
        <f>IF(ISNA(VLOOKUP($A78,Council_Data!$A$3:$AB$840,15,0)),0,VLOOKUP($A78,Council_Data!$A$3:$AB$840,15,0))</f>
        <v>0</v>
      </c>
      <c r="O78" s="93">
        <f>IF(ISNA(VLOOKUP($A78,Council_Data!$A$3:$AB$840,16,0)),0,VLOOKUP($A78,Council_Data!$A$3:$AB$840,16,0))</f>
        <v>0</v>
      </c>
      <c r="P78" s="93">
        <f>IF(ISNA(VLOOKUP($A78,Council_Data!$A$3:$AB$840,17,0)),0,VLOOKUP($A78,Council_Data!$A$3:$AB$840,17,0))</f>
        <v>0</v>
      </c>
      <c r="Q78" s="93">
        <f>IF(ISNA(VLOOKUP($A78,Council_Data!$A$3:$AB$840,18,0)),0,VLOOKUP($A78,Council_Data!$A$3:$AB$840,18,0))</f>
        <v>2</v>
      </c>
      <c r="R78" s="93">
        <f>IF(ISNA(VLOOKUP($A78,Council_Data!$A$3:$AB$840,19,0)),0,VLOOKUP($A78,Council_Data!$A$3:$AB$840,19,0))</f>
        <v>0</v>
      </c>
      <c r="S78" s="93">
        <f>IF(ISNA(VLOOKUP($A78,Council_Data!$A$3:$AB$840,20,0)),0,VLOOKUP($A78,Council_Data!$A$3:$AB$840,20,0))</f>
        <v>2</v>
      </c>
      <c r="T78" s="94">
        <f>IF(ISNA(VLOOKUP($A78,Council_Data!$A$3:$AB$840,21,0)),0,VLOOKUP($A78,Council_Data!$A$3:$AB$840,21,0))</f>
        <v>0</v>
      </c>
      <c r="U78" s="93">
        <f>IF(ISNA(VLOOKUP($A78,Council_Data!$A$3:$AB$840,23,0)),0,VLOOKUP($A78,Council_Data!$A$3:$AB$840,23,0))</f>
        <v>1</v>
      </c>
      <c r="V78" s="50" t="str">
        <f>IF(ISNA(VLOOKUP($A78,Council_Data!$A$3:$AB$840,24,0)),0,VLOOKUP($A78,Council_Data!$A$3:$AB$840,24,0))</f>
        <v>Rangel</v>
      </c>
    </row>
    <row r="79" spans="1:22" ht="29.1" customHeight="1">
      <c r="A79" s="93">
        <v>13198</v>
      </c>
      <c r="B79" s="50" t="str">
        <f>IF(ISNA(VLOOKUP($A79,Council_Data!$A$3:$AB$840,2,0)),0,VLOOKUP($A79,Council_Data!$A$3:$AB$840,2,0))</f>
        <v>143</v>
      </c>
      <c r="C79" s="50" t="str">
        <f>IF(ISNA(VLOOKUP($A79,Council_Data!$A$3:$AB$840,3,0)),0,VLOOKUP($A79,Council_Data!$A$3:$AB$840,3,0))</f>
        <v>Salado</v>
      </c>
      <c r="D79" s="93">
        <f>IF(ISNA(VLOOKUP($A79,Council_Data!$A$3:$AB$840,5,0)),0,VLOOKUP($A79,Council_Data!$A$3:$AB$840,5,0))</f>
        <v>38</v>
      </c>
      <c r="E79" s="93">
        <f>IF(ISNA(VLOOKUP($A79,Council_Data!$A$3:$AB$840,6,0)),0,VLOOKUP($A79,Council_Data!$A$3:$AB$840,6,0))</f>
        <v>3</v>
      </c>
      <c r="F79" s="93">
        <f>IF(ISNA(VLOOKUP($A79,Council_Data!$A$3:$AB$840,7,0)),0,VLOOKUP($A79,Council_Data!$A$3:$AB$840,7,0))</f>
        <v>0</v>
      </c>
      <c r="G79" s="93">
        <f>IF(ISNA(VLOOKUP($A79,Council_Data!$A$3:$AB$840,8,0)),0,VLOOKUP($A79,Council_Data!$A$3:$AB$840,8,0))</f>
        <v>0</v>
      </c>
      <c r="H79" s="93">
        <f>IF(ISNA(VLOOKUP($A79,Council_Data!$A$3:$AB$840,9,0)),0,VLOOKUP($A79,Council_Data!$A$3:$AB$840,9,0))</f>
        <v>0</v>
      </c>
      <c r="I79" s="93">
        <f>IF(ISNA(VLOOKUP($A79,Council_Data!$A$3:$AB$840,10,0)),0,VLOOKUP($A79,Council_Data!$A$3:$AB$840,10,0))</f>
        <v>1</v>
      </c>
      <c r="J79" s="93">
        <f>IF(ISNA(VLOOKUP($A79,Council_Data!$A$3:$AB$840,11,0)),0,VLOOKUP($A79,Council_Data!$A$3:$AB$840,11,0))</f>
        <v>0</v>
      </c>
      <c r="K79" s="93">
        <f>IF(ISNA(VLOOKUP($A79,Council_Data!$A$3:$AB$840,12,0)),0,VLOOKUP($A79,Council_Data!$A$3:$AB$840,12,0))</f>
        <v>1</v>
      </c>
      <c r="L79" s="94">
        <f>IF(ISNA(VLOOKUP($A79,Council_Data!$A$3:$AB$840,13,0)),0,VLOOKUP($A79,Council_Data!$A$3:$AB$840,13,0))</f>
        <v>33.33</v>
      </c>
      <c r="M79" s="93">
        <f>IF(ISNA(VLOOKUP($A79,Council_Data!$A$3:$AB$840,14,0)),0,VLOOKUP($A79,Council_Data!$A$3:$AB$840,14,0))</f>
        <v>0</v>
      </c>
      <c r="N79" s="93">
        <f>IF(ISNA(VLOOKUP($A79,Council_Data!$A$3:$AB$840,15,0)),0,VLOOKUP($A79,Council_Data!$A$3:$AB$840,15,0))</f>
        <v>0</v>
      </c>
      <c r="O79" s="93">
        <f>IF(ISNA(VLOOKUP($A79,Council_Data!$A$3:$AB$840,16,0)),0,VLOOKUP($A79,Council_Data!$A$3:$AB$840,16,0))</f>
        <v>0</v>
      </c>
      <c r="P79" s="93">
        <f>IF(ISNA(VLOOKUP($A79,Council_Data!$A$3:$AB$840,17,0)),0,VLOOKUP($A79,Council_Data!$A$3:$AB$840,17,0))</f>
        <v>0</v>
      </c>
      <c r="Q79" s="93">
        <f>IF(ISNA(VLOOKUP($A79,Council_Data!$A$3:$AB$840,18,0)),0,VLOOKUP($A79,Council_Data!$A$3:$AB$840,18,0))</f>
        <v>0</v>
      </c>
      <c r="R79" s="93">
        <f>IF(ISNA(VLOOKUP($A79,Council_Data!$A$3:$AB$840,19,0)),0,VLOOKUP($A79,Council_Data!$A$3:$AB$840,19,0))</f>
        <v>0</v>
      </c>
      <c r="S79" s="93">
        <f>IF(ISNA(VLOOKUP($A79,Council_Data!$A$3:$AB$840,20,0)),0,VLOOKUP($A79,Council_Data!$A$3:$AB$840,20,0))</f>
        <v>0</v>
      </c>
      <c r="T79" s="94">
        <f>IF(ISNA(VLOOKUP($A79,Council_Data!$A$3:$AB$840,21,0)),0,VLOOKUP($A79,Council_Data!$A$3:$AB$840,21,0))</f>
        <v>0</v>
      </c>
      <c r="U79" s="93">
        <f>IF(ISNA(VLOOKUP($A79,Council_Data!$A$3:$AB$840,23,0)),0,VLOOKUP($A79,Council_Data!$A$3:$AB$840,23,0))</f>
        <v>3</v>
      </c>
      <c r="V79" s="50" t="str">
        <f>IF(ISNA(VLOOKUP($A79,Council_Data!$A$3:$AB$840,24,0)),0,VLOOKUP($A79,Council_Data!$A$3:$AB$840,24,0))</f>
        <v>Britten</v>
      </c>
    </row>
    <row r="80" spans="1:22" ht="29.1" customHeight="1">
      <c r="A80" s="93">
        <v>13245</v>
      </c>
      <c r="B80" s="50" t="str">
        <f>IF(ISNA(VLOOKUP($A80,Council_Data!$A$3:$AB$840,2,0)),0,VLOOKUP($A80,Council_Data!$A$3:$AB$840,2,0))</f>
        <v>162</v>
      </c>
      <c r="C80" s="50" t="str">
        <f>IF(ISNA(VLOOKUP($A80,Council_Data!$A$3:$AB$840,3,0)),0,VLOOKUP($A80,Council_Data!$A$3:$AB$840,3,0))</f>
        <v>Kingsland</v>
      </c>
      <c r="D80" s="93">
        <f>IF(ISNA(VLOOKUP($A80,Council_Data!$A$3:$AB$840,5,0)),0,VLOOKUP($A80,Council_Data!$A$3:$AB$840,5,0))</f>
        <v>26</v>
      </c>
      <c r="E80" s="93">
        <f>IF(ISNA(VLOOKUP($A80,Council_Data!$A$3:$AB$840,6,0)),0,VLOOKUP($A80,Council_Data!$A$3:$AB$840,6,0))</f>
        <v>3</v>
      </c>
      <c r="F80" s="93">
        <f>IF(ISNA(VLOOKUP($A80,Council_Data!$A$3:$AB$840,7,0)),0,VLOOKUP($A80,Council_Data!$A$3:$AB$840,7,0))</f>
        <v>0</v>
      </c>
      <c r="G80" s="93">
        <f>IF(ISNA(VLOOKUP($A80,Council_Data!$A$3:$AB$840,8,0)),0,VLOOKUP($A80,Council_Data!$A$3:$AB$840,8,0))</f>
        <v>0</v>
      </c>
      <c r="H80" s="93">
        <f>IF(ISNA(VLOOKUP($A80,Council_Data!$A$3:$AB$840,9,0)),0,VLOOKUP($A80,Council_Data!$A$3:$AB$840,9,0))</f>
        <v>0</v>
      </c>
      <c r="I80" s="93">
        <f>IF(ISNA(VLOOKUP($A80,Council_Data!$A$3:$AB$840,10,0)),0,VLOOKUP($A80,Council_Data!$A$3:$AB$840,10,0))</f>
        <v>0</v>
      </c>
      <c r="J80" s="93">
        <f>IF(ISNA(VLOOKUP($A80,Council_Data!$A$3:$AB$840,11,0)),0,VLOOKUP($A80,Council_Data!$A$3:$AB$840,11,0))</f>
        <v>0</v>
      </c>
      <c r="K80" s="93">
        <f>IF(ISNA(VLOOKUP($A80,Council_Data!$A$3:$AB$840,12,0)),0,VLOOKUP($A80,Council_Data!$A$3:$AB$840,12,0))</f>
        <v>0</v>
      </c>
      <c r="L80" s="94">
        <f>IF(ISNA(VLOOKUP($A80,Council_Data!$A$3:$AB$840,13,0)),0,VLOOKUP($A80,Council_Data!$A$3:$AB$840,13,0))</f>
        <v>0</v>
      </c>
      <c r="M80" s="93">
        <f>IF(ISNA(VLOOKUP($A80,Council_Data!$A$3:$AB$840,14,0)),0,VLOOKUP($A80,Council_Data!$A$3:$AB$840,14,0))</f>
        <v>0</v>
      </c>
      <c r="N80" s="93">
        <f>IF(ISNA(VLOOKUP($A80,Council_Data!$A$3:$AB$840,15,0)),0,VLOOKUP($A80,Council_Data!$A$3:$AB$840,15,0))</f>
        <v>0</v>
      </c>
      <c r="O80" s="93">
        <f>IF(ISNA(VLOOKUP($A80,Council_Data!$A$3:$AB$840,16,0)),0,VLOOKUP($A80,Council_Data!$A$3:$AB$840,16,0))</f>
        <v>0</v>
      </c>
      <c r="P80" s="93">
        <f>IF(ISNA(VLOOKUP($A80,Council_Data!$A$3:$AB$840,17,0)),0,VLOOKUP($A80,Council_Data!$A$3:$AB$840,17,0))</f>
        <v>0</v>
      </c>
      <c r="Q80" s="93">
        <f>IF(ISNA(VLOOKUP($A80,Council_Data!$A$3:$AB$840,18,0)),0,VLOOKUP($A80,Council_Data!$A$3:$AB$840,18,0))</f>
        <v>0</v>
      </c>
      <c r="R80" s="93">
        <f>IF(ISNA(VLOOKUP($A80,Council_Data!$A$3:$AB$840,19,0)),0,VLOOKUP($A80,Council_Data!$A$3:$AB$840,19,0))</f>
        <v>0</v>
      </c>
      <c r="S80" s="93">
        <f>IF(ISNA(VLOOKUP($A80,Council_Data!$A$3:$AB$840,20,0)),0,VLOOKUP($A80,Council_Data!$A$3:$AB$840,20,0))</f>
        <v>0</v>
      </c>
      <c r="T80" s="94">
        <f>IF(ISNA(VLOOKUP($A80,Council_Data!$A$3:$AB$840,21,0)),0,VLOOKUP($A80,Council_Data!$A$3:$AB$840,21,0))</f>
        <v>0</v>
      </c>
      <c r="U80" s="93">
        <f>IF(ISNA(VLOOKUP($A80,Council_Data!$A$3:$AB$840,23,0)),0,VLOOKUP($A80,Council_Data!$A$3:$AB$840,23,0))</f>
        <v>3</v>
      </c>
      <c r="V80" s="50" t="str">
        <f>IF(ISNA(VLOOKUP($A80,Council_Data!$A$3:$AB$840,24,0)),0,VLOOKUP($A80,Council_Data!$A$3:$AB$840,24,0))</f>
        <v>Rangel</v>
      </c>
    </row>
    <row r="81" spans="1:22" ht="29.1" customHeight="1">
      <c r="A81" s="93">
        <v>13255</v>
      </c>
      <c r="B81" s="50" t="str">
        <f>IF(ISNA(VLOOKUP($A81,Council_Data!$A$3:$AB$840,2,0)),0,VLOOKUP($A81,Council_Data!$A$3:$AB$840,2,0))</f>
        <v>160</v>
      </c>
      <c r="C81" s="50" t="str">
        <f>IF(ISNA(VLOOKUP($A81,Council_Data!$A$3:$AB$840,3,0)),0,VLOOKUP($A81,Council_Data!$A$3:$AB$840,3,0))</f>
        <v>Marble Falls</v>
      </c>
      <c r="D81" s="93">
        <f>IF(ISNA(VLOOKUP($A81,Council_Data!$A$3:$AB$840,5,0)),0,VLOOKUP($A81,Council_Data!$A$3:$AB$840,5,0))</f>
        <v>71</v>
      </c>
      <c r="E81" s="93">
        <f>IF(ISNA(VLOOKUP($A81,Council_Data!$A$3:$AB$840,6,0)),0,VLOOKUP($A81,Council_Data!$A$3:$AB$840,6,0))</f>
        <v>3</v>
      </c>
      <c r="F81" s="93">
        <f>IF(ISNA(VLOOKUP($A81,Council_Data!$A$3:$AB$840,7,0)),0,VLOOKUP($A81,Council_Data!$A$3:$AB$840,7,0))</f>
        <v>0</v>
      </c>
      <c r="G81" s="93">
        <f>IF(ISNA(VLOOKUP($A81,Council_Data!$A$3:$AB$840,8,0)),0,VLOOKUP($A81,Council_Data!$A$3:$AB$840,8,0))</f>
        <v>0</v>
      </c>
      <c r="H81" s="93">
        <f>IF(ISNA(VLOOKUP($A81,Council_Data!$A$3:$AB$840,9,0)),0,VLOOKUP($A81,Council_Data!$A$3:$AB$840,9,0))</f>
        <v>0</v>
      </c>
      <c r="I81" s="93">
        <f>IF(ISNA(VLOOKUP($A81,Council_Data!$A$3:$AB$840,10,0)),0,VLOOKUP($A81,Council_Data!$A$3:$AB$840,10,0))</f>
        <v>0</v>
      </c>
      <c r="J81" s="93">
        <f>IF(ISNA(VLOOKUP($A81,Council_Data!$A$3:$AB$840,11,0)),0,VLOOKUP($A81,Council_Data!$A$3:$AB$840,11,0))</f>
        <v>0</v>
      </c>
      <c r="K81" s="93">
        <f>IF(ISNA(VLOOKUP($A81,Council_Data!$A$3:$AB$840,12,0)),0,VLOOKUP($A81,Council_Data!$A$3:$AB$840,12,0))</f>
        <v>0</v>
      </c>
      <c r="L81" s="94">
        <f>IF(ISNA(VLOOKUP($A81,Council_Data!$A$3:$AB$840,13,0)),0,VLOOKUP($A81,Council_Data!$A$3:$AB$840,13,0))</f>
        <v>0</v>
      </c>
      <c r="M81" s="93">
        <f>IF(ISNA(VLOOKUP($A81,Council_Data!$A$3:$AB$840,14,0)),0,VLOOKUP($A81,Council_Data!$A$3:$AB$840,14,0))</f>
        <v>0</v>
      </c>
      <c r="N81" s="93">
        <f>IF(ISNA(VLOOKUP($A81,Council_Data!$A$3:$AB$840,15,0)),0,VLOOKUP($A81,Council_Data!$A$3:$AB$840,15,0))</f>
        <v>0</v>
      </c>
      <c r="O81" s="93">
        <f>IF(ISNA(VLOOKUP($A81,Council_Data!$A$3:$AB$840,16,0)),0,VLOOKUP($A81,Council_Data!$A$3:$AB$840,16,0))</f>
        <v>0</v>
      </c>
      <c r="P81" s="93">
        <f>IF(ISNA(VLOOKUP($A81,Council_Data!$A$3:$AB$840,17,0)),0,VLOOKUP($A81,Council_Data!$A$3:$AB$840,17,0))</f>
        <v>0</v>
      </c>
      <c r="Q81" s="93">
        <f>IF(ISNA(VLOOKUP($A81,Council_Data!$A$3:$AB$840,18,0)),0,VLOOKUP($A81,Council_Data!$A$3:$AB$840,18,0))</f>
        <v>0</v>
      </c>
      <c r="R81" s="93">
        <f>IF(ISNA(VLOOKUP($A81,Council_Data!$A$3:$AB$840,19,0)),0,VLOOKUP($A81,Council_Data!$A$3:$AB$840,19,0))</f>
        <v>1</v>
      </c>
      <c r="S81" s="93">
        <f>IF(ISNA(VLOOKUP($A81,Council_Data!$A$3:$AB$840,20,0)),0,VLOOKUP($A81,Council_Data!$A$3:$AB$840,20,0))</f>
        <v>-1</v>
      </c>
      <c r="T81" s="94">
        <f>IF(ISNA(VLOOKUP($A81,Council_Data!$A$3:$AB$840,21,0)),0,VLOOKUP($A81,Council_Data!$A$3:$AB$840,21,0))</f>
        <v>0</v>
      </c>
      <c r="U81" s="93">
        <f>IF(ISNA(VLOOKUP($A81,Council_Data!$A$3:$AB$840,23,0)),0,VLOOKUP($A81,Council_Data!$A$3:$AB$840,23,0))</f>
        <v>2</v>
      </c>
      <c r="V81" s="50" t="str">
        <f>IF(ISNA(VLOOKUP($A81,Council_Data!$A$3:$AB$840,24,0)),0,VLOOKUP($A81,Council_Data!$A$3:$AB$840,24,0))</f>
        <v>Rangel</v>
      </c>
    </row>
    <row r="82" spans="1:22" ht="29.1" customHeight="1">
      <c r="A82" s="93">
        <v>13460</v>
      </c>
      <c r="B82" s="50" t="str">
        <f>IF(ISNA(VLOOKUP($A82,Council_Data!$A$3:$AB$840,2,0)),0,VLOOKUP($A82,Council_Data!$A$3:$AB$840,2,0))</f>
        <v>153</v>
      </c>
      <c r="C82" s="50" t="str">
        <f>IF(ISNA(VLOOKUP($A82,Council_Data!$A$3:$AB$840,3,0)),0,VLOOKUP($A82,Council_Data!$A$3:$AB$840,3,0))</f>
        <v>Creedmoor</v>
      </c>
      <c r="D82" s="93">
        <f>IF(ISNA(VLOOKUP($A82,Council_Data!$A$3:$AB$840,5,0)),0,VLOOKUP($A82,Council_Data!$A$3:$AB$840,5,0))</f>
        <v>42</v>
      </c>
      <c r="E82" s="93">
        <f>IF(ISNA(VLOOKUP($A82,Council_Data!$A$3:$AB$840,6,0)),0,VLOOKUP($A82,Council_Data!$A$3:$AB$840,6,0))</f>
        <v>3</v>
      </c>
      <c r="F82" s="93">
        <f>IF(ISNA(VLOOKUP($A82,Council_Data!$A$3:$AB$840,7,0)),0,VLOOKUP($A82,Council_Data!$A$3:$AB$840,7,0))</f>
        <v>0</v>
      </c>
      <c r="G82" s="93">
        <f>IF(ISNA(VLOOKUP($A82,Council_Data!$A$3:$AB$840,8,0)),0,VLOOKUP($A82,Council_Data!$A$3:$AB$840,8,0))</f>
        <v>0</v>
      </c>
      <c r="H82" s="93">
        <f>IF(ISNA(VLOOKUP($A82,Council_Data!$A$3:$AB$840,9,0)),0,VLOOKUP($A82,Council_Data!$A$3:$AB$840,9,0))</f>
        <v>0</v>
      </c>
      <c r="I82" s="93">
        <f>IF(ISNA(VLOOKUP($A82,Council_Data!$A$3:$AB$840,10,0)),0,VLOOKUP($A82,Council_Data!$A$3:$AB$840,10,0))</f>
        <v>0</v>
      </c>
      <c r="J82" s="93">
        <f>IF(ISNA(VLOOKUP($A82,Council_Data!$A$3:$AB$840,11,0)),0,VLOOKUP($A82,Council_Data!$A$3:$AB$840,11,0))</f>
        <v>0</v>
      </c>
      <c r="K82" s="93">
        <f>IF(ISNA(VLOOKUP($A82,Council_Data!$A$3:$AB$840,12,0)),0,VLOOKUP($A82,Council_Data!$A$3:$AB$840,12,0))</f>
        <v>0</v>
      </c>
      <c r="L82" s="94">
        <f>IF(ISNA(VLOOKUP($A82,Council_Data!$A$3:$AB$840,13,0)),0,VLOOKUP($A82,Council_Data!$A$3:$AB$840,13,0))</f>
        <v>0</v>
      </c>
      <c r="M82" s="93">
        <f>IF(ISNA(VLOOKUP($A82,Council_Data!$A$3:$AB$840,14,0)),0,VLOOKUP($A82,Council_Data!$A$3:$AB$840,14,0))</f>
        <v>0</v>
      </c>
      <c r="N82" s="93">
        <f>IF(ISNA(VLOOKUP($A82,Council_Data!$A$3:$AB$840,15,0)),0,VLOOKUP($A82,Council_Data!$A$3:$AB$840,15,0))</f>
        <v>0</v>
      </c>
      <c r="O82" s="93">
        <f>IF(ISNA(VLOOKUP($A82,Council_Data!$A$3:$AB$840,16,0)),0,VLOOKUP($A82,Council_Data!$A$3:$AB$840,16,0))</f>
        <v>0</v>
      </c>
      <c r="P82" s="93">
        <f>IF(ISNA(VLOOKUP($A82,Council_Data!$A$3:$AB$840,17,0)),0,VLOOKUP($A82,Council_Data!$A$3:$AB$840,17,0))</f>
        <v>0</v>
      </c>
      <c r="Q82" s="93">
        <f>IF(ISNA(VLOOKUP($A82,Council_Data!$A$3:$AB$840,18,0)),0,VLOOKUP($A82,Council_Data!$A$3:$AB$840,18,0))</f>
        <v>0</v>
      </c>
      <c r="R82" s="93">
        <f>IF(ISNA(VLOOKUP($A82,Council_Data!$A$3:$AB$840,19,0)),0,VLOOKUP($A82,Council_Data!$A$3:$AB$840,19,0))</f>
        <v>1</v>
      </c>
      <c r="S82" s="93">
        <f>IF(ISNA(VLOOKUP($A82,Council_Data!$A$3:$AB$840,20,0)),0,VLOOKUP($A82,Council_Data!$A$3:$AB$840,20,0))</f>
        <v>-1</v>
      </c>
      <c r="T82" s="94">
        <f>IF(ISNA(VLOOKUP($A82,Council_Data!$A$3:$AB$840,21,0)),0,VLOOKUP($A82,Council_Data!$A$3:$AB$840,21,0))</f>
        <v>0</v>
      </c>
      <c r="U82" s="93">
        <f>IF(ISNA(VLOOKUP($A82,Council_Data!$A$3:$AB$840,23,0)),0,VLOOKUP($A82,Council_Data!$A$3:$AB$840,23,0))</f>
        <v>3</v>
      </c>
      <c r="V82" s="50" t="str">
        <f>IF(ISNA(VLOOKUP($A82,Council_Data!$A$3:$AB$840,24,0)),0,VLOOKUP($A82,Council_Data!$A$3:$AB$840,24,0))</f>
        <v>Rangel</v>
      </c>
    </row>
    <row r="83" spans="1:22" ht="29.1" customHeight="1">
      <c r="A83" s="93">
        <v>13534</v>
      </c>
      <c r="B83" s="50" t="str">
        <f>IF(ISNA(VLOOKUP($A83,Council_Data!$A$3:$AB$840,2,0)),0,VLOOKUP($A83,Council_Data!$A$3:$AB$840,2,0))</f>
        <v>147</v>
      </c>
      <c r="C83" s="50" t="str">
        <f>IF(ISNA(VLOOKUP($A83,Council_Data!$A$3:$AB$840,3,0)),0,VLOOKUP($A83,Council_Data!$A$3:$AB$840,3,0))</f>
        <v>Fort Hood</v>
      </c>
      <c r="D83" s="93">
        <f>IF(ISNA(VLOOKUP($A83,Council_Data!$A$3:$AB$840,5,0)),0,VLOOKUP($A83,Council_Data!$A$3:$AB$840,5,0))</f>
        <v>80</v>
      </c>
      <c r="E83" s="93">
        <f>IF(ISNA(VLOOKUP($A83,Council_Data!$A$3:$AB$840,6,0)),0,VLOOKUP($A83,Council_Data!$A$3:$AB$840,6,0))</f>
        <v>4</v>
      </c>
      <c r="F83" s="93">
        <f>IF(ISNA(VLOOKUP($A83,Council_Data!$A$3:$AB$840,7,0)),0,VLOOKUP($A83,Council_Data!$A$3:$AB$840,7,0))</f>
        <v>0</v>
      </c>
      <c r="G83" s="93">
        <f>IF(ISNA(VLOOKUP($A83,Council_Data!$A$3:$AB$840,8,0)),0,VLOOKUP($A83,Council_Data!$A$3:$AB$840,8,0))</f>
        <v>0</v>
      </c>
      <c r="H83" s="93">
        <f>IF(ISNA(VLOOKUP($A83,Council_Data!$A$3:$AB$840,9,0)),0,VLOOKUP($A83,Council_Data!$A$3:$AB$840,9,0))</f>
        <v>0</v>
      </c>
      <c r="I83" s="93">
        <f>IF(ISNA(VLOOKUP($A83,Council_Data!$A$3:$AB$840,10,0)),0,VLOOKUP($A83,Council_Data!$A$3:$AB$840,10,0))</f>
        <v>0</v>
      </c>
      <c r="J83" s="93">
        <f>IF(ISNA(VLOOKUP($A83,Council_Data!$A$3:$AB$840,11,0)),0,VLOOKUP($A83,Council_Data!$A$3:$AB$840,11,0))</f>
        <v>0</v>
      </c>
      <c r="K83" s="93">
        <f>IF(ISNA(VLOOKUP($A83,Council_Data!$A$3:$AB$840,12,0)),0,VLOOKUP($A83,Council_Data!$A$3:$AB$840,12,0))</f>
        <v>0</v>
      </c>
      <c r="L83" s="94">
        <f>IF(ISNA(VLOOKUP($A83,Council_Data!$A$3:$AB$840,13,0)),0,VLOOKUP($A83,Council_Data!$A$3:$AB$840,13,0))</f>
        <v>0</v>
      </c>
      <c r="M83" s="93">
        <f>IF(ISNA(VLOOKUP($A83,Council_Data!$A$3:$AB$840,14,0)),0,VLOOKUP($A83,Council_Data!$A$3:$AB$840,14,0))</f>
        <v>0</v>
      </c>
      <c r="N83" s="93">
        <f>IF(ISNA(VLOOKUP($A83,Council_Data!$A$3:$AB$840,15,0)),0,VLOOKUP($A83,Council_Data!$A$3:$AB$840,15,0))</f>
        <v>0</v>
      </c>
      <c r="O83" s="93">
        <f>IF(ISNA(VLOOKUP($A83,Council_Data!$A$3:$AB$840,16,0)),0,VLOOKUP($A83,Council_Data!$A$3:$AB$840,16,0))</f>
        <v>0</v>
      </c>
      <c r="P83" s="93">
        <f>IF(ISNA(VLOOKUP($A83,Council_Data!$A$3:$AB$840,17,0)),0,VLOOKUP($A83,Council_Data!$A$3:$AB$840,17,0))</f>
        <v>0</v>
      </c>
      <c r="Q83" s="93">
        <f>IF(ISNA(VLOOKUP($A83,Council_Data!$A$3:$AB$840,18,0)),0,VLOOKUP($A83,Council_Data!$A$3:$AB$840,18,0))</f>
        <v>1</v>
      </c>
      <c r="R83" s="93">
        <f>IF(ISNA(VLOOKUP($A83,Council_Data!$A$3:$AB$840,19,0)),0,VLOOKUP($A83,Council_Data!$A$3:$AB$840,19,0))</f>
        <v>3</v>
      </c>
      <c r="S83" s="93">
        <f>IF(ISNA(VLOOKUP($A83,Council_Data!$A$3:$AB$840,20,0)),0,VLOOKUP($A83,Council_Data!$A$3:$AB$840,20,0))</f>
        <v>-2</v>
      </c>
      <c r="T83" s="94">
        <f>IF(ISNA(VLOOKUP($A83,Council_Data!$A$3:$AB$840,21,0)),0,VLOOKUP($A83,Council_Data!$A$3:$AB$840,21,0))</f>
        <v>0</v>
      </c>
      <c r="U83" s="93">
        <f>IF(ISNA(VLOOKUP($A83,Council_Data!$A$3:$AB$840,23,0)),0,VLOOKUP($A83,Council_Data!$A$3:$AB$840,23,0))</f>
        <v>2</v>
      </c>
      <c r="V83" s="50" t="str">
        <f>IF(ISNA(VLOOKUP($A83,Council_Data!$A$3:$AB$840,24,0)),0,VLOOKUP($A83,Council_Data!$A$3:$AB$840,24,0))</f>
        <v>Rangel</v>
      </c>
    </row>
    <row r="84" spans="1:22" ht="29.1" customHeight="1">
      <c r="A84" s="93">
        <v>13577</v>
      </c>
      <c r="B84" s="50" t="str">
        <f>IF(ISNA(VLOOKUP($A84,Council_Data!$A$3:$AB$840,2,0)),0,VLOOKUP($A84,Council_Data!$A$3:$AB$840,2,0))</f>
        <v>142</v>
      </c>
      <c r="C84" s="50" t="str">
        <f>IF(ISNA(VLOOKUP($A84,Council_Data!$A$3:$AB$840,3,0)),0,VLOOKUP($A84,Council_Data!$A$3:$AB$840,3,0))</f>
        <v>Waco</v>
      </c>
      <c r="D84" s="93">
        <f>IF(ISNA(VLOOKUP($A84,Council_Data!$A$3:$AB$840,5,0)),0,VLOOKUP($A84,Council_Data!$A$3:$AB$840,5,0))</f>
        <v>80</v>
      </c>
      <c r="E84" s="93">
        <f>IF(ISNA(VLOOKUP($A84,Council_Data!$A$3:$AB$840,6,0)),0,VLOOKUP($A84,Council_Data!$A$3:$AB$840,6,0))</f>
        <v>4</v>
      </c>
      <c r="F84" s="93">
        <f>IF(ISNA(VLOOKUP($A84,Council_Data!$A$3:$AB$840,7,0)),0,VLOOKUP($A84,Council_Data!$A$3:$AB$840,7,0))</f>
        <v>0</v>
      </c>
      <c r="G84" s="93">
        <f>IF(ISNA(VLOOKUP($A84,Council_Data!$A$3:$AB$840,8,0)),0,VLOOKUP($A84,Council_Data!$A$3:$AB$840,8,0))</f>
        <v>0</v>
      </c>
      <c r="H84" s="93">
        <f>IF(ISNA(VLOOKUP($A84,Council_Data!$A$3:$AB$840,9,0)),0,VLOOKUP($A84,Council_Data!$A$3:$AB$840,9,0))</f>
        <v>0</v>
      </c>
      <c r="I84" s="93">
        <f>IF(ISNA(VLOOKUP($A84,Council_Data!$A$3:$AB$840,10,0)),0,VLOOKUP($A84,Council_Data!$A$3:$AB$840,10,0))</f>
        <v>7</v>
      </c>
      <c r="J84" s="93">
        <f>IF(ISNA(VLOOKUP($A84,Council_Data!$A$3:$AB$840,11,0)),0,VLOOKUP($A84,Council_Data!$A$3:$AB$840,11,0))</f>
        <v>4</v>
      </c>
      <c r="K84" s="93">
        <f>IF(ISNA(VLOOKUP($A84,Council_Data!$A$3:$AB$840,12,0)),0,VLOOKUP($A84,Council_Data!$A$3:$AB$840,12,0))</f>
        <v>3</v>
      </c>
      <c r="L84" s="94">
        <f>IF(ISNA(VLOOKUP($A84,Council_Data!$A$3:$AB$840,13,0)),0,VLOOKUP($A84,Council_Data!$A$3:$AB$840,13,0))</f>
        <v>75</v>
      </c>
      <c r="M84" s="93">
        <f>IF(ISNA(VLOOKUP($A84,Council_Data!$A$3:$AB$840,14,0)),0,VLOOKUP($A84,Council_Data!$A$3:$AB$840,14,0))</f>
        <v>0</v>
      </c>
      <c r="N84" s="93">
        <f>IF(ISNA(VLOOKUP($A84,Council_Data!$A$3:$AB$840,15,0)),0,VLOOKUP($A84,Council_Data!$A$3:$AB$840,15,0))</f>
        <v>0</v>
      </c>
      <c r="O84" s="93">
        <f>IF(ISNA(VLOOKUP($A84,Council_Data!$A$3:$AB$840,16,0)),0,VLOOKUP($A84,Council_Data!$A$3:$AB$840,16,0))</f>
        <v>0</v>
      </c>
      <c r="P84" s="93">
        <f>IF(ISNA(VLOOKUP($A84,Council_Data!$A$3:$AB$840,17,0)),0,VLOOKUP($A84,Council_Data!$A$3:$AB$840,17,0))</f>
        <v>0</v>
      </c>
      <c r="Q84" s="93">
        <f>IF(ISNA(VLOOKUP($A84,Council_Data!$A$3:$AB$840,18,0)),0,VLOOKUP($A84,Council_Data!$A$3:$AB$840,18,0))</f>
        <v>5</v>
      </c>
      <c r="R84" s="93">
        <f>IF(ISNA(VLOOKUP($A84,Council_Data!$A$3:$AB$840,19,0)),0,VLOOKUP($A84,Council_Data!$A$3:$AB$840,19,0))</f>
        <v>0</v>
      </c>
      <c r="S84" s="93">
        <f>IF(ISNA(VLOOKUP($A84,Council_Data!$A$3:$AB$840,20,0)),0,VLOOKUP($A84,Council_Data!$A$3:$AB$840,20,0))</f>
        <v>5</v>
      </c>
      <c r="T84" s="94">
        <f>IF(ISNA(VLOOKUP($A84,Council_Data!$A$3:$AB$840,21,0)),0,VLOOKUP($A84,Council_Data!$A$3:$AB$840,21,0))</f>
        <v>0</v>
      </c>
      <c r="U84" s="93">
        <f>IF(ISNA(VLOOKUP($A84,Council_Data!$A$3:$AB$840,23,0)),0,VLOOKUP($A84,Council_Data!$A$3:$AB$840,23,0))</f>
        <v>2</v>
      </c>
      <c r="V84" s="50" t="str">
        <f>IF(ISNA(VLOOKUP($A84,Council_Data!$A$3:$AB$840,24,0)),0,VLOOKUP($A84,Council_Data!$A$3:$AB$840,24,0))</f>
        <v>Rangel</v>
      </c>
    </row>
    <row r="85" spans="1:22" ht="29.1" customHeight="1">
      <c r="A85" s="93">
        <v>13902</v>
      </c>
      <c r="B85" s="50" t="str">
        <f>IF(ISNA(VLOOKUP($A85,Council_Data!$A$3:$AB$840,2,0)),0,VLOOKUP($A85,Council_Data!$A$3:$AB$840,2,0))</f>
        <v>163</v>
      </c>
      <c r="C85" s="50" t="str">
        <f>IF(ISNA(VLOOKUP($A85,Council_Data!$A$3:$AB$840,3,0)),0,VLOOKUP($A85,Council_Data!$A$3:$AB$840,3,0))</f>
        <v>Westphalia</v>
      </c>
      <c r="D85" s="93">
        <f>IF(ISNA(VLOOKUP($A85,Council_Data!$A$3:$AB$840,5,0)),0,VLOOKUP($A85,Council_Data!$A$3:$AB$840,5,0))</f>
        <v>127</v>
      </c>
      <c r="E85" s="93">
        <f>IF(ISNA(VLOOKUP($A85,Council_Data!$A$3:$AB$840,6,0)),0,VLOOKUP($A85,Council_Data!$A$3:$AB$840,6,0))</f>
        <v>6</v>
      </c>
      <c r="F85" s="93">
        <f>IF(ISNA(VLOOKUP($A85,Council_Data!$A$3:$AB$840,7,0)),0,VLOOKUP($A85,Council_Data!$A$3:$AB$840,7,0))</f>
        <v>0</v>
      </c>
      <c r="G85" s="93">
        <f>IF(ISNA(VLOOKUP($A85,Council_Data!$A$3:$AB$840,8,0)),0,VLOOKUP($A85,Council_Data!$A$3:$AB$840,8,0))</f>
        <v>0</v>
      </c>
      <c r="H85" s="93">
        <f>IF(ISNA(VLOOKUP($A85,Council_Data!$A$3:$AB$840,9,0)),0,VLOOKUP($A85,Council_Data!$A$3:$AB$840,9,0))</f>
        <v>0</v>
      </c>
      <c r="I85" s="93">
        <f>IF(ISNA(VLOOKUP($A85,Council_Data!$A$3:$AB$840,10,0)),0,VLOOKUP($A85,Council_Data!$A$3:$AB$840,10,0))</f>
        <v>3</v>
      </c>
      <c r="J85" s="93">
        <f>IF(ISNA(VLOOKUP($A85,Council_Data!$A$3:$AB$840,11,0)),0,VLOOKUP($A85,Council_Data!$A$3:$AB$840,11,0))</f>
        <v>0</v>
      </c>
      <c r="K85" s="93">
        <f>IF(ISNA(VLOOKUP($A85,Council_Data!$A$3:$AB$840,12,0)),0,VLOOKUP($A85,Council_Data!$A$3:$AB$840,12,0))</f>
        <v>3</v>
      </c>
      <c r="L85" s="94">
        <f>IF(ISNA(VLOOKUP($A85,Council_Data!$A$3:$AB$840,13,0)),0,VLOOKUP($A85,Council_Data!$A$3:$AB$840,13,0))</f>
        <v>50</v>
      </c>
      <c r="M85" s="93">
        <f>IF(ISNA(VLOOKUP($A85,Council_Data!$A$3:$AB$840,14,0)),0,VLOOKUP($A85,Council_Data!$A$3:$AB$840,14,0))</f>
        <v>0</v>
      </c>
      <c r="N85" s="93">
        <f>IF(ISNA(VLOOKUP($A85,Council_Data!$A$3:$AB$840,15,0)),0,VLOOKUP($A85,Council_Data!$A$3:$AB$840,15,0))</f>
        <v>0</v>
      </c>
      <c r="O85" s="93">
        <f>IF(ISNA(VLOOKUP($A85,Council_Data!$A$3:$AB$840,16,0)),0,VLOOKUP($A85,Council_Data!$A$3:$AB$840,16,0))</f>
        <v>0</v>
      </c>
      <c r="P85" s="93">
        <f>IF(ISNA(VLOOKUP($A85,Council_Data!$A$3:$AB$840,17,0)),0,VLOOKUP($A85,Council_Data!$A$3:$AB$840,17,0))</f>
        <v>0</v>
      </c>
      <c r="Q85" s="93">
        <f>IF(ISNA(VLOOKUP($A85,Council_Data!$A$3:$AB$840,18,0)),0,VLOOKUP($A85,Council_Data!$A$3:$AB$840,18,0))</f>
        <v>0</v>
      </c>
      <c r="R85" s="93">
        <f>IF(ISNA(VLOOKUP($A85,Council_Data!$A$3:$AB$840,19,0)),0,VLOOKUP($A85,Council_Data!$A$3:$AB$840,19,0))</f>
        <v>0</v>
      </c>
      <c r="S85" s="93">
        <f>IF(ISNA(VLOOKUP($A85,Council_Data!$A$3:$AB$840,20,0)),0,VLOOKUP($A85,Council_Data!$A$3:$AB$840,20,0))</f>
        <v>0</v>
      </c>
      <c r="T85" s="94">
        <f>IF(ISNA(VLOOKUP($A85,Council_Data!$A$3:$AB$840,21,0)),0,VLOOKUP($A85,Council_Data!$A$3:$AB$840,21,0))</f>
        <v>0</v>
      </c>
      <c r="U85" s="93">
        <f>IF(ISNA(VLOOKUP($A85,Council_Data!$A$3:$AB$840,23,0)),0,VLOOKUP($A85,Council_Data!$A$3:$AB$840,23,0))</f>
        <v>2</v>
      </c>
      <c r="V85" s="50" t="str">
        <f>IF(ISNA(VLOOKUP($A85,Council_Data!$A$3:$AB$840,24,0)),0,VLOOKUP($A85,Council_Data!$A$3:$AB$840,24,0))</f>
        <v>Rangel</v>
      </c>
    </row>
    <row r="86" spans="1:22" ht="29.1" customHeight="1">
      <c r="A86" s="93">
        <v>13927</v>
      </c>
      <c r="B86" s="50" t="str">
        <f>IF(ISNA(VLOOKUP($A86,Council_Data!$A$3:$AB$840,2,0)),0,VLOOKUP($A86,Council_Data!$A$3:$AB$840,2,0))</f>
        <v>151</v>
      </c>
      <c r="C86" s="50" t="str">
        <f>IF(ISNA(VLOOKUP($A86,Council_Data!$A$3:$AB$840,3,0)),0,VLOOKUP($A86,Council_Data!$A$3:$AB$840,3,0))</f>
        <v>Austin</v>
      </c>
      <c r="D86" s="93">
        <f>IF(ISNA(VLOOKUP($A86,Council_Data!$A$3:$AB$840,5,0)),0,VLOOKUP($A86,Council_Data!$A$3:$AB$840,5,0))</f>
        <v>119</v>
      </c>
      <c r="E86" s="93">
        <f>IF(ISNA(VLOOKUP($A86,Council_Data!$A$3:$AB$840,6,0)),0,VLOOKUP($A86,Council_Data!$A$3:$AB$840,6,0))</f>
        <v>6</v>
      </c>
      <c r="F86" s="93">
        <f>IF(ISNA(VLOOKUP($A86,Council_Data!$A$3:$AB$840,7,0)),0,VLOOKUP($A86,Council_Data!$A$3:$AB$840,7,0))</f>
        <v>0</v>
      </c>
      <c r="G86" s="93">
        <f>IF(ISNA(VLOOKUP($A86,Council_Data!$A$3:$AB$840,8,0)),0,VLOOKUP($A86,Council_Data!$A$3:$AB$840,8,0))</f>
        <v>0</v>
      </c>
      <c r="H86" s="93">
        <f>IF(ISNA(VLOOKUP($A86,Council_Data!$A$3:$AB$840,9,0)),0,VLOOKUP($A86,Council_Data!$A$3:$AB$840,9,0))</f>
        <v>0</v>
      </c>
      <c r="I86" s="93">
        <f>IF(ISNA(VLOOKUP($A86,Council_Data!$A$3:$AB$840,10,0)),0,VLOOKUP($A86,Council_Data!$A$3:$AB$840,10,0))</f>
        <v>4</v>
      </c>
      <c r="J86" s="93">
        <f>IF(ISNA(VLOOKUP($A86,Council_Data!$A$3:$AB$840,11,0)),0,VLOOKUP($A86,Council_Data!$A$3:$AB$840,11,0))</f>
        <v>0</v>
      </c>
      <c r="K86" s="93">
        <f>IF(ISNA(VLOOKUP($A86,Council_Data!$A$3:$AB$840,12,0)),0,VLOOKUP($A86,Council_Data!$A$3:$AB$840,12,0))</f>
        <v>4</v>
      </c>
      <c r="L86" s="94">
        <f>IF(ISNA(VLOOKUP($A86,Council_Data!$A$3:$AB$840,13,0)),0,VLOOKUP($A86,Council_Data!$A$3:$AB$840,13,0))</f>
        <v>66.67</v>
      </c>
      <c r="M86" s="93">
        <f>IF(ISNA(VLOOKUP($A86,Council_Data!$A$3:$AB$840,14,0)),0,VLOOKUP($A86,Council_Data!$A$3:$AB$840,14,0))</f>
        <v>0</v>
      </c>
      <c r="N86" s="93">
        <f>IF(ISNA(VLOOKUP($A86,Council_Data!$A$3:$AB$840,15,0)),0,VLOOKUP($A86,Council_Data!$A$3:$AB$840,15,0))</f>
        <v>0</v>
      </c>
      <c r="O86" s="93">
        <f>IF(ISNA(VLOOKUP($A86,Council_Data!$A$3:$AB$840,16,0)),0,VLOOKUP($A86,Council_Data!$A$3:$AB$840,16,0))</f>
        <v>0</v>
      </c>
      <c r="P86" s="93">
        <f>IF(ISNA(VLOOKUP($A86,Council_Data!$A$3:$AB$840,17,0)),0,VLOOKUP($A86,Council_Data!$A$3:$AB$840,17,0))</f>
        <v>0</v>
      </c>
      <c r="Q86" s="93">
        <f>IF(ISNA(VLOOKUP($A86,Council_Data!$A$3:$AB$840,18,0)),0,VLOOKUP($A86,Council_Data!$A$3:$AB$840,18,0))</f>
        <v>1</v>
      </c>
      <c r="R86" s="93">
        <f>IF(ISNA(VLOOKUP($A86,Council_Data!$A$3:$AB$840,19,0)),0,VLOOKUP($A86,Council_Data!$A$3:$AB$840,19,0))</f>
        <v>0</v>
      </c>
      <c r="S86" s="93">
        <f>IF(ISNA(VLOOKUP($A86,Council_Data!$A$3:$AB$840,20,0)),0,VLOOKUP($A86,Council_Data!$A$3:$AB$840,20,0))</f>
        <v>1</v>
      </c>
      <c r="T86" s="94">
        <f>IF(ISNA(VLOOKUP($A86,Council_Data!$A$3:$AB$840,21,0)),0,VLOOKUP($A86,Council_Data!$A$3:$AB$840,21,0))</f>
        <v>0</v>
      </c>
      <c r="U86" s="93">
        <f>IF(ISNA(VLOOKUP($A86,Council_Data!$A$3:$AB$840,23,0)),0,VLOOKUP($A86,Council_Data!$A$3:$AB$840,23,0))</f>
        <v>2</v>
      </c>
      <c r="V86" s="50" t="str">
        <f>IF(ISNA(VLOOKUP($A86,Council_Data!$A$3:$AB$840,24,0)),0,VLOOKUP($A86,Council_Data!$A$3:$AB$840,24,0))</f>
        <v>Rangel</v>
      </c>
    </row>
    <row r="87" spans="1:22" ht="29.1" customHeight="1">
      <c r="A87" s="93">
        <v>14025</v>
      </c>
      <c r="B87" s="50" t="str">
        <f>IF(ISNA(VLOOKUP($A87,Council_Data!$A$3:$AB$840,2,0)),0,VLOOKUP($A87,Council_Data!$A$3:$AB$840,2,0))</f>
        <v>156</v>
      </c>
      <c r="C87" s="50" t="str">
        <f>IF(ISNA(VLOOKUP($A87,Council_Data!$A$3:$AB$840,3,0)),0,VLOOKUP($A87,Council_Data!$A$3:$AB$840,3,0))</f>
        <v>Lakeway</v>
      </c>
      <c r="D87" s="93">
        <f>IF(ISNA(VLOOKUP($A87,Council_Data!$A$3:$AB$840,5,0)),0,VLOOKUP($A87,Council_Data!$A$3:$AB$840,5,0))</f>
        <v>119</v>
      </c>
      <c r="E87" s="93">
        <f>IF(ISNA(VLOOKUP($A87,Council_Data!$A$3:$AB$840,6,0)),0,VLOOKUP($A87,Council_Data!$A$3:$AB$840,6,0))</f>
        <v>6</v>
      </c>
      <c r="F87" s="93">
        <f>IF(ISNA(VLOOKUP($A87,Council_Data!$A$3:$AB$840,7,0)),0,VLOOKUP($A87,Council_Data!$A$3:$AB$840,7,0))</f>
        <v>4</v>
      </c>
      <c r="G87" s="93">
        <f>IF(ISNA(VLOOKUP($A87,Council_Data!$A$3:$AB$840,8,0)),0,VLOOKUP($A87,Council_Data!$A$3:$AB$840,8,0))</f>
        <v>0</v>
      </c>
      <c r="H87" s="93">
        <f>IF(ISNA(VLOOKUP($A87,Council_Data!$A$3:$AB$840,9,0)),0,VLOOKUP($A87,Council_Data!$A$3:$AB$840,9,0))</f>
        <v>4</v>
      </c>
      <c r="I87" s="93">
        <f>IF(ISNA(VLOOKUP($A87,Council_Data!$A$3:$AB$840,10,0)),0,VLOOKUP($A87,Council_Data!$A$3:$AB$840,10,0))</f>
        <v>9</v>
      </c>
      <c r="J87" s="93">
        <f>IF(ISNA(VLOOKUP($A87,Council_Data!$A$3:$AB$840,11,0)),0,VLOOKUP($A87,Council_Data!$A$3:$AB$840,11,0))</f>
        <v>2</v>
      </c>
      <c r="K87" s="93">
        <f>IF(ISNA(VLOOKUP($A87,Council_Data!$A$3:$AB$840,12,0)),0,VLOOKUP($A87,Council_Data!$A$3:$AB$840,12,0))</f>
        <v>7</v>
      </c>
      <c r="L87" s="94">
        <f>IF(ISNA(VLOOKUP($A87,Council_Data!$A$3:$AB$840,13,0)),0,VLOOKUP($A87,Council_Data!$A$3:$AB$840,13,0))</f>
        <v>116.67</v>
      </c>
      <c r="M87" s="93">
        <f>IF(ISNA(VLOOKUP($A87,Council_Data!$A$3:$AB$840,14,0)),0,VLOOKUP($A87,Council_Data!$A$3:$AB$840,14,0))</f>
        <v>0</v>
      </c>
      <c r="N87" s="93">
        <f>IF(ISNA(VLOOKUP($A87,Council_Data!$A$3:$AB$840,15,0)),0,VLOOKUP($A87,Council_Data!$A$3:$AB$840,15,0))</f>
        <v>0</v>
      </c>
      <c r="O87" s="93">
        <f>IF(ISNA(VLOOKUP($A87,Council_Data!$A$3:$AB$840,16,0)),0,VLOOKUP($A87,Council_Data!$A$3:$AB$840,16,0))</f>
        <v>0</v>
      </c>
      <c r="P87" s="93">
        <f>IF(ISNA(VLOOKUP($A87,Council_Data!$A$3:$AB$840,17,0)),0,VLOOKUP($A87,Council_Data!$A$3:$AB$840,17,0))</f>
        <v>0</v>
      </c>
      <c r="Q87" s="93">
        <f>IF(ISNA(VLOOKUP($A87,Council_Data!$A$3:$AB$840,18,0)),0,VLOOKUP($A87,Council_Data!$A$3:$AB$840,18,0))</f>
        <v>2</v>
      </c>
      <c r="R87" s="93">
        <f>IF(ISNA(VLOOKUP($A87,Council_Data!$A$3:$AB$840,19,0)),0,VLOOKUP($A87,Council_Data!$A$3:$AB$840,19,0))</f>
        <v>1</v>
      </c>
      <c r="S87" s="93">
        <f>IF(ISNA(VLOOKUP($A87,Council_Data!$A$3:$AB$840,20,0)),0,VLOOKUP($A87,Council_Data!$A$3:$AB$840,20,0))</f>
        <v>1</v>
      </c>
      <c r="T87" s="94">
        <f>IF(ISNA(VLOOKUP($A87,Council_Data!$A$3:$AB$840,21,0)),0,VLOOKUP($A87,Council_Data!$A$3:$AB$840,21,0))</f>
        <v>0</v>
      </c>
      <c r="U87" s="93">
        <f>IF(ISNA(VLOOKUP($A87,Council_Data!$A$3:$AB$840,23,0)),0,VLOOKUP($A87,Council_Data!$A$3:$AB$840,23,0))</f>
        <v>2</v>
      </c>
      <c r="V87" s="50" t="str">
        <f>IF(ISNA(VLOOKUP($A87,Council_Data!$A$3:$AB$840,24,0)),0,VLOOKUP($A87,Council_Data!$A$3:$AB$840,24,0))</f>
        <v>Rangel</v>
      </c>
    </row>
    <row r="88" spans="1:22" ht="29.1" customHeight="1">
      <c r="A88" s="93">
        <v>14055</v>
      </c>
      <c r="B88" s="50" t="str">
        <f>IF(ISNA(VLOOKUP($A88,Council_Data!$A$3:$AB$840,2,0)),0,VLOOKUP($A88,Council_Data!$A$3:$AB$840,2,0))</f>
        <v>155</v>
      </c>
      <c r="C88" s="50" t="str">
        <f>IF(ISNA(VLOOKUP($A88,Council_Data!$A$3:$AB$840,3,0)),0,VLOOKUP($A88,Council_Data!$A$3:$AB$840,3,0))</f>
        <v>Austin</v>
      </c>
      <c r="D88" s="93">
        <f>IF(ISNA(VLOOKUP($A88,Council_Data!$A$3:$AB$840,5,0)),0,VLOOKUP($A88,Council_Data!$A$3:$AB$840,5,0))</f>
        <v>157</v>
      </c>
      <c r="E88" s="93">
        <f>IF(ISNA(VLOOKUP($A88,Council_Data!$A$3:$AB$840,6,0)),0,VLOOKUP($A88,Council_Data!$A$3:$AB$840,6,0))</f>
        <v>8</v>
      </c>
      <c r="F88" s="93">
        <f>IF(ISNA(VLOOKUP($A88,Council_Data!$A$3:$AB$840,7,0)),0,VLOOKUP($A88,Council_Data!$A$3:$AB$840,7,0))</f>
        <v>0</v>
      </c>
      <c r="G88" s="93">
        <f>IF(ISNA(VLOOKUP($A88,Council_Data!$A$3:$AB$840,8,0)),0,VLOOKUP($A88,Council_Data!$A$3:$AB$840,8,0))</f>
        <v>0</v>
      </c>
      <c r="H88" s="93">
        <f>IF(ISNA(VLOOKUP($A88,Council_Data!$A$3:$AB$840,9,0)),0,VLOOKUP($A88,Council_Data!$A$3:$AB$840,9,0))</f>
        <v>0</v>
      </c>
      <c r="I88" s="93">
        <f>IF(ISNA(VLOOKUP($A88,Council_Data!$A$3:$AB$840,10,0)),0,VLOOKUP($A88,Council_Data!$A$3:$AB$840,10,0))</f>
        <v>0</v>
      </c>
      <c r="J88" s="93">
        <f>IF(ISNA(VLOOKUP($A88,Council_Data!$A$3:$AB$840,11,0)),0,VLOOKUP($A88,Council_Data!$A$3:$AB$840,11,0))</f>
        <v>0</v>
      </c>
      <c r="K88" s="93">
        <f>IF(ISNA(VLOOKUP($A88,Council_Data!$A$3:$AB$840,12,0)),0,VLOOKUP($A88,Council_Data!$A$3:$AB$840,12,0))</f>
        <v>0</v>
      </c>
      <c r="L88" s="94">
        <f>IF(ISNA(VLOOKUP($A88,Council_Data!$A$3:$AB$840,13,0)),0,VLOOKUP($A88,Council_Data!$A$3:$AB$840,13,0))</f>
        <v>0</v>
      </c>
      <c r="M88" s="93">
        <f>IF(ISNA(VLOOKUP($A88,Council_Data!$A$3:$AB$840,14,0)),0,VLOOKUP($A88,Council_Data!$A$3:$AB$840,14,0))</f>
        <v>0</v>
      </c>
      <c r="N88" s="93">
        <f>IF(ISNA(VLOOKUP($A88,Council_Data!$A$3:$AB$840,15,0)),0,VLOOKUP($A88,Council_Data!$A$3:$AB$840,15,0))</f>
        <v>0</v>
      </c>
      <c r="O88" s="93">
        <f>IF(ISNA(VLOOKUP($A88,Council_Data!$A$3:$AB$840,16,0)),0,VLOOKUP($A88,Council_Data!$A$3:$AB$840,16,0))</f>
        <v>0</v>
      </c>
      <c r="P88" s="93">
        <f>IF(ISNA(VLOOKUP($A88,Council_Data!$A$3:$AB$840,17,0)),0,VLOOKUP($A88,Council_Data!$A$3:$AB$840,17,0))</f>
        <v>0</v>
      </c>
      <c r="Q88" s="93">
        <f>IF(ISNA(VLOOKUP($A88,Council_Data!$A$3:$AB$840,18,0)),0,VLOOKUP($A88,Council_Data!$A$3:$AB$840,18,0))</f>
        <v>0</v>
      </c>
      <c r="R88" s="93">
        <f>IF(ISNA(VLOOKUP($A88,Council_Data!$A$3:$AB$840,19,0)),0,VLOOKUP($A88,Council_Data!$A$3:$AB$840,19,0))</f>
        <v>2</v>
      </c>
      <c r="S88" s="93">
        <f>IF(ISNA(VLOOKUP($A88,Council_Data!$A$3:$AB$840,20,0)),0,VLOOKUP($A88,Council_Data!$A$3:$AB$840,20,0))</f>
        <v>-2</v>
      </c>
      <c r="T88" s="94">
        <f>IF(ISNA(VLOOKUP($A88,Council_Data!$A$3:$AB$840,21,0)),0,VLOOKUP($A88,Council_Data!$A$3:$AB$840,21,0))</f>
        <v>0</v>
      </c>
      <c r="U88" s="93">
        <f>IF(ISNA(VLOOKUP($A88,Council_Data!$A$3:$AB$840,23,0)),0,VLOOKUP($A88,Council_Data!$A$3:$AB$840,23,0))</f>
        <v>1</v>
      </c>
      <c r="V88" s="50" t="str">
        <f>IF(ISNA(VLOOKUP($A88,Council_Data!$A$3:$AB$840,24,0)),0,VLOOKUP($A88,Council_Data!$A$3:$AB$840,24,0))</f>
        <v>Rangel</v>
      </c>
    </row>
    <row r="89" spans="1:22" ht="29.1" customHeight="1">
      <c r="A89" s="93">
        <v>14166</v>
      </c>
      <c r="B89" s="50" t="str">
        <f>IF(ISNA(VLOOKUP($A89,Council_Data!$A$3:$AB$840,2,0)),0,VLOOKUP($A89,Council_Data!$A$3:$AB$840,2,0))</f>
        <v>157</v>
      </c>
      <c r="C89" s="50" t="str">
        <f>IF(ISNA(VLOOKUP($A89,Council_Data!$A$3:$AB$840,3,0)),0,VLOOKUP($A89,Council_Data!$A$3:$AB$840,3,0))</f>
        <v>Austin</v>
      </c>
      <c r="D89" s="93">
        <f>IF(ISNA(VLOOKUP($A89,Council_Data!$A$3:$AB$840,5,0)),0,VLOOKUP($A89,Council_Data!$A$3:$AB$840,5,0))</f>
        <v>82</v>
      </c>
      <c r="E89" s="93">
        <f>IF(ISNA(VLOOKUP($A89,Council_Data!$A$3:$AB$840,6,0)),0,VLOOKUP($A89,Council_Data!$A$3:$AB$840,6,0))</f>
        <v>4</v>
      </c>
      <c r="F89" s="93">
        <f>IF(ISNA(VLOOKUP($A89,Council_Data!$A$3:$AB$840,7,0)),0,VLOOKUP($A89,Council_Data!$A$3:$AB$840,7,0))</f>
        <v>0</v>
      </c>
      <c r="G89" s="93">
        <f>IF(ISNA(VLOOKUP($A89,Council_Data!$A$3:$AB$840,8,0)),0,VLOOKUP($A89,Council_Data!$A$3:$AB$840,8,0))</f>
        <v>0</v>
      </c>
      <c r="H89" s="93">
        <f>IF(ISNA(VLOOKUP($A89,Council_Data!$A$3:$AB$840,9,0)),0,VLOOKUP($A89,Council_Data!$A$3:$AB$840,9,0))</f>
        <v>0</v>
      </c>
      <c r="I89" s="93">
        <f>IF(ISNA(VLOOKUP($A89,Council_Data!$A$3:$AB$840,10,0)),0,VLOOKUP($A89,Council_Data!$A$3:$AB$840,10,0))</f>
        <v>0</v>
      </c>
      <c r="J89" s="93">
        <f>IF(ISNA(VLOOKUP($A89,Council_Data!$A$3:$AB$840,11,0)),0,VLOOKUP($A89,Council_Data!$A$3:$AB$840,11,0))</f>
        <v>0</v>
      </c>
      <c r="K89" s="93">
        <f>IF(ISNA(VLOOKUP($A89,Council_Data!$A$3:$AB$840,12,0)),0,VLOOKUP($A89,Council_Data!$A$3:$AB$840,12,0))</f>
        <v>0</v>
      </c>
      <c r="L89" s="94">
        <f>IF(ISNA(VLOOKUP($A89,Council_Data!$A$3:$AB$840,13,0)),0,VLOOKUP($A89,Council_Data!$A$3:$AB$840,13,0))</f>
        <v>0</v>
      </c>
      <c r="M89" s="93">
        <f>IF(ISNA(VLOOKUP($A89,Council_Data!$A$3:$AB$840,14,0)),0,VLOOKUP($A89,Council_Data!$A$3:$AB$840,14,0))</f>
        <v>0</v>
      </c>
      <c r="N89" s="93">
        <f>IF(ISNA(VLOOKUP($A89,Council_Data!$A$3:$AB$840,15,0)),0,VLOOKUP($A89,Council_Data!$A$3:$AB$840,15,0))</f>
        <v>0</v>
      </c>
      <c r="O89" s="93">
        <f>IF(ISNA(VLOOKUP($A89,Council_Data!$A$3:$AB$840,16,0)),0,VLOOKUP($A89,Council_Data!$A$3:$AB$840,16,0))</f>
        <v>0</v>
      </c>
      <c r="P89" s="93">
        <f>IF(ISNA(VLOOKUP($A89,Council_Data!$A$3:$AB$840,17,0)),0,VLOOKUP($A89,Council_Data!$A$3:$AB$840,17,0))</f>
        <v>0</v>
      </c>
      <c r="Q89" s="93">
        <f>IF(ISNA(VLOOKUP($A89,Council_Data!$A$3:$AB$840,18,0)),0,VLOOKUP($A89,Council_Data!$A$3:$AB$840,18,0))</f>
        <v>0</v>
      </c>
      <c r="R89" s="93">
        <f>IF(ISNA(VLOOKUP($A89,Council_Data!$A$3:$AB$840,19,0)),0,VLOOKUP($A89,Council_Data!$A$3:$AB$840,19,0))</f>
        <v>0</v>
      </c>
      <c r="S89" s="93">
        <f>IF(ISNA(VLOOKUP($A89,Council_Data!$A$3:$AB$840,20,0)),0,VLOOKUP($A89,Council_Data!$A$3:$AB$840,20,0))</f>
        <v>0</v>
      </c>
      <c r="T89" s="94">
        <f>IF(ISNA(VLOOKUP($A89,Council_Data!$A$3:$AB$840,21,0)),0,VLOOKUP($A89,Council_Data!$A$3:$AB$840,21,0))</f>
        <v>0</v>
      </c>
      <c r="U89" s="93">
        <f>IF(ISNA(VLOOKUP($A89,Council_Data!$A$3:$AB$840,23,0)),0,VLOOKUP($A89,Council_Data!$A$3:$AB$840,23,0))</f>
        <v>2</v>
      </c>
      <c r="V89" s="50" t="str">
        <f>IF(ISNA(VLOOKUP($A89,Council_Data!$A$3:$AB$840,24,0)),0,VLOOKUP($A89,Council_Data!$A$3:$AB$840,24,0))</f>
        <v>Britten</v>
      </c>
    </row>
    <row r="90" spans="1:22" ht="29.1" customHeight="1">
      <c r="A90" s="93">
        <v>14674</v>
      </c>
      <c r="B90" s="50" t="str">
        <f>IF(ISNA(VLOOKUP($A90,Council_Data!$A$3:$AB$840,2,0)),0,VLOOKUP($A90,Council_Data!$A$3:$AB$840,2,0))</f>
        <v>150</v>
      </c>
      <c r="C90" s="50" t="str">
        <f>IF(ISNA(VLOOKUP($A90,Council_Data!$A$3:$AB$840,3,0)),0,VLOOKUP($A90,Council_Data!$A$3:$AB$840,3,0))</f>
        <v>Manor</v>
      </c>
      <c r="D90" s="93">
        <f>IF(ISNA(VLOOKUP($A90,Council_Data!$A$3:$AB$840,5,0)),0,VLOOKUP($A90,Council_Data!$A$3:$AB$840,5,0))</f>
        <v>58</v>
      </c>
      <c r="E90" s="93">
        <f>IF(ISNA(VLOOKUP($A90,Council_Data!$A$3:$AB$840,6,0)),0,VLOOKUP($A90,Council_Data!$A$3:$AB$840,6,0))</f>
        <v>3</v>
      </c>
      <c r="F90" s="93">
        <f>IF(ISNA(VLOOKUP($A90,Council_Data!$A$3:$AB$840,7,0)),0,VLOOKUP($A90,Council_Data!$A$3:$AB$840,7,0))</f>
        <v>0</v>
      </c>
      <c r="G90" s="93">
        <f>IF(ISNA(VLOOKUP($A90,Council_Data!$A$3:$AB$840,8,0)),0,VLOOKUP($A90,Council_Data!$A$3:$AB$840,8,0))</f>
        <v>0</v>
      </c>
      <c r="H90" s="93">
        <f>IF(ISNA(VLOOKUP($A90,Council_Data!$A$3:$AB$840,9,0)),0,VLOOKUP($A90,Council_Data!$A$3:$AB$840,9,0))</f>
        <v>0</v>
      </c>
      <c r="I90" s="93">
        <f>IF(ISNA(VLOOKUP($A90,Council_Data!$A$3:$AB$840,10,0)),0,VLOOKUP($A90,Council_Data!$A$3:$AB$840,10,0))</f>
        <v>0</v>
      </c>
      <c r="J90" s="93">
        <f>IF(ISNA(VLOOKUP($A90,Council_Data!$A$3:$AB$840,11,0)),0,VLOOKUP($A90,Council_Data!$A$3:$AB$840,11,0))</f>
        <v>0</v>
      </c>
      <c r="K90" s="93">
        <f>IF(ISNA(VLOOKUP($A90,Council_Data!$A$3:$AB$840,12,0)),0,VLOOKUP($A90,Council_Data!$A$3:$AB$840,12,0))</f>
        <v>0</v>
      </c>
      <c r="L90" s="94">
        <f>IF(ISNA(VLOOKUP($A90,Council_Data!$A$3:$AB$840,13,0)),0,VLOOKUP($A90,Council_Data!$A$3:$AB$840,13,0))</f>
        <v>0</v>
      </c>
      <c r="M90" s="93">
        <f>IF(ISNA(VLOOKUP($A90,Council_Data!$A$3:$AB$840,14,0)),0,VLOOKUP($A90,Council_Data!$A$3:$AB$840,14,0))</f>
        <v>0</v>
      </c>
      <c r="N90" s="93">
        <f>IF(ISNA(VLOOKUP($A90,Council_Data!$A$3:$AB$840,15,0)),0,VLOOKUP($A90,Council_Data!$A$3:$AB$840,15,0))</f>
        <v>0</v>
      </c>
      <c r="O90" s="93">
        <f>IF(ISNA(VLOOKUP($A90,Council_Data!$A$3:$AB$840,16,0)),0,VLOOKUP($A90,Council_Data!$A$3:$AB$840,16,0))</f>
        <v>1</v>
      </c>
      <c r="P90" s="93">
        <f>IF(ISNA(VLOOKUP($A90,Council_Data!$A$3:$AB$840,17,0)),0,VLOOKUP($A90,Council_Data!$A$3:$AB$840,17,0))</f>
        <v>-1</v>
      </c>
      <c r="Q90" s="93">
        <f>IF(ISNA(VLOOKUP($A90,Council_Data!$A$3:$AB$840,18,0)),0,VLOOKUP($A90,Council_Data!$A$3:$AB$840,18,0))</f>
        <v>0</v>
      </c>
      <c r="R90" s="93">
        <f>IF(ISNA(VLOOKUP($A90,Council_Data!$A$3:$AB$840,19,0)),0,VLOOKUP($A90,Council_Data!$A$3:$AB$840,19,0))</f>
        <v>1</v>
      </c>
      <c r="S90" s="93">
        <f>IF(ISNA(VLOOKUP($A90,Council_Data!$A$3:$AB$840,20,0)),0,VLOOKUP($A90,Council_Data!$A$3:$AB$840,20,0))</f>
        <v>-1</v>
      </c>
      <c r="T90" s="94">
        <f>IF(ISNA(VLOOKUP($A90,Council_Data!$A$3:$AB$840,21,0)),0,VLOOKUP($A90,Council_Data!$A$3:$AB$840,21,0))</f>
        <v>0</v>
      </c>
      <c r="U90" s="93">
        <f>IF(ISNA(VLOOKUP($A90,Council_Data!$A$3:$AB$840,23,0)),0,VLOOKUP($A90,Council_Data!$A$3:$AB$840,23,0))</f>
        <v>3</v>
      </c>
      <c r="V90" s="50" t="str">
        <f>IF(ISNA(VLOOKUP($A90,Council_Data!$A$3:$AB$840,24,0)),0,VLOOKUP($A90,Council_Data!$A$3:$AB$840,24,0))</f>
        <v>Britten</v>
      </c>
    </row>
    <row r="91" spans="1:22" ht="29.1" customHeight="1">
      <c r="A91" s="93">
        <v>14741</v>
      </c>
      <c r="B91" s="50" t="str">
        <f>IF(ISNA(VLOOKUP($A91,Council_Data!$A$3:$AB$840,2,0)),0,VLOOKUP($A91,Council_Data!$A$3:$AB$840,2,0))</f>
        <v>159</v>
      </c>
      <c r="C91" s="50" t="str">
        <f>IF(ISNA(VLOOKUP($A91,Council_Data!$A$3:$AB$840,3,0)),0,VLOOKUP($A91,Council_Data!$A$3:$AB$840,3,0))</f>
        <v>Uhland</v>
      </c>
      <c r="D91" s="93">
        <f>IF(ISNA(VLOOKUP($A91,Council_Data!$A$3:$AB$840,5,0)),0,VLOOKUP($A91,Council_Data!$A$3:$AB$840,5,0))</f>
        <v>35</v>
      </c>
      <c r="E91" s="93">
        <f>IF(ISNA(VLOOKUP($A91,Council_Data!$A$3:$AB$840,6,0)),0,VLOOKUP($A91,Council_Data!$A$3:$AB$840,6,0))</f>
        <v>3</v>
      </c>
      <c r="F91" s="93">
        <f>IF(ISNA(VLOOKUP($A91,Council_Data!$A$3:$AB$840,7,0)),0,VLOOKUP($A91,Council_Data!$A$3:$AB$840,7,0))</f>
        <v>0</v>
      </c>
      <c r="G91" s="93">
        <f>IF(ISNA(VLOOKUP($A91,Council_Data!$A$3:$AB$840,8,0)),0,VLOOKUP($A91,Council_Data!$A$3:$AB$840,8,0))</f>
        <v>0</v>
      </c>
      <c r="H91" s="93">
        <f>IF(ISNA(VLOOKUP($A91,Council_Data!$A$3:$AB$840,9,0)),0,VLOOKUP($A91,Council_Data!$A$3:$AB$840,9,0))</f>
        <v>0</v>
      </c>
      <c r="I91" s="93">
        <f>IF(ISNA(VLOOKUP($A91,Council_Data!$A$3:$AB$840,10,0)),0,VLOOKUP($A91,Council_Data!$A$3:$AB$840,10,0))</f>
        <v>0</v>
      </c>
      <c r="J91" s="93">
        <f>IF(ISNA(VLOOKUP($A91,Council_Data!$A$3:$AB$840,11,0)),0,VLOOKUP($A91,Council_Data!$A$3:$AB$840,11,0))</f>
        <v>0</v>
      </c>
      <c r="K91" s="93">
        <f>IF(ISNA(VLOOKUP($A91,Council_Data!$A$3:$AB$840,12,0)),0,VLOOKUP($A91,Council_Data!$A$3:$AB$840,12,0))</f>
        <v>0</v>
      </c>
      <c r="L91" s="94">
        <f>IF(ISNA(VLOOKUP($A91,Council_Data!$A$3:$AB$840,13,0)),0,VLOOKUP($A91,Council_Data!$A$3:$AB$840,13,0))</f>
        <v>0</v>
      </c>
      <c r="M91" s="93">
        <f>IF(ISNA(VLOOKUP($A91,Council_Data!$A$3:$AB$840,14,0)),0,VLOOKUP($A91,Council_Data!$A$3:$AB$840,14,0))</f>
        <v>0</v>
      </c>
      <c r="N91" s="93">
        <f>IF(ISNA(VLOOKUP($A91,Council_Data!$A$3:$AB$840,15,0)),0,VLOOKUP($A91,Council_Data!$A$3:$AB$840,15,0))</f>
        <v>0</v>
      </c>
      <c r="O91" s="93">
        <f>IF(ISNA(VLOOKUP($A91,Council_Data!$A$3:$AB$840,16,0)),0,VLOOKUP($A91,Council_Data!$A$3:$AB$840,16,0))</f>
        <v>0</v>
      </c>
      <c r="P91" s="93">
        <f>IF(ISNA(VLOOKUP($A91,Council_Data!$A$3:$AB$840,17,0)),0,VLOOKUP($A91,Council_Data!$A$3:$AB$840,17,0))</f>
        <v>0</v>
      </c>
      <c r="Q91" s="93">
        <f>IF(ISNA(VLOOKUP($A91,Council_Data!$A$3:$AB$840,18,0)),0,VLOOKUP($A91,Council_Data!$A$3:$AB$840,18,0))</f>
        <v>0</v>
      </c>
      <c r="R91" s="93">
        <f>IF(ISNA(VLOOKUP($A91,Council_Data!$A$3:$AB$840,19,0)),0,VLOOKUP($A91,Council_Data!$A$3:$AB$840,19,0))</f>
        <v>0</v>
      </c>
      <c r="S91" s="93">
        <f>IF(ISNA(VLOOKUP($A91,Council_Data!$A$3:$AB$840,20,0)),0,VLOOKUP($A91,Council_Data!$A$3:$AB$840,20,0))</f>
        <v>0</v>
      </c>
      <c r="T91" s="94">
        <f>IF(ISNA(VLOOKUP($A91,Council_Data!$A$3:$AB$840,21,0)),0,VLOOKUP($A91,Council_Data!$A$3:$AB$840,21,0))</f>
        <v>0</v>
      </c>
      <c r="U91" s="93">
        <f>IF(ISNA(VLOOKUP($A91,Council_Data!$A$3:$AB$840,23,0)),0,VLOOKUP($A91,Council_Data!$A$3:$AB$840,23,0))</f>
        <v>3</v>
      </c>
      <c r="V91" s="50" t="str">
        <f>IF(ISNA(VLOOKUP($A91,Council_Data!$A$3:$AB$840,24,0)),0,VLOOKUP($A91,Council_Data!$A$3:$AB$840,24,0))</f>
        <v>Rangel</v>
      </c>
    </row>
    <row r="92" spans="1:22" ht="29.1" customHeight="1">
      <c r="A92" s="93">
        <v>14844</v>
      </c>
      <c r="B92" s="50" t="str">
        <f>IF(ISNA(VLOOKUP($A92,Council_Data!$A$3:$AB$840,2,0)),0,VLOOKUP($A92,Council_Data!$A$3:$AB$840,2,0))</f>
        <v>160</v>
      </c>
      <c r="C92" s="50" t="str">
        <f>IF(ISNA(VLOOKUP($A92,Council_Data!$A$3:$AB$840,3,0)),0,VLOOKUP($A92,Council_Data!$A$3:$AB$840,3,0))</f>
        <v>Blanco</v>
      </c>
      <c r="D92" s="93">
        <f>IF(ISNA(VLOOKUP($A92,Council_Data!$A$3:$AB$840,5,0)),0,VLOOKUP($A92,Council_Data!$A$3:$AB$840,5,0))</f>
        <v>70</v>
      </c>
      <c r="E92" s="93">
        <f>IF(ISNA(VLOOKUP($A92,Council_Data!$A$3:$AB$840,6,0)),0,VLOOKUP($A92,Council_Data!$A$3:$AB$840,6,0))</f>
        <v>4</v>
      </c>
      <c r="F92" s="93">
        <f>IF(ISNA(VLOOKUP($A92,Council_Data!$A$3:$AB$840,7,0)),0,VLOOKUP($A92,Council_Data!$A$3:$AB$840,7,0))</f>
        <v>0</v>
      </c>
      <c r="G92" s="93">
        <f>IF(ISNA(VLOOKUP($A92,Council_Data!$A$3:$AB$840,8,0)),0,VLOOKUP($A92,Council_Data!$A$3:$AB$840,8,0))</f>
        <v>0</v>
      </c>
      <c r="H92" s="93">
        <f>IF(ISNA(VLOOKUP($A92,Council_Data!$A$3:$AB$840,9,0)),0,VLOOKUP($A92,Council_Data!$A$3:$AB$840,9,0))</f>
        <v>0</v>
      </c>
      <c r="I92" s="93">
        <f>IF(ISNA(VLOOKUP($A92,Council_Data!$A$3:$AB$840,10,0)),0,VLOOKUP($A92,Council_Data!$A$3:$AB$840,10,0))</f>
        <v>0</v>
      </c>
      <c r="J92" s="93">
        <f>IF(ISNA(VLOOKUP($A92,Council_Data!$A$3:$AB$840,11,0)),0,VLOOKUP($A92,Council_Data!$A$3:$AB$840,11,0))</f>
        <v>0</v>
      </c>
      <c r="K92" s="93">
        <f>IF(ISNA(VLOOKUP($A92,Council_Data!$A$3:$AB$840,12,0)),0,VLOOKUP($A92,Council_Data!$A$3:$AB$840,12,0))</f>
        <v>0</v>
      </c>
      <c r="L92" s="94">
        <f>IF(ISNA(VLOOKUP($A92,Council_Data!$A$3:$AB$840,13,0)),0,VLOOKUP($A92,Council_Data!$A$3:$AB$840,13,0))</f>
        <v>0</v>
      </c>
      <c r="M92" s="93">
        <f>IF(ISNA(VLOOKUP($A92,Council_Data!$A$3:$AB$840,14,0)),0,VLOOKUP($A92,Council_Data!$A$3:$AB$840,14,0))</f>
        <v>0</v>
      </c>
      <c r="N92" s="93">
        <f>IF(ISNA(VLOOKUP($A92,Council_Data!$A$3:$AB$840,15,0)),0,VLOOKUP($A92,Council_Data!$A$3:$AB$840,15,0))</f>
        <v>0</v>
      </c>
      <c r="O92" s="93">
        <f>IF(ISNA(VLOOKUP($A92,Council_Data!$A$3:$AB$840,16,0)),0,VLOOKUP($A92,Council_Data!$A$3:$AB$840,16,0))</f>
        <v>1</v>
      </c>
      <c r="P92" s="93">
        <f>IF(ISNA(VLOOKUP($A92,Council_Data!$A$3:$AB$840,17,0)),0,VLOOKUP($A92,Council_Data!$A$3:$AB$840,17,0))</f>
        <v>-1</v>
      </c>
      <c r="Q92" s="93">
        <f>IF(ISNA(VLOOKUP($A92,Council_Data!$A$3:$AB$840,18,0)),0,VLOOKUP($A92,Council_Data!$A$3:$AB$840,18,0))</f>
        <v>0</v>
      </c>
      <c r="R92" s="93">
        <f>IF(ISNA(VLOOKUP($A92,Council_Data!$A$3:$AB$840,19,0)),0,VLOOKUP($A92,Council_Data!$A$3:$AB$840,19,0))</f>
        <v>1</v>
      </c>
      <c r="S92" s="93">
        <f>IF(ISNA(VLOOKUP($A92,Council_Data!$A$3:$AB$840,20,0)),0,VLOOKUP($A92,Council_Data!$A$3:$AB$840,20,0))</f>
        <v>-1</v>
      </c>
      <c r="T92" s="94">
        <f>IF(ISNA(VLOOKUP($A92,Council_Data!$A$3:$AB$840,21,0)),0,VLOOKUP($A92,Council_Data!$A$3:$AB$840,21,0))</f>
        <v>0</v>
      </c>
      <c r="U92" s="93">
        <f>IF(ISNA(VLOOKUP($A92,Council_Data!$A$3:$AB$840,23,0)),0,VLOOKUP($A92,Council_Data!$A$3:$AB$840,23,0))</f>
        <v>2</v>
      </c>
      <c r="V92" s="50" t="str">
        <f>IF(ISNA(VLOOKUP($A92,Council_Data!$A$3:$AB$840,24,0)),0,VLOOKUP($A92,Council_Data!$A$3:$AB$840,24,0))</f>
        <v>Rangel</v>
      </c>
    </row>
    <row r="93" spans="1:22" ht="29.1" customHeight="1">
      <c r="A93" s="93">
        <v>14943</v>
      </c>
      <c r="B93" s="50" t="str">
        <f>IF(ISNA(VLOOKUP($A93,Council_Data!$A$3:$AB$840,2,0)),0,VLOOKUP($A93,Council_Data!$A$3:$AB$840,2,0))</f>
        <v>152</v>
      </c>
      <c r="C93" s="50" t="str">
        <f>IF(ISNA(VLOOKUP($A93,Council_Data!$A$3:$AB$840,3,0)),0,VLOOKUP($A93,Council_Data!$A$3:$AB$840,3,0))</f>
        <v>Bastrop</v>
      </c>
      <c r="D93" s="93">
        <f>IF(ISNA(VLOOKUP($A93,Council_Data!$A$3:$AB$840,5,0)),0,VLOOKUP($A93,Council_Data!$A$3:$AB$840,5,0))</f>
        <v>123</v>
      </c>
      <c r="E93" s="93">
        <f>IF(ISNA(VLOOKUP($A93,Council_Data!$A$3:$AB$840,6,0)),0,VLOOKUP($A93,Council_Data!$A$3:$AB$840,6,0))</f>
        <v>6</v>
      </c>
      <c r="F93" s="93">
        <f>IF(ISNA(VLOOKUP($A93,Council_Data!$A$3:$AB$840,7,0)),0,VLOOKUP($A93,Council_Data!$A$3:$AB$840,7,0))</f>
        <v>0</v>
      </c>
      <c r="G93" s="93">
        <f>IF(ISNA(VLOOKUP($A93,Council_Data!$A$3:$AB$840,8,0)),0,VLOOKUP($A93,Council_Data!$A$3:$AB$840,8,0))</f>
        <v>0</v>
      </c>
      <c r="H93" s="93">
        <f>IF(ISNA(VLOOKUP($A93,Council_Data!$A$3:$AB$840,9,0)),0,VLOOKUP($A93,Council_Data!$A$3:$AB$840,9,0))</f>
        <v>0</v>
      </c>
      <c r="I93" s="93">
        <f>IF(ISNA(VLOOKUP($A93,Council_Data!$A$3:$AB$840,10,0)),0,VLOOKUP($A93,Council_Data!$A$3:$AB$840,10,0))</f>
        <v>1</v>
      </c>
      <c r="J93" s="93">
        <f>IF(ISNA(VLOOKUP($A93,Council_Data!$A$3:$AB$840,11,0)),0,VLOOKUP($A93,Council_Data!$A$3:$AB$840,11,0))</f>
        <v>0</v>
      </c>
      <c r="K93" s="93">
        <f>IF(ISNA(VLOOKUP($A93,Council_Data!$A$3:$AB$840,12,0)),0,VLOOKUP($A93,Council_Data!$A$3:$AB$840,12,0))</f>
        <v>1</v>
      </c>
      <c r="L93" s="94">
        <f>IF(ISNA(VLOOKUP($A93,Council_Data!$A$3:$AB$840,13,0)),0,VLOOKUP($A93,Council_Data!$A$3:$AB$840,13,0))</f>
        <v>16.670000000000002</v>
      </c>
      <c r="M93" s="93">
        <f>IF(ISNA(VLOOKUP($A93,Council_Data!$A$3:$AB$840,14,0)),0,VLOOKUP($A93,Council_Data!$A$3:$AB$840,14,0))</f>
        <v>0</v>
      </c>
      <c r="N93" s="93">
        <f>IF(ISNA(VLOOKUP($A93,Council_Data!$A$3:$AB$840,15,0)),0,VLOOKUP($A93,Council_Data!$A$3:$AB$840,15,0))</f>
        <v>0</v>
      </c>
      <c r="O93" s="93">
        <f>IF(ISNA(VLOOKUP($A93,Council_Data!$A$3:$AB$840,16,0)),0,VLOOKUP($A93,Council_Data!$A$3:$AB$840,16,0))</f>
        <v>1</v>
      </c>
      <c r="P93" s="93">
        <f>IF(ISNA(VLOOKUP($A93,Council_Data!$A$3:$AB$840,17,0)),0,VLOOKUP($A93,Council_Data!$A$3:$AB$840,17,0))</f>
        <v>-1</v>
      </c>
      <c r="Q93" s="93">
        <f>IF(ISNA(VLOOKUP($A93,Council_Data!$A$3:$AB$840,18,0)),0,VLOOKUP($A93,Council_Data!$A$3:$AB$840,18,0))</f>
        <v>1</v>
      </c>
      <c r="R93" s="93">
        <f>IF(ISNA(VLOOKUP($A93,Council_Data!$A$3:$AB$840,19,0)),0,VLOOKUP($A93,Council_Data!$A$3:$AB$840,19,0))</f>
        <v>2</v>
      </c>
      <c r="S93" s="93">
        <f>IF(ISNA(VLOOKUP($A93,Council_Data!$A$3:$AB$840,20,0)),0,VLOOKUP($A93,Council_Data!$A$3:$AB$840,20,0))</f>
        <v>-1</v>
      </c>
      <c r="T93" s="94">
        <f>IF(ISNA(VLOOKUP($A93,Council_Data!$A$3:$AB$840,21,0)),0,VLOOKUP($A93,Council_Data!$A$3:$AB$840,21,0))</f>
        <v>0</v>
      </c>
      <c r="U93" s="93">
        <f>IF(ISNA(VLOOKUP($A93,Council_Data!$A$3:$AB$840,23,0)),0,VLOOKUP($A93,Council_Data!$A$3:$AB$840,23,0))</f>
        <v>2</v>
      </c>
      <c r="V93" s="50" t="str">
        <f>IF(ISNA(VLOOKUP($A93,Council_Data!$A$3:$AB$840,24,0)),0,VLOOKUP($A93,Council_Data!$A$3:$AB$840,24,0))</f>
        <v>Rangel</v>
      </c>
    </row>
    <row r="94" spans="1:22" ht="29.1" customHeight="1">
      <c r="A94" s="93">
        <v>15365</v>
      </c>
      <c r="B94" s="50" t="str">
        <f>IF(ISNA(VLOOKUP($A94,Council_Data!$A$3:$AB$840,2,0)),0,VLOOKUP($A94,Council_Data!$A$3:$AB$840,2,0))</f>
        <v>160</v>
      </c>
      <c r="C94" s="50" t="str">
        <f>IF(ISNA(VLOOKUP($A94,Council_Data!$A$3:$AB$840,3,0)),0,VLOOKUP($A94,Council_Data!$A$3:$AB$840,3,0))</f>
        <v>Horseshoe Bay</v>
      </c>
      <c r="D94" s="93">
        <f>IF(ISNA(VLOOKUP($A94,Council_Data!$A$3:$AB$840,5,0)),0,VLOOKUP($A94,Council_Data!$A$3:$AB$840,5,0))</f>
        <v>64</v>
      </c>
      <c r="E94" s="93">
        <f>IF(ISNA(VLOOKUP($A94,Council_Data!$A$3:$AB$840,6,0)),0,VLOOKUP($A94,Council_Data!$A$3:$AB$840,6,0))</f>
        <v>3</v>
      </c>
      <c r="F94" s="93">
        <f>IF(ISNA(VLOOKUP($A94,Council_Data!$A$3:$AB$840,7,0)),0,VLOOKUP($A94,Council_Data!$A$3:$AB$840,7,0))</f>
        <v>0</v>
      </c>
      <c r="G94" s="93">
        <f>IF(ISNA(VLOOKUP($A94,Council_Data!$A$3:$AB$840,8,0)),0,VLOOKUP($A94,Council_Data!$A$3:$AB$840,8,0))</f>
        <v>0</v>
      </c>
      <c r="H94" s="93">
        <f>IF(ISNA(VLOOKUP($A94,Council_Data!$A$3:$AB$840,9,0)),0,VLOOKUP($A94,Council_Data!$A$3:$AB$840,9,0))</f>
        <v>0</v>
      </c>
      <c r="I94" s="93">
        <f>IF(ISNA(VLOOKUP($A94,Council_Data!$A$3:$AB$840,10,0)),0,VLOOKUP($A94,Council_Data!$A$3:$AB$840,10,0))</f>
        <v>0</v>
      </c>
      <c r="J94" s="93">
        <f>IF(ISNA(VLOOKUP($A94,Council_Data!$A$3:$AB$840,11,0)),0,VLOOKUP($A94,Council_Data!$A$3:$AB$840,11,0))</f>
        <v>0</v>
      </c>
      <c r="K94" s="93">
        <f>IF(ISNA(VLOOKUP($A94,Council_Data!$A$3:$AB$840,12,0)),0,VLOOKUP($A94,Council_Data!$A$3:$AB$840,12,0))</f>
        <v>0</v>
      </c>
      <c r="L94" s="94">
        <f>IF(ISNA(VLOOKUP($A94,Council_Data!$A$3:$AB$840,13,0)),0,VLOOKUP($A94,Council_Data!$A$3:$AB$840,13,0))</f>
        <v>0</v>
      </c>
      <c r="M94" s="93">
        <f>IF(ISNA(VLOOKUP($A94,Council_Data!$A$3:$AB$840,14,0)),0,VLOOKUP($A94,Council_Data!$A$3:$AB$840,14,0))</f>
        <v>0</v>
      </c>
      <c r="N94" s="93">
        <f>IF(ISNA(VLOOKUP($A94,Council_Data!$A$3:$AB$840,15,0)),0,VLOOKUP($A94,Council_Data!$A$3:$AB$840,15,0))</f>
        <v>0</v>
      </c>
      <c r="O94" s="93">
        <f>IF(ISNA(VLOOKUP($A94,Council_Data!$A$3:$AB$840,16,0)),0,VLOOKUP($A94,Council_Data!$A$3:$AB$840,16,0))</f>
        <v>0</v>
      </c>
      <c r="P94" s="93">
        <f>IF(ISNA(VLOOKUP($A94,Council_Data!$A$3:$AB$840,17,0)),0,VLOOKUP($A94,Council_Data!$A$3:$AB$840,17,0))</f>
        <v>0</v>
      </c>
      <c r="Q94" s="93">
        <f>IF(ISNA(VLOOKUP($A94,Council_Data!$A$3:$AB$840,18,0)),0,VLOOKUP($A94,Council_Data!$A$3:$AB$840,18,0))</f>
        <v>0</v>
      </c>
      <c r="R94" s="93">
        <f>IF(ISNA(VLOOKUP($A94,Council_Data!$A$3:$AB$840,19,0)),0,VLOOKUP($A94,Council_Data!$A$3:$AB$840,19,0))</f>
        <v>0</v>
      </c>
      <c r="S94" s="93">
        <f>IF(ISNA(VLOOKUP($A94,Council_Data!$A$3:$AB$840,20,0)),0,VLOOKUP($A94,Council_Data!$A$3:$AB$840,20,0))</f>
        <v>0</v>
      </c>
      <c r="T94" s="94">
        <f>IF(ISNA(VLOOKUP($A94,Council_Data!$A$3:$AB$840,21,0)),0,VLOOKUP($A94,Council_Data!$A$3:$AB$840,21,0))</f>
        <v>0</v>
      </c>
      <c r="U94" s="93">
        <f>IF(ISNA(VLOOKUP($A94,Council_Data!$A$3:$AB$840,23,0)),0,VLOOKUP($A94,Council_Data!$A$3:$AB$840,23,0))</f>
        <v>3</v>
      </c>
      <c r="V94" s="50" t="str">
        <f>IF(ISNA(VLOOKUP($A94,Council_Data!$A$3:$AB$840,24,0)),0,VLOOKUP($A94,Council_Data!$A$3:$AB$840,24,0))</f>
        <v>Rangel</v>
      </c>
    </row>
    <row r="95" spans="1:22" ht="25.5">
      <c r="A95" s="93">
        <v>17224</v>
      </c>
      <c r="B95" s="50" t="str">
        <f>IF(ISNA(VLOOKUP($A95,Council_Data!$A$3:$AB$840,2,0)),0,VLOOKUP($A95,Council_Data!$A$3:$AB$840,2,0))</f>
        <v>142</v>
      </c>
      <c r="C95" s="50" t="str">
        <f>IF(ISNA(VLOOKUP($A95,Council_Data!$A$3:$AB$840,3,0)),0,VLOOKUP($A95,Council_Data!$A$3:$AB$840,3,0))</f>
        <v>China Spring</v>
      </c>
      <c r="D95" s="93">
        <f>IF(ISNA(VLOOKUP($A95,Council_Data!$A$3:$AB$840,5,0)),0,VLOOKUP($A95,Council_Data!$A$3:$AB$840,5,0))</f>
        <v>39</v>
      </c>
      <c r="E95" s="93">
        <f>IF(ISNA(VLOOKUP($A95,Council_Data!$A$3:$AB$840,6,0)),0,VLOOKUP($A95,Council_Data!$A$3:$AB$840,6,0))</f>
        <v>3</v>
      </c>
      <c r="F95" s="93">
        <f>IF(ISNA(VLOOKUP($A95,Council_Data!$A$3:$AB$840,7,0)),0,VLOOKUP($A95,Council_Data!$A$3:$AB$840,7,0))</f>
        <v>0</v>
      </c>
      <c r="G95" s="93">
        <f>IF(ISNA(VLOOKUP($A95,Council_Data!$A$3:$AB$840,8,0)),0,VLOOKUP($A95,Council_Data!$A$3:$AB$840,8,0))</f>
        <v>0</v>
      </c>
      <c r="H95" s="93">
        <f>IF(ISNA(VLOOKUP($A95,Council_Data!$A$3:$AB$840,9,0)),0,VLOOKUP($A95,Council_Data!$A$3:$AB$840,9,0))</f>
        <v>0</v>
      </c>
      <c r="I95" s="93">
        <f>IF(ISNA(VLOOKUP($A95,Council_Data!$A$3:$AB$840,10,0)),0,VLOOKUP($A95,Council_Data!$A$3:$AB$840,10,0))</f>
        <v>1</v>
      </c>
      <c r="J95" s="93">
        <f>IF(ISNA(VLOOKUP($A95,Council_Data!$A$3:$AB$840,11,0)),0,VLOOKUP($A95,Council_Data!$A$3:$AB$840,11,0))</f>
        <v>0</v>
      </c>
      <c r="K95" s="93">
        <f>IF(ISNA(VLOOKUP($A95,Council_Data!$A$3:$AB$840,12,0)),0,VLOOKUP($A95,Council_Data!$A$3:$AB$840,12,0))</f>
        <v>1</v>
      </c>
      <c r="L95" s="94">
        <f>IF(ISNA(VLOOKUP($A95,Council_Data!$A$3:$AB$840,13,0)),0,VLOOKUP($A95,Council_Data!$A$3:$AB$840,13,0))</f>
        <v>33.33</v>
      </c>
      <c r="M95" s="93">
        <f>IF(ISNA(VLOOKUP($A95,Council_Data!$A$3:$AB$840,14,0)),0,VLOOKUP($A95,Council_Data!$A$3:$AB$840,14,0))</f>
        <v>0</v>
      </c>
      <c r="N95" s="93">
        <f>IF(ISNA(VLOOKUP($A95,Council_Data!$A$3:$AB$840,15,0)),0,VLOOKUP($A95,Council_Data!$A$3:$AB$840,15,0))</f>
        <v>0</v>
      </c>
      <c r="O95" s="93">
        <f>IF(ISNA(VLOOKUP($A95,Council_Data!$A$3:$AB$840,16,0)),0,VLOOKUP($A95,Council_Data!$A$3:$AB$840,16,0))</f>
        <v>0</v>
      </c>
      <c r="P95" s="93">
        <f>IF(ISNA(VLOOKUP($A95,Council_Data!$A$3:$AB$840,17,0)),0,VLOOKUP($A95,Council_Data!$A$3:$AB$840,17,0))</f>
        <v>0</v>
      </c>
      <c r="Q95" s="93">
        <f>IF(ISNA(VLOOKUP($A95,Council_Data!$A$3:$AB$840,18,0)),0,VLOOKUP($A95,Council_Data!$A$3:$AB$840,18,0))</f>
        <v>1</v>
      </c>
      <c r="R95" s="93">
        <f>IF(ISNA(VLOOKUP($A95,Council_Data!$A$3:$AB$840,19,0)),0,VLOOKUP($A95,Council_Data!$A$3:$AB$840,19,0))</f>
        <v>0</v>
      </c>
      <c r="S95" s="93">
        <f>IF(ISNA(VLOOKUP($A95,Council_Data!$A$3:$AB$840,20,0)),0,VLOOKUP($A95,Council_Data!$A$3:$AB$840,20,0))</f>
        <v>1</v>
      </c>
      <c r="T95" s="94">
        <f>IF(ISNA(VLOOKUP($A95,Council_Data!$A$3:$AB$840,21,0)),0,VLOOKUP($A95,Council_Data!$A$3:$AB$840,21,0))</f>
        <v>0</v>
      </c>
      <c r="U95" s="93">
        <f>IF(ISNA(VLOOKUP($A95,Council_Data!$A$3:$AB$840,23,0)),0,VLOOKUP($A95,Council_Data!$A$3:$AB$840,23,0))</f>
        <v>3</v>
      </c>
      <c r="V95" s="50" t="str">
        <f>IF(ISNA(VLOOKUP($A95,Council_Data!$A$3:$AB$840,24,0)),0,VLOOKUP($A95,Council_Data!$A$3:$AB$840,24,0))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851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29.1" customHeight="1">
      <c r="A4" s="93">
        <v>5789</v>
      </c>
      <c r="B4" s="50" t="str">
        <f>IF(ISNA(VLOOKUP($A4,Council_Data!$A$3:$AB$840,2,0)),0,VLOOKUP($A4,Council_Data!$A$3:$AB$840,2,0))</f>
        <v>121</v>
      </c>
      <c r="C4" s="50" t="str">
        <f>IF(ISNA(VLOOKUP($A4,Council_Data!$A$3:$AB$840,3,0)),0,VLOOKUP($A4,Council_Data!$A$3:$AB$840,3,0))</f>
        <v>Vidor</v>
      </c>
      <c r="D4" s="93">
        <f>IF(ISNA(VLOOKUP($A4,Council_Data!$A$3:$AB$840,5,0)),0,VLOOKUP($A4,Council_Data!$A$3:$AB$840,5,0))</f>
        <v>109</v>
      </c>
      <c r="E4" s="93">
        <f>IF(ISNA(VLOOKUP($A4,Council_Data!$A$3:$AB$840,6,0)),0,VLOOKUP($A4,Council_Data!$A$3:$AB$840,6,0))</f>
        <v>5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1</v>
      </c>
      <c r="H4" s="93">
        <f>IF(ISNA(VLOOKUP($A4,Council_Data!$A$3:$AB$840,9,0)),0,VLOOKUP($A4,Council_Data!$A$3:$AB$840,9,0))</f>
        <v>-1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1</v>
      </c>
      <c r="K4" s="93">
        <f>IF(ISNA(VLOOKUP($A4,Council_Data!$A$3:$AB$840,12,0)),0,VLOOKUP($A4,Council_Data!$A$3:$AB$840,12,0))</f>
        <v>-1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2</v>
      </c>
      <c r="P4" s="93">
        <f>IF(ISNA(VLOOKUP($A4,Council_Data!$A$3:$AB$840,17,0)),0,VLOOKUP($A4,Council_Data!$A$3:$AB$840,17,0))</f>
        <v>-2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3</v>
      </c>
      <c r="S4" s="93">
        <f>IF(ISNA(VLOOKUP($A4,Council_Data!$A$3:$AB$840,20,0)),0,VLOOKUP($A4,Council_Data!$A$3:$AB$840,20,0))</f>
        <v>-3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Rangel</v>
      </c>
    </row>
    <row r="5" spans="1:23" ht="29.1" customHeight="1">
      <c r="A5" s="93">
        <v>7058</v>
      </c>
      <c r="B5" s="50" t="str">
        <f>IF(ISNA(VLOOKUP($A5,Council_Data!$A$3:$AB$840,2,0)),0,VLOOKUP($A5,Council_Data!$A$3:$AB$840,2,0))</f>
        <v>121</v>
      </c>
      <c r="C5" s="50" t="str">
        <f>IF(ISNA(VLOOKUP($A5,Council_Data!$A$3:$AB$840,3,0)),0,VLOOKUP($A5,Council_Data!$A$3:$AB$840,3,0))</f>
        <v>Lumberton</v>
      </c>
      <c r="D5" s="93">
        <f>IF(ISNA(VLOOKUP($A5,Council_Data!$A$3:$AB$840,5,0)),0,VLOOKUP($A5,Council_Data!$A$3:$AB$840,5,0))</f>
        <v>138</v>
      </c>
      <c r="E5" s="93">
        <f>IF(ISNA(VLOOKUP($A5,Council_Data!$A$3:$AB$840,6,0)),0,VLOOKUP($A5,Council_Data!$A$3:$AB$840,6,0))</f>
        <v>7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3</v>
      </c>
      <c r="J5" s="93">
        <f>IF(ISNA(VLOOKUP($A5,Council_Data!$A$3:$AB$840,11,0)),0,VLOOKUP($A5,Council_Data!$A$3:$AB$840,11,0))</f>
        <v>4</v>
      </c>
      <c r="K5" s="93">
        <f>IF(ISNA(VLOOKUP($A5,Council_Data!$A$3:$AB$840,12,0)),0,VLOOKUP($A5,Council_Data!$A$3:$AB$840,12,0))</f>
        <v>-1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1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Rangel</v>
      </c>
    </row>
    <row r="6" spans="1:23" ht="29.1" customHeight="1">
      <c r="A6" s="93">
        <v>8594</v>
      </c>
      <c r="B6" s="50" t="str">
        <f>IF(ISNA(VLOOKUP($A6,Council_Data!$A$3:$AB$840,2,0)),0,VLOOKUP($A6,Council_Data!$A$3:$AB$840,2,0))</f>
        <v>121</v>
      </c>
      <c r="C6" s="50" t="str">
        <f>IF(ISNA(VLOOKUP($A6,Council_Data!$A$3:$AB$840,3,0)),0,VLOOKUP($A6,Council_Data!$A$3:$AB$840,3,0))</f>
        <v>Silsbee</v>
      </c>
      <c r="D6" s="93">
        <f>IF(ISNA(VLOOKUP($A6,Council_Data!$A$3:$AB$840,5,0)),0,VLOOKUP($A6,Council_Data!$A$3:$AB$840,5,0))</f>
        <v>63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Rangel</v>
      </c>
    </row>
    <row r="7" spans="1:23" ht="29.1" customHeight="1">
      <c r="A7" s="93">
        <v>11151</v>
      </c>
      <c r="B7" s="50" t="str">
        <f>IF(ISNA(VLOOKUP($A7,Council_Data!$A$3:$AB$840,2,0)),0,VLOOKUP($A7,Council_Data!$A$3:$AB$840,2,0))</f>
        <v>121</v>
      </c>
      <c r="C7" s="50" t="str">
        <f>IF(ISNA(VLOOKUP($A7,Council_Data!$A$3:$AB$840,3,0)),0,VLOOKUP($A7,Council_Data!$A$3:$AB$840,3,0))</f>
        <v>Sour Lake</v>
      </c>
      <c r="D7" s="93">
        <f>IF(ISNA(VLOOKUP($A7,Council_Data!$A$3:$AB$840,5,0)),0,VLOOKUP($A7,Council_Data!$A$3:$AB$840,5,0))</f>
        <v>51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1</v>
      </c>
      <c r="K7" s="93">
        <f>IF(ISNA(VLOOKUP($A7,Council_Data!$A$3:$AB$840,12,0)),0,VLOOKUP($A7,Council_Data!$A$3:$AB$840,12,0))</f>
        <v>-1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Rangel</v>
      </c>
    </row>
    <row r="8" spans="1:23" ht="29.1" customHeight="1">
      <c r="A8" s="93">
        <v>13798</v>
      </c>
      <c r="B8" s="50" t="str">
        <f>IF(ISNA(VLOOKUP($A8,Council_Data!$A$3:$AB$840,2,0)),0,VLOOKUP($A8,Council_Data!$A$3:$AB$840,2,0))</f>
        <v>121</v>
      </c>
      <c r="C8" s="50" t="str">
        <f>IF(ISNA(VLOOKUP($A8,Council_Data!$A$3:$AB$840,3,0)),0,VLOOKUP($A8,Council_Data!$A$3:$AB$840,3,0))</f>
        <v>Jasper</v>
      </c>
      <c r="D8" s="93">
        <f>IF(ISNA(VLOOKUP($A8,Council_Data!$A$3:$AB$840,5,0)),0,VLOOKUP($A8,Council_Data!$A$3:$AB$840,5,0))</f>
        <v>57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3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3</v>
      </c>
      <c r="L8" s="94">
        <f>IF(ISNA(VLOOKUP($A8,Council_Data!$A$3:$AB$840,13,0)),0,VLOOKUP($A8,Council_Data!$A$3:$AB$840,13,0))</f>
        <v>100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3</v>
      </c>
      <c r="V8" s="50" t="str">
        <f>IF(ISNA(VLOOKUP($A8,Council_Data!$A$3:$AB$840,24,0)),0,VLOOKUP($A8,Council_Data!$A$3:$AB$840,24,0))</f>
        <v>Rangel</v>
      </c>
    </row>
    <row r="9" spans="1:23" ht="29.1" customHeight="1">
      <c r="A9" s="93">
        <v>2461</v>
      </c>
      <c r="B9" s="50" t="str">
        <f>IF(ISNA(VLOOKUP($A9,Council_Data!$A$3:$AB$840,2,0)),0,VLOOKUP($A9,Council_Data!$A$3:$AB$840,2,0))</f>
        <v>122</v>
      </c>
      <c r="C9" s="50" t="str">
        <f>IF(ISNA(VLOOKUP($A9,Council_Data!$A$3:$AB$840,3,0)),0,VLOOKUP($A9,Council_Data!$A$3:$AB$840,3,0))</f>
        <v>Port Neches</v>
      </c>
      <c r="D9" s="93">
        <f>IF(ISNA(VLOOKUP($A9,Council_Data!$A$3:$AB$840,5,0)),0,VLOOKUP($A9,Council_Data!$A$3:$AB$840,5,0))</f>
        <v>212</v>
      </c>
      <c r="E9" s="93">
        <f>IF(ISNA(VLOOKUP($A9,Council_Data!$A$3:$AB$840,6,0)),0,VLOOKUP($A9,Council_Data!$A$3:$AB$840,6,0))</f>
        <v>10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2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2</v>
      </c>
      <c r="L9" s="94">
        <f>IF(ISNA(VLOOKUP($A9,Council_Data!$A$3:$AB$840,13,0)),0,VLOOKUP($A9,Council_Data!$A$3:$AB$840,13,0))</f>
        <v>20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Rangel</v>
      </c>
    </row>
    <row r="10" spans="1:23" ht="29.1" customHeight="1">
      <c r="A10" s="93">
        <v>3491</v>
      </c>
      <c r="B10" s="50" t="str">
        <f>IF(ISNA(VLOOKUP($A10,Council_Data!$A$3:$AB$840,2,0)),0,VLOOKUP($A10,Council_Data!$A$3:$AB$840,2,0))</f>
        <v>122</v>
      </c>
      <c r="C10" s="50" t="str">
        <f>IF(ISNA(VLOOKUP($A10,Council_Data!$A$3:$AB$840,3,0)),0,VLOOKUP($A10,Council_Data!$A$3:$AB$840,3,0))</f>
        <v>Groves</v>
      </c>
      <c r="D10" s="93">
        <f>IF(ISNA(VLOOKUP($A10,Council_Data!$A$3:$AB$840,5,0)),0,VLOOKUP($A10,Council_Data!$A$3:$AB$840,5,0))</f>
        <v>383</v>
      </c>
      <c r="E10" s="93">
        <f>IF(ISNA(VLOOKUP($A10,Council_Data!$A$3:$AB$840,6,0)),0,VLOOKUP($A10,Council_Data!$A$3:$AB$840,6,0))</f>
        <v>18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4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4</v>
      </c>
      <c r="L10" s="94">
        <f>IF(ISNA(VLOOKUP($A10,Council_Data!$A$3:$AB$840,13,0)),0,VLOOKUP($A10,Council_Data!$A$3:$AB$840,13,0))</f>
        <v>22.22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2</v>
      </c>
      <c r="P10" s="93">
        <f>IF(ISNA(VLOOKUP($A10,Council_Data!$A$3:$AB$840,17,0)),0,VLOOKUP($A10,Council_Data!$A$3:$AB$840,17,0))</f>
        <v>-2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3</v>
      </c>
      <c r="S10" s="93">
        <f>IF(ISNA(VLOOKUP($A10,Council_Data!$A$3:$AB$840,20,0)),0,VLOOKUP($A10,Council_Data!$A$3:$AB$840,20,0))</f>
        <v>-3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Rangel</v>
      </c>
    </row>
    <row r="11" spans="1:23" ht="29.1" customHeight="1">
      <c r="A11" s="93">
        <v>5145</v>
      </c>
      <c r="B11" s="50" t="str">
        <f>IF(ISNA(VLOOKUP($A11,Council_Data!$A$3:$AB$840,2,0)),0,VLOOKUP($A11,Council_Data!$A$3:$AB$840,2,0))</f>
        <v>122</v>
      </c>
      <c r="C11" s="50" t="str">
        <f>IF(ISNA(VLOOKUP($A11,Council_Data!$A$3:$AB$840,3,0)),0,VLOOKUP($A11,Council_Data!$A$3:$AB$840,3,0))</f>
        <v>Nederland</v>
      </c>
      <c r="D11" s="93">
        <f>IF(ISNA(VLOOKUP($A11,Council_Data!$A$3:$AB$840,5,0)),0,VLOOKUP($A11,Council_Data!$A$3:$AB$840,5,0))</f>
        <v>295</v>
      </c>
      <c r="E11" s="93">
        <f>IF(ISNA(VLOOKUP($A11,Council_Data!$A$3:$AB$840,6,0)),0,VLOOKUP($A11,Council_Data!$A$3:$AB$840,6,0))</f>
        <v>14</v>
      </c>
      <c r="F11" s="93">
        <f>IF(ISNA(VLOOKUP($A11,Council_Data!$A$3:$AB$840,7,0)),0,VLOOKUP($A11,Council_Data!$A$3:$AB$840,7,0))</f>
        <v>1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1</v>
      </c>
      <c r="I11" s="93">
        <f>IF(ISNA(VLOOKUP($A11,Council_Data!$A$3:$AB$840,10,0)),0,VLOOKUP($A11,Council_Data!$A$3:$AB$840,10,0))</f>
        <v>5</v>
      </c>
      <c r="J11" s="93">
        <f>IF(ISNA(VLOOKUP($A11,Council_Data!$A$3:$AB$840,11,0)),0,VLOOKUP($A11,Council_Data!$A$3:$AB$840,11,0))</f>
        <v>2</v>
      </c>
      <c r="K11" s="93">
        <f>IF(ISNA(VLOOKUP($A11,Council_Data!$A$3:$AB$840,12,0)),0,VLOOKUP($A11,Council_Data!$A$3:$AB$840,12,0))</f>
        <v>3</v>
      </c>
      <c r="L11" s="94">
        <f>IF(ISNA(VLOOKUP($A11,Council_Data!$A$3:$AB$840,13,0)),0,VLOOKUP($A11,Council_Data!$A$3:$AB$840,13,0))</f>
        <v>21.43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1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1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2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Rangel</v>
      </c>
    </row>
    <row r="12" spans="1:23" ht="29.1" customHeight="1">
      <c r="A12" s="95">
        <v>16464</v>
      </c>
      <c r="B12" s="50" t="str">
        <f>IF(ISNA(VLOOKUP($A12,Council_Data!$A$3:$AB$840,2,0)),0,VLOOKUP($A12,Council_Data!$A$3:$AB$840,2,0))</f>
        <v>122</v>
      </c>
      <c r="C12" s="50" t="str">
        <f>IF(ISNA(VLOOKUP($A12,Council_Data!$A$3:$AB$840,3,0)),0,VLOOKUP($A12,Council_Data!$A$3:$AB$840,3,0))</f>
        <v>Beaumont</v>
      </c>
      <c r="D12" s="93">
        <f>IF(ISNA(VLOOKUP($A12,Council_Data!$A$3:$AB$840,5,0)),0,VLOOKUP($A12,Council_Data!$A$3:$AB$840,5,0))</f>
        <v>98</v>
      </c>
      <c r="E12" s="93">
        <f>IF(ISNA(VLOOKUP($A12,Council_Data!$A$3:$AB$840,6,0)),0,VLOOKUP($A12,Council_Data!$A$3:$AB$840,6,0))</f>
        <v>5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4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4</v>
      </c>
      <c r="L12" s="94">
        <f>IF(ISNA(VLOOKUP($A12,Council_Data!$A$3:$AB$840,13,0)),0,VLOOKUP($A12,Council_Data!$A$3:$AB$840,13,0))</f>
        <v>80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1</v>
      </c>
      <c r="O12" s="93">
        <f>IF(ISNA(VLOOKUP($A12,Council_Data!$A$3:$AB$840,16,0)),0,VLOOKUP($A12,Council_Data!$A$3:$AB$840,16,0))</f>
        <v>1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1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2</v>
      </c>
      <c r="V12" s="50" t="str">
        <f>IF(ISNA(VLOOKUP($A12,Council_Data!$A$3:$AB$840,24,0)),0,VLOOKUP($A12,Council_Data!$A$3:$AB$840,24,0))</f>
        <v>Rangel</v>
      </c>
      <c r="W12" s="51"/>
    </row>
    <row r="13" spans="1:23" ht="29.1" customHeight="1">
      <c r="A13" s="93">
        <v>3195</v>
      </c>
      <c r="B13" s="50" t="str">
        <f>IF(ISNA(VLOOKUP($A13,Council_Data!$A$3:$AB$840,2,0)),0,VLOOKUP($A13,Council_Data!$A$3:$AB$840,2,0))</f>
        <v>123</v>
      </c>
      <c r="C13" s="50" t="str">
        <f>IF(ISNA(VLOOKUP($A13,Council_Data!$A$3:$AB$840,3,0)),0,VLOOKUP($A13,Council_Data!$A$3:$AB$840,3,0))</f>
        <v>Port Arthur</v>
      </c>
      <c r="D13" s="93">
        <f>IF(ISNA(VLOOKUP($A13,Council_Data!$A$3:$AB$840,5,0)),0,VLOOKUP($A13,Council_Data!$A$3:$AB$840,5,0))</f>
        <v>100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1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1</v>
      </c>
      <c r="L13" s="94">
        <f>IF(ISNA(VLOOKUP($A13,Council_Data!$A$3:$AB$840,13,0)),0,VLOOKUP($A13,Council_Data!$A$3:$AB$840,13,0))</f>
        <v>20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Rangel</v>
      </c>
    </row>
    <row r="14" spans="1:23" ht="29.1" customHeight="1">
      <c r="A14" s="93">
        <v>12809</v>
      </c>
      <c r="B14" s="50" t="str">
        <f>IF(ISNA(VLOOKUP($A14,Council_Data!$A$3:$AB$840,2,0)),0,VLOOKUP($A14,Council_Data!$A$3:$AB$840,2,0))</f>
        <v>123</v>
      </c>
      <c r="C14" s="50" t="str">
        <f>IF(ISNA(VLOOKUP($A14,Council_Data!$A$3:$AB$840,3,0)),0,VLOOKUP($A14,Council_Data!$A$3:$AB$840,3,0))</f>
        <v>Port Arthur</v>
      </c>
      <c r="D14" s="93">
        <f>IF(ISNA(VLOOKUP($A14,Council_Data!$A$3:$AB$840,5,0)),0,VLOOKUP($A14,Council_Data!$A$3:$AB$840,5,0))</f>
        <v>108</v>
      </c>
      <c r="E14" s="93">
        <f>IF(ISNA(VLOOKUP($A14,Council_Data!$A$3:$AB$840,6,0)),0,VLOOKUP($A14,Council_Data!$A$3:$AB$840,6,0))</f>
        <v>5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Rangel</v>
      </c>
    </row>
    <row r="15" spans="1:23" ht="29.1" customHeight="1">
      <c r="A15" s="93">
        <v>14355</v>
      </c>
      <c r="B15" s="50" t="str">
        <f>IF(ISNA(VLOOKUP($A15,Council_Data!$A$3:$AB$840,2,0)),0,VLOOKUP($A15,Council_Data!$A$3:$AB$840,2,0))</f>
        <v>123</v>
      </c>
      <c r="C15" s="50" t="str">
        <f>IF(ISNA(VLOOKUP($A15,Council_Data!$A$3:$AB$840,3,0)),0,VLOOKUP($A15,Council_Data!$A$3:$AB$840,3,0))</f>
        <v>Port Arthur</v>
      </c>
      <c r="D15" s="93">
        <f>IF(ISNA(VLOOKUP($A15,Council_Data!$A$3:$AB$840,5,0)),0,VLOOKUP($A15,Council_Data!$A$3:$AB$840,5,0))</f>
        <v>52</v>
      </c>
      <c r="E15" s="93">
        <f>IF(ISNA(VLOOKUP($A15,Council_Data!$A$3:$AB$840,6,0)),0,VLOOKUP($A15,Council_Data!$A$3:$AB$840,6,0))</f>
        <v>3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Rangel</v>
      </c>
    </row>
    <row r="16" spans="1:23" ht="29.1" customHeight="1">
      <c r="A16" s="93">
        <v>1680</v>
      </c>
      <c r="B16" s="50" t="str">
        <f>IF(ISNA(VLOOKUP($A16,Council_Data!$A$3:$AB$840,2,0)),0,VLOOKUP($A16,Council_Data!$A$3:$AB$840,2,0))</f>
        <v>124</v>
      </c>
      <c r="C16" s="50" t="str">
        <f>IF(ISNA(VLOOKUP($A16,Council_Data!$A$3:$AB$840,3,0)),0,VLOOKUP($A16,Council_Data!$A$3:$AB$840,3,0))</f>
        <v>Orange</v>
      </c>
      <c r="D16" s="93">
        <f>IF(ISNA(VLOOKUP($A16,Council_Data!$A$3:$AB$840,5,0)),0,VLOOKUP($A16,Council_Data!$A$3:$AB$840,5,0))</f>
        <v>81</v>
      </c>
      <c r="E16" s="93">
        <f>IF(ISNA(VLOOKUP($A16,Council_Data!$A$3:$AB$840,6,0)),0,VLOOKUP($A16,Council_Data!$A$3:$AB$840,6,0))</f>
        <v>4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1</v>
      </c>
      <c r="H16" s="93">
        <f>IF(ISNA(VLOOKUP($A16,Council_Data!$A$3:$AB$840,9,0)),0,VLOOKUP($A16,Council_Data!$A$3:$AB$840,9,0))</f>
        <v>-1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1</v>
      </c>
      <c r="K16" s="93">
        <f>IF(ISNA(VLOOKUP($A16,Council_Data!$A$3:$AB$840,12,0)),0,VLOOKUP($A16,Council_Data!$A$3:$AB$840,12,0))</f>
        <v>-1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2</v>
      </c>
      <c r="S16" s="93">
        <f>IF(ISNA(VLOOKUP($A16,Council_Data!$A$3:$AB$840,20,0)),0,VLOOKUP($A16,Council_Data!$A$3:$AB$840,20,0))</f>
        <v>-2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2</v>
      </c>
      <c r="V16" s="50" t="str">
        <f>IF(ISNA(VLOOKUP($A16,Council_Data!$A$3:$AB$840,24,0)),0,VLOOKUP($A16,Council_Data!$A$3:$AB$840,24,0))</f>
        <v>Rangel</v>
      </c>
    </row>
    <row r="17" spans="1:22" ht="29.1" customHeight="1">
      <c r="A17" s="93">
        <v>3406</v>
      </c>
      <c r="B17" s="50" t="str">
        <f>IF(ISNA(VLOOKUP($A17,Council_Data!$A$3:$AB$840,2,0)),0,VLOOKUP($A17,Council_Data!$A$3:$AB$840,2,0))</f>
        <v>124</v>
      </c>
      <c r="C17" s="50" t="str">
        <f>IF(ISNA(VLOOKUP($A17,Council_Data!$A$3:$AB$840,3,0)),0,VLOOKUP($A17,Council_Data!$A$3:$AB$840,3,0))</f>
        <v>Bridge City</v>
      </c>
      <c r="D17" s="93">
        <f>IF(ISNA(VLOOKUP($A17,Council_Data!$A$3:$AB$840,5,0)),0,VLOOKUP($A17,Council_Data!$A$3:$AB$840,5,0))</f>
        <v>202</v>
      </c>
      <c r="E17" s="93">
        <f>IF(ISNA(VLOOKUP($A17,Council_Data!$A$3:$AB$840,6,0)),0,VLOOKUP($A17,Council_Data!$A$3:$AB$840,6,0))</f>
        <v>10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Rangel</v>
      </c>
    </row>
    <row r="18" spans="1:22" ht="29.1" customHeight="1">
      <c r="A18" s="93">
        <v>11869</v>
      </c>
      <c r="B18" s="50" t="str">
        <f>IF(ISNA(VLOOKUP($A18,Council_Data!$A$3:$AB$840,2,0)),0,VLOOKUP($A18,Council_Data!$A$3:$AB$840,2,0))</f>
        <v>124</v>
      </c>
      <c r="C18" s="50" t="str">
        <f>IF(ISNA(VLOOKUP($A18,Council_Data!$A$3:$AB$840,3,0)),0,VLOOKUP($A18,Council_Data!$A$3:$AB$840,3,0))</f>
        <v>Mauriceville</v>
      </c>
      <c r="D18" s="93">
        <f>IF(ISNA(VLOOKUP($A18,Council_Data!$A$3:$AB$840,5,0)),0,VLOOKUP($A18,Council_Data!$A$3:$AB$840,5,0))</f>
        <v>16</v>
      </c>
      <c r="E18" s="93">
        <f>IF(ISNA(VLOOKUP($A18,Council_Data!$A$3:$AB$840,6,0)),0,VLOOKUP($A18,Council_Data!$A$3:$AB$840,6,0))</f>
        <v>8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Rangel</v>
      </c>
    </row>
    <row r="19" spans="1:22" ht="29.1" customHeight="1">
      <c r="A19" s="93">
        <v>13070</v>
      </c>
      <c r="B19" s="50" t="str">
        <f>IF(ISNA(VLOOKUP($A19,Council_Data!$A$3:$AB$840,2,0)),0,VLOOKUP($A19,Council_Data!$A$3:$AB$840,2,0))</f>
        <v>124</v>
      </c>
      <c r="C19" s="50" t="str">
        <f>IF(ISNA(VLOOKUP($A19,Council_Data!$A$3:$AB$840,3,0)),0,VLOOKUP($A19,Council_Data!$A$3:$AB$840,3,0))</f>
        <v>Orangefield</v>
      </c>
      <c r="D19" s="93">
        <f>IF(ISNA(VLOOKUP($A19,Council_Data!$A$3:$AB$840,5,0)),0,VLOOKUP($A19,Council_Data!$A$3:$AB$840,5,0))</f>
        <v>55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Rangel</v>
      </c>
    </row>
    <row r="20" spans="1:22" ht="29.1" customHeight="1">
      <c r="A20" s="93">
        <v>13825</v>
      </c>
      <c r="B20" s="50" t="str">
        <f>IF(ISNA(VLOOKUP($A20,Council_Data!$A$3:$AB$840,2,0)),0,VLOOKUP($A20,Council_Data!$A$3:$AB$840,2,0))</f>
        <v>124</v>
      </c>
      <c r="C20" s="50" t="str">
        <f>IF(ISNA(VLOOKUP($A20,Council_Data!$A$3:$AB$840,3,0)),0,VLOOKUP($A20,Council_Data!$A$3:$AB$840,3,0))</f>
        <v>Orange</v>
      </c>
      <c r="D20" s="93">
        <f>IF(ISNA(VLOOKUP($A20,Council_Data!$A$3:$AB$840,5,0)),0,VLOOKUP($A20,Council_Data!$A$3:$AB$840,5,0))</f>
        <v>102</v>
      </c>
      <c r="E20" s="93">
        <f>IF(ISNA(VLOOKUP($A20,Council_Data!$A$3:$AB$840,6,0)),0,VLOOKUP($A20,Council_Data!$A$3:$AB$840,6,0))</f>
        <v>5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1</v>
      </c>
      <c r="K20" s="93">
        <f>IF(ISNA(VLOOKUP($A20,Council_Data!$A$3:$AB$840,12,0)),0,VLOOKUP($A20,Council_Data!$A$3:$AB$840,12,0))</f>
        <v>-1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3</v>
      </c>
      <c r="S20" s="93">
        <f>IF(ISNA(VLOOKUP($A20,Council_Data!$A$3:$AB$840,20,0)),0,VLOOKUP($A20,Council_Data!$A$3:$AB$840,20,0))</f>
        <v>-3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Rangel</v>
      </c>
    </row>
    <row r="21" spans="1:22" ht="29.1" customHeight="1">
      <c r="A21" s="93">
        <v>951</v>
      </c>
      <c r="B21" s="50" t="str">
        <f>IF(ISNA(VLOOKUP($A21,Council_Data!$A$3:$AB$840,2,0)),0,VLOOKUP($A21,Council_Data!$A$3:$AB$840,2,0))</f>
        <v>125</v>
      </c>
      <c r="C21" s="50" t="str">
        <f>IF(ISNA(VLOOKUP($A21,Council_Data!$A$3:$AB$840,3,0)),0,VLOOKUP($A21,Council_Data!$A$3:$AB$840,3,0))</f>
        <v>Beaumont</v>
      </c>
      <c r="D21" s="93">
        <f>IF(ISNA(VLOOKUP($A21,Council_Data!$A$3:$AB$840,5,0)),0,VLOOKUP($A21,Council_Data!$A$3:$AB$840,5,0))</f>
        <v>181</v>
      </c>
      <c r="E21" s="93">
        <f>IF(ISNA(VLOOKUP($A21,Council_Data!$A$3:$AB$840,6,0)),0,VLOOKUP($A21,Council_Data!$A$3:$AB$840,6,0))</f>
        <v>8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1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1</v>
      </c>
      <c r="L21" s="94">
        <f>IF(ISNA(VLOOKUP($A21,Council_Data!$A$3:$AB$840,13,0)),0,VLOOKUP($A21,Council_Data!$A$3:$AB$840,13,0))</f>
        <v>12.5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1</v>
      </c>
      <c r="P21" s="93">
        <f>IF(ISNA(VLOOKUP($A21,Council_Data!$A$3:$AB$840,17,0)),0,VLOOKUP($A21,Council_Data!$A$3:$AB$840,17,0))</f>
        <v>-1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Rangel</v>
      </c>
    </row>
    <row r="22" spans="1:22" ht="29.1" customHeight="1">
      <c r="A22" s="93">
        <v>3452</v>
      </c>
      <c r="B22" s="50" t="str">
        <f>IF(ISNA(VLOOKUP($A22,Council_Data!$A$3:$AB$840,2,0)),0,VLOOKUP($A22,Council_Data!$A$3:$AB$840,2,0))</f>
        <v>125</v>
      </c>
      <c r="C22" s="50" t="str">
        <f>IF(ISNA(VLOOKUP($A22,Council_Data!$A$3:$AB$840,3,0)),0,VLOOKUP($A22,Council_Data!$A$3:$AB$840,3,0))</f>
        <v>Winnie</v>
      </c>
      <c r="D22" s="93">
        <f>IF(ISNA(VLOOKUP($A22,Council_Data!$A$3:$AB$840,5,0)),0,VLOOKUP($A22,Council_Data!$A$3:$AB$840,5,0))</f>
        <v>115</v>
      </c>
      <c r="E22" s="93">
        <f>IF(ISNA(VLOOKUP($A22,Council_Data!$A$3:$AB$840,6,0)),0,VLOOKUP($A22,Council_Data!$A$3:$AB$840,6,0))</f>
        <v>5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Rangel</v>
      </c>
    </row>
    <row r="23" spans="1:22" ht="29.1" customHeight="1">
      <c r="A23" s="93">
        <v>5035</v>
      </c>
      <c r="B23" s="50" t="str">
        <f>IF(ISNA(VLOOKUP($A23,Council_Data!$A$3:$AB$840,2,0)),0,VLOOKUP($A23,Council_Data!$A$3:$AB$840,2,0))</f>
        <v>125</v>
      </c>
      <c r="C23" s="50" t="str">
        <f>IF(ISNA(VLOOKUP($A23,Council_Data!$A$3:$AB$840,3,0)),0,VLOOKUP($A23,Council_Data!$A$3:$AB$840,3,0))</f>
        <v>Beaumont S W</v>
      </c>
      <c r="D23" s="93">
        <f>IF(ISNA(VLOOKUP($A23,Council_Data!$A$3:$AB$840,5,0)),0,VLOOKUP($A23,Council_Data!$A$3:$AB$840,5,0))</f>
        <v>69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Rangel</v>
      </c>
    </row>
    <row r="24" spans="1:22" ht="29.1" customHeight="1">
      <c r="A24" s="93">
        <v>6763</v>
      </c>
      <c r="B24" s="50" t="str">
        <f>IF(ISNA(VLOOKUP($A24,Council_Data!$A$3:$AB$840,2,0)),0,VLOOKUP($A24,Council_Data!$A$3:$AB$840,2,0))</f>
        <v>125</v>
      </c>
      <c r="C24" s="50" t="str">
        <f>IF(ISNA(VLOOKUP($A24,Council_Data!$A$3:$AB$840,3,0)),0,VLOOKUP($A24,Council_Data!$A$3:$AB$840,3,0))</f>
        <v>Fannett</v>
      </c>
      <c r="D24" s="93">
        <f>IF(ISNA(VLOOKUP($A24,Council_Data!$A$3:$AB$840,5,0)),0,VLOOKUP($A24,Council_Data!$A$3:$AB$840,5,0))</f>
        <v>171</v>
      </c>
      <c r="E24" s="93">
        <f>IF(ISNA(VLOOKUP($A24,Council_Data!$A$3:$AB$840,6,0)),0,VLOOKUP($A24,Council_Data!$A$3:$AB$840,6,0))</f>
        <v>8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1</v>
      </c>
      <c r="P24" s="93">
        <f>IF(ISNA(VLOOKUP($A24,Council_Data!$A$3:$AB$840,17,0)),0,VLOOKUP($A24,Council_Data!$A$3:$AB$840,17,0))</f>
        <v>-1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2</v>
      </c>
      <c r="S24" s="93">
        <f>IF(ISNA(VLOOKUP($A24,Council_Data!$A$3:$AB$840,20,0)),0,VLOOKUP($A24,Council_Data!$A$3:$AB$840,20,0))</f>
        <v>-2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Rangel</v>
      </c>
    </row>
    <row r="25" spans="1:22" ht="29.1" customHeight="1">
      <c r="A25" s="93">
        <v>14473</v>
      </c>
      <c r="B25" s="50" t="str">
        <f>IF(ISNA(VLOOKUP($A25,Council_Data!$A$3:$AB$840,2,0)),0,VLOOKUP($A25,Council_Data!$A$3:$AB$840,2,0))</f>
        <v>125</v>
      </c>
      <c r="C25" s="50" t="str">
        <f>IF(ISNA(VLOOKUP($A25,Council_Data!$A$3:$AB$840,3,0)),0,VLOOKUP($A25,Council_Data!$A$3:$AB$840,3,0))</f>
        <v>China</v>
      </c>
      <c r="D25" s="93">
        <f>IF(ISNA(VLOOKUP($A25,Council_Data!$A$3:$AB$840,5,0)),0,VLOOKUP($A25,Council_Data!$A$3:$AB$840,5,0))</f>
        <v>59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Rangel</v>
      </c>
    </row>
    <row r="26" spans="1:22" ht="29.1" customHeight="1">
      <c r="A26" s="93">
        <v>3201</v>
      </c>
      <c r="B26" s="50" t="str">
        <f>IF(ISNA(VLOOKUP($A26,Council_Data!$A$3:$AB$840,2,0)),0,VLOOKUP($A26,Council_Data!$A$3:$AB$840,2,0))</f>
        <v>126</v>
      </c>
      <c r="C26" s="50" t="str">
        <f>IF(ISNA(VLOOKUP($A26,Council_Data!$A$3:$AB$840,3,0)),0,VLOOKUP($A26,Council_Data!$A$3:$AB$840,3,0))</f>
        <v>Liberty</v>
      </c>
      <c r="D26" s="93">
        <f>IF(ISNA(VLOOKUP($A26,Council_Data!$A$3:$AB$840,5,0)),0,VLOOKUP($A26,Council_Data!$A$3:$AB$840,5,0))</f>
        <v>53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1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1</v>
      </c>
      <c r="L26" s="94">
        <f>IF(ISNA(VLOOKUP($A26,Council_Data!$A$3:$AB$840,13,0)),0,VLOOKUP($A26,Council_Data!$A$3:$AB$840,13,0))</f>
        <v>33.33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Rangel</v>
      </c>
    </row>
    <row r="27" spans="1:22" ht="29.1" customHeight="1">
      <c r="A27" s="93">
        <v>8871</v>
      </c>
      <c r="B27" s="50" t="str">
        <f>IF(ISNA(VLOOKUP($A27,Council_Data!$A$3:$AB$840,2,0)),0,VLOOKUP($A27,Council_Data!$A$3:$AB$840,2,0))</f>
        <v>126</v>
      </c>
      <c r="C27" s="50" t="str">
        <f>IF(ISNA(VLOOKUP($A27,Council_Data!$A$3:$AB$840,3,0)),0,VLOOKUP($A27,Council_Data!$A$3:$AB$840,3,0))</f>
        <v>Dayton</v>
      </c>
      <c r="D27" s="93">
        <f>IF(ISNA(VLOOKUP($A27,Council_Data!$A$3:$AB$840,5,0)),0,VLOOKUP($A27,Council_Data!$A$3:$AB$840,5,0))</f>
        <v>70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33.33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Rangel</v>
      </c>
    </row>
    <row r="28" spans="1:22" ht="29.1" customHeight="1">
      <c r="A28" s="93">
        <v>9564</v>
      </c>
      <c r="B28" s="50" t="str">
        <f>IF(ISNA(VLOOKUP($A28,Council_Data!$A$3:$AB$840,2,0)),0,VLOOKUP($A28,Council_Data!$A$3:$AB$840,2,0))</f>
        <v>126</v>
      </c>
      <c r="C28" s="50" t="str">
        <f>IF(ISNA(VLOOKUP($A28,Council_Data!$A$3:$AB$840,3,0)),0,VLOOKUP($A28,Council_Data!$A$3:$AB$840,3,0))</f>
        <v>Livingston</v>
      </c>
      <c r="D28" s="93">
        <f>IF(ISNA(VLOOKUP($A28,Council_Data!$A$3:$AB$840,5,0)),0,VLOOKUP($A28,Council_Data!$A$3:$AB$840,5,0))</f>
        <v>115</v>
      </c>
      <c r="E28" s="93">
        <f>IF(ISNA(VLOOKUP($A28,Council_Data!$A$3:$AB$840,6,0)),0,VLOOKUP($A28,Council_Data!$A$3:$AB$840,6,0))</f>
        <v>6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2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2</v>
      </c>
      <c r="L28" s="94">
        <f>IF(ISNA(VLOOKUP($A28,Council_Data!$A$3:$AB$840,13,0)),0,VLOOKUP($A28,Council_Data!$A$3:$AB$840,13,0))</f>
        <v>33.33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Rangel</v>
      </c>
    </row>
    <row r="29" spans="1:22" ht="29.1" customHeight="1">
      <c r="A29" s="93">
        <v>10405</v>
      </c>
      <c r="B29" s="50" t="str">
        <f>IF(ISNA(VLOOKUP($A29,Council_Data!$A$3:$AB$840,2,0)),0,VLOOKUP($A29,Council_Data!$A$3:$AB$840,2,0))</f>
        <v>126</v>
      </c>
      <c r="C29" s="50" t="str">
        <f>IF(ISNA(VLOOKUP($A29,Council_Data!$A$3:$AB$840,3,0)),0,VLOOKUP($A29,Council_Data!$A$3:$AB$840,3,0))</f>
        <v>Cleveland</v>
      </c>
      <c r="D29" s="93">
        <f>IF(ISNA(VLOOKUP($A29,Council_Data!$A$3:$AB$840,5,0)),0,VLOOKUP($A29,Council_Data!$A$3:$AB$840,5,0))</f>
        <v>73</v>
      </c>
      <c r="E29" s="93">
        <f>IF(ISNA(VLOOKUP($A29,Council_Data!$A$3:$AB$840,6,0)),0,VLOOKUP($A29,Council_Data!$A$3:$AB$840,6,0))</f>
        <v>4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1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1</v>
      </c>
      <c r="Q29" s="93">
        <f>IF(ISNA(VLOOKUP($A29,Council_Data!$A$3:$AB$840,18,0)),0,VLOOKUP($A29,Council_Data!$A$3:$AB$840,18,0))</f>
        <v>1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Rangel</v>
      </c>
    </row>
    <row r="30" spans="1:22" ht="29.1" customHeight="1">
      <c r="A30" s="93">
        <v>13498</v>
      </c>
      <c r="B30" s="50" t="str">
        <f>IF(ISNA(VLOOKUP($A30,Council_Data!$A$3:$AB$840,2,0)),0,VLOOKUP($A30,Council_Data!$A$3:$AB$840,2,0))</f>
        <v>126</v>
      </c>
      <c r="C30" s="50" t="str">
        <f>IF(ISNA(VLOOKUP($A30,Council_Data!$A$3:$AB$840,3,0)),0,VLOOKUP($A30,Council_Data!$A$3:$AB$840,3,0))</f>
        <v>Mont Belvieu</v>
      </c>
      <c r="D30" s="93">
        <f>IF(ISNA(VLOOKUP($A30,Council_Data!$A$3:$AB$840,5,0)),0,VLOOKUP($A30,Council_Data!$A$3:$AB$840,5,0))</f>
        <v>99</v>
      </c>
      <c r="E30" s="93">
        <f>IF(ISNA(VLOOKUP($A30,Council_Data!$A$3:$AB$840,6,0)),0,VLOOKUP($A30,Council_Data!$A$3:$AB$840,6,0))</f>
        <v>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1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1</v>
      </c>
      <c r="L30" s="94">
        <f>IF(ISNA(VLOOKUP($A30,Council_Data!$A$3:$AB$840,13,0)),0,VLOOKUP($A30,Council_Data!$A$3:$AB$840,13,0))</f>
        <v>20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1</v>
      </c>
      <c r="P30" s="93">
        <f>IF(ISNA(VLOOKUP($A30,Council_Data!$A$3:$AB$840,17,0)),0,VLOOKUP($A30,Council_Data!$A$3:$AB$840,17,0))</f>
        <v>-1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2</v>
      </c>
      <c r="S30" s="93">
        <f>IF(ISNA(VLOOKUP($A30,Council_Data!$A$3:$AB$840,20,0)),0,VLOOKUP($A30,Council_Data!$A$3:$AB$840,20,0))</f>
        <v>-2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Rangel</v>
      </c>
    </row>
    <row r="31" spans="1:22" ht="29.1" customHeight="1">
      <c r="A31" s="93">
        <v>1304</v>
      </c>
      <c r="B31" s="50" t="str">
        <f>IF(ISNA(VLOOKUP($A31,Council_Data!$A$3:$AB$840,2,0)),0,VLOOKUP($A31,Council_Data!$A$3:$AB$840,2,0))</f>
        <v>127</v>
      </c>
      <c r="C31" s="50" t="str">
        <f>IF(ISNA(VLOOKUP($A31,Council_Data!$A$3:$AB$840,3,0)),0,VLOOKUP($A31,Council_Data!$A$3:$AB$840,3,0))</f>
        <v>Port Arthur</v>
      </c>
      <c r="D31" s="93">
        <f>IF(ISNA(VLOOKUP($A31,Council_Data!$A$3:$AB$840,5,0)),0,VLOOKUP($A31,Council_Data!$A$3:$AB$840,5,0))</f>
        <v>16</v>
      </c>
      <c r="E31" s="93">
        <f>IF(ISNA(VLOOKUP($A31,Council_Data!$A$3:$AB$840,6,0)),0,VLOOKUP($A31,Council_Data!$A$3:$AB$840,6,0))</f>
        <v>11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3</v>
      </c>
      <c r="V31" s="50" t="str">
        <f>IF(ISNA(VLOOKUP($A31,Council_Data!$A$3:$AB$840,24,0)),0,VLOOKUP($A31,Council_Data!$A$3:$AB$840,24,0))</f>
        <v>Rangel</v>
      </c>
    </row>
    <row r="32" spans="1:22" ht="29.1" customHeight="1">
      <c r="A32" s="93">
        <v>7946</v>
      </c>
      <c r="B32" s="50" t="str">
        <f>IF(ISNA(VLOOKUP($A32,Council_Data!$A$3:$AB$840,2,0)),0,VLOOKUP($A32,Council_Data!$A$3:$AB$840,2,0))</f>
        <v>127</v>
      </c>
      <c r="C32" s="50" t="str">
        <f>IF(ISNA(VLOOKUP($A32,Council_Data!$A$3:$AB$840,3,0)),0,VLOOKUP($A32,Council_Data!$A$3:$AB$840,3,0))</f>
        <v>Port Arthur</v>
      </c>
      <c r="D32" s="93">
        <f>IF(ISNA(VLOOKUP($A32,Council_Data!$A$3:$AB$840,5,0)),0,VLOOKUP($A32,Council_Data!$A$3:$AB$840,5,0))</f>
        <v>21</v>
      </c>
      <c r="E32" s="93">
        <f>IF(ISNA(VLOOKUP($A32,Council_Data!$A$3:$AB$840,6,0)),0,VLOOKUP($A32,Council_Data!$A$3:$AB$840,6,0))</f>
        <v>3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3</v>
      </c>
      <c r="V32" s="50" t="str">
        <f>IF(ISNA(VLOOKUP($A32,Council_Data!$A$3:$AB$840,24,0)),0,VLOOKUP($A32,Council_Data!$A$3:$AB$840,24,0))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6"/>
  <sheetViews>
    <sheetView topLeftCell="A26" workbookViewId="0">
      <selection activeCell="A34" sqref="A34:XFD34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852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13.5" customHeight="1">
      <c r="A4" s="50">
        <v>10040</v>
      </c>
      <c r="B4" s="50" t="str">
        <f>IF(ISNA(VLOOKUP($A4,Council_Data!$A$3:$AB$840,2,0)),0,VLOOKUP($A4,Council_Data!$A$3:$AB$840,2,0))</f>
        <v>206</v>
      </c>
      <c r="C4" s="50" t="str">
        <f>IF(ISNA(VLOOKUP($A4,Council_Data!$A$3:$AB$840,3,0)),0,VLOOKUP($A4,Council_Data!$A$3:$AB$840,3,0))</f>
        <v>Brownsville</v>
      </c>
      <c r="D4" s="93">
        <f>IF(ISNA(VLOOKUP($A4,Council_Data!$A$3:$AB$840,5,0)),0,VLOOKUP($A4,Council_Data!$A$3:$AB$840,5,0))</f>
        <v>24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Carlin</v>
      </c>
    </row>
    <row r="5" spans="1:23" ht="12.75" customHeight="1">
      <c r="A5" s="50">
        <v>10372</v>
      </c>
      <c r="B5" s="50" t="str">
        <f>IF(ISNA(VLOOKUP($A5,Council_Data!$A$3:$AB$840,2,0)),0,VLOOKUP($A5,Council_Data!$A$3:$AB$840,2,0))</f>
        <v>206</v>
      </c>
      <c r="C5" s="50" t="str">
        <f>IF(ISNA(VLOOKUP($A5,Council_Data!$A$3:$AB$840,3,0)),0,VLOOKUP($A5,Council_Data!$A$3:$AB$840,3,0))</f>
        <v>Los Fresnos</v>
      </c>
      <c r="D5" s="93">
        <f>IF(ISNA(VLOOKUP($A5,Council_Data!$A$3:$AB$840,5,0)),0,VLOOKUP($A5,Council_Data!$A$3:$AB$840,5,0))</f>
        <v>64</v>
      </c>
      <c r="E5" s="93">
        <f>IF(ISNA(VLOOKUP($A5,Council_Data!$A$3:$AB$840,6,0)),0,VLOOKUP($A5,Council_Data!$A$3:$AB$840,6,0))</f>
        <v>3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Carlin</v>
      </c>
      <c r="W5" s="51"/>
    </row>
    <row r="6" spans="1:23" ht="12.75" customHeight="1">
      <c r="A6" s="50">
        <v>12034</v>
      </c>
      <c r="B6" s="50" t="str">
        <f>IF(ISNA(VLOOKUP($A6,Council_Data!$A$3:$AB$840,2,0)),0,VLOOKUP($A6,Council_Data!$A$3:$AB$840,2,0))</f>
        <v>206</v>
      </c>
      <c r="C6" s="50" t="str">
        <f>IF(ISNA(VLOOKUP($A6,Council_Data!$A$3:$AB$840,3,0)),0,VLOOKUP($A6,Council_Data!$A$3:$AB$840,3,0))</f>
        <v>Brownsville</v>
      </c>
      <c r="D6" s="93">
        <f>IF(ISNA(VLOOKUP($A6,Council_Data!$A$3:$AB$840,5,0)),0,VLOOKUP($A6,Council_Data!$A$3:$AB$840,5,0))</f>
        <v>52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Carlin</v>
      </c>
      <c r="W6" s="51"/>
    </row>
    <row r="7" spans="1:23" ht="12.75" customHeight="1">
      <c r="A7" s="50">
        <v>13135</v>
      </c>
      <c r="B7" s="50" t="str">
        <f>IF(ISNA(VLOOKUP($A7,Council_Data!$A$3:$AB$840,2,0)),0,VLOOKUP($A7,Council_Data!$A$3:$AB$840,2,0))</f>
        <v>218</v>
      </c>
      <c r="C7" s="50" t="str">
        <f>IF(ISNA(VLOOKUP($A7,Council_Data!$A$3:$AB$840,3,0)),0,VLOOKUP($A7,Council_Data!$A$3:$AB$840,3,0))</f>
        <v>Progreso</v>
      </c>
      <c r="D7" s="93">
        <f>IF(ISNA(VLOOKUP($A7,Council_Data!$A$3:$AB$840,5,0)),0,VLOOKUP($A7,Council_Data!$A$3:$AB$840,5,0))</f>
        <v>28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Carlin</v>
      </c>
      <c r="W7" s="51"/>
    </row>
    <row r="8" spans="1:23" ht="12.75" customHeight="1">
      <c r="A8" s="50">
        <v>13173</v>
      </c>
      <c r="B8" s="50" t="str">
        <f>IF(ISNA(VLOOKUP($A8,Council_Data!$A$3:$AB$840,2,0)),0,VLOOKUP($A8,Council_Data!$A$3:$AB$840,2,0))</f>
        <v>218</v>
      </c>
      <c r="C8" s="50" t="str">
        <f>IF(ISNA(VLOOKUP($A8,Council_Data!$A$3:$AB$840,3,0)),0,VLOOKUP($A8,Council_Data!$A$3:$AB$840,3,0))</f>
        <v>Mercedes</v>
      </c>
      <c r="D8" s="93">
        <f>IF(ISNA(VLOOKUP($A8,Council_Data!$A$3:$AB$840,5,0)),0,VLOOKUP($A8,Council_Data!$A$3:$AB$840,5,0))</f>
        <v>25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3</v>
      </c>
      <c r="V8" s="50" t="str">
        <f>IF(ISNA(VLOOKUP($A8,Council_Data!$A$3:$AB$840,24,0)),0,VLOOKUP($A8,Council_Data!$A$3:$AB$840,24,0))</f>
        <v>Carlin</v>
      </c>
      <c r="W8" s="51"/>
    </row>
    <row r="9" spans="1:23" ht="12.75" customHeight="1">
      <c r="A9" s="50">
        <v>15233</v>
      </c>
      <c r="B9" s="50" t="str">
        <f>IF(ISNA(VLOOKUP($A9,Council_Data!$A$3:$AB$840,2,0)),0,VLOOKUP($A9,Council_Data!$A$3:$AB$840,2,0))</f>
        <v>206</v>
      </c>
      <c r="C9" s="50" t="str">
        <f>IF(ISNA(VLOOKUP($A9,Council_Data!$A$3:$AB$840,3,0)),0,VLOOKUP($A9,Council_Data!$A$3:$AB$840,3,0))</f>
        <v>Brownsville</v>
      </c>
      <c r="D9" s="93">
        <f>IF(ISNA(VLOOKUP($A9,Council_Data!$A$3:$AB$840,5,0)),0,VLOOKUP($A9,Council_Data!$A$3:$AB$840,5,0))</f>
        <v>43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1</v>
      </c>
      <c r="S9" s="93">
        <f>IF(ISNA(VLOOKUP($A9,Council_Data!$A$3:$AB$840,20,0)),0,VLOOKUP($A9,Council_Data!$A$3:$AB$840,20,0))</f>
        <v>-1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Carlin</v>
      </c>
      <c r="W9" s="51"/>
    </row>
    <row r="10" spans="1:23" ht="12.75" customHeight="1">
      <c r="A10" s="50">
        <v>8298</v>
      </c>
      <c r="B10" s="50" t="str">
        <f>IF(ISNA(VLOOKUP($A10,Council_Data!$A$3:$AB$840,2,0)),0,VLOOKUP($A10,Council_Data!$A$3:$AB$840,2,0))</f>
        <v>207</v>
      </c>
      <c r="C10" s="50" t="str">
        <f>IF(ISNA(VLOOKUP($A10,Council_Data!$A$3:$AB$840,3,0)),0,VLOOKUP($A10,Council_Data!$A$3:$AB$840,3,0))</f>
        <v>Mcallen</v>
      </c>
      <c r="D10" s="93">
        <f>IF(ISNA(VLOOKUP($A10,Council_Data!$A$3:$AB$840,5,0)),0,VLOOKUP($A10,Council_Data!$A$3:$AB$840,5,0))</f>
        <v>335</v>
      </c>
      <c r="E10" s="93">
        <f>IF(ISNA(VLOOKUP($A10,Council_Data!$A$3:$AB$840,6,0)),0,VLOOKUP($A10,Council_Data!$A$3:$AB$840,6,0))</f>
        <v>17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4</v>
      </c>
      <c r="J10" s="93">
        <f>IF(ISNA(VLOOKUP($A10,Council_Data!$A$3:$AB$840,11,0)),0,VLOOKUP($A10,Council_Data!$A$3:$AB$840,11,0))</f>
        <v>1</v>
      </c>
      <c r="K10" s="93">
        <f>IF(ISNA(VLOOKUP($A10,Council_Data!$A$3:$AB$840,12,0)),0,VLOOKUP($A10,Council_Data!$A$3:$AB$840,12,0))</f>
        <v>3</v>
      </c>
      <c r="L10" s="94">
        <f>IF(ISNA(VLOOKUP($A10,Council_Data!$A$3:$AB$840,13,0)),0,VLOOKUP($A10,Council_Data!$A$3:$AB$840,13,0))</f>
        <v>17.649999999999999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1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1</v>
      </c>
      <c r="Q10" s="93">
        <f>IF(ISNA(VLOOKUP($A10,Council_Data!$A$3:$AB$840,18,0)),0,VLOOKUP($A10,Council_Data!$A$3:$AB$840,18,0))</f>
        <v>1</v>
      </c>
      <c r="R10" s="93">
        <f>IF(ISNA(VLOOKUP($A10,Council_Data!$A$3:$AB$840,19,0)),0,VLOOKUP($A10,Council_Data!$A$3:$AB$840,19,0))</f>
        <v>2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Carlin</v>
      </c>
      <c r="W10" s="51"/>
    </row>
    <row r="11" spans="1:23" ht="12.75" customHeight="1">
      <c r="A11" s="50">
        <v>12040</v>
      </c>
      <c r="B11" s="50" t="str">
        <f>IF(ISNA(VLOOKUP($A11,Council_Data!$A$3:$AB$840,2,0)),0,VLOOKUP($A11,Council_Data!$A$3:$AB$840,2,0))</f>
        <v>207</v>
      </c>
      <c r="C11" s="50" t="str">
        <f>IF(ISNA(VLOOKUP($A11,Council_Data!$A$3:$AB$840,3,0)),0,VLOOKUP($A11,Council_Data!$A$3:$AB$840,3,0))</f>
        <v>Mcallen</v>
      </c>
      <c r="D11" s="93">
        <f>IF(ISNA(VLOOKUP($A11,Council_Data!$A$3:$AB$840,5,0)),0,VLOOKUP($A11,Council_Data!$A$3:$AB$840,5,0))</f>
        <v>243</v>
      </c>
      <c r="E11" s="93">
        <f>IF(ISNA(VLOOKUP($A11,Council_Data!$A$3:$AB$840,6,0)),0,VLOOKUP($A11,Council_Data!$A$3:$AB$840,6,0))</f>
        <v>12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Carlin</v>
      </c>
      <c r="W11" s="51"/>
    </row>
    <row r="12" spans="1:23" ht="12.75" customHeight="1">
      <c r="A12" s="50">
        <v>15362</v>
      </c>
      <c r="B12" s="50" t="str">
        <f>IF(ISNA(VLOOKUP($A12,Council_Data!$A$3:$AB$840,2,0)),0,VLOOKUP($A12,Council_Data!$A$3:$AB$840,2,0))</f>
        <v>207</v>
      </c>
      <c r="C12" s="50" t="str">
        <f>IF(ISNA(VLOOKUP($A12,Council_Data!$A$3:$AB$840,3,0)),0,VLOOKUP($A12,Council_Data!$A$3:$AB$840,3,0))</f>
        <v>Mcallen</v>
      </c>
      <c r="D12" s="93">
        <f>IF(ISNA(VLOOKUP($A12,Council_Data!$A$3:$AB$840,5,0)),0,VLOOKUP($A12,Council_Data!$A$3:$AB$840,5,0))</f>
        <v>140</v>
      </c>
      <c r="E12" s="93">
        <f>IF(ISNA(VLOOKUP($A12,Council_Data!$A$3:$AB$840,6,0)),0,VLOOKUP($A12,Council_Data!$A$3:$AB$840,6,0))</f>
        <v>7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4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4</v>
      </c>
      <c r="L12" s="94">
        <f>IF(ISNA(VLOOKUP($A12,Council_Data!$A$3:$AB$840,13,0)),0,VLOOKUP($A12,Council_Data!$A$3:$AB$840,13,0))</f>
        <v>57.14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Carlin</v>
      </c>
      <c r="W12" s="51"/>
    </row>
    <row r="13" spans="1:23" ht="12.75" customHeight="1">
      <c r="A13" s="50">
        <v>3493</v>
      </c>
      <c r="B13" s="50" t="str">
        <f>IF(ISNA(VLOOKUP($A13,Council_Data!$A$3:$AB$840,2,0)),0,VLOOKUP($A13,Council_Data!$A$3:$AB$840,2,0))</f>
        <v>208</v>
      </c>
      <c r="C13" s="50" t="str">
        <f>IF(ISNA(VLOOKUP($A13,Council_Data!$A$3:$AB$840,3,0)),0,VLOOKUP($A13,Council_Data!$A$3:$AB$840,3,0))</f>
        <v>San Benito</v>
      </c>
      <c r="D13" s="93">
        <f>IF(ISNA(VLOOKUP($A13,Council_Data!$A$3:$AB$840,5,0)),0,VLOOKUP($A13,Council_Data!$A$3:$AB$840,5,0))</f>
        <v>283</v>
      </c>
      <c r="E13" s="93">
        <f>IF(ISNA(VLOOKUP($A13,Council_Data!$A$3:$AB$840,6,0)),0,VLOOKUP($A13,Council_Data!$A$3:$AB$840,6,0))</f>
        <v>14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1</v>
      </c>
      <c r="P13" s="93">
        <f>IF(ISNA(VLOOKUP($A13,Council_Data!$A$3:$AB$840,17,0)),0,VLOOKUP($A13,Council_Data!$A$3:$AB$840,17,0))</f>
        <v>-1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1</v>
      </c>
      <c r="S13" s="93">
        <f>IF(ISNA(VLOOKUP($A13,Council_Data!$A$3:$AB$840,20,0)),0,VLOOKUP($A13,Council_Data!$A$3:$AB$840,20,0))</f>
        <v>-1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Carlin</v>
      </c>
      <c r="W13" s="51"/>
    </row>
    <row r="14" spans="1:23" ht="12.75" customHeight="1">
      <c r="A14" s="50">
        <v>11070</v>
      </c>
      <c r="B14" s="50" t="str">
        <f>IF(ISNA(VLOOKUP($A14,Council_Data!$A$3:$AB$840,2,0)),0,VLOOKUP($A14,Council_Data!$A$3:$AB$840,2,0))</f>
        <v>208</v>
      </c>
      <c r="C14" s="50" t="str">
        <f>IF(ISNA(VLOOKUP($A14,Council_Data!$A$3:$AB$840,3,0)),0,VLOOKUP($A14,Council_Data!$A$3:$AB$840,3,0))</f>
        <v>Harlingen</v>
      </c>
      <c r="D14" s="93">
        <f>IF(ISNA(VLOOKUP($A14,Council_Data!$A$3:$AB$840,5,0)),0,VLOOKUP($A14,Council_Data!$A$3:$AB$840,5,0))</f>
        <v>116</v>
      </c>
      <c r="E14" s="93">
        <f>IF(ISNA(VLOOKUP($A14,Council_Data!$A$3:$AB$840,6,0)),0,VLOOKUP($A14,Council_Data!$A$3:$AB$840,6,0))</f>
        <v>5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2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2</v>
      </c>
      <c r="L14" s="94">
        <f>IF(ISNA(VLOOKUP($A14,Council_Data!$A$3:$AB$840,13,0)),0,VLOOKUP($A14,Council_Data!$A$3:$AB$840,13,0))</f>
        <v>40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2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2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Carlin</v>
      </c>
      <c r="W14" s="51"/>
    </row>
    <row r="15" spans="1:23" ht="12.75" customHeight="1">
      <c r="A15" s="50">
        <v>12135</v>
      </c>
      <c r="B15" s="50" t="str">
        <f>IF(ISNA(VLOOKUP($A15,Council_Data!$A$3:$AB$840,2,0)),0,VLOOKUP($A15,Council_Data!$A$3:$AB$840,2,0))</f>
        <v>218</v>
      </c>
      <c r="C15" s="50" t="str">
        <f>IF(ISNA(VLOOKUP($A15,Council_Data!$A$3:$AB$840,3,0)),0,VLOOKUP($A15,Council_Data!$A$3:$AB$840,3,0))</f>
        <v>La Feria</v>
      </c>
      <c r="D15" s="93">
        <f>IF(ISNA(VLOOKUP($A15,Council_Data!$A$3:$AB$840,5,0)),0,VLOOKUP($A15,Council_Data!$A$3:$AB$840,5,0))</f>
        <v>73</v>
      </c>
      <c r="E15" s="93">
        <f>IF(ISNA(VLOOKUP($A15,Council_Data!$A$3:$AB$840,6,0)),0,VLOOKUP($A15,Council_Data!$A$3:$AB$840,6,0))</f>
        <v>4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1</v>
      </c>
      <c r="P15" s="93">
        <f>IF(ISNA(VLOOKUP($A15,Council_Data!$A$3:$AB$840,17,0)),0,VLOOKUP($A15,Council_Data!$A$3:$AB$840,17,0))</f>
        <v>-1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Carlin</v>
      </c>
      <c r="W15" s="51"/>
    </row>
    <row r="16" spans="1:23" ht="12.75" customHeight="1">
      <c r="A16" s="50">
        <v>12535</v>
      </c>
      <c r="B16" s="50" t="str">
        <f>IF(ISNA(VLOOKUP($A16,Council_Data!$A$3:$AB$840,2,0)),0,VLOOKUP($A16,Council_Data!$A$3:$AB$840,2,0))</f>
        <v>208</v>
      </c>
      <c r="C16" s="50" t="str">
        <f>IF(ISNA(VLOOKUP($A16,Council_Data!$A$3:$AB$840,3,0)),0,VLOOKUP($A16,Council_Data!$A$3:$AB$840,3,0))</f>
        <v>Harlingen</v>
      </c>
      <c r="D16" s="93">
        <f>IF(ISNA(VLOOKUP($A16,Council_Data!$A$3:$AB$840,5,0)),0,VLOOKUP($A16,Council_Data!$A$3:$AB$840,5,0))</f>
        <v>48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Carlin</v>
      </c>
      <c r="W16" s="51"/>
    </row>
    <row r="17" spans="1:23" ht="12.75" customHeight="1">
      <c r="A17" s="50">
        <v>5598</v>
      </c>
      <c r="B17" s="50" t="str">
        <f>IF(ISNA(VLOOKUP($A17,Council_Data!$A$3:$AB$840,2,0)),0,VLOOKUP($A17,Council_Data!$A$3:$AB$840,2,0))</f>
        <v>209</v>
      </c>
      <c r="C17" s="50" t="str">
        <f>IF(ISNA(VLOOKUP($A17,Council_Data!$A$3:$AB$840,3,0)),0,VLOOKUP($A17,Council_Data!$A$3:$AB$840,3,0))</f>
        <v>Edinburg</v>
      </c>
      <c r="D17" s="93">
        <f>IF(ISNA(VLOOKUP($A17,Council_Data!$A$3:$AB$840,5,0)),0,VLOOKUP($A17,Council_Data!$A$3:$AB$840,5,0))</f>
        <v>118</v>
      </c>
      <c r="E17" s="93">
        <f>IF(ISNA(VLOOKUP($A17,Council_Data!$A$3:$AB$840,6,0)),0,VLOOKUP($A17,Council_Data!$A$3:$AB$840,6,0))</f>
        <v>5</v>
      </c>
      <c r="F17" s="93">
        <f>IF(ISNA(VLOOKUP($A17,Council_Data!$A$3:$AB$840,7,0)),0,VLOOKUP($A17,Council_Data!$A$3:$AB$840,7,0))</f>
        <v>1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1</v>
      </c>
      <c r="I17" s="93">
        <f>IF(ISNA(VLOOKUP($A17,Council_Data!$A$3:$AB$840,10,0)),0,VLOOKUP($A17,Council_Data!$A$3:$AB$840,10,0))</f>
        <v>2</v>
      </c>
      <c r="J17" s="93">
        <f>IF(ISNA(VLOOKUP($A17,Council_Data!$A$3:$AB$840,11,0)),0,VLOOKUP($A17,Council_Data!$A$3:$AB$840,11,0))</f>
        <v>1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20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Carlin</v>
      </c>
      <c r="W17" s="51"/>
    </row>
    <row r="18" spans="1:23" ht="12.75" customHeight="1">
      <c r="A18" s="50">
        <v>11840</v>
      </c>
      <c r="B18" s="50" t="str">
        <f>IF(ISNA(VLOOKUP($A18,Council_Data!$A$3:$AB$840,2,0)),0,VLOOKUP($A18,Council_Data!$A$3:$AB$840,2,0))</f>
        <v>209</v>
      </c>
      <c r="C18" s="50" t="str">
        <f>IF(ISNA(VLOOKUP($A18,Council_Data!$A$3:$AB$840,3,0)),0,VLOOKUP($A18,Council_Data!$A$3:$AB$840,3,0))</f>
        <v>Alton</v>
      </c>
      <c r="D18" s="93">
        <f>IF(ISNA(VLOOKUP($A18,Council_Data!$A$3:$AB$840,5,0)),0,VLOOKUP($A18,Council_Data!$A$3:$AB$840,5,0))</f>
        <v>54</v>
      </c>
      <c r="E18" s="93">
        <f>IF(ISNA(VLOOKUP($A18,Council_Data!$A$3:$AB$840,6,0)),0,VLOOKUP($A18,Council_Data!$A$3:$AB$840,6,0))</f>
        <v>3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Carlin</v>
      </c>
      <c r="W18" s="51"/>
    </row>
    <row r="19" spans="1:23" ht="12.75" customHeight="1">
      <c r="A19" s="50">
        <v>15262</v>
      </c>
      <c r="B19" s="50" t="str">
        <f>IF(ISNA(VLOOKUP($A19,Council_Data!$A$3:$AB$840,2,0)),0,VLOOKUP($A19,Council_Data!$A$3:$AB$840,2,0))</f>
        <v>209</v>
      </c>
      <c r="C19" s="50" t="str">
        <f>IF(ISNA(VLOOKUP($A19,Council_Data!$A$3:$AB$840,3,0)),0,VLOOKUP($A19,Council_Data!$A$3:$AB$840,3,0))</f>
        <v>Edinburg</v>
      </c>
      <c r="D19" s="93">
        <f>IF(ISNA(VLOOKUP($A19,Council_Data!$A$3:$AB$840,5,0)),0,VLOOKUP($A19,Council_Data!$A$3:$AB$840,5,0))</f>
        <v>184</v>
      </c>
      <c r="E19" s="93">
        <f>IF(ISNA(VLOOKUP($A19,Council_Data!$A$3:$AB$840,6,0)),0,VLOOKUP($A19,Council_Data!$A$3:$AB$840,6,0))</f>
        <v>9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4</v>
      </c>
      <c r="J19" s="93">
        <f>IF(ISNA(VLOOKUP($A19,Council_Data!$A$3:$AB$840,11,0)),0,VLOOKUP($A19,Council_Data!$A$3:$AB$840,11,0))</f>
        <v>5</v>
      </c>
      <c r="K19" s="93">
        <f>IF(ISNA(VLOOKUP($A19,Council_Data!$A$3:$AB$840,12,0)),0,VLOOKUP($A19,Council_Data!$A$3:$AB$840,12,0))</f>
        <v>-1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1</v>
      </c>
      <c r="S19" s="93">
        <f>IF(ISNA(VLOOKUP($A19,Council_Data!$A$3:$AB$840,20,0)),0,VLOOKUP($A19,Council_Data!$A$3:$AB$840,20,0))</f>
        <v>-1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Carlin</v>
      </c>
      <c r="W19" s="51"/>
    </row>
    <row r="20" spans="1:23" ht="12.75" customHeight="1">
      <c r="A20" s="50">
        <v>15661</v>
      </c>
      <c r="B20" s="50" t="str">
        <f>IF(ISNA(VLOOKUP($A20,Council_Data!$A$3:$AB$840,2,0)),0,VLOOKUP($A20,Council_Data!$A$3:$AB$840,2,0))</f>
        <v>209</v>
      </c>
      <c r="C20" s="50" t="str">
        <f>IF(ISNA(VLOOKUP($A20,Council_Data!$A$3:$AB$840,3,0)),0,VLOOKUP($A20,Council_Data!$A$3:$AB$840,3,0))</f>
        <v>Edinburg</v>
      </c>
      <c r="D20" s="93">
        <f>IF(ISNA(VLOOKUP($A20,Council_Data!$A$3:$AB$840,5,0)),0,VLOOKUP($A20,Council_Data!$A$3:$AB$840,5,0))</f>
        <v>79</v>
      </c>
      <c r="E20" s="93">
        <f>IF(ISNA(VLOOKUP($A20,Council_Data!$A$3:$AB$840,6,0)),0,VLOOKUP($A20,Council_Data!$A$3:$AB$840,6,0))</f>
        <v>4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Carlin</v>
      </c>
      <c r="W20" s="51"/>
    </row>
    <row r="21" spans="1:23" ht="12.75" customHeight="1">
      <c r="A21" s="50">
        <v>1553</v>
      </c>
      <c r="B21" s="50" t="str">
        <f>IF(ISNA(VLOOKUP($A21,Council_Data!$A$3:$AB$840,2,0)),0,VLOOKUP($A21,Council_Data!$A$3:$AB$840,2,0))</f>
        <v>210</v>
      </c>
      <c r="C21" s="50" t="str">
        <f>IF(ISNA(VLOOKUP($A21,Council_Data!$A$3:$AB$840,3,0)),0,VLOOKUP($A21,Council_Data!$A$3:$AB$840,3,0))</f>
        <v>Brownsville</v>
      </c>
      <c r="D21" s="93">
        <f>IF(ISNA(VLOOKUP($A21,Council_Data!$A$3:$AB$840,5,0)),0,VLOOKUP($A21,Council_Data!$A$3:$AB$840,5,0))</f>
        <v>254</v>
      </c>
      <c r="E21" s="93">
        <f>IF(ISNA(VLOOKUP($A21,Council_Data!$A$3:$AB$840,6,0)),0,VLOOKUP($A21,Council_Data!$A$3:$AB$840,6,0))</f>
        <v>12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4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4</v>
      </c>
      <c r="L21" s="94">
        <f>IF(ISNA(VLOOKUP($A21,Council_Data!$A$3:$AB$840,13,0)),0,VLOOKUP($A21,Council_Data!$A$3:$AB$840,13,0))</f>
        <v>33.33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1</v>
      </c>
      <c r="P21" s="93">
        <f>IF(ISNA(VLOOKUP($A21,Council_Data!$A$3:$AB$840,17,0)),0,VLOOKUP($A21,Council_Data!$A$3:$AB$840,17,0))</f>
        <v>-1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2</v>
      </c>
      <c r="S21" s="93">
        <f>IF(ISNA(VLOOKUP($A21,Council_Data!$A$3:$AB$840,20,0)),0,VLOOKUP($A21,Council_Data!$A$3:$AB$840,20,0))</f>
        <v>-1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Carlin</v>
      </c>
      <c r="W21" s="51"/>
    </row>
    <row r="22" spans="1:23" ht="12.75" customHeight="1">
      <c r="A22" s="50">
        <v>4779</v>
      </c>
      <c r="B22" s="50" t="str">
        <f>IF(ISNA(VLOOKUP($A22,Council_Data!$A$3:$AB$840,2,0)),0,VLOOKUP($A22,Council_Data!$A$3:$AB$840,2,0))</f>
        <v>210</v>
      </c>
      <c r="C22" s="50" t="str">
        <f>IF(ISNA(VLOOKUP($A22,Council_Data!$A$3:$AB$840,3,0)),0,VLOOKUP($A22,Council_Data!$A$3:$AB$840,3,0))</f>
        <v>Port Isabel</v>
      </c>
      <c r="D22" s="93">
        <f>IF(ISNA(VLOOKUP($A22,Council_Data!$A$3:$AB$840,5,0)),0,VLOOKUP($A22,Council_Data!$A$3:$AB$840,5,0))</f>
        <v>68</v>
      </c>
      <c r="E22" s="93">
        <f>IF(ISNA(VLOOKUP($A22,Council_Data!$A$3:$AB$840,6,0)),0,VLOOKUP($A22,Council_Data!$A$3:$AB$840,6,0))</f>
        <v>3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Carlin</v>
      </c>
      <c r="W22" s="51"/>
    </row>
    <row r="23" spans="1:23" ht="12.75" customHeight="1">
      <c r="A23" s="50">
        <v>13978</v>
      </c>
      <c r="B23" s="50" t="str">
        <f>IF(ISNA(VLOOKUP($A23,Council_Data!$A$3:$AB$840,2,0)),0,VLOOKUP($A23,Council_Data!$A$3:$AB$840,2,0))</f>
        <v>210</v>
      </c>
      <c r="C23" s="50" t="str">
        <f>IF(ISNA(VLOOKUP($A23,Council_Data!$A$3:$AB$840,3,0)),0,VLOOKUP($A23,Council_Data!$A$3:$AB$840,3,0))</f>
        <v>Brownsville</v>
      </c>
      <c r="D23" s="93">
        <f>IF(ISNA(VLOOKUP($A23,Council_Data!$A$3:$AB$840,5,0)),0,VLOOKUP($A23,Council_Data!$A$3:$AB$840,5,0))</f>
        <v>78</v>
      </c>
      <c r="E23" s="93">
        <f>IF(ISNA(VLOOKUP($A23,Council_Data!$A$3:$AB$840,6,0)),0,VLOOKUP($A23,Council_Data!$A$3:$AB$840,6,0))</f>
        <v>4</v>
      </c>
      <c r="F23" s="93">
        <f>IF(ISNA(VLOOKUP($A23,Council_Data!$A$3:$AB$840,7,0)),0,VLOOKUP($A23,Council_Data!$A$3:$AB$840,7,0))</f>
        <v>2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2</v>
      </c>
      <c r="I23" s="93">
        <f>IF(ISNA(VLOOKUP($A23,Council_Data!$A$3:$AB$840,10,0)),0,VLOOKUP($A23,Council_Data!$A$3:$AB$840,10,0))</f>
        <v>3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3</v>
      </c>
      <c r="L23" s="94">
        <f>IF(ISNA(VLOOKUP($A23,Council_Data!$A$3:$AB$840,13,0)),0,VLOOKUP($A23,Council_Data!$A$3:$AB$840,13,0))</f>
        <v>75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Carlin</v>
      </c>
      <c r="W23" s="51"/>
    </row>
    <row r="24" spans="1:23" ht="12.75" customHeight="1">
      <c r="A24" s="50">
        <v>9698</v>
      </c>
      <c r="B24" s="50" t="str">
        <f>IF(ISNA(VLOOKUP($A24,Council_Data!$A$3:$AB$840,2,0)),0,VLOOKUP($A24,Council_Data!$A$3:$AB$840,2,0))</f>
        <v>211</v>
      </c>
      <c r="C24" s="50" t="str">
        <f>IF(ISNA(VLOOKUP($A24,Council_Data!$A$3:$AB$840,3,0)),0,VLOOKUP($A24,Council_Data!$A$3:$AB$840,3,0))</f>
        <v>Elsa</v>
      </c>
      <c r="D24" s="93">
        <f>IF(ISNA(VLOOKUP($A24,Council_Data!$A$3:$AB$840,5,0)),0,VLOOKUP($A24,Council_Data!$A$3:$AB$840,5,0))</f>
        <v>52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Carlin</v>
      </c>
      <c r="W24" s="51"/>
    </row>
    <row r="25" spans="1:23" ht="12.75" customHeight="1">
      <c r="A25" s="50">
        <v>11897</v>
      </c>
      <c r="B25" s="50" t="str">
        <f>IF(ISNA(VLOOKUP($A25,Council_Data!$A$3:$AB$840,2,0)),0,VLOOKUP($A25,Council_Data!$A$3:$AB$840,2,0))</f>
        <v>211</v>
      </c>
      <c r="C25" s="50" t="str">
        <f>IF(ISNA(VLOOKUP($A25,Council_Data!$A$3:$AB$840,3,0)),0,VLOOKUP($A25,Council_Data!$A$3:$AB$840,3,0))</f>
        <v>Edcouch/La Villa</v>
      </c>
      <c r="D25" s="93">
        <f>IF(ISNA(VLOOKUP($A25,Council_Data!$A$3:$AB$840,5,0)),0,VLOOKUP($A25,Council_Data!$A$3:$AB$840,5,0))</f>
        <v>47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1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1</v>
      </c>
      <c r="I25" s="93">
        <f>IF(ISNA(VLOOKUP($A25,Council_Data!$A$3:$AB$840,10,0)),0,VLOOKUP($A25,Council_Data!$A$3:$AB$840,10,0))</f>
        <v>2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2</v>
      </c>
      <c r="L25" s="94">
        <f>IF(ISNA(VLOOKUP($A25,Council_Data!$A$3:$AB$840,13,0)),0,VLOOKUP($A25,Council_Data!$A$3:$AB$840,13,0))</f>
        <v>66.67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1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Carlin</v>
      </c>
      <c r="W25" s="51"/>
    </row>
    <row r="26" spans="1:23" ht="12.75" customHeight="1">
      <c r="A26" s="50">
        <v>15776</v>
      </c>
      <c r="B26" s="50" t="str">
        <f>IF(ISNA(VLOOKUP($A26,Council_Data!$A$3:$AB$840,2,0)),0,VLOOKUP($A26,Council_Data!$A$3:$AB$840,2,0))</f>
        <v>211</v>
      </c>
      <c r="C26" s="50" t="str">
        <f>IF(ISNA(VLOOKUP($A26,Council_Data!$A$3:$AB$840,3,0)),0,VLOOKUP($A26,Council_Data!$A$3:$AB$840,3,0))</f>
        <v>La Villa</v>
      </c>
      <c r="D26" s="93">
        <f>IF(ISNA(VLOOKUP($A26,Council_Data!$A$3:$AB$840,5,0)),0,VLOOKUP($A26,Council_Data!$A$3:$AB$840,5,0))</f>
        <v>30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Carlin</v>
      </c>
      <c r="W26" s="51"/>
    </row>
    <row r="27" spans="1:23" ht="12.75" customHeight="1">
      <c r="A27" s="50">
        <v>2597</v>
      </c>
      <c r="B27" s="50" t="str">
        <f>IF(ISNA(VLOOKUP($A27,Council_Data!$A$3:$AB$840,2,0)),0,VLOOKUP($A27,Council_Data!$A$3:$AB$840,2,0))</f>
        <v>212</v>
      </c>
      <c r="C27" s="50" t="str">
        <f>IF(ISNA(VLOOKUP($A27,Council_Data!$A$3:$AB$840,3,0)),0,VLOOKUP($A27,Council_Data!$A$3:$AB$840,3,0))</f>
        <v>Rio Grande City</v>
      </c>
      <c r="D27" s="93">
        <f>IF(ISNA(VLOOKUP($A27,Council_Data!$A$3:$AB$840,5,0)),0,VLOOKUP($A27,Council_Data!$A$3:$AB$840,5,0))</f>
        <v>344</v>
      </c>
      <c r="E27" s="93">
        <f>IF(ISNA(VLOOKUP($A27,Council_Data!$A$3:$AB$840,6,0)),0,VLOOKUP($A27,Council_Data!$A$3:$AB$840,6,0))</f>
        <v>17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5.88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1</v>
      </c>
      <c r="P27" s="93">
        <f>IF(ISNA(VLOOKUP($A27,Council_Data!$A$3:$AB$840,17,0)),0,VLOOKUP($A27,Council_Data!$A$3:$AB$840,17,0))</f>
        <v>-1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-1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Carlin</v>
      </c>
      <c r="W27" s="51"/>
    </row>
    <row r="28" spans="1:23" ht="12.75" customHeight="1">
      <c r="A28" s="50">
        <v>3367</v>
      </c>
      <c r="B28" s="50" t="str">
        <f>IF(ISNA(VLOOKUP($A28,Council_Data!$A$3:$AB$840,2,0)),0,VLOOKUP($A28,Council_Data!$A$3:$AB$840,2,0))</f>
        <v>212</v>
      </c>
      <c r="C28" s="50" t="str">
        <f>IF(ISNA(VLOOKUP($A28,Council_Data!$A$3:$AB$840,3,0)),0,VLOOKUP($A28,Council_Data!$A$3:$AB$840,3,0))</f>
        <v>Roma</v>
      </c>
      <c r="D28" s="93">
        <f>IF(ISNA(VLOOKUP($A28,Council_Data!$A$3:$AB$840,5,0)),0,VLOOKUP($A28,Council_Data!$A$3:$AB$840,5,0))</f>
        <v>156</v>
      </c>
      <c r="E28" s="93">
        <f>IF(ISNA(VLOOKUP($A28,Council_Data!$A$3:$AB$840,6,0)),0,VLOOKUP($A28,Council_Data!$A$3:$AB$840,6,0))</f>
        <v>7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1</v>
      </c>
      <c r="P28" s="93">
        <f>IF(ISNA(VLOOKUP($A28,Council_Data!$A$3:$AB$840,17,0)),0,VLOOKUP($A28,Council_Data!$A$3:$AB$840,17,0))</f>
        <v>-1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2</v>
      </c>
      <c r="S28" s="93">
        <f>IF(ISNA(VLOOKUP($A28,Council_Data!$A$3:$AB$840,20,0)),0,VLOOKUP($A28,Council_Data!$A$3:$AB$840,20,0))</f>
        <v>-2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Carlin</v>
      </c>
      <c r="W28" s="51"/>
    </row>
    <row r="29" spans="1:23" ht="12.75" customHeight="1">
      <c r="A29" s="50">
        <v>3919</v>
      </c>
      <c r="B29" s="50" t="str">
        <f>IF(ISNA(VLOOKUP($A29,Council_Data!$A$3:$AB$840,2,0)),0,VLOOKUP($A29,Council_Data!$A$3:$AB$840,2,0))</f>
        <v>212</v>
      </c>
      <c r="C29" s="50" t="str">
        <f>IF(ISNA(VLOOKUP($A29,Council_Data!$A$3:$AB$840,3,0)),0,VLOOKUP($A29,Council_Data!$A$3:$AB$840,3,0))</f>
        <v>San Isidro</v>
      </c>
      <c r="D29" s="93">
        <f>IF(ISNA(VLOOKUP($A29,Council_Data!$A$3:$AB$840,5,0)),0,VLOOKUP($A29,Council_Data!$A$3:$AB$840,5,0))</f>
        <v>40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Carlin</v>
      </c>
      <c r="W29" s="51"/>
    </row>
    <row r="30" spans="1:23" ht="12.75" customHeight="1">
      <c r="A30" s="50">
        <v>9982</v>
      </c>
      <c r="B30" s="50" t="str">
        <f>IF(ISNA(VLOOKUP($A30,Council_Data!$A$3:$AB$840,2,0)),0,VLOOKUP($A30,Council_Data!$A$3:$AB$840,2,0))</f>
        <v>212</v>
      </c>
      <c r="C30" s="50" t="str">
        <f>IF(ISNA(VLOOKUP($A30,Council_Data!$A$3:$AB$840,3,0)),0,VLOOKUP($A30,Council_Data!$A$3:$AB$840,3,0))</f>
        <v>Escobares</v>
      </c>
      <c r="D30" s="93">
        <f>IF(ISNA(VLOOKUP($A30,Council_Data!$A$3:$AB$840,5,0)),0,VLOOKUP($A30,Council_Data!$A$3:$AB$840,5,0))</f>
        <v>97</v>
      </c>
      <c r="E30" s="93">
        <f>IF(ISNA(VLOOKUP($A30,Council_Data!$A$3:$AB$840,6,0)),0,VLOOKUP($A30,Council_Data!$A$3:$AB$840,6,0))</f>
        <v>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1</v>
      </c>
      <c r="P30" s="93">
        <f>IF(ISNA(VLOOKUP($A30,Council_Data!$A$3:$AB$840,17,0)),0,VLOOKUP($A30,Council_Data!$A$3:$AB$840,17,0))</f>
        <v>-1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1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Carlin</v>
      </c>
      <c r="W30" s="51"/>
    </row>
    <row r="31" spans="1:23" ht="25.5" customHeight="1">
      <c r="A31" s="50">
        <v>3098</v>
      </c>
      <c r="B31" s="50" t="str">
        <f>IF(ISNA(VLOOKUP($A31,Council_Data!$A$3:$AB$840,2,0)),0,VLOOKUP($A31,Council_Data!$A$3:$AB$840,2,0))</f>
        <v>214</v>
      </c>
      <c r="C31" s="50" t="str">
        <f>IF(ISNA(VLOOKUP($A31,Council_Data!$A$3:$AB$840,3,0)),0,VLOOKUP($A31,Council_Data!$A$3:$AB$840,3,0))</f>
        <v>Weslaco</v>
      </c>
      <c r="D31" s="93">
        <f>IF(ISNA(VLOOKUP($A31,Council_Data!$A$3:$AB$840,5,0)),0,VLOOKUP($A31,Council_Data!$A$3:$AB$840,5,0))</f>
        <v>133</v>
      </c>
      <c r="E31" s="93">
        <f>IF(ISNA(VLOOKUP($A31,Council_Data!$A$3:$AB$840,6,0)),0,VLOOKUP($A31,Council_Data!$A$3:$AB$840,6,0))</f>
        <v>6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Carlin</v>
      </c>
      <c r="W31" s="51"/>
    </row>
    <row r="32" spans="1:23" ht="12.75" customHeight="1">
      <c r="A32" s="50">
        <v>4554</v>
      </c>
      <c r="B32" s="50" t="str">
        <f>IF(ISNA(VLOOKUP($A32,Council_Data!$A$3:$AB$840,2,0)),0,VLOOKUP($A32,Council_Data!$A$3:$AB$840,2,0))</f>
        <v>213</v>
      </c>
      <c r="C32" s="50" t="str">
        <f>IF(ISNA(VLOOKUP($A32,Council_Data!$A$3:$AB$840,3,0)),0,VLOOKUP($A32,Council_Data!$A$3:$AB$840,3,0))</f>
        <v>Mercedes</v>
      </c>
      <c r="D32" s="93">
        <f>IF(ISNA(VLOOKUP($A32,Council_Data!$A$3:$AB$840,5,0)),0,VLOOKUP($A32,Council_Data!$A$3:$AB$840,5,0))</f>
        <v>135</v>
      </c>
      <c r="E32" s="93">
        <f>IF(ISNA(VLOOKUP($A32,Council_Data!$A$3:$AB$840,6,0)),0,VLOOKUP($A32,Council_Data!$A$3:$AB$840,6,0))</f>
        <v>7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Carlin</v>
      </c>
      <c r="W32" s="51"/>
    </row>
    <row r="33" spans="1:23" ht="12.75" customHeight="1">
      <c r="A33" s="50">
        <v>12869</v>
      </c>
      <c r="B33" s="50" t="str">
        <f>IF(ISNA(VLOOKUP($A33,Council_Data!$A$3:$AB$840,2,0)),0,VLOOKUP($A33,Council_Data!$A$3:$AB$840,2,0))</f>
        <v>213</v>
      </c>
      <c r="C33" s="50" t="str">
        <f>IF(ISNA(VLOOKUP($A33,Council_Data!$A$3:$AB$840,3,0)),0,VLOOKUP($A33,Council_Data!$A$3:$AB$840,3,0))</f>
        <v>Mercedes</v>
      </c>
      <c r="D33" s="93">
        <f>IF(ISNA(VLOOKUP($A33,Council_Data!$A$3:$AB$840,5,0)),0,VLOOKUP($A33,Council_Data!$A$3:$AB$840,5,0))</f>
        <v>89</v>
      </c>
      <c r="E33" s="93">
        <f>IF(ISNA(VLOOKUP($A33,Council_Data!$A$3:$AB$840,6,0)),0,VLOOKUP($A33,Council_Data!$A$3:$AB$840,6,0))</f>
        <v>4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1</v>
      </c>
      <c r="J33" s="93">
        <f>IF(ISNA(VLOOKUP($A33,Council_Data!$A$3:$AB$840,11,0)),0,VLOOKUP($A33,Council_Data!$A$3:$AB$840,11,0))</f>
        <v>6</v>
      </c>
      <c r="K33" s="93">
        <f>IF(ISNA(VLOOKUP($A33,Council_Data!$A$3:$AB$840,12,0)),0,VLOOKUP($A33,Council_Data!$A$3:$AB$840,12,0))</f>
        <v>-5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1</v>
      </c>
      <c r="P33" s="93">
        <f>IF(ISNA(VLOOKUP($A33,Council_Data!$A$3:$AB$840,17,0)),0,VLOOKUP($A33,Council_Data!$A$3:$AB$840,17,0))</f>
        <v>-1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3</v>
      </c>
      <c r="S33" s="93">
        <f>IF(ISNA(VLOOKUP($A33,Council_Data!$A$3:$AB$840,20,0)),0,VLOOKUP($A33,Council_Data!$A$3:$AB$840,20,0))</f>
        <v>-3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Carlin</v>
      </c>
      <c r="W33" s="51"/>
    </row>
    <row r="34" spans="1:23" ht="12.75" customHeight="1">
      <c r="A34" s="50">
        <v>13232</v>
      </c>
      <c r="B34" s="50" t="str">
        <f>IF(ISNA(VLOOKUP($A34,Council_Data!$A$3:$AB$840,2,0)),0,VLOOKUP($A34,Council_Data!$A$3:$AB$840,2,0))</f>
        <v>213</v>
      </c>
      <c r="C34" s="50" t="str">
        <f>IF(ISNA(VLOOKUP($A34,Council_Data!$A$3:$AB$840,3,0)),0,VLOOKUP($A34,Council_Data!$A$3:$AB$840,3,0))</f>
        <v>Weslaco</v>
      </c>
      <c r="D34" s="93">
        <f>IF(ISNA(VLOOKUP($A34,Council_Data!$A$3:$AB$840,5,0)),0,VLOOKUP($A34,Council_Data!$A$3:$AB$840,5,0))</f>
        <v>126</v>
      </c>
      <c r="E34" s="93">
        <f>IF(ISNA(VLOOKUP($A34,Council_Data!$A$3:$AB$840,6,0)),0,VLOOKUP($A34,Council_Data!$A$3:$AB$840,6,0))</f>
        <v>6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1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1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Carlin</v>
      </c>
      <c r="W34" s="51"/>
    </row>
    <row r="35" spans="1:23" ht="12.75" customHeight="1">
      <c r="A35" s="50">
        <v>16917</v>
      </c>
      <c r="B35" s="50" t="str">
        <f>IF(ISNA(VLOOKUP($A35,Council_Data!$A$3:$AB$840,2,0)),0,VLOOKUP($A35,Council_Data!$A$3:$AB$840,2,0))</f>
        <v>213</v>
      </c>
      <c r="C35" s="50" t="str">
        <f>IF(ISNA(VLOOKUP($A35,Council_Data!$A$3:$AB$840,3,0)),0,VLOOKUP($A35,Council_Data!$A$3:$AB$840,3,0))</f>
        <v>Weslaco</v>
      </c>
      <c r="D35" s="93">
        <f>IF(ISNA(VLOOKUP($A35,Council_Data!$A$3:$AB$840,5,0)),0,VLOOKUP($A35,Council_Data!$A$3:$AB$840,5,0))</f>
        <v>34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Carlin</v>
      </c>
      <c r="W35" s="51"/>
    </row>
    <row r="36" spans="1:23" ht="12.75" customHeight="1">
      <c r="A36" s="50">
        <v>10380</v>
      </c>
      <c r="B36" s="50" t="str">
        <f>IF(ISNA(VLOOKUP($A36,Council_Data!$A$3:$AB$840,2,0)),0,VLOOKUP($A36,Council_Data!$A$3:$AB$840,2,0))</f>
        <v>214</v>
      </c>
      <c r="C36" s="50" t="str">
        <f>IF(ISNA(VLOOKUP($A36,Council_Data!$A$3:$AB$840,3,0)),0,VLOOKUP($A36,Council_Data!$A$3:$AB$840,3,0))</f>
        <v>Alamo</v>
      </c>
      <c r="D36" s="93">
        <f>IF(ISNA(VLOOKUP($A36,Council_Data!$A$3:$AB$840,5,0)),0,VLOOKUP($A36,Council_Data!$A$3:$AB$840,5,0))</f>
        <v>88</v>
      </c>
      <c r="E36" s="93">
        <f>IF(ISNA(VLOOKUP($A36,Council_Data!$A$3:$AB$840,6,0)),0,VLOOKUP($A36,Council_Data!$A$3:$AB$840,6,0))</f>
        <v>4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2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2</v>
      </c>
      <c r="L36" s="94">
        <f>IF(ISNA(VLOOKUP($A36,Council_Data!$A$3:$AB$840,13,0)),0,VLOOKUP($A36,Council_Data!$A$3:$AB$840,13,0))</f>
        <v>50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2</v>
      </c>
      <c r="V36" s="50" t="str">
        <f>IF(ISNA(VLOOKUP($A36,Council_Data!$A$3:$AB$840,24,0)),0,VLOOKUP($A36,Council_Data!$A$3:$AB$840,24,0))</f>
        <v>Carlin</v>
      </c>
      <c r="W36" s="51"/>
    </row>
    <row r="37" spans="1:23" ht="12.75" customHeight="1">
      <c r="A37" s="50">
        <v>12091</v>
      </c>
      <c r="B37" s="50" t="str">
        <f>IF(ISNA(VLOOKUP($A37,Council_Data!$A$3:$AB$840,2,0)),0,VLOOKUP($A37,Council_Data!$A$3:$AB$840,2,0))</f>
        <v>214</v>
      </c>
      <c r="C37" s="50" t="str">
        <f>IF(ISNA(VLOOKUP($A37,Council_Data!$A$3:$AB$840,3,0)),0,VLOOKUP($A37,Council_Data!$A$3:$AB$840,3,0))</f>
        <v>Donna</v>
      </c>
      <c r="D37" s="93">
        <f>IF(ISNA(VLOOKUP($A37,Council_Data!$A$3:$AB$840,5,0)),0,VLOOKUP($A37,Council_Data!$A$3:$AB$840,5,0))</f>
        <v>56</v>
      </c>
      <c r="E37" s="93">
        <f>IF(ISNA(VLOOKUP($A37,Council_Data!$A$3:$AB$840,6,0)),0,VLOOKUP($A37,Council_Data!$A$3:$AB$840,6,0))</f>
        <v>3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3</v>
      </c>
      <c r="V37" s="50" t="str">
        <f>IF(ISNA(VLOOKUP($A37,Council_Data!$A$3:$AB$840,24,0)),0,VLOOKUP($A37,Council_Data!$A$3:$AB$840,24,0))</f>
        <v>Carlin</v>
      </c>
      <c r="W37" s="51"/>
    </row>
    <row r="38" spans="1:23" ht="12.75" customHeight="1">
      <c r="A38" s="50">
        <v>12552</v>
      </c>
      <c r="B38" s="50" t="str">
        <f>IF(ISNA(VLOOKUP($A38,Council_Data!$A$3:$AB$840,2,0)),0,VLOOKUP($A38,Council_Data!$A$3:$AB$840,2,0))</f>
        <v>214</v>
      </c>
      <c r="C38" s="50" t="str">
        <f>IF(ISNA(VLOOKUP($A38,Council_Data!$A$3:$AB$840,3,0)),0,VLOOKUP($A38,Council_Data!$A$3:$AB$840,3,0))</f>
        <v>San Juan</v>
      </c>
      <c r="D38" s="93">
        <f>IF(ISNA(VLOOKUP($A38,Council_Data!$A$3:$AB$840,5,0)),0,VLOOKUP($A38,Council_Data!$A$3:$AB$840,5,0))</f>
        <v>61</v>
      </c>
      <c r="E38" s="93">
        <f>IF(ISNA(VLOOKUP($A38,Council_Data!$A$3:$AB$840,6,0)),0,VLOOKUP($A38,Council_Data!$A$3:$AB$840,6,0))</f>
        <v>3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0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0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3</v>
      </c>
      <c r="V38" s="50" t="str">
        <f>IF(ISNA(VLOOKUP($A38,Council_Data!$A$3:$AB$840,24,0)),0,VLOOKUP($A38,Council_Data!$A$3:$AB$840,24,0))</f>
        <v>Carlin</v>
      </c>
      <c r="W38" s="51"/>
    </row>
    <row r="39" spans="1:23" ht="12.75" customHeight="1">
      <c r="A39" s="50">
        <v>2698</v>
      </c>
      <c r="B39" s="50" t="str">
        <f>IF(ISNA(VLOOKUP($A39,Council_Data!$A$3:$AB$840,2,0)),0,VLOOKUP($A39,Council_Data!$A$3:$AB$840,2,0))</f>
        <v>215</v>
      </c>
      <c r="C39" s="50" t="str">
        <f>IF(ISNA(VLOOKUP($A39,Council_Data!$A$3:$AB$840,3,0)),0,VLOOKUP($A39,Council_Data!$A$3:$AB$840,3,0))</f>
        <v>Mission</v>
      </c>
      <c r="D39" s="93">
        <f>IF(ISNA(VLOOKUP($A39,Council_Data!$A$3:$AB$840,5,0)),0,VLOOKUP($A39,Council_Data!$A$3:$AB$840,5,0))</f>
        <v>158</v>
      </c>
      <c r="E39" s="93">
        <f>IF(ISNA(VLOOKUP($A39,Council_Data!$A$3:$AB$840,6,0)),0,VLOOKUP($A39,Council_Data!$A$3:$AB$840,6,0))</f>
        <v>8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3</v>
      </c>
      <c r="H39" s="93">
        <f>IF(ISNA(VLOOKUP($A39,Council_Data!$A$3:$AB$840,9,0)),0,VLOOKUP($A39,Council_Data!$A$3:$AB$840,9,0))</f>
        <v>-3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3</v>
      </c>
      <c r="K39" s="93">
        <f>IF(ISNA(VLOOKUP($A39,Council_Data!$A$3:$AB$840,12,0)),0,VLOOKUP($A39,Council_Data!$A$3:$AB$840,12,0))</f>
        <v>-3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1</v>
      </c>
      <c r="V39" s="50" t="str">
        <f>IF(ISNA(VLOOKUP($A39,Council_Data!$A$3:$AB$840,24,0)),0,VLOOKUP($A39,Council_Data!$A$3:$AB$840,24,0))</f>
        <v>Carlin</v>
      </c>
      <c r="W39" s="51"/>
    </row>
    <row r="40" spans="1:23" ht="12.75" customHeight="1">
      <c r="A40" s="50">
        <v>10887</v>
      </c>
      <c r="B40" s="50" t="str">
        <f>IF(ISNA(VLOOKUP($A40,Council_Data!$A$3:$AB$840,2,0)),0,VLOOKUP($A40,Council_Data!$A$3:$AB$840,2,0))</f>
        <v>215</v>
      </c>
      <c r="C40" s="50" t="str">
        <f>IF(ISNA(VLOOKUP($A40,Council_Data!$A$3:$AB$840,3,0)),0,VLOOKUP($A40,Council_Data!$A$3:$AB$840,3,0))</f>
        <v>Mission</v>
      </c>
      <c r="D40" s="93">
        <f>IF(ISNA(VLOOKUP($A40,Council_Data!$A$3:$AB$840,5,0)),0,VLOOKUP($A40,Council_Data!$A$3:$AB$840,5,0))</f>
        <v>45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Carlin</v>
      </c>
      <c r="W40" s="51"/>
    </row>
    <row r="41" spans="1:23" ht="12.75" customHeight="1">
      <c r="A41" s="50">
        <v>12661</v>
      </c>
      <c r="B41" s="50" t="str">
        <f>IF(ISNA(VLOOKUP($A41,Council_Data!$A$3:$AB$840,2,0)),0,VLOOKUP($A41,Council_Data!$A$3:$AB$840,2,0))</f>
        <v>215</v>
      </c>
      <c r="C41" s="50" t="str">
        <f>IF(ISNA(VLOOKUP($A41,Council_Data!$A$3:$AB$840,3,0)),0,VLOOKUP($A41,Council_Data!$A$3:$AB$840,3,0))</f>
        <v>La Joya</v>
      </c>
      <c r="D41" s="93">
        <f>IF(ISNA(VLOOKUP($A41,Council_Data!$A$3:$AB$840,5,0)),0,VLOOKUP($A41,Council_Data!$A$3:$AB$840,5,0))</f>
        <v>98</v>
      </c>
      <c r="E41" s="93">
        <f>IF(ISNA(VLOOKUP($A41,Council_Data!$A$3:$AB$840,6,0)),0,VLOOKUP($A41,Council_Data!$A$3:$AB$840,6,0))</f>
        <v>5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1</v>
      </c>
      <c r="H41" s="93">
        <f>IF(ISNA(VLOOKUP($A41,Council_Data!$A$3:$AB$840,9,0)),0,VLOOKUP($A41,Council_Data!$A$3:$AB$840,9,0))</f>
        <v>-1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2</v>
      </c>
      <c r="K41" s="93">
        <f>IF(ISNA(VLOOKUP($A41,Council_Data!$A$3:$AB$840,12,0)),0,VLOOKUP($A41,Council_Data!$A$3:$AB$840,12,0))</f>
        <v>-2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1</v>
      </c>
      <c r="P41" s="93">
        <f>IF(ISNA(VLOOKUP($A41,Council_Data!$A$3:$AB$840,17,0)),0,VLOOKUP($A41,Council_Data!$A$3:$AB$840,17,0))</f>
        <v>-1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2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Carlin</v>
      </c>
      <c r="W41" s="51"/>
    </row>
    <row r="42" spans="1:23" ht="12.75" customHeight="1">
      <c r="A42" s="50">
        <v>14261</v>
      </c>
      <c r="B42" s="50" t="str">
        <f>IF(ISNA(VLOOKUP($A42,Council_Data!$A$3:$AB$840,2,0)),0,VLOOKUP($A42,Council_Data!$A$3:$AB$840,2,0))</f>
        <v>215</v>
      </c>
      <c r="C42" s="50" t="str">
        <f>IF(ISNA(VLOOKUP($A42,Council_Data!$A$3:$AB$840,3,0)),0,VLOOKUP($A42,Council_Data!$A$3:$AB$840,3,0))</f>
        <v>Mission</v>
      </c>
      <c r="D42" s="93">
        <f>IF(ISNA(VLOOKUP($A42,Council_Data!$A$3:$AB$840,5,0)),0,VLOOKUP($A42,Council_Data!$A$3:$AB$840,5,0))</f>
        <v>66</v>
      </c>
      <c r="E42" s="93">
        <f>IF(ISNA(VLOOKUP($A42,Council_Data!$A$3:$AB$840,6,0)),0,VLOOKUP($A42,Council_Data!$A$3:$AB$840,6,0))</f>
        <v>3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0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0</v>
      </c>
      <c r="L42" s="94">
        <f>IF(ISNA(VLOOKUP($A42,Council_Data!$A$3:$AB$840,13,0)),0,VLOOKUP($A42,Council_Data!$A$3:$AB$840,13,0))</f>
        <v>0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1</v>
      </c>
      <c r="P42" s="93">
        <f>IF(ISNA(VLOOKUP($A42,Council_Data!$A$3:$AB$840,17,0)),0,VLOOKUP($A42,Council_Data!$A$3:$AB$840,17,0))</f>
        <v>-1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1</v>
      </c>
      <c r="S42" s="93">
        <f>IF(ISNA(VLOOKUP($A42,Council_Data!$A$3:$AB$840,20,0)),0,VLOOKUP($A42,Council_Data!$A$3:$AB$840,20,0))</f>
        <v>-1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2</v>
      </c>
      <c r="V42" s="50" t="str">
        <f>IF(ISNA(VLOOKUP($A42,Council_Data!$A$3:$AB$840,24,0)),0,VLOOKUP($A42,Council_Data!$A$3:$AB$840,24,0))</f>
        <v>Carlin</v>
      </c>
      <c r="W42" s="51"/>
    </row>
    <row r="43" spans="1:23" ht="12.75" customHeight="1">
      <c r="A43" s="50">
        <v>2785</v>
      </c>
      <c r="B43" s="50" t="str">
        <f>IF(ISNA(VLOOKUP($A43,Council_Data!$A$3:$AB$840,2,0)),0,VLOOKUP($A43,Council_Data!$A$3:$AB$840,2,0))</f>
        <v>216</v>
      </c>
      <c r="C43" s="50" t="str">
        <f>IF(ISNA(VLOOKUP($A43,Council_Data!$A$3:$AB$840,3,0)),0,VLOOKUP($A43,Council_Data!$A$3:$AB$840,3,0))</f>
        <v>Harlingen</v>
      </c>
      <c r="D43" s="93">
        <f>IF(ISNA(VLOOKUP($A43,Council_Data!$A$3:$AB$840,5,0)),0,VLOOKUP($A43,Council_Data!$A$3:$AB$840,5,0))</f>
        <v>191</v>
      </c>
      <c r="E43" s="93">
        <f>IF(ISNA(VLOOKUP($A43,Council_Data!$A$3:$AB$840,6,0)),0,VLOOKUP($A43,Council_Data!$A$3:$AB$840,6,0))</f>
        <v>9</v>
      </c>
      <c r="F43" s="93">
        <f>IF(ISNA(VLOOKUP($A43,Council_Data!$A$3:$AB$840,7,0)),0,VLOOKUP($A43,Council_Data!$A$3:$AB$840,7,0))</f>
        <v>1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1</v>
      </c>
      <c r="I43" s="93">
        <f>IF(ISNA(VLOOKUP($A43,Council_Data!$A$3:$AB$840,10,0)),0,VLOOKUP($A43,Council_Data!$A$3:$AB$840,10,0))</f>
        <v>6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6</v>
      </c>
      <c r="L43" s="94">
        <f>IF(ISNA(VLOOKUP($A43,Council_Data!$A$3:$AB$840,13,0)),0,VLOOKUP($A43,Council_Data!$A$3:$AB$840,13,0))</f>
        <v>66.67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4</v>
      </c>
      <c r="R43" s="93">
        <f>IF(ISNA(VLOOKUP($A43,Council_Data!$A$3:$AB$840,19,0)),0,VLOOKUP($A43,Council_Data!$A$3:$AB$840,19,0))</f>
        <v>2</v>
      </c>
      <c r="S43" s="93">
        <f>IF(ISNA(VLOOKUP($A43,Council_Data!$A$3:$AB$840,20,0)),0,VLOOKUP($A43,Council_Data!$A$3:$AB$840,20,0))</f>
        <v>2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1</v>
      </c>
      <c r="V43" s="50" t="str">
        <f>IF(ISNA(VLOOKUP($A43,Council_Data!$A$3:$AB$840,24,0)),0,VLOOKUP($A43,Council_Data!$A$3:$AB$840,24,0))</f>
        <v>Carlin</v>
      </c>
      <c r="W43" s="51"/>
    </row>
    <row r="44" spans="1:23" ht="12.75" customHeight="1">
      <c r="A44" s="50">
        <v>9283</v>
      </c>
      <c r="B44" s="50" t="str">
        <f>IF(ISNA(VLOOKUP($A44,Council_Data!$A$3:$AB$840,2,0)),0,VLOOKUP($A44,Council_Data!$A$3:$AB$840,2,0))</f>
        <v>216</v>
      </c>
      <c r="C44" s="50" t="str">
        <f>IF(ISNA(VLOOKUP($A44,Council_Data!$A$3:$AB$840,3,0)),0,VLOOKUP($A44,Council_Data!$A$3:$AB$840,3,0))</f>
        <v>Raymondville</v>
      </c>
      <c r="D44" s="93">
        <f>IF(ISNA(VLOOKUP($A44,Council_Data!$A$3:$AB$840,5,0)),0,VLOOKUP($A44,Council_Data!$A$3:$AB$840,5,0))</f>
        <v>57</v>
      </c>
      <c r="E44" s="93">
        <f>IF(ISNA(VLOOKUP($A44,Council_Data!$A$3:$AB$840,6,0)),0,VLOOKUP($A44,Council_Data!$A$3:$AB$840,6,0))</f>
        <v>3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3</v>
      </c>
      <c r="V44" s="50" t="str">
        <f>IF(ISNA(VLOOKUP($A44,Council_Data!$A$3:$AB$840,24,0)),0,VLOOKUP($A44,Council_Data!$A$3:$AB$840,24,0))</f>
        <v>Carlin</v>
      </c>
      <c r="W44" s="51"/>
    </row>
    <row r="45" spans="1:23" ht="12.75" customHeight="1">
      <c r="A45" s="50">
        <v>12337</v>
      </c>
      <c r="B45" s="50" t="str">
        <f>IF(ISNA(VLOOKUP($A45,Council_Data!$A$3:$AB$840,2,0)),0,VLOOKUP($A45,Council_Data!$A$3:$AB$840,2,0))</f>
        <v>216</v>
      </c>
      <c r="C45" s="50" t="str">
        <f>IF(ISNA(VLOOKUP($A45,Council_Data!$A$3:$AB$840,3,0)),0,VLOOKUP($A45,Council_Data!$A$3:$AB$840,3,0))</f>
        <v>Harlingen</v>
      </c>
      <c r="D45" s="93">
        <f>IF(ISNA(VLOOKUP($A45,Council_Data!$A$3:$AB$840,5,0)),0,VLOOKUP($A45,Council_Data!$A$3:$AB$840,5,0))</f>
        <v>34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1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1</v>
      </c>
      <c r="L45" s="94">
        <f>IF(ISNA(VLOOKUP($A45,Council_Data!$A$3:$AB$840,13,0)),0,VLOOKUP($A45,Council_Data!$A$3:$AB$840,13,0))</f>
        <v>33.33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1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1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Carlin</v>
      </c>
      <c r="W45" s="51"/>
    </row>
    <row r="46" spans="1:23" ht="12.75" customHeight="1">
      <c r="A46" s="50">
        <v>15301</v>
      </c>
      <c r="B46" s="50" t="str">
        <f>IF(ISNA(VLOOKUP($A46,Council_Data!$A$3:$AB$840,2,0)),0,VLOOKUP($A46,Council_Data!$A$3:$AB$840,2,0))</f>
        <v>208</v>
      </c>
      <c r="C46" s="50" t="str">
        <f>IF(ISNA(VLOOKUP($A46,Council_Data!$A$3:$AB$840,3,0)),0,VLOOKUP($A46,Council_Data!$A$3:$AB$840,3,0))</f>
        <v>Harlingen</v>
      </c>
      <c r="D46" s="93">
        <f>IF(ISNA(VLOOKUP($A46,Council_Data!$A$3:$AB$840,5,0)),0,VLOOKUP($A46,Council_Data!$A$3:$AB$840,5,0))</f>
        <v>65</v>
      </c>
      <c r="E46" s="93">
        <f>IF(ISNA(VLOOKUP($A46,Council_Data!$A$3:$AB$840,6,0)),0,VLOOKUP($A46,Council_Data!$A$3:$AB$840,6,0))</f>
        <v>3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1</v>
      </c>
      <c r="S46" s="93">
        <f>IF(ISNA(VLOOKUP($A46,Council_Data!$A$3:$AB$840,20,0)),0,VLOOKUP($A46,Council_Data!$A$3:$AB$840,20,0))</f>
        <v>-1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3</v>
      </c>
      <c r="V46" s="50" t="str">
        <f>IF(ISNA(VLOOKUP($A46,Council_Data!$A$3:$AB$840,24,0)),0,VLOOKUP($A46,Council_Data!$A$3:$AB$840,24,0))</f>
        <v>Carlin</v>
      </c>
      <c r="W46" s="51"/>
    </row>
    <row r="47" spans="1:23" ht="12.75" customHeight="1">
      <c r="A47" s="50">
        <v>9791</v>
      </c>
      <c r="B47" s="50" t="str">
        <f>IF(ISNA(VLOOKUP($A47,Council_Data!$A$3:$AB$840,2,0)),0,VLOOKUP($A47,Council_Data!$A$3:$AB$840,2,0))</f>
        <v>217</v>
      </c>
      <c r="C47" s="50" t="str">
        <f>IF(ISNA(VLOOKUP($A47,Council_Data!$A$3:$AB$840,3,0)),0,VLOOKUP($A47,Council_Data!$A$3:$AB$840,3,0))</f>
        <v>Pharr</v>
      </c>
      <c r="D47" s="93">
        <f>IF(ISNA(VLOOKUP($A47,Council_Data!$A$3:$AB$840,5,0)),0,VLOOKUP($A47,Council_Data!$A$3:$AB$840,5,0))</f>
        <v>52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Carlin</v>
      </c>
      <c r="W47" s="51"/>
    </row>
    <row r="48" spans="1:23" ht="12.75" customHeight="1">
      <c r="A48" s="50">
        <v>11980</v>
      </c>
      <c r="B48" s="50" t="str">
        <f>IF(ISNA(VLOOKUP($A48,Council_Data!$A$3:$AB$840,2,0)),0,VLOOKUP($A48,Council_Data!$A$3:$AB$840,2,0))</f>
        <v>217</v>
      </c>
      <c r="C48" s="50" t="str">
        <f>IF(ISNA(VLOOKUP($A48,Council_Data!$A$3:$AB$840,3,0)),0,VLOOKUP($A48,Council_Data!$A$3:$AB$840,3,0))</f>
        <v>Hidalgo</v>
      </c>
      <c r="D48" s="93">
        <f>IF(ISNA(VLOOKUP($A48,Council_Data!$A$3:$AB$840,5,0)),0,VLOOKUP($A48,Council_Data!$A$3:$AB$840,5,0))</f>
        <v>97</v>
      </c>
      <c r="E48" s="93">
        <f>IF(ISNA(VLOOKUP($A48,Council_Data!$A$3:$AB$840,6,0)),0,VLOOKUP($A48,Council_Data!$A$3:$AB$840,6,0))</f>
        <v>4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2</v>
      </c>
      <c r="P48" s="93">
        <f>IF(ISNA(VLOOKUP($A48,Council_Data!$A$3:$AB$840,17,0)),0,VLOOKUP($A48,Council_Data!$A$3:$AB$840,17,0))</f>
        <v>-2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4</v>
      </c>
      <c r="S48" s="93">
        <f>IF(ISNA(VLOOKUP($A48,Council_Data!$A$3:$AB$840,20,0)),0,VLOOKUP($A48,Council_Data!$A$3:$AB$840,20,0))</f>
        <v>-3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2</v>
      </c>
      <c r="V48" s="50" t="str">
        <f>IF(ISNA(VLOOKUP($A48,Council_Data!$A$3:$AB$840,24,0)),0,VLOOKUP($A48,Council_Data!$A$3:$AB$840,24,0))</f>
        <v>Carlin</v>
      </c>
      <c r="W48" s="51"/>
    </row>
    <row r="49" spans="1:23" ht="12.75" customHeight="1">
      <c r="A49" s="50">
        <v>12776</v>
      </c>
      <c r="B49" s="50" t="str">
        <f>IF(ISNA(VLOOKUP($A49,Council_Data!$A$3:$AB$840,2,0)),0,VLOOKUP($A49,Council_Data!$A$3:$AB$840,2,0))</f>
        <v>217</v>
      </c>
      <c r="C49" s="50" t="str">
        <f>IF(ISNA(VLOOKUP($A49,Council_Data!$A$3:$AB$840,3,0)),0,VLOOKUP($A49,Council_Data!$A$3:$AB$840,3,0))</f>
        <v>Pharr</v>
      </c>
      <c r="D49" s="93">
        <f>IF(ISNA(VLOOKUP($A49,Council_Data!$A$3:$AB$840,5,0)),0,VLOOKUP($A49,Council_Data!$A$3:$AB$840,5,0))</f>
        <v>60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1</v>
      </c>
      <c r="R49" s="93">
        <f>IF(ISNA(VLOOKUP($A49,Council_Data!$A$3:$AB$840,19,0)),0,VLOOKUP($A49,Council_Data!$A$3:$AB$840,19,0))</f>
        <v>1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Carlin</v>
      </c>
      <c r="W49" s="51"/>
    </row>
    <row r="50" spans="1:23" ht="12.75" customHeight="1">
      <c r="A50" s="50">
        <v>15448</v>
      </c>
      <c r="B50" s="50" t="str">
        <f>IF(ISNA(VLOOKUP($A50,Council_Data!$A$3:$AB$840,2,0)),0,VLOOKUP($A50,Council_Data!$A$3:$AB$840,2,0))</f>
        <v>210</v>
      </c>
      <c r="C50" s="50" t="str">
        <f>IF(ISNA(VLOOKUP($A50,Council_Data!$A$3:$AB$840,3,0)),0,VLOOKUP($A50,Council_Data!$A$3:$AB$840,3,0))</f>
        <v>Brownsville</v>
      </c>
      <c r="D50" s="93">
        <f>IF(ISNA(VLOOKUP($A50,Council_Data!$A$3:$AB$840,5,0)),0,VLOOKUP($A50,Council_Data!$A$3:$AB$840,5,0))</f>
        <v>174</v>
      </c>
      <c r="E50" s="93">
        <f>IF(ISNA(VLOOKUP($A50,Council_Data!$A$3:$AB$840,6,0)),0,VLOOKUP($A50,Council_Data!$A$3:$AB$840,6,0))</f>
        <v>9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10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10</v>
      </c>
      <c r="L50" s="94">
        <f>IF(ISNA(VLOOKUP($A50,Council_Data!$A$3:$AB$840,13,0)),0,VLOOKUP($A50,Council_Data!$A$3:$AB$840,13,0))</f>
        <v>111.11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2</v>
      </c>
      <c r="R50" s="93">
        <f>IF(ISNA(VLOOKUP($A50,Council_Data!$A$3:$AB$840,19,0)),0,VLOOKUP($A50,Council_Data!$A$3:$AB$840,19,0))</f>
        <v>1</v>
      </c>
      <c r="S50" s="93">
        <f>IF(ISNA(VLOOKUP($A50,Council_Data!$A$3:$AB$840,20,0)),0,VLOOKUP($A50,Council_Data!$A$3:$AB$840,20,0))</f>
        <v>1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1</v>
      </c>
      <c r="V50" s="50" t="str">
        <f>IF(ISNA(VLOOKUP($A50,Council_Data!$A$3:$AB$840,24,0)),0,VLOOKUP($A50,Council_Data!$A$3:$AB$840,24,0))</f>
        <v>Carlin</v>
      </c>
      <c r="W50" s="51"/>
    </row>
    <row r="51" spans="1:23" ht="12.75" customHeight="1">
      <c r="A51" s="50">
        <v>16796</v>
      </c>
      <c r="B51" s="50" t="str">
        <f>IF(ISNA(VLOOKUP($A51,Council_Data!$A$3:$AB$840,2,0)),0,VLOOKUP($A51,Council_Data!$A$3:$AB$840,2,0))</f>
        <v>217</v>
      </c>
      <c r="C51" s="50" t="str">
        <f>IF(ISNA(VLOOKUP($A51,Council_Data!$A$3:$AB$840,3,0)),0,VLOOKUP($A51,Council_Data!$A$3:$AB$840,3,0))</f>
        <v>Las Milpas-Pharr</v>
      </c>
      <c r="D51" s="93">
        <f>IF(ISNA(VLOOKUP($A51,Council_Data!$A$3:$AB$840,5,0)),0,VLOOKUP($A51,Council_Data!$A$3:$AB$840,5,0))</f>
        <v>61</v>
      </c>
      <c r="E51" s="93">
        <f>IF(ISNA(VLOOKUP($A51,Council_Data!$A$3:$AB$840,6,0)),0,VLOOKUP($A51,Council_Data!$A$3:$AB$840,6,0))</f>
        <v>3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2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2</v>
      </c>
      <c r="L51" s="94">
        <f>IF(ISNA(VLOOKUP($A51,Council_Data!$A$3:$AB$840,13,0)),0,VLOOKUP($A51,Council_Data!$A$3:$AB$840,13,0))</f>
        <v>66.67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1</v>
      </c>
      <c r="R51" s="93">
        <f>IF(ISNA(VLOOKUP($A51,Council_Data!$A$3:$AB$840,19,0)),0,VLOOKUP($A51,Council_Data!$A$3:$AB$840,19,0))</f>
        <v>0</v>
      </c>
      <c r="S51" s="93">
        <f>IF(ISNA(VLOOKUP($A51,Council_Data!$A$3:$AB$840,20,0)),0,VLOOKUP($A51,Council_Data!$A$3:$AB$840,20,0))</f>
        <v>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3</v>
      </c>
      <c r="V51" s="50" t="str">
        <f>IF(ISNA(VLOOKUP($A51,Council_Data!$A$3:$AB$840,24,0)),0,VLOOKUP($A51,Council_Data!$A$3:$AB$840,24,0))</f>
        <v>Carlin</v>
      </c>
      <c r="W51" s="51"/>
    </row>
    <row r="52" spans="1:23" ht="12.75" customHeight="1">
      <c r="A52" s="50">
        <v>10600</v>
      </c>
      <c r="B52" s="50" t="str">
        <f>IF(ISNA(VLOOKUP($A52,Council_Data!$A$3:$AB$840,2,0)),0,VLOOKUP($A52,Council_Data!$A$3:$AB$840,2,0))</f>
        <v>219</v>
      </c>
      <c r="C52" s="50" t="str">
        <f>IF(ISNA(VLOOKUP($A52,Council_Data!$A$3:$AB$840,3,0)),0,VLOOKUP($A52,Council_Data!$A$3:$AB$840,3,0))</f>
        <v>Edinburg</v>
      </c>
      <c r="D52" s="93">
        <f>IF(ISNA(VLOOKUP($A52,Council_Data!$A$3:$AB$840,5,0)),0,VLOOKUP($A52,Council_Data!$A$3:$AB$840,5,0))</f>
        <v>22</v>
      </c>
      <c r="E52" s="93">
        <f>IF(ISNA(VLOOKUP($A52,Council_Data!$A$3:$AB$840,6,0)),0,VLOOKUP($A52,Council_Data!$A$3:$AB$840,6,0))</f>
        <v>3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0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0</v>
      </c>
      <c r="L52" s="94">
        <f>IF(ISNA(VLOOKUP($A52,Council_Data!$A$3:$AB$840,13,0)),0,VLOOKUP($A52,Council_Data!$A$3:$AB$840,13,0))</f>
        <v>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3</v>
      </c>
      <c r="V52" s="50" t="str">
        <f>IF(ISNA(VLOOKUP($A52,Council_Data!$A$3:$AB$840,24,0)),0,VLOOKUP($A52,Council_Data!$A$3:$AB$840,24,0))</f>
        <v>Carlin</v>
      </c>
      <c r="W52" s="51"/>
    </row>
    <row r="53" spans="1:23" ht="12.75" customHeight="1">
      <c r="A53" s="50">
        <v>12234</v>
      </c>
      <c r="B53" s="50" t="str">
        <f>IF(ISNA(VLOOKUP($A53,Council_Data!$A$3:$AB$840,2,0)),0,VLOOKUP($A53,Council_Data!$A$3:$AB$840,2,0))</f>
        <v>218</v>
      </c>
      <c r="C53" s="50" t="str">
        <f>IF(ISNA(VLOOKUP($A53,Council_Data!$A$3:$AB$840,3,0)),0,VLOOKUP($A53,Council_Data!$A$3:$AB$840,3,0))</f>
        <v>Mcallen</v>
      </c>
      <c r="D53" s="93">
        <f>IF(ISNA(VLOOKUP($A53,Council_Data!$A$3:$AB$840,5,0)),0,VLOOKUP($A53,Council_Data!$A$3:$AB$840,5,0))</f>
        <v>88</v>
      </c>
      <c r="E53" s="93">
        <f>IF(ISNA(VLOOKUP($A53,Council_Data!$A$3:$AB$840,6,0)),0,VLOOKUP($A53,Council_Data!$A$3:$AB$840,6,0))</f>
        <v>4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1</v>
      </c>
      <c r="P53" s="93">
        <f>IF(ISNA(VLOOKUP($A53,Council_Data!$A$3:$AB$840,17,0)),0,VLOOKUP($A53,Council_Data!$A$3:$AB$840,17,0))</f>
        <v>-1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1</v>
      </c>
      <c r="S53" s="93">
        <f>IF(ISNA(VLOOKUP($A53,Council_Data!$A$3:$AB$840,20,0)),0,VLOOKUP($A53,Council_Data!$A$3:$AB$840,20,0))</f>
        <v>-1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2</v>
      </c>
      <c r="V53" s="50" t="str">
        <f>IF(ISNA(VLOOKUP($A53,Council_Data!$A$3:$AB$840,24,0)),0,VLOOKUP($A53,Council_Data!$A$3:$AB$840,24,0))</f>
        <v>Carlin</v>
      </c>
      <c r="W53" s="51"/>
    </row>
    <row r="54" spans="1:23" ht="12.75" customHeight="1">
      <c r="A54" s="50">
        <v>12789</v>
      </c>
      <c r="B54" s="50" t="str">
        <f>IF(ISNA(VLOOKUP($A54,Council_Data!$A$3:$AB$840,2,0)),0,VLOOKUP($A54,Council_Data!$A$3:$AB$840,2,0))</f>
        <v>219</v>
      </c>
      <c r="C54" s="50" t="str">
        <f>IF(ISNA(VLOOKUP($A54,Council_Data!$A$3:$AB$840,3,0)),0,VLOOKUP($A54,Council_Data!$A$3:$AB$840,3,0))</f>
        <v>Mc Allen</v>
      </c>
      <c r="D54" s="93">
        <f>IF(ISNA(VLOOKUP($A54,Council_Data!$A$3:$AB$840,5,0)),0,VLOOKUP($A54,Council_Data!$A$3:$AB$840,5,0))</f>
        <v>129</v>
      </c>
      <c r="E54" s="93">
        <f>IF(ISNA(VLOOKUP($A54,Council_Data!$A$3:$AB$840,6,0)),0,VLOOKUP($A54,Council_Data!$A$3:$AB$840,6,0))</f>
        <v>6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2</v>
      </c>
      <c r="V54" s="50" t="str">
        <f>IF(ISNA(VLOOKUP($A54,Council_Data!$A$3:$AB$840,24,0)),0,VLOOKUP($A54,Council_Data!$A$3:$AB$840,24,0))</f>
        <v>Carlin</v>
      </c>
      <c r="W54" s="51"/>
    </row>
    <row r="55" spans="1:23" ht="12.75" customHeight="1">
      <c r="A55" s="50">
        <v>13287</v>
      </c>
      <c r="B55" s="50" t="str">
        <f>IF(ISNA(VLOOKUP($A55,Council_Data!$A$3:$AB$840,2,0)),0,VLOOKUP($A55,Council_Data!$A$3:$AB$840,2,0))</f>
        <v>219</v>
      </c>
      <c r="C55" s="50" t="str">
        <f>IF(ISNA(VLOOKUP($A55,Council_Data!$A$3:$AB$840,3,0)),0,VLOOKUP($A55,Council_Data!$A$3:$AB$840,3,0))</f>
        <v>Mc Allen</v>
      </c>
      <c r="D55" s="93">
        <f>IF(ISNA(VLOOKUP($A55,Council_Data!$A$3:$AB$840,5,0)),0,VLOOKUP($A55,Council_Data!$A$3:$AB$840,5,0))</f>
        <v>27</v>
      </c>
      <c r="E55" s="93">
        <f>IF(ISNA(VLOOKUP($A55,Council_Data!$A$3:$AB$840,6,0)),0,VLOOKUP($A55,Council_Data!$A$3:$AB$840,6,0))</f>
        <v>3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0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0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3</v>
      </c>
      <c r="V55" s="50" t="str">
        <f>IF(ISNA(VLOOKUP($A55,Council_Data!$A$3:$AB$840,24,0)),0,VLOOKUP($A55,Council_Data!$A$3:$AB$840,24,0))</f>
        <v>Carlin</v>
      </c>
      <c r="W55" s="51"/>
    </row>
    <row r="56" spans="1:23" ht="12.75" customHeight="1">
      <c r="A56" s="50">
        <v>13876</v>
      </c>
      <c r="B56" s="50" t="str">
        <f>IF(ISNA(VLOOKUP($A56,Council_Data!$A$3:$AB$840,2,0)),0,VLOOKUP($A56,Council_Data!$A$3:$AB$840,2,0))</f>
        <v>219</v>
      </c>
      <c r="C56" s="50" t="str">
        <f>IF(ISNA(VLOOKUP($A56,Council_Data!$A$3:$AB$840,3,0)),0,VLOOKUP($A56,Council_Data!$A$3:$AB$840,3,0))</f>
        <v>Mission</v>
      </c>
      <c r="D56" s="93">
        <f>IF(ISNA(VLOOKUP($A56,Council_Data!$A$3:$AB$840,5,0)),0,VLOOKUP($A56,Council_Data!$A$3:$AB$840,5,0))</f>
        <v>36</v>
      </c>
      <c r="E56" s="93">
        <f>IF(ISNA(VLOOKUP($A56,Council_Data!$A$3:$AB$840,6,0)),0,VLOOKUP($A56,Council_Data!$A$3:$AB$840,6,0))</f>
        <v>3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Carlin</v>
      </c>
      <c r="W56" s="51"/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1651</v>
      </c>
      <c r="B4" s="50" t="str">
        <f>IF(ISNA(VLOOKUP($A4,Council_Data!$A$3:$AB$840,2,0)),0,VLOOKUP($A4,Council_Data!$A$3:$AB$840,2,0))</f>
        <v>178</v>
      </c>
      <c r="C4" s="50" t="str">
        <f>IF(ISNA(VLOOKUP($A4,Council_Data!$A$3:$AB$840,3,0)),0,VLOOKUP($A4,Council_Data!$A$3:$AB$840,3,0))</f>
        <v>Refugio</v>
      </c>
      <c r="D4" s="93">
        <f>IF(ISNA(VLOOKUP($A4,Council_Data!$A$3:$AB$840,5,0)),0,VLOOKUP($A4,Council_Data!$A$3:$AB$840,5,0))</f>
        <v>55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Carlin</v>
      </c>
    </row>
    <row r="5" spans="1:22">
      <c r="A5" s="50">
        <v>3499</v>
      </c>
      <c r="B5" s="50" t="str">
        <f>IF(ISNA(VLOOKUP($A5,Council_Data!$A$3:$AB$840,2,0)),0,VLOOKUP($A5,Council_Data!$A$3:$AB$840,2,0))</f>
        <v>179</v>
      </c>
      <c r="C5" s="50" t="str">
        <f>IF(ISNA(VLOOKUP($A5,Council_Data!$A$3:$AB$840,3,0)),0,VLOOKUP($A5,Council_Data!$A$3:$AB$840,3,0))</f>
        <v>George West</v>
      </c>
      <c r="D5" s="93">
        <f>IF(ISNA(VLOOKUP($A5,Council_Data!$A$3:$AB$840,5,0)),0,VLOOKUP($A5,Council_Data!$A$3:$AB$840,5,0))</f>
        <v>80</v>
      </c>
      <c r="E5" s="93">
        <f>IF(ISNA(VLOOKUP($A5,Council_Data!$A$3:$AB$840,6,0)),0,VLOOKUP($A5,Council_Data!$A$3:$AB$840,6,0))</f>
        <v>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1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1</v>
      </c>
      <c r="L5" s="94">
        <f>IF(ISNA(VLOOKUP($A5,Council_Data!$A$3:$AB$840,13,0)),0,VLOOKUP($A5,Council_Data!$A$3:$AB$840,13,0))</f>
        <v>25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Carlin</v>
      </c>
    </row>
    <row r="6" spans="1:22">
      <c r="A6" s="50">
        <v>11663</v>
      </c>
      <c r="B6" s="50" t="str">
        <f>IF(ISNA(VLOOKUP($A6,Council_Data!$A$3:$AB$840,2,0)),0,VLOOKUP($A6,Council_Data!$A$3:$AB$840,2,0))</f>
        <v>179</v>
      </c>
      <c r="C6" s="50" t="str">
        <f>IF(ISNA(VLOOKUP($A6,Council_Data!$A$3:$AB$840,3,0)),0,VLOOKUP($A6,Council_Data!$A$3:$AB$840,3,0))</f>
        <v>Mathis</v>
      </c>
      <c r="D6" s="93">
        <f>IF(ISNA(VLOOKUP($A6,Council_Data!$A$3:$AB$840,5,0)),0,VLOOKUP($A6,Council_Data!$A$3:$AB$840,5,0))</f>
        <v>82</v>
      </c>
      <c r="E6" s="93">
        <f>IF(ISNA(VLOOKUP($A6,Council_Data!$A$3:$AB$840,6,0)),0,VLOOKUP($A6,Council_Data!$A$3:$AB$840,6,0))</f>
        <v>4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Carlin</v>
      </c>
    </row>
    <row r="7" spans="1:22">
      <c r="A7" s="50">
        <v>14064</v>
      </c>
      <c r="B7" s="50" t="str">
        <f>IF(ISNA(VLOOKUP($A7,Council_Data!$A$3:$AB$840,2,0)),0,VLOOKUP($A7,Council_Data!$A$3:$AB$840,2,0))</f>
        <v>166</v>
      </c>
      <c r="C7" s="50" t="str">
        <f>IF(ISNA(VLOOKUP($A7,Council_Data!$A$3:$AB$840,3,0)),0,VLOOKUP($A7,Council_Data!$A$3:$AB$840,3,0))</f>
        <v>Beeville</v>
      </c>
      <c r="D7" s="93">
        <f>IF(ISNA(VLOOKUP($A7,Council_Data!$A$3:$AB$840,5,0)),0,VLOOKUP($A7,Council_Data!$A$3:$AB$840,5,0))</f>
        <v>34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Carlin</v>
      </c>
    </row>
    <row r="8" spans="1:22">
      <c r="A8" s="50">
        <v>8170</v>
      </c>
      <c r="B8" s="50" t="str">
        <f>IF(ISNA(VLOOKUP($A8,Council_Data!$A$3:$AB$840,2,0)),0,VLOOKUP($A8,Council_Data!$A$3:$AB$840,2,0))</f>
        <v>167</v>
      </c>
      <c r="C8" s="50" t="str">
        <f>IF(ISNA(VLOOKUP($A8,Council_Data!$A$3:$AB$840,3,0)),0,VLOOKUP($A8,Council_Data!$A$3:$AB$840,3,0))</f>
        <v>Corpus Christi</v>
      </c>
      <c r="D8" s="93">
        <f>IF(ISNA(VLOOKUP($A8,Council_Data!$A$3:$AB$840,5,0)),0,VLOOKUP($A8,Council_Data!$A$3:$AB$840,5,0))</f>
        <v>139</v>
      </c>
      <c r="E8" s="93">
        <f>IF(ISNA(VLOOKUP($A8,Council_Data!$A$3:$AB$840,6,0)),0,VLOOKUP($A8,Council_Data!$A$3:$AB$840,6,0))</f>
        <v>7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Carlin</v>
      </c>
    </row>
    <row r="9" spans="1:22">
      <c r="A9" s="50">
        <v>9220</v>
      </c>
      <c r="B9" s="50" t="str">
        <f>IF(ISNA(VLOOKUP($A9,Council_Data!$A$3:$AB$840,2,0)),0,VLOOKUP($A9,Council_Data!$A$3:$AB$840,2,0))</f>
        <v>167</v>
      </c>
      <c r="C9" s="50" t="str">
        <f>IF(ISNA(VLOOKUP($A9,Council_Data!$A$3:$AB$840,3,0)),0,VLOOKUP($A9,Council_Data!$A$3:$AB$840,3,0))</f>
        <v>Corpus Christi</v>
      </c>
      <c r="D9" s="93">
        <f>IF(ISNA(VLOOKUP($A9,Council_Data!$A$3:$AB$840,5,0)),0,VLOOKUP($A9,Council_Data!$A$3:$AB$840,5,0))</f>
        <v>204</v>
      </c>
      <c r="E9" s="93">
        <f>IF(ISNA(VLOOKUP($A9,Council_Data!$A$3:$AB$840,6,0)),0,VLOOKUP($A9,Council_Data!$A$3:$AB$840,6,0))</f>
        <v>10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1</v>
      </c>
      <c r="H9" s="93">
        <f>IF(ISNA(VLOOKUP($A9,Council_Data!$A$3:$AB$840,9,0)),0,VLOOKUP($A9,Council_Data!$A$3:$AB$840,9,0))</f>
        <v>-1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1</v>
      </c>
      <c r="K9" s="93">
        <f>IF(ISNA(VLOOKUP($A9,Council_Data!$A$3:$AB$840,12,0)),0,VLOOKUP($A9,Council_Data!$A$3:$AB$840,12,0))</f>
        <v>-1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Carlin</v>
      </c>
    </row>
    <row r="10" spans="1:22">
      <c r="A10" s="50">
        <v>10677</v>
      </c>
      <c r="B10" s="50" t="str">
        <f>IF(ISNA(VLOOKUP($A10,Council_Data!$A$3:$AB$840,2,0)),0,VLOOKUP($A10,Council_Data!$A$3:$AB$840,2,0))</f>
        <v>167</v>
      </c>
      <c r="C10" s="50" t="str">
        <f>IF(ISNA(VLOOKUP($A10,Council_Data!$A$3:$AB$840,3,0)),0,VLOOKUP($A10,Council_Data!$A$3:$AB$840,3,0))</f>
        <v>Corpus Christi</v>
      </c>
      <c r="D10" s="93">
        <f>IF(ISNA(VLOOKUP($A10,Council_Data!$A$3:$AB$840,5,0)),0,VLOOKUP($A10,Council_Data!$A$3:$AB$840,5,0))</f>
        <v>97</v>
      </c>
      <c r="E10" s="93">
        <f>IF(ISNA(VLOOKUP($A10,Council_Data!$A$3:$AB$840,6,0)),0,VLOOKUP($A10,Council_Data!$A$3:$AB$840,6,0))</f>
        <v>5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8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8</v>
      </c>
      <c r="L10" s="94">
        <f>IF(ISNA(VLOOKUP($A10,Council_Data!$A$3:$AB$840,13,0)),0,VLOOKUP($A10,Council_Data!$A$3:$AB$840,13,0))</f>
        <v>160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Carlin</v>
      </c>
    </row>
    <row r="11" spans="1:22">
      <c r="A11" s="50">
        <v>15104</v>
      </c>
      <c r="B11" s="50" t="str">
        <f>IF(ISNA(VLOOKUP($A11,Council_Data!$A$3:$AB$840,2,0)),0,VLOOKUP($A11,Council_Data!$A$3:$AB$840,2,0))</f>
        <v>180</v>
      </c>
      <c r="C11" s="50" t="str">
        <f>IF(ISNA(VLOOKUP($A11,Council_Data!$A$3:$AB$840,3,0)),0,VLOOKUP($A11,Council_Data!$A$3:$AB$840,3,0))</f>
        <v>Corpus Christi</v>
      </c>
      <c r="D11" s="93">
        <f>IF(ISNA(VLOOKUP($A11,Council_Data!$A$3:$AB$840,5,0)),0,VLOOKUP($A11,Council_Data!$A$3:$AB$840,5,0))</f>
        <v>33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Carlin</v>
      </c>
    </row>
    <row r="12" spans="1:22">
      <c r="A12" s="50">
        <v>6832</v>
      </c>
      <c r="B12" s="50" t="str">
        <f>IF(ISNA(VLOOKUP($A12,Council_Data!$A$3:$AB$840,2,0)),0,VLOOKUP($A12,Council_Data!$A$3:$AB$840,2,0))</f>
        <v>177</v>
      </c>
      <c r="C12" s="50" t="str">
        <f>IF(ISNA(VLOOKUP($A12,Council_Data!$A$3:$AB$840,3,0)),0,VLOOKUP($A12,Council_Data!$A$3:$AB$840,3,0))</f>
        <v>Odem</v>
      </c>
      <c r="D12" s="93">
        <f>IF(ISNA(VLOOKUP($A12,Council_Data!$A$3:$AB$840,5,0)),0,VLOOKUP($A12,Council_Data!$A$3:$AB$840,5,0))</f>
        <v>42</v>
      </c>
      <c r="E12" s="93">
        <f>IF(ISNA(VLOOKUP($A12,Council_Data!$A$3:$AB$840,6,0)),0,VLOOKUP($A12,Council_Data!$A$3:$AB$840,6,0))</f>
        <v>3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Carlin</v>
      </c>
    </row>
    <row r="13" spans="1:22">
      <c r="A13" s="50">
        <v>7290</v>
      </c>
      <c r="B13" s="50" t="str">
        <f>IF(ISNA(VLOOKUP($A13,Council_Data!$A$3:$AB$840,2,0)),0,VLOOKUP($A13,Council_Data!$A$3:$AB$840,2,0))</f>
        <v>168</v>
      </c>
      <c r="C13" s="50" t="str">
        <f>IF(ISNA(VLOOKUP($A13,Council_Data!$A$3:$AB$840,3,0)),0,VLOOKUP($A13,Council_Data!$A$3:$AB$840,3,0))</f>
        <v>Corpus Christi</v>
      </c>
      <c r="D13" s="93">
        <f>IF(ISNA(VLOOKUP($A13,Council_Data!$A$3:$AB$840,5,0)),0,VLOOKUP($A13,Council_Data!$A$3:$AB$840,5,0))</f>
        <v>154</v>
      </c>
      <c r="E13" s="93">
        <f>IF(ISNA(VLOOKUP($A13,Council_Data!$A$3:$AB$840,6,0)),0,VLOOKUP($A13,Council_Data!$A$3:$AB$840,6,0))</f>
        <v>7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3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3</v>
      </c>
      <c r="L13" s="94">
        <f>IF(ISNA(VLOOKUP($A13,Council_Data!$A$3:$AB$840,13,0)),0,VLOOKUP($A13,Council_Data!$A$3:$AB$840,13,0))</f>
        <v>42.86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1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1</v>
      </c>
      <c r="Q13" s="93">
        <f>IF(ISNA(VLOOKUP($A13,Council_Data!$A$3:$AB$840,18,0)),0,VLOOKUP($A13,Council_Data!$A$3:$AB$840,18,0))</f>
        <v>1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Carlin</v>
      </c>
    </row>
    <row r="14" spans="1:22">
      <c r="A14" s="50">
        <v>9318</v>
      </c>
      <c r="B14" s="50" t="str">
        <f>IF(ISNA(VLOOKUP($A14,Council_Data!$A$3:$AB$840,2,0)),0,VLOOKUP($A14,Council_Data!$A$3:$AB$840,2,0))</f>
        <v>177</v>
      </c>
      <c r="C14" s="50" t="str">
        <f>IF(ISNA(VLOOKUP($A14,Council_Data!$A$3:$AB$840,3,0)),0,VLOOKUP($A14,Council_Data!$A$3:$AB$840,3,0))</f>
        <v>Robstown</v>
      </c>
      <c r="D14" s="93">
        <f>IF(ISNA(VLOOKUP($A14,Council_Data!$A$3:$AB$840,5,0)),0,VLOOKUP($A14,Council_Data!$A$3:$AB$840,5,0))</f>
        <v>125</v>
      </c>
      <c r="E14" s="93">
        <f>IF(ISNA(VLOOKUP($A14,Council_Data!$A$3:$AB$840,6,0)),0,VLOOKUP($A14,Council_Data!$A$3:$AB$840,6,0))</f>
        <v>6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1</v>
      </c>
      <c r="P14" s="93">
        <f>IF(ISNA(VLOOKUP($A14,Council_Data!$A$3:$AB$840,17,0)),0,VLOOKUP($A14,Council_Data!$A$3:$AB$840,17,0))</f>
        <v>-1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2</v>
      </c>
      <c r="S14" s="93">
        <f>IF(ISNA(VLOOKUP($A14,Council_Data!$A$3:$AB$840,20,0)),0,VLOOKUP($A14,Council_Data!$A$3:$AB$840,20,0))</f>
        <v>-2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Carlin</v>
      </c>
    </row>
    <row r="15" spans="1:22">
      <c r="A15" s="50">
        <v>14776</v>
      </c>
      <c r="B15" s="50" t="str">
        <f>IF(ISNA(VLOOKUP($A15,Council_Data!$A$3:$AB$840,2,0)),0,VLOOKUP($A15,Council_Data!$A$3:$AB$840,2,0))</f>
        <v>175</v>
      </c>
      <c r="C15" s="50" t="str">
        <f>IF(ISNA(VLOOKUP($A15,Council_Data!$A$3:$AB$840,3,0)),0,VLOOKUP($A15,Council_Data!$A$3:$AB$840,3,0))</f>
        <v>Sinton</v>
      </c>
      <c r="D15" s="93">
        <f>IF(ISNA(VLOOKUP($A15,Council_Data!$A$3:$AB$840,5,0)),0,VLOOKUP($A15,Council_Data!$A$3:$AB$840,5,0))</f>
        <v>59</v>
      </c>
      <c r="E15" s="93">
        <f>IF(ISNA(VLOOKUP($A15,Council_Data!$A$3:$AB$840,6,0)),0,VLOOKUP($A15,Council_Data!$A$3:$AB$840,6,0))</f>
        <v>3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Carlin</v>
      </c>
    </row>
    <row r="16" spans="1:22">
      <c r="A16" s="50">
        <v>11238</v>
      </c>
      <c r="B16" s="50" t="str">
        <f>IF(ISNA(VLOOKUP($A16,Council_Data!$A$3:$AB$840,2,0)),0,VLOOKUP($A16,Council_Data!$A$3:$AB$840,2,0))</f>
        <v>169</v>
      </c>
      <c r="C16" s="50" t="str">
        <f>IF(ISNA(VLOOKUP($A16,Council_Data!$A$3:$AB$840,3,0)),0,VLOOKUP($A16,Council_Data!$A$3:$AB$840,3,0))</f>
        <v>Corpus Christi</v>
      </c>
      <c r="D16" s="93">
        <f>IF(ISNA(VLOOKUP($A16,Council_Data!$A$3:$AB$840,5,0)),0,VLOOKUP($A16,Council_Data!$A$3:$AB$840,5,0))</f>
        <v>125</v>
      </c>
      <c r="E16" s="93">
        <f>IF(ISNA(VLOOKUP($A16,Council_Data!$A$3:$AB$840,6,0)),0,VLOOKUP($A16,Council_Data!$A$3:$AB$840,6,0))</f>
        <v>5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20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2</v>
      </c>
      <c r="V16" s="50" t="str">
        <f>IF(ISNA(VLOOKUP($A16,Council_Data!$A$3:$AB$840,24,0)),0,VLOOKUP($A16,Council_Data!$A$3:$AB$840,24,0))</f>
        <v>Carlin</v>
      </c>
    </row>
    <row r="17" spans="1:22">
      <c r="A17" s="50">
        <v>13250</v>
      </c>
      <c r="B17" s="50" t="str">
        <f>IF(ISNA(VLOOKUP($A17,Council_Data!$A$3:$AB$840,2,0)),0,VLOOKUP($A17,Council_Data!$A$3:$AB$840,2,0))</f>
        <v>169</v>
      </c>
      <c r="C17" s="50" t="str">
        <f>IF(ISNA(VLOOKUP($A17,Council_Data!$A$3:$AB$840,3,0)),0,VLOOKUP($A17,Council_Data!$A$3:$AB$840,3,0))</f>
        <v>Corpus Christi</v>
      </c>
      <c r="D17" s="93">
        <f>IF(ISNA(VLOOKUP($A17,Council_Data!$A$3:$AB$840,5,0)),0,VLOOKUP($A17,Council_Data!$A$3:$AB$840,5,0))</f>
        <v>82</v>
      </c>
      <c r="E17" s="93">
        <f>IF(ISNA(VLOOKUP($A17,Council_Data!$A$3:$AB$840,6,0)),0,VLOOKUP($A17,Council_Data!$A$3:$AB$840,6,0))</f>
        <v>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2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2</v>
      </c>
      <c r="L17" s="94">
        <f>IF(ISNA(VLOOKUP($A17,Council_Data!$A$3:$AB$840,13,0)),0,VLOOKUP($A17,Council_Data!$A$3:$AB$840,13,0))</f>
        <v>50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-1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Carlin</v>
      </c>
    </row>
    <row r="18" spans="1:22">
      <c r="A18" s="50">
        <v>15828</v>
      </c>
      <c r="B18" s="50" t="str">
        <f>IF(ISNA(VLOOKUP($A18,Council_Data!$A$3:$AB$840,2,0)),0,VLOOKUP($A18,Council_Data!$A$3:$AB$840,2,0))</f>
        <v>168</v>
      </c>
      <c r="C18" s="50" t="str">
        <f>IF(ISNA(VLOOKUP($A18,Council_Data!$A$3:$AB$840,3,0)),0,VLOOKUP($A18,Council_Data!$A$3:$AB$840,3,0))</f>
        <v>Corpus Christi</v>
      </c>
      <c r="D18" s="93">
        <f>IF(ISNA(VLOOKUP($A18,Council_Data!$A$3:$AB$840,5,0)),0,VLOOKUP($A18,Council_Data!$A$3:$AB$840,5,0))</f>
        <v>29</v>
      </c>
      <c r="E18" s="93">
        <f>IF(ISNA(VLOOKUP($A18,Council_Data!$A$3:$AB$840,6,0)),0,VLOOKUP($A18,Council_Data!$A$3:$AB$840,6,0))</f>
        <v>3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Carlin</v>
      </c>
    </row>
    <row r="19" spans="1:22">
      <c r="A19" s="50">
        <v>7038</v>
      </c>
      <c r="B19" s="50" t="str">
        <f>IF(ISNA(VLOOKUP($A19,Council_Data!$A$3:$AB$840,2,0)),0,VLOOKUP($A19,Council_Data!$A$3:$AB$840,2,0))</f>
        <v>170</v>
      </c>
      <c r="C19" s="50" t="str">
        <f>IF(ISNA(VLOOKUP($A19,Council_Data!$A$3:$AB$840,3,0)),0,VLOOKUP($A19,Council_Data!$A$3:$AB$840,3,0))</f>
        <v>Corpus Christi</v>
      </c>
      <c r="D19" s="93">
        <f>IF(ISNA(VLOOKUP($A19,Council_Data!$A$3:$AB$840,5,0)),0,VLOOKUP($A19,Council_Data!$A$3:$AB$840,5,0))</f>
        <v>55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Carlin</v>
      </c>
    </row>
    <row r="20" spans="1:22">
      <c r="A20" s="50">
        <v>8066</v>
      </c>
      <c r="B20" s="50" t="str">
        <f>IF(ISNA(VLOOKUP($A20,Council_Data!$A$3:$AB$840,2,0)),0,VLOOKUP($A20,Council_Data!$A$3:$AB$840,2,0))</f>
        <v>170</v>
      </c>
      <c r="C20" s="50" t="str">
        <f>IF(ISNA(VLOOKUP($A20,Council_Data!$A$3:$AB$840,3,0)),0,VLOOKUP($A20,Council_Data!$A$3:$AB$840,3,0))</f>
        <v>Corpus Christi</v>
      </c>
      <c r="D20" s="93">
        <f>IF(ISNA(VLOOKUP($A20,Council_Data!$A$3:$AB$840,5,0)),0,VLOOKUP($A20,Council_Data!$A$3:$AB$840,5,0))</f>
        <v>52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1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1</v>
      </c>
      <c r="L20" s="94">
        <f>IF(ISNA(VLOOKUP($A20,Council_Data!$A$3:$AB$840,13,0)),0,VLOOKUP($A20,Council_Data!$A$3:$AB$840,13,0))</f>
        <v>33.33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1</v>
      </c>
      <c r="P20" s="93">
        <f>IF(ISNA(VLOOKUP($A20,Council_Data!$A$3:$AB$840,17,0)),0,VLOOKUP($A20,Council_Data!$A$3:$AB$840,17,0))</f>
        <v>-1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-1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Carlin</v>
      </c>
    </row>
    <row r="21" spans="1:22">
      <c r="A21" s="50">
        <v>10931</v>
      </c>
      <c r="B21" s="50" t="str">
        <f>IF(ISNA(VLOOKUP($A21,Council_Data!$A$3:$AB$840,2,0)),0,VLOOKUP($A21,Council_Data!$A$3:$AB$840,2,0))</f>
        <v>170</v>
      </c>
      <c r="C21" s="50" t="str">
        <f>IF(ISNA(VLOOKUP($A21,Council_Data!$A$3:$AB$840,3,0)),0,VLOOKUP($A21,Council_Data!$A$3:$AB$840,3,0))</f>
        <v>Corpus Christi</v>
      </c>
      <c r="D21" s="93">
        <f>IF(ISNA(VLOOKUP($A21,Council_Data!$A$3:$AB$840,5,0)),0,VLOOKUP($A21,Council_Data!$A$3:$AB$840,5,0))</f>
        <v>61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1</v>
      </c>
      <c r="P21" s="93">
        <f>IF(ISNA(VLOOKUP($A21,Council_Data!$A$3:$AB$840,17,0)),0,VLOOKUP($A21,Council_Data!$A$3:$AB$840,17,0))</f>
        <v>-1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-1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Carlin</v>
      </c>
    </row>
    <row r="22" spans="1:22">
      <c r="A22" s="50">
        <v>8028</v>
      </c>
      <c r="B22" s="50" t="str">
        <f>IF(ISNA(VLOOKUP($A22,Council_Data!$A$3:$AB$840,2,0)),0,VLOOKUP($A22,Council_Data!$A$3:$AB$840,2,0))</f>
        <v>171</v>
      </c>
      <c r="C22" s="50" t="str">
        <f>IF(ISNA(VLOOKUP($A22,Council_Data!$A$3:$AB$840,3,0)),0,VLOOKUP($A22,Council_Data!$A$3:$AB$840,3,0))</f>
        <v>Rockport</v>
      </c>
      <c r="D22" s="93">
        <f>IF(ISNA(VLOOKUP($A22,Council_Data!$A$3:$AB$840,5,0)),0,VLOOKUP($A22,Council_Data!$A$3:$AB$840,5,0))</f>
        <v>116</v>
      </c>
      <c r="E22" s="93">
        <f>IF(ISNA(VLOOKUP($A22,Council_Data!$A$3:$AB$840,6,0)),0,VLOOKUP($A22,Council_Data!$A$3:$AB$840,6,0))</f>
        <v>6</v>
      </c>
      <c r="F22" s="93">
        <f>IF(ISNA(VLOOKUP($A22,Council_Data!$A$3:$AB$840,7,0)),0,VLOOKUP($A22,Council_Data!$A$3:$AB$840,7,0))</f>
        <v>1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1</v>
      </c>
      <c r="I22" s="93">
        <f>IF(ISNA(VLOOKUP($A22,Council_Data!$A$3:$AB$840,10,0)),0,VLOOKUP($A22,Council_Data!$A$3:$AB$840,10,0))</f>
        <v>2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2</v>
      </c>
      <c r="L22" s="94">
        <f>IF(ISNA(VLOOKUP($A22,Council_Data!$A$3:$AB$840,13,0)),0,VLOOKUP($A22,Council_Data!$A$3:$AB$840,13,0))</f>
        <v>33.33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2</v>
      </c>
      <c r="S22" s="93">
        <f>IF(ISNA(VLOOKUP($A22,Council_Data!$A$3:$AB$840,20,0)),0,VLOOKUP($A22,Council_Data!$A$3:$AB$840,20,0))</f>
        <v>-2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Carlin</v>
      </c>
    </row>
    <row r="23" spans="1:22">
      <c r="A23" s="50">
        <v>11420</v>
      </c>
      <c r="B23" s="50" t="str">
        <f>IF(ISNA(VLOOKUP($A23,Council_Data!$A$3:$AB$840,2,0)),0,VLOOKUP($A23,Council_Data!$A$3:$AB$840,2,0))</f>
        <v>171</v>
      </c>
      <c r="C23" s="50" t="str">
        <f>IF(ISNA(VLOOKUP($A23,Council_Data!$A$3:$AB$840,3,0)),0,VLOOKUP($A23,Council_Data!$A$3:$AB$840,3,0))</f>
        <v>Aransas Pass</v>
      </c>
      <c r="D23" s="93">
        <f>IF(ISNA(VLOOKUP($A23,Council_Data!$A$3:$AB$840,5,0)),0,VLOOKUP($A23,Council_Data!$A$3:$AB$840,5,0))</f>
        <v>68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Carlin</v>
      </c>
    </row>
    <row r="24" spans="1:22">
      <c r="A24" s="50">
        <v>11570</v>
      </c>
      <c r="B24" s="50" t="str">
        <f>IF(ISNA(VLOOKUP($A24,Council_Data!$A$3:$AB$840,2,0)),0,VLOOKUP($A24,Council_Data!$A$3:$AB$840,2,0))</f>
        <v>175</v>
      </c>
      <c r="C24" s="50" t="str">
        <f>IF(ISNA(VLOOKUP($A24,Council_Data!$A$3:$AB$840,3,0)),0,VLOOKUP($A24,Council_Data!$A$3:$AB$840,3,0))</f>
        <v>Ingleside</v>
      </c>
      <c r="D24" s="93">
        <f>IF(ISNA(VLOOKUP($A24,Council_Data!$A$3:$AB$840,5,0)),0,VLOOKUP($A24,Council_Data!$A$3:$AB$840,5,0))</f>
        <v>78</v>
      </c>
      <c r="E24" s="93">
        <f>IF(ISNA(VLOOKUP($A24,Council_Data!$A$3:$AB$840,6,0)),0,VLOOKUP($A24,Council_Data!$A$3:$AB$840,6,0))</f>
        <v>4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1</v>
      </c>
      <c r="H24" s="93">
        <f>IF(ISNA(VLOOKUP($A24,Council_Data!$A$3:$AB$840,9,0)),0,VLOOKUP($A24,Council_Data!$A$3:$AB$840,9,0))</f>
        <v>-1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1</v>
      </c>
      <c r="K24" s="93">
        <f>IF(ISNA(VLOOKUP($A24,Council_Data!$A$3:$AB$840,12,0)),0,VLOOKUP($A24,Council_Data!$A$3:$AB$840,12,0))</f>
        <v>-1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Carlin</v>
      </c>
    </row>
    <row r="25" spans="1:22">
      <c r="A25" s="50">
        <v>14739</v>
      </c>
      <c r="B25" s="50" t="str">
        <f>IF(ISNA(VLOOKUP($A25,Council_Data!$A$3:$AB$840,2,0)),0,VLOOKUP($A25,Council_Data!$A$3:$AB$840,2,0))</f>
        <v>171</v>
      </c>
      <c r="C25" s="50" t="str">
        <f>IF(ISNA(VLOOKUP($A25,Council_Data!$A$3:$AB$840,3,0)),0,VLOOKUP($A25,Council_Data!$A$3:$AB$840,3,0))</f>
        <v>Port Aransas</v>
      </c>
      <c r="D25" s="93">
        <f>IF(ISNA(VLOOKUP($A25,Council_Data!$A$3:$AB$840,5,0)),0,VLOOKUP($A25,Council_Data!$A$3:$AB$840,5,0))</f>
        <v>36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3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3</v>
      </c>
      <c r="L25" s="94">
        <f>IF(ISNA(VLOOKUP($A25,Council_Data!$A$3:$AB$840,13,0)),0,VLOOKUP($A25,Council_Data!$A$3:$AB$840,13,0))</f>
        <v>100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Carlin</v>
      </c>
    </row>
    <row r="26" spans="1:22">
      <c r="A26" s="50">
        <v>2623</v>
      </c>
      <c r="B26" s="50" t="str">
        <f>IF(ISNA(VLOOKUP($A26,Council_Data!$A$3:$AB$840,2,0)),0,VLOOKUP($A26,Council_Data!$A$3:$AB$840,2,0))</f>
        <v>172</v>
      </c>
      <c r="C26" s="50" t="str">
        <f>IF(ISNA(VLOOKUP($A26,Council_Data!$A$3:$AB$840,3,0)),0,VLOOKUP($A26,Council_Data!$A$3:$AB$840,3,0))</f>
        <v>Kingsville</v>
      </c>
      <c r="D26" s="93">
        <f>IF(ISNA(VLOOKUP($A26,Council_Data!$A$3:$AB$840,5,0)),0,VLOOKUP($A26,Council_Data!$A$3:$AB$840,5,0))</f>
        <v>174</v>
      </c>
      <c r="E26" s="93">
        <f>IF(ISNA(VLOOKUP($A26,Council_Data!$A$3:$AB$840,6,0)),0,VLOOKUP($A26,Council_Data!$A$3:$AB$840,6,0))</f>
        <v>8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Carlin</v>
      </c>
    </row>
    <row r="27" spans="1:22">
      <c r="A27" s="50">
        <v>2701</v>
      </c>
      <c r="B27" s="50" t="str">
        <f>IF(ISNA(VLOOKUP($A27,Council_Data!$A$3:$AB$840,2,0)),0,VLOOKUP($A27,Council_Data!$A$3:$AB$840,2,0))</f>
        <v>172</v>
      </c>
      <c r="C27" s="50" t="str">
        <f>IF(ISNA(VLOOKUP($A27,Council_Data!$A$3:$AB$840,3,0)),0,VLOOKUP($A27,Council_Data!$A$3:$AB$840,3,0))</f>
        <v>Falfurrias</v>
      </c>
      <c r="D27" s="93">
        <f>IF(ISNA(VLOOKUP($A27,Council_Data!$A$3:$AB$840,5,0)),0,VLOOKUP($A27,Council_Data!$A$3:$AB$840,5,0))</f>
        <v>63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1</v>
      </c>
      <c r="P27" s="93">
        <f>IF(ISNA(VLOOKUP($A27,Council_Data!$A$3:$AB$840,17,0)),0,VLOOKUP($A27,Council_Data!$A$3:$AB$840,17,0))</f>
        <v>-1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-1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Carlin</v>
      </c>
    </row>
    <row r="28" spans="1:22">
      <c r="A28" s="50">
        <v>3389</v>
      </c>
      <c r="B28" s="50" t="str">
        <f>IF(ISNA(VLOOKUP($A28,Council_Data!$A$3:$AB$840,2,0)),0,VLOOKUP($A28,Council_Data!$A$3:$AB$840,2,0))</f>
        <v>172</v>
      </c>
      <c r="C28" s="50" t="str">
        <f>IF(ISNA(VLOOKUP($A28,Council_Data!$A$3:$AB$840,3,0)),0,VLOOKUP($A28,Council_Data!$A$3:$AB$840,3,0))</f>
        <v>Kingsville</v>
      </c>
      <c r="D28" s="93">
        <f>IF(ISNA(VLOOKUP($A28,Council_Data!$A$3:$AB$840,5,0)),0,VLOOKUP($A28,Council_Data!$A$3:$AB$840,5,0))</f>
        <v>170</v>
      </c>
      <c r="E28" s="93">
        <f>IF(ISNA(VLOOKUP($A28,Council_Data!$A$3:$AB$840,6,0)),0,VLOOKUP($A28,Council_Data!$A$3:$AB$840,6,0))</f>
        <v>8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-1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Carlin</v>
      </c>
    </row>
    <row r="29" spans="1:22">
      <c r="A29" s="50">
        <v>16275</v>
      </c>
      <c r="B29" s="50" t="str">
        <f>IF(ISNA(VLOOKUP($A29,Council_Data!$A$3:$AB$840,2,0)),0,VLOOKUP($A29,Council_Data!$A$3:$AB$840,2,0))</f>
        <v>172</v>
      </c>
      <c r="C29" s="50" t="str">
        <f>IF(ISNA(VLOOKUP($A29,Council_Data!$A$3:$AB$840,3,0)),0,VLOOKUP($A29,Council_Data!$A$3:$AB$840,3,0))</f>
        <v>Bishop</v>
      </c>
      <c r="D29" s="93">
        <f>IF(ISNA(VLOOKUP($A29,Council_Data!$A$3:$AB$840,5,0)),0,VLOOKUP($A29,Council_Data!$A$3:$AB$840,5,0))</f>
        <v>65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Carlin</v>
      </c>
    </row>
    <row r="30" spans="1:22">
      <c r="A30" s="50">
        <v>2791</v>
      </c>
      <c r="B30" s="50" t="str">
        <f>IF(ISNA(VLOOKUP($A30,Council_Data!$A$3:$AB$840,2,0)),0,VLOOKUP($A30,Council_Data!$A$3:$AB$840,2,0))</f>
        <v>176</v>
      </c>
      <c r="C30" s="50" t="str">
        <f>IF(ISNA(VLOOKUP($A30,Council_Data!$A$3:$AB$840,3,0)),0,VLOOKUP($A30,Council_Data!$A$3:$AB$840,3,0))</f>
        <v>San Diego</v>
      </c>
      <c r="D30" s="93">
        <f>IF(ISNA(VLOOKUP($A30,Council_Data!$A$3:$AB$840,5,0)),0,VLOOKUP($A30,Council_Data!$A$3:$AB$840,5,0))</f>
        <v>85</v>
      </c>
      <c r="E30" s="93">
        <f>IF(ISNA(VLOOKUP($A30,Council_Data!$A$3:$AB$840,6,0)),0,VLOOKUP($A30,Council_Data!$A$3:$AB$840,6,0))</f>
        <v>4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8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8</v>
      </c>
      <c r="L30" s="94">
        <f>IF(ISNA(VLOOKUP($A30,Council_Data!$A$3:$AB$840,13,0)),0,VLOOKUP($A30,Council_Data!$A$3:$AB$840,13,0))</f>
        <v>200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Carlin</v>
      </c>
    </row>
    <row r="31" spans="1:22">
      <c r="A31" s="50">
        <v>3494</v>
      </c>
      <c r="B31" s="50" t="str">
        <f>IF(ISNA(VLOOKUP($A31,Council_Data!$A$3:$AB$840,2,0)),0,VLOOKUP($A31,Council_Data!$A$3:$AB$840,2,0))</f>
        <v>173</v>
      </c>
      <c r="C31" s="50" t="str">
        <f>IF(ISNA(VLOOKUP($A31,Council_Data!$A$3:$AB$840,3,0)),0,VLOOKUP($A31,Council_Data!$A$3:$AB$840,3,0))</f>
        <v>Benavides</v>
      </c>
      <c r="D31" s="93">
        <f>IF(ISNA(VLOOKUP($A31,Council_Data!$A$3:$AB$840,5,0)),0,VLOOKUP($A31,Council_Data!$A$3:$AB$840,5,0))</f>
        <v>28</v>
      </c>
      <c r="E31" s="93">
        <f>IF(ISNA(VLOOKUP($A31,Council_Data!$A$3:$AB$840,6,0)),0,VLOOKUP($A31,Council_Data!$A$3:$AB$840,6,0))</f>
        <v>3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3</v>
      </c>
      <c r="V31" s="50" t="str">
        <f>IF(ISNA(VLOOKUP($A31,Council_Data!$A$3:$AB$840,24,0)),0,VLOOKUP($A31,Council_Data!$A$3:$AB$840,24,0))</f>
        <v>Carlin</v>
      </c>
    </row>
    <row r="32" spans="1:22">
      <c r="A32" s="50">
        <v>7167</v>
      </c>
      <c r="B32" s="50" t="str">
        <f>IF(ISNA(VLOOKUP($A32,Council_Data!$A$3:$AB$840,2,0)),0,VLOOKUP($A32,Council_Data!$A$3:$AB$840,2,0))</f>
        <v>176</v>
      </c>
      <c r="C32" s="50" t="str">
        <f>IF(ISNA(VLOOKUP($A32,Council_Data!$A$3:$AB$840,3,0)),0,VLOOKUP($A32,Council_Data!$A$3:$AB$840,3,0))</f>
        <v>Freer</v>
      </c>
      <c r="D32" s="93">
        <f>IF(ISNA(VLOOKUP($A32,Council_Data!$A$3:$AB$840,5,0)),0,VLOOKUP($A32,Council_Data!$A$3:$AB$840,5,0))</f>
        <v>77</v>
      </c>
      <c r="E32" s="93">
        <f>IF(ISNA(VLOOKUP($A32,Council_Data!$A$3:$AB$840,6,0)),0,VLOOKUP($A32,Council_Data!$A$3:$AB$840,6,0))</f>
        <v>4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2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2</v>
      </c>
      <c r="L32" s="94">
        <f>IF(ISNA(VLOOKUP($A32,Council_Data!$A$3:$AB$840,13,0)),0,VLOOKUP($A32,Council_Data!$A$3:$AB$840,13,0))</f>
        <v>50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Carlin</v>
      </c>
    </row>
    <row r="33" spans="1:22">
      <c r="A33" s="50">
        <v>10403</v>
      </c>
      <c r="B33" s="50" t="str">
        <f>IF(ISNA(VLOOKUP($A33,Council_Data!$A$3:$AB$840,2,0)),0,VLOOKUP($A33,Council_Data!$A$3:$AB$840,2,0))</f>
        <v>173</v>
      </c>
      <c r="C33" s="50" t="str">
        <f>IF(ISNA(VLOOKUP($A33,Council_Data!$A$3:$AB$840,3,0)),0,VLOOKUP($A33,Council_Data!$A$3:$AB$840,3,0))</f>
        <v>Alice</v>
      </c>
      <c r="D33" s="93">
        <f>IF(ISNA(VLOOKUP($A33,Council_Data!$A$3:$AB$840,5,0)),0,VLOOKUP($A33,Council_Data!$A$3:$AB$840,5,0))</f>
        <v>94</v>
      </c>
      <c r="E33" s="93">
        <f>IF(ISNA(VLOOKUP($A33,Council_Data!$A$3:$AB$840,6,0)),0,VLOOKUP($A33,Council_Data!$A$3:$AB$840,6,0))</f>
        <v>5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Carlin</v>
      </c>
    </row>
    <row r="34" spans="1:22">
      <c r="A34" s="50">
        <v>5919</v>
      </c>
      <c r="B34" s="50" t="str">
        <f>IF(ISNA(VLOOKUP($A34,Council_Data!$A$3:$AB$840,2,0)),0,VLOOKUP($A34,Council_Data!$A$3:$AB$840,2,0))</f>
        <v>170</v>
      </c>
      <c r="C34" s="50" t="str">
        <f>IF(ISNA(VLOOKUP($A34,Council_Data!$A$3:$AB$840,3,0)),0,VLOOKUP($A34,Council_Data!$A$3:$AB$840,3,0))</f>
        <v>Corpus Christi</v>
      </c>
      <c r="D34" s="93">
        <f>IF(ISNA(VLOOKUP($A34,Council_Data!$A$3:$AB$840,5,0)),0,VLOOKUP($A34,Council_Data!$A$3:$AB$840,5,0))</f>
        <v>107</v>
      </c>
      <c r="E34" s="93">
        <f>IF(ISNA(VLOOKUP($A34,Council_Data!$A$3:$AB$840,6,0)),0,VLOOKUP($A34,Council_Data!$A$3:$AB$840,6,0))</f>
        <v>5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4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4</v>
      </c>
      <c r="L34" s="94">
        <f>IF(ISNA(VLOOKUP($A34,Council_Data!$A$3:$AB$840,13,0)),0,VLOOKUP($A34,Council_Data!$A$3:$AB$840,13,0))</f>
        <v>80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Carlin</v>
      </c>
    </row>
    <row r="35" spans="1:22">
      <c r="A35" s="50">
        <v>6280</v>
      </c>
      <c r="B35" s="50" t="str">
        <f>IF(ISNA(VLOOKUP($A35,Council_Data!$A$3:$AB$840,2,0)),0,VLOOKUP($A35,Council_Data!$A$3:$AB$840,2,0))</f>
        <v>167</v>
      </c>
      <c r="C35" s="50" t="str">
        <f>IF(ISNA(VLOOKUP($A35,Council_Data!$A$3:$AB$840,3,0)),0,VLOOKUP($A35,Council_Data!$A$3:$AB$840,3,0))</f>
        <v>Corpus Christi</v>
      </c>
      <c r="D35" s="93">
        <f>IF(ISNA(VLOOKUP($A35,Council_Data!$A$3:$AB$840,5,0)),0,VLOOKUP($A35,Council_Data!$A$3:$AB$840,5,0))</f>
        <v>68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4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4</v>
      </c>
      <c r="L35" s="94">
        <f>IF(ISNA(VLOOKUP($A35,Council_Data!$A$3:$AB$840,13,0)),0,VLOOKUP($A35,Council_Data!$A$3:$AB$840,13,0))</f>
        <v>133.33000000000001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2</v>
      </c>
      <c r="P35" s="93">
        <f>IF(ISNA(VLOOKUP($A35,Council_Data!$A$3:$AB$840,17,0)),0,VLOOKUP($A35,Council_Data!$A$3:$AB$840,17,0))</f>
        <v>-2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2</v>
      </c>
      <c r="S35" s="93">
        <f>IF(ISNA(VLOOKUP($A35,Council_Data!$A$3:$AB$840,20,0)),0,VLOOKUP($A35,Council_Data!$A$3:$AB$840,20,0))</f>
        <v>-2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2</v>
      </c>
      <c r="V35" s="50" t="str">
        <f>IF(ISNA(VLOOKUP($A35,Council_Data!$A$3:$AB$840,24,0)),0,VLOOKUP($A35,Council_Data!$A$3:$AB$840,24,0))</f>
        <v>Carlin</v>
      </c>
    </row>
    <row r="36" spans="1:22">
      <c r="A36" s="50">
        <v>11567</v>
      </c>
      <c r="B36" s="50" t="str">
        <f>IF(ISNA(VLOOKUP($A36,Council_Data!$A$3:$AB$840,2,0)),0,VLOOKUP($A36,Council_Data!$A$3:$AB$840,2,0))</f>
        <v>179</v>
      </c>
      <c r="C36" s="50" t="str">
        <f>IF(ISNA(VLOOKUP($A36,Council_Data!$A$3:$AB$840,3,0)),0,VLOOKUP($A36,Council_Data!$A$3:$AB$840,3,0))</f>
        <v>Corpus Christi</v>
      </c>
      <c r="D36" s="93">
        <f>IF(ISNA(VLOOKUP($A36,Council_Data!$A$3:$AB$840,5,0)),0,VLOOKUP($A36,Council_Data!$A$3:$AB$840,5,0))</f>
        <v>58</v>
      </c>
      <c r="E36" s="93">
        <f>IF(ISNA(VLOOKUP($A36,Council_Data!$A$3:$AB$840,6,0)),0,VLOOKUP($A36,Council_Data!$A$3:$AB$840,6,0))</f>
        <v>3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0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0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3</v>
      </c>
      <c r="V36" s="50" t="str">
        <f>IF(ISNA(VLOOKUP($A36,Council_Data!$A$3:$AB$840,24,0)),0,VLOOKUP($A36,Council_Data!$A$3:$AB$840,24,0))</f>
        <v>Carlin</v>
      </c>
    </row>
    <row r="37" spans="1:22">
      <c r="A37" s="50">
        <v>6413</v>
      </c>
      <c r="B37" s="50" t="str">
        <f>IF(ISNA(VLOOKUP($A37,Council_Data!$A$3:$AB$840,2,0)),0,VLOOKUP($A37,Council_Data!$A$3:$AB$840,2,0))</f>
        <v>171</v>
      </c>
      <c r="C37" s="50" t="str">
        <f>IF(ISNA(VLOOKUP($A37,Council_Data!$A$3:$AB$840,3,0)),0,VLOOKUP($A37,Council_Data!$A$3:$AB$840,3,0))</f>
        <v>Portland</v>
      </c>
      <c r="D37" s="93">
        <f>IF(ISNA(VLOOKUP($A37,Council_Data!$A$3:$AB$840,5,0)),0,VLOOKUP($A37,Council_Data!$A$3:$AB$840,5,0))</f>
        <v>224</v>
      </c>
      <c r="E37" s="93">
        <f>IF(ISNA(VLOOKUP($A37,Council_Data!$A$3:$AB$840,6,0)),0,VLOOKUP($A37,Council_Data!$A$3:$AB$840,6,0))</f>
        <v>11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5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5</v>
      </c>
      <c r="L37" s="94">
        <f>IF(ISNA(VLOOKUP($A37,Council_Data!$A$3:$AB$840,13,0)),0,VLOOKUP($A37,Council_Data!$A$3:$AB$840,13,0))</f>
        <v>45.45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1</v>
      </c>
      <c r="P37" s="93">
        <f>IF(ISNA(VLOOKUP($A37,Council_Data!$A$3:$AB$840,17,0)),0,VLOOKUP($A37,Council_Data!$A$3:$AB$840,17,0))</f>
        <v>-1</v>
      </c>
      <c r="Q37" s="93">
        <f>IF(ISNA(VLOOKUP($A37,Council_Data!$A$3:$AB$840,18,0)),0,VLOOKUP($A37,Council_Data!$A$3:$AB$840,18,0))</f>
        <v>2</v>
      </c>
      <c r="R37" s="93">
        <f>IF(ISNA(VLOOKUP($A37,Council_Data!$A$3:$AB$840,19,0)),0,VLOOKUP($A37,Council_Data!$A$3:$AB$840,19,0))</f>
        <v>2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1</v>
      </c>
      <c r="V37" s="50" t="str">
        <f>IF(ISNA(VLOOKUP($A37,Council_Data!$A$3:$AB$840,24,0)),0,VLOOKUP($A37,Council_Data!$A$3:$AB$840,24,0))</f>
        <v>Carlin</v>
      </c>
    </row>
    <row r="38" spans="1:22">
      <c r="A38" s="50">
        <v>11107</v>
      </c>
      <c r="B38" s="50" t="str">
        <f>IF(ISNA(VLOOKUP($A38,Council_Data!$A$3:$AB$840,2,0)),0,VLOOKUP($A38,Council_Data!$A$3:$AB$840,2,0))</f>
        <v>174</v>
      </c>
      <c r="C38" s="50" t="str">
        <f>IF(ISNA(VLOOKUP($A38,Council_Data!$A$3:$AB$840,3,0)),0,VLOOKUP($A38,Council_Data!$A$3:$AB$840,3,0))</f>
        <v>Corpus Christi</v>
      </c>
      <c r="D38" s="93">
        <f>IF(ISNA(VLOOKUP($A38,Council_Data!$A$3:$AB$840,5,0)),0,VLOOKUP($A38,Council_Data!$A$3:$AB$840,5,0))</f>
        <v>133</v>
      </c>
      <c r="E38" s="93">
        <f>IF(ISNA(VLOOKUP($A38,Council_Data!$A$3:$AB$840,6,0)),0,VLOOKUP($A38,Council_Data!$A$3:$AB$840,6,0))</f>
        <v>7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3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3</v>
      </c>
      <c r="L38" s="94">
        <f>IF(ISNA(VLOOKUP($A38,Council_Data!$A$3:$AB$840,13,0)),0,VLOOKUP($A38,Council_Data!$A$3:$AB$840,13,0))</f>
        <v>42.86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1</v>
      </c>
      <c r="S38" s="93">
        <f>IF(ISNA(VLOOKUP($A38,Council_Data!$A$3:$AB$840,20,0)),0,VLOOKUP($A38,Council_Data!$A$3:$AB$840,20,0))</f>
        <v>-1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Carlin</v>
      </c>
    </row>
    <row r="39" spans="1:22">
      <c r="A39" s="50">
        <v>15326</v>
      </c>
      <c r="B39" s="50" t="str">
        <f>IF(ISNA(VLOOKUP($A39,Council_Data!$A$3:$AB$840,2,0)),0,VLOOKUP($A39,Council_Data!$A$3:$AB$840,2,0))</f>
        <v>175</v>
      </c>
      <c r="C39" s="50" t="str">
        <f>IF(ISNA(VLOOKUP($A39,Council_Data!$A$3:$AB$840,3,0)),0,VLOOKUP($A39,Council_Data!$A$3:$AB$840,3,0))</f>
        <v>Taft</v>
      </c>
      <c r="D39" s="93">
        <f>IF(ISNA(VLOOKUP($A39,Council_Data!$A$3:$AB$840,5,0)),0,VLOOKUP($A39,Council_Data!$A$3:$AB$840,5,0))</f>
        <v>36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Carlin</v>
      </c>
    </row>
    <row r="40" spans="1:22">
      <c r="A40" s="50">
        <v>15512</v>
      </c>
      <c r="B40" s="50" t="str">
        <f>IF(ISNA(VLOOKUP($A40,Council_Data!$A$3:$AB$840,2,0)),0,VLOOKUP($A40,Council_Data!$A$3:$AB$840,2,0))</f>
        <v>175</v>
      </c>
      <c r="C40" s="50" t="str">
        <f>IF(ISNA(VLOOKUP($A40,Council_Data!$A$3:$AB$840,3,0)),0,VLOOKUP($A40,Council_Data!$A$3:$AB$840,3,0))</f>
        <v>Taft</v>
      </c>
      <c r="D40" s="93">
        <f>IF(ISNA(VLOOKUP($A40,Council_Data!$A$3:$AB$840,5,0)),0,VLOOKUP($A40,Council_Data!$A$3:$AB$840,5,0))</f>
        <v>52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Carlin</v>
      </c>
    </row>
    <row r="41" spans="1:22">
      <c r="A41" s="50">
        <v>2992</v>
      </c>
      <c r="B41" s="50" t="str">
        <f>IF(ISNA(VLOOKUP($A41,Council_Data!$A$3:$AB$840,2,0)),0,VLOOKUP($A41,Council_Data!$A$3:$AB$840,2,0))</f>
        <v>173</v>
      </c>
      <c r="C41" s="50" t="str">
        <f>IF(ISNA(VLOOKUP($A41,Council_Data!$A$3:$AB$840,3,0)),0,VLOOKUP($A41,Council_Data!$A$3:$AB$840,3,0))</f>
        <v>Alice</v>
      </c>
      <c r="D41" s="93">
        <f>IF(ISNA(VLOOKUP($A41,Council_Data!$A$3:$AB$840,5,0)),0,VLOOKUP($A41,Council_Data!$A$3:$AB$840,5,0))</f>
        <v>69</v>
      </c>
      <c r="E41" s="93">
        <f>IF(ISNA(VLOOKUP($A41,Council_Data!$A$3:$AB$840,6,0)),0,VLOOKUP($A41,Council_Data!$A$3:$AB$840,6,0))</f>
        <v>3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0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0</v>
      </c>
      <c r="R41" s="93">
        <f>IF(ISNA(VLOOKUP($A41,Council_Data!$A$3:$AB$840,19,0)),0,VLOOKUP($A41,Council_Data!$A$3:$AB$840,19,0))</f>
        <v>0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Carlin</v>
      </c>
    </row>
    <row r="42" spans="1:22">
      <c r="A42" s="50">
        <v>3169</v>
      </c>
      <c r="B42" s="50" t="str">
        <f>IF(ISNA(VLOOKUP($A42,Council_Data!$A$3:$AB$840,2,0)),0,VLOOKUP($A42,Council_Data!$A$3:$AB$840,2,0))</f>
        <v>173</v>
      </c>
      <c r="C42" s="50" t="str">
        <f>IF(ISNA(VLOOKUP($A42,Council_Data!$A$3:$AB$840,3,0)),0,VLOOKUP($A42,Council_Data!$A$3:$AB$840,3,0))</f>
        <v>Alice</v>
      </c>
      <c r="D42" s="93">
        <f>IF(ISNA(VLOOKUP($A42,Council_Data!$A$3:$AB$840,5,0)),0,VLOOKUP($A42,Council_Data!$A$3:$AB$840,5,0))</f>
        <v>314</v>
      </c>
      <c r="E42" s="93">
        <f>IF(ISNA(VLOOKUP($A42,Council_Data!$A$3:$AB$840,6,0)),0,VLOOKUP($A42,Council_Data!$A$3:$AB$840,6,0))</f>
        <v>16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5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5</v>
      </c>
      <c r="L42" s="94">
        <f>IF(ISNA(VLOOKUP($A42,Council_Data!$A$3:$AB$840,13,0)),0,VLOOKUP($A42,Council_Data!$A$3:$AB$840,13,0))</f>
        <v>31.25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2</v>
      </c>
      <c r="P42" s="93">
        <f>IF(ISNA(VLOOKUP($A42,Council_Data!$A$3:$AB$840,17,0)),0,VLOOKUP($A42,Council_Data!$A$3:$AB$840,17,0))</f>
        <v>-2</v>
      </c>
      <c r="Q42" s="93">
        <f>IF(ISNA(VLOOKUP($A42,Council_Data!$A$3:$AB$840,18,0)),0,VLOOKUP($A42,Council_Data!$A$3:$AB$840,18,0))</f>
        <v>1</v>
      </c>
      <c r="R42" s="93">
        <f>IF(ISNA(VLOOKUP($A42,Council_Data!$A$3:$AB$840,19,0)),0,VLOOKUP($A42,Council_Data!$A$3:$AB$840,19,0))</f>
        <v>2</v>
      </c>
      <c r="S42" s="93">
        <f>IF(ISNA(VLOOKUP($A42,Council_Data!$A$3:$AB$840,20,0)),0,VLOOKUP($A42,Council_Data!$A$3:$AB$840,20,0))</f>
        <v>-1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Carlin</v>
      </c>
    </row>
    <row r="43" spans="1:22">
      <c r="A43" s="50">
        <v>13434</v>
      </c>
      <c r="B43" s="50" t="str">
        <f>IF(ISNA(VLOOKUP($A43,Council_Data!$A$3:$AB$840,2,0)),0,VLOOKUP($A43,Council_Data!$A$3:$AB$840,2,0))</f>
        <v>176</v>
      </c>
      <c r="C43" s="50" t="str">
        <f>IF(ISNA(VLOOKUP($A43,Council_Data!$A$3:$AB$840,3,0)),0,VLOOKUP($A43,Council_Data!$A$3:$AB$840,3,0))</f>
        <v>Ben Bolt</v>
      </c>
      <c r="D43" s="93">
        <f>IF(ISNA(VLOOKUP($A43,Council_Data!$A$3:$AB$840,5,0)),0,VLOOKUP($A43,Council_Data!$A$3:$AB$840,5,0))</f>
        <v>56</v>
      </c>
      <c r="E43" s="93">
        <f>IF(ISNA(VLOOKUP($A43,Council_Data!$A$3:$AB$840,6,0)),0,VLOOKUP($A43,Council_Data!$A$3:$AB$840,6,0))</f>
        <v>3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3</v>
      </c>
      <c r="V43" s="50" t="str">
        <f>IF(ISNA(VLOOKUP($A43,Council_Data!$A$3:$AB$840,24,0)),0,VLOOKUP($A43,Council_Data!$A$3:$AB$840,24,0))</f>
        <v>Carlin</v>
      </c>
    </row>
    <row r="44" spans="1:22">
      <c r="A44" s="50">
        <v>3110</v>
      </c>
      <c r="B44" s="50" t="str">
        <f>IF(ISNA(VLOOKUP($A44,Council_Data!$A$3:$AB$840,2,0)),0,VLOOKUP($A44,Council_Data!$A$3:$AB$840,2,0))</f>
        <v>177</v>
      </c>
      <c r="C44" s="50" t="str">
        <f>IF(ISNA(VLOOKUP($A44,Council_Data!$A$3:$AB$840,3,0)),0,VLOOKUP($A44,Council_Data!$A$3:$AB$840,3,0))</f>
        <v>Robstown</v>
      </c>
      <c r="D44" s="93">
        <f>IF(ISNA(VLOOKUP($A44,Council_Data!$A$3:$AB$840,5,0)),0,VLOOKUP($A44,Council_Data!$A$3:$AB$840,5,0))</f>
        <v>146</v>
      </c>
      <c r="E44" s="93">
        <f>IF(ISNA(VLOOKUP($A44,Council_Data!$A$3:$AB$840,6,0)),0,VLOOKUP($A44,Council_Data!$A$3:$AB$840,6,0))</f>
        <v>7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1</v>
      </c>
      <c r="P44" s="93">
        <f>IF(ISNA(VLOOKUP($A44,Council_Data!$A$3:$AB$840,17,0)),0,VLOOKUP($A44,Council_Data!$A$3:$AB$840,17,0))</f>
        <v>-1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1</v>
      </c>
      <c r="S44" s="93">
        <f>IF(ISNA(VLOOKUP($A44,Council_Data!$A$3:$AB$840,20,0)),0,VLOOKUP($A44,Council_Data!$A$3:$AB$840,20,0))</f>
        <v>-1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1</v>
      </c>
      <c r="V44" s="50" t="str">
        <f>IF(ISNA(VLOOKUP($A44,Council_Data!$A$3:$AB$840,24,0)),0,VLOOKUP($A44,Council_Data!$A$3:$AB$840,24,0))</f>
        <v>Carlin</v>
      </c>
    </row>
    <row r="45" spans="1:22">
      <c r="A45" s="50">
        <v>4157</v>
      </c>
      <c r="B45" s="50" t="str">
        <f>IF(ISNA(VLOOKUP($A45,Council_Data!$A$3:$AB$840,2,0)),0,VLOOKUP($A45,Council_Data!$A$3:$AB$840,2,0))</f>
        <v>168</v>
      </c>
      <c r="C45" s="50" t="str">
        <f>IF(ISNA(VLOOKUP($A45,Council_Data!$A$3:$AB$840,3,0)),0,VLOOKUP($A45,Council_Data!$A$3:$AB$840,3,0))</f>
        <v>Corpus Christi</v>
      </c>
      <c r="D45" s="93">
        <f>IF(ISNA(VLOOKUP($A45,Council_Data!$A$3:$AB$840,5,0)),0,VLOOKUP($A45,Council_Data!$A$3:$AB$840,5,0))</f>
        <v>71</v>
      </c>
      <c r="E45" s="93">
        <f>IF(ISNA(VLOOKUP($A45,Council_Data!$A$3:$AB$840,6,0)),0,VLOOKUP($A45,Council_Data!$A$3:$AB$840,6,0))</f>
        <v>4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0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1</v>
      </c>
      <c r="P45" s="93">
        <f>IF(ISNA(VLOOKUP($A45,Council_Data!$A$3:$AB$840,17,0)),0,VLOOKUP($A45,Council_Data!$A$3:$AB$840,17,0))</f>
        <v>-1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1</v>
      </c>
      <c r="S45" s="93">
        <f>IF(ISNA(VLOOKUP($A45,Council_Data!$A$3:$AB$840,20,0)),0,VLOOKUP($A45,Council_Data!$A$3:$AB$840,20,0))</f>
        <v>-1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2</v>
      </c>
      <c r="V45" s="50" t="str">
        <f>IF(ISNA(VLOOKUP($A45,Council_Data!$A$3:$AB$840,24,0)),0,VLOOKUP($A45,Council_Data!$A$3:$AB$840,24,0))</f>
        <v>Carlin</v>
      </c>
    </row>
    <row r="46" spans="1:22">
      <c r="A46" s="50">
        <v>8335</v>
      </c>
      <c r="B46" s="50" t="str">
        <f>IF(ISNA(VLOOKUP($A46,Council_Data!$A$3:$AB$840,2,0)),0,VLOOKUP($A46,Council_Data!$A$3:$AB$840,2,0))</f>
        <v>178</v>
      </c>
      <c r="C46" s="50" t="str">
        <f>IF(ISNA(VLOOKUP($A46,Council_Data!$A$3:$AB$840,3,0)),0,VLOOKUP($A46,Council_Data!$A$3:$AB$840,3,0))</f>
        <v>Orange Grove</v>
      </c>
      <c r="D46" s="93">
        <f>IF(ISNA(VLOOKUP($A46,Council_Data!$A$3:$AB$840,5,0)),0,VLOOKUP($A46,Council_Data!$A$3:$AB$840,5,0))</f>
        <v>87</v>
      </c>
      <c r="E46" s="93">
        <f>IF(ISNA(VLOOKUP($A46,Council_Data!$A$3:$AB$840,6,0)),0,VLOOKUP($A46,Council_Data!$A$3:$AB$840,6,0))</f>
        <v>4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2</v>
      </c>
      <c r="V46" s="50" t="str">
        <f>IF(ISNA(VLOOKUP($A46,Council_Data!$A$3:$AB$840,24,0)),0,VLOOKUP($A46,Council_Data!$A$3:$AB$840,24,0))</f>
        <v>Carlin</v>
      </c>
    </row>
    <row r="47" spans="1:22">
      <c r="A47" s="50">
        <v>13683</v>
      </c>
      <c r="B47" s="50" t="str">
        <f>IF(ISNA(VLOOKUP($A47,Council_Data!$A$3:$AB$840,2,0)),0,VLOOKUP($A47,Council_Data!$A$3:$AB$840,2,0))</f>
        <v>178</v>
      </c>
      <c r="C47" s="50" t="str">
        <f>IF(ISNA(VLOOKUP($A47,Council_Data!$A$3:$AB$840,3,0)),0,VLOOKUP($A47,Council_Data!$A$3:$AB$840,3,0))</f>
        <v>Agua Dulce</v>
      </c>
      <c r="D47" s="93">
        <f>IF(ISNA(VLOOKUP($A47,Council_Data!$A$3:$AB$840,5,0)),0,VLOOKUP($A47,Council_Data!$A$3:$AB$840,5,0))</f>
        <v>38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1</v>
      </c>
      <c r="P47" s="93">
        <f>IF(ISNA(VLOOKUP($A47,Council_Data!$A$3:$AB$840,17,0)),0,VLOOKUP($A47,Council_Data!$A$3:$AB$840,17,0))</f>
        <v>-1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1</v>
      </c>
      <c r="S47" s="93">
        <f>IF(ISNA(VLOOKUP($A47,Council_Data!$A$3:$AB$840,20,0)),0,VLOOKUP($A47,Council_Data!$A$3:$AB$840,20,0))</f>
        <v>-1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Carlin</v>
      </c>
    </row>
    <row r="48" spans="1:22">
      <c r="A48" s="50">
        <v>1653</v>
      </c>
      <c r="B48" s="50" t="str">
        <f>IF(ISNA(VLOOKUP($A48,Council_Data!$A$3:$AB$840,2,0)),0,VLOOKUP($A48,Council_Data!$A$3:$AB$840,2,0))</f>
        <v>166</v>
      </c>
      <c r="C48" s="50" t="str">
        <f>IF(ISNA(VLOOKUP($A48,Council_Data!$A$3:$AB$840,3,0)),0,VLOOKUP($A48,Council_Data!$A$3:$AB$840,3,0))</f>
        <v>Beeville</v>
      </c>
      <c r="D48" s="93">
        <f>IF(ISNA(VLOOKUP($A48,Council_Data!$A$3:$AB$840,5,0)),0,VLOOKUP($A48,Council_Data!$A$3:$AB$840,5,0))</f>
        <v>105</v>
      </c>
      <c r="E48" s="93">
        <f>IF(ISNA(VLOOKUP($A48,Council_Data!$A$3:$AB$840,6,0)),0,VLOOKUP($A48,Council_Data!$A$3:$AB$840,6,0))</f>
        <v>5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0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2</v>
      </c>
      <c r="V48" s="50" t="str">
        <f>IF(ISNA(VLOOKUP($A48,Council_Data!$A$3:$AB$840,24,0)),0,VLOOKUP($A48,Council_Data!$A$3:$AB$840,24,0))</f>
        <v>Carlin</v>
      </c>
    </row>
    <row r="49" spans="1:22">
      <c r="A49" s="50">
        <v>14369</v>
      </c>
      <c r="B49" s="50" t="str">
        <f>IF(ISNA(VLOOKUP($A49,Council_Data!$A$3:$AB$840,2,0)),0,VLOOKUP($A49,Council_Data!$A$3:$AB$840,2,0))</f>
        <v>166</v>
      </c>
      <c r="C49" s="50" t="str">
        <f>IF(ISNA(VLOOKUP($A49,Council_Data!$A$3:$AB$840,3,0)),0,VLOOKUP($A49,Council_Data!$A$3:$AB$840,3,0))</f>
        <v>Skidmore</v>
      </c>
      <c r="D49" s="93">
        <f>IF(ISNA(VLOOKUP($A49,Council_Data!$A$3:$AB$840,5,0)),0,VLOOKUP($A49,Council_Data!$A$3:$AB$840,5,0))</f>
        <v>34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Carlin</v>
      </c>
    </row>
    <row r="50" spans="1:22">
      <c r="A50" s="50">
        <v>14756</v>
      </c>
      <c r="B50" s="50" t="str">
        <f>IF(ISNA(VLOOKUP($A50,Council_Data!$A$3:$AB$840,2,0)),0,VLOOKUP($A50,Council_Data!$A$3:$AB$840,2,0))</f>
        <v>166</v>
      </c>
      <c r="C50" s="50" t="str">
        <f>IF(ISNA(VLOOKUP($A50,Council_Data!$A$3:$AB$840,3,0)),0,VLOOKUP($A50,Council_Data!$A$3:$AB$840,3,0))</f>
        <v>Beeville</v>
      </c>
      <c r="D50" s="93">
        <f>IF(ISNA(VLOOKUP($A50,Council_Data!$A$3:$AB$840,5,0)),0,VLOOKUP($A50,Council_Data!$A$3:$AB$840,5,0))</f>
        <v>50</v>
      </c>
      <c r="E50" s="93">
        <f>IF(ISNA(VLOOKUP($A50,Council_Data!$A$3:$AB$840,6,0)),0,VLOOKUP($A50,Council_Data!$A$3:$AB$840,6,0))</f>
        <v>3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3</v>
      </c>
      <c r="V50" s="50" t="str">
        <f>IF(ISNA(VLOOKUP($A50,Council_Data!$A$3:$AB$840,24,0)),0,VLOOKUP($A50,Council_Data!$A$3:$AB$840,24,0))</f>
        <v>Carlin</v>
      </c>
    </row>
    <row r="51" spans="1:22">
      <c r="A51" s="50">
        <v>15760</v>
      </c>
      <c r="B51" s="50" t="str">
        <f>IF(ISNA(VLOOKUP($A51,Council_Data!$A$3:$AB$840,2,0)),0,VLOOKUP($A51,Council_Data!$A$3:$AB$840,2,0))</f>
        <v>176</v>
      </c>
      <c r="C51" s="50" t="str">
        <f>IF(ISNA(VLOOKUP($A51,Council_Data!$A$3:$AB$840,3,0)),0,VLOOKUP($A51,Council_Data!$A$3:$AB$840,3,0))</f>
        <v>Alice</v>
      </c>
      <c r="D51" s="93">
        <f>IF(ISNA(VLOOKUP($A51,Council_Data!$A$3:$AB$840,5,0)),0,VLOOKUP($A51,Council_Data!$A$3:$AB$840,5,0))</f>
        <v>40</v>
      </c>
      <c r="E51" s="93">
        <f>IF(ISNA(VLOOKUP($A51,Council_Data!$A$3:$AB$840,6,0)),0,VLOOKUP($A51,Council_Data!$A$3:$AB$840,6,0))</f>
        <v>3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-1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3</v>
      </c>
      <c r="V51" s="50" t="str">
        <f>IF(ISNA(VLOOKUP($A51,Council_Data!$A$3:$AB$840,24,0)),0,VLOOKUP($A51,Council_Data!$A$3:$AB$840,24,0))</f>
        <v>Carlin</v>
      </c>
    </row>
    <row r="52" spans="1:22">
      <c r="A52" s="50">
        <v>1202</v>
      </c>
      <c r="B52" s="50" t="str">
        <f>IF(ISNA(VLOOKUP($A52,Council_Data!$A$3:$AB$840,2,0)),0,VLOOKUP($A52,Council_Data!$A$3:$AB$840,2,0))</f>
        <v>174</v>
      </c>
      <c r="C52" s="50" t="str">
        <f>IF(ISNA(VLOOKUP($A52,Council_Data!$A$3:$AB$840,3,0)),0,VLOOKUP($A52,Council_Data!$A$3:$AB$840,3,0))</f>
        <v>Corpus Christi</v>
      </c>
      <c r="D52" s="93">
        <f>IF(ISNA(VLOOKUP($A52,Council_Data!$A$3:$AB$840,5,0)),0,VLOOKUP($A52,Council_Data!$A$3:$AB$840,5,0))</f>
        <v>104</v>
      </c>
      <c r="E52" s="93">
        <f>IF(ISNA(VLOOKUP($A52,Council_Data!$A$3:$AB$840,6,0)),0,VLOOKUP($A52,Council_Data!$A$3:$AB$840,6,0))</f>
        <v>5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2</v>
      </c>
      <c r="H52" s="93">
        <f>IF(ISNA(VLOOKUP($A52,Council_Data!$A$3:$AB$840,9,0)),0,VLOOKUP($A52,Council_Data!$A$3:$AB$840,9,0))</f>
        <v>-2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2</v>
      </c>
      <c r="K52" s="93">
        <f>IF(ISNA(VLOOKUP($A52,Council_Data!$A$3:$AB$840,12,0)),0,VLOOKUP($A52,Council_Data!$A$3:$AB$840,12,0))</f>
        <v>-1</v>
      </c>
      <c r="L52" s="94">
        <f>IF(ISNA(VLOOKUP($A52,Council_Data!$A$3:$AB$840,13,0)),0,VLOOKUP($A52,Council_Data!$A$3:$AB$840,13,0))</f>
        <v>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Carlin</v>
      </c>
    </row>
    <row r="53" spans="1:22">
      <c r="A53" s="50">
        <v>2710</v>
      </c>
      <c r="B53" s="50" t="str">
        <f>IF(ISNA(VLOOKUP($A53,Council_Data!$A$3:$AB$840,2,0)),0,VLOOKUP($A53,Council_Data!$A$3:$AB$840,2,0))</f>
        <v>174</v>
      </c>
      <c r="C53" s="50" t="str">
        <f>IF(ISNA(VLOOKUP($A53,Council_Data!$A$3:$AB$840,3,0)),0,VLOOKUP($A53,Council_Data!$A$3:$AB$840,3,0))</f>
        <v>Corpus Christi</v>
      </c>
      <c r="D53" s="93">
        <f>IF(ISNA(VLOOKUP($A53,Council_Data!$A$3:$AB$840,5,0)),0,VLOOKUP($A53,Council_Data!$A$3:$AB$840,5,0))</f>
        <v>44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1</v>
      </c>
      <c r="S53" s="93">
        <f>IF(ISNA(VLOOKUP($A53,Council_Data!$A$3:$AB$840,20,0)),0,VLOOKUP($A53,Council_Data!$A$3:$AB$840,20,0))</f>
        <v>-1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Carlin</v>
      </c>
    </row>
    <row r="54" spans="1:22">
      <c r="A54" s="50">
        <v>7185</v>
      </c>
      <c r="B54" s="50" t="str">
        <f>IF(ISNA(VLOOKUP($A54,Council_Data!$A$3:$AB$840,2,0)),0,VLOOKUP($A54,Council_Data!$A$3:$AB$840,2,0))</f>
        <v>168</v>
      </c>
      <c r="C54" s="50" t="str">
        <f>IF(ISNA(VLOOKUP($A54,Council_Data!$A$3:$AB$840,3,0)),0,VLOOKUP($A54,Council_Data!$A$3:$AB$840,3,0))</f>
        <v>Corpus Christi</v>
      </c>
      <c r="D54" s="93">
        <f>IF(ISNA(VLOOKUP($A54,Council_Data!$A$3:$AB$840,5,0)),0,VLOOKUP($A54,Council_Data!$A$3:$AB$840,5,0))</f>
        <v>60</v>
      </c>
      <c r="E54" s="93">
        <f>IF(ISNA(VLOOKUP($A54,Council_Data!$A$3:$AB$840,6,0)),0,VLOOKUP($A54,Council_Data!$A$3:$AB$840,6,0))</f>
        <v>3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3</v>
      </c>
      <c r="V54" s="50" t="str">
        <f>IF(ISNA(VLOOKUP($A54,Council_Data!$A$3:$AB$840,24,0)),0,VLOOKUP($A54,Council_Data!$A$3:$AB$840,24,0))</f>
        <v>Carlin</v>
      </c>
    </row>
    <row r="55" spans="1:22">
      <c r="A55" s="50">
        <v>13970</v>
      </c>
      <c r="B55" s="50" t="str">
        <f>IF(ISNA(VLOOKUP($A55,Council_Data!$A$3:$AB$840,2,0)),0,VLOOKUP($A55,Council_Data!$A$3:$AB$840,2,0))</f>
        <v>169</v>
      </c>
      <c r="C55" s="50" t="str">
        <f>IF(ISNA(VLOOKUP($A55,Council_Data!$A$3:$AB$840,3,0)),0,VLOOKUP($A55,Council_Data!$A$3:$AB$840,3,0))</f>
        <v>Corpus Christi</v>
      </c>
      <c r="D55" s="93">
        <f>IF(ISNA(VLOOKUP($A55,Council_Data!$A$3:$AB$840,5,0)),0,VLOOKUP($A55,Council_Data!$A$3:$AB$840,5,0))</f>
        <v>28</v>
      </c>
      <c r="E55" s="93">
        <f>IF(ISNA(VLOOKUP($A55,Council_Data!$A$3:$AB$840,6,0)),0,VLOOKUP($A55,Council_Data!$A$3:$AB$840,6,0))</f>
        <v>3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0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0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3</v>
      </c>
      <c r="V55" s="50" t="str">
        <f>IF(ISNA(VLOOKUP($A55,Council_Data!$A$3:$AB$840,24,0)),0,VLOOKUP($A55,Council_Data!$A$3:$AB$840,24,0))</f>
        <v>Carlin</v>
      </c>
    </row>
    <row r="56" spans="1:22" ht="25.5">
      <c r="A56" s="50">
        <v>3003</v>
      </c>
      <c r="B56" s="50" t="str">
        <f>IF(ISNA(VLOOKUP($A56,Council_Data!$A$3:$AB$840,2,0)),0,VLOOKUP($A56,Council_Data!$A$3:$AB$840,2,0))</f>
        <v>Unassigned</v>
      </c>
      <c r="C56" s="50" t="str">
        <f>IF(ISNA(VLOOKUP($A56,Council_Data!$A$3:$AB$840,3,0)),0,VLOOKUP($A56,Council_Data!$A$3:$AB$840,3,0))</f>
        <v>Robstown</v>
      </c>
      <c r="D56" s="93">
        <f>IF(ISNA(VLOOKUP($A56,Council_Data!$A$3:$AB$840,5,0)),0,VLOOKUP($A56,Council_Data!$A$3:$AB$840,5,0))</f>
        <v>0</v>
      </c>
      <c r="E56" s="93">
        <f>IF(ISNA(VLOOKUP($A56,Council_Data!$A$3:$AB$840,6,0)),0,VLOOKUP($A56,Council_Data!$A$3:$AB$840,6,0))</f>
        <v>0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Carlin</v>
      </c>
    </row>
    <row r="57" spans="1:22">
      <c r="A57" s="50">
        <v>5348</v>
      </c>
      <c r="B57" s="50" t="str">
        <f>IF(ISNA(VLOOKUP($A57,Council_Data!$A$3:$AB$840,2,0)),0,VLOOKUP($A57,Council_Data!$A$3:$AB$840,2,0))</f>
        <v>179</v>
      </c>
      <c r="C57" s="50" t="str">
        <f>IF(ISNA(VLOOKUP($A57,Council_Data!$A$3:$AB$840,3,0)),0,VLOOKUP($A57,Council_Data!$A$3:$AB$840,3,0))</f>
        <v>Premont</v>
      </c>
      <c r="D57" s="93">
        <f>IF(ISNA(VLOOKUP($A57,Council_Data!$A$3:$AB$840,5,0)),0,VLOOKUP($A57,Council_Data!$A$3:$AB$840,5,0))</f>
        <v>47</v>
      </c>
      <c r="E57" s="93">
        <f>IF(ISNA(VLOOKUP($A57,Council_Data!$A$3:$AB$840,6,0)),0,VLOOKUP($A57,Council_Data!$A$3:$AB$840,6,0))</f>
        <v>3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15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15</v>
      </c>
      <c r="L57" s="94">
        <f>IF(ISNA(VLOOKUP($A57,Council_Data!$A$3:$AB$840,13,0)),0,VLOOKUP($A57,Council_Data!$A$3:$AB$840,13,0))</f>
        <v>500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1</v>
      </c>
      <c r="P57" s="93">
        <f>IF(ISNA(VLOOKUP($A57,Council_Data!$A$3:$AB$840,17,0)),0,VLOOKUP($A57,Council_Data!$A$3:$AB$840,17,0))</f>
        <v>-1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1</v>
      </c>
      <c r="S57" s="93">
        <f>IF(ISNA(VLOOKUP($A57,Council_Data!$A$3:$AB$840,20,0)),0,VLOOKUP($A57,Council_Data!$A$3:$AB$840,20,0))</f>
        <v>-1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3</v>
      </c>
      <c r="V57" s="50" t="str">
        <f>IF(ISNA(VLOOKUP($A57,Council_Data!$A$3:$AB$840,24,0)),0,VLOOKUP($A57,Council_Data!$A$3:$AB$840,24,0))</f>
        <v>Carlin</v>
      </c>
    </row>
    <row r="58" spans="1:22" ht="25.5">
      <c r="A58" s="50">
        <v>6174</v>
      </c>
      <c r="B58" s="50" t="str">
        <f>IF(ISNA(VLOOKUP($A58,Council_Data!$A$3:$AB$840,2,0)),0,VLOOKUP($A58,Council_Data!$A$3:$AB$840,2,0))</f>
        <v>Unassigned</v>
      </c>
      <c r="C58" s="50" t="str">
        <f>IF(ISNA(VLOOKUP($A58,Council_Data!$A$3:$AB$840,3,0)),0,VLOOKUP($A58,Council_Data!$A$3:$AB$840,3,0))</f>
        <v>Corpus Christi</v>
      </c>
      <c r="D58" s="93">
        <f>IF(ISNA(VLOOKUP($A58,Council_Data!$A$3:$AB$840,5,0)),0,VLOOKUP($A58,Council_Data!$A$3:$AB$840,5,0))</f>
        <v>68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0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0</v>
      </c>
      <c r="L58" s="94">
        <f>IF(ISNA(VLOOKUP($A58,Council_Data!$A$3:$AB$840,13,0)),0,VLOOKUP($A58,Council_Data!$A$3:$AB$840,13,0))</f>
        <v>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0</v>
      </c>
      <c r="R58" s="93">
        <f>IF(ISNA(VLOOKUP($A58,Council_Data!$A$3:$AB$840,19,0)),0,VLOOKUP($A58,Council_Data!$A$3:$AB$840,19,0))</f>
        <v>2</v>
      </c>
      <c r="S58" s="93">
        <f>IF(ISNA(VLOOKUP($A58,Council_Data!$A$3:$AB$840,20,0)),0,VLOOKUP($A58,Council_Data!$A$3:$AB$840,20,0))</f>
        <v>-2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2</v>
      </c>
      <c r="V58" s="50" t="str">
        <f>IF(ISNA(VLOOKUP($A58,Council_Data!$A$3:$AB$840,24,0)),0,VLOOKUP($A58,Council_Data!$A$3:$AB$840,24,0))</f>
        <v>Carlin</v>
      </c>
    </row>
    <row r="59" spans="1:22">
      <c r="A59" s="50">
        <v>7362</v>
      </c>
      <c r="B59" s="50" t="str">
        <f>IF(ISNA(VLOOKUP($A59,Council_Data!$A$3:$AB$840,2,0)),0,VLOOKUP($A59,Council_Data!$A$3:$AB$840,2,0))</f>
        <v>180</v>
      </c>
      <c r="C59" s="50" t="str">
        <f>IF(ISNA(VLOOKUP($A59,Council_Data!$A$3:$AB$840,3,0)),0,VLOOKUP($A59,Council_Data!$A$3:$AB$840,3,0))</f>
        <v>Taft</v>
      </c>
      <c r="D59" s="93">
        <f>IF(ISNA(VLOOKUP($A59,Council_Data!$A$3:$AB$840,5,0)),0,VLOOKUP($A59,Council_Data!$A$3:$AB$840,5,0))</f>
        <v>41</v>
      </c>
      <c r="E59" s="93">
        <f>IF(ISNA(VLOOKUP($A59,Council_Data!$A$3:$AB$840,6,0)),0,VLOOKUP($A59,Council_Data!$A$3:$AB$840,6,0))</f>
        <v>3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0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0</v>
      </c>
      <c r="L59" s="94">
        <f>IF(ISNA(VLOOKUP($A59,Council_Data!$A$3:$AB$840,13,0)),0,VLOOKUP($A59,Council_Data!$A$3:$AB$840,13,0))</f>
        <v>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0</v>
      </c>
      <c r="R59" s="93">
        <f>IF(ISNA(VLOOKUP($A59,Council_Data!$A$3:$AB$840,19,0)),0,VLOOKUP($A59,Council_Data!$A$3:$AB$840,19,0))</f>
        <v>0</v>
      </c>
      <c r="S59" s="93">
        <f>IF(ISNA(VLOOKUP($A59,Council_Data!$A$3:$AB$840,20,0)),0,VLOOKUP($A59,Council_Data!$A$3:$AB$840,20,0))</f>
        <v>0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3</v>
      </c>
      <c r="V59" s="50" t="str">
        <f>IF(ISNA(VLOOKUP($A59,Council_Data!$A$3:$AB$840,24,0)),0,VLOOKUP($A59,Council_Data!$A$3:$AB$840,24,0))</f>
        <v>Carlin</v>
      </c>
    </row>
    <row r="60" spans="1:22">
      <c r="A60" s="50">
        <v>11121</v>
      </c>
      <c r="B60" s="50" t="str">
        <f>IF(ISNA(VLOOKUP($A60,Council_Data!$A$3:$AB$840,2,0)),0,VLOOKUP($A60,Council_Data!$A$3:$AB$840,2,0))</f>
        <v>179</v>
      </c>
      <c r="C60" s="50" t="str">
        <f>IF(ISNA(VLOOKUP($A60,Council_Data!$A$3:$AB$840,3,0)),0,VLOOKUP($A60,Council_Data!$A$3:$AB$840,3,0))</f>
        <v>Three Rivers</v>
      </c>
      <c r="D60" s="93">
        <f>IF(ISNA(VLOOKUP($A60,Council_Data!$A$3:$AB$840,5,0)),0,VLOOKUP($A60,Council_Data!$A$3:$AB$840,5,0))</f>
        <v>51</v>
      </c>
      <c r="E60" s="93">
        <f>IF(ISNA(VLOOKUP($A60,Council_Data!$A$3:$AB$840,6,0)),0,VLOOKUP($A60,Council_Data!$A$3:$AB$840,6,0))</f>
        <v>3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0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0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0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3</v>
      </c>
      <c r="V60" s="50" t="str">
        <f>IF(ISNA(VLOOKUP($A60,Council_Data!$A$3:$AB$840,24,0)),0,VLOOKUP($A60,Council_Data!$A$3:$AB$840,24,0))</f>
        <v>Carlin</v>
      </c>
    </row>
    <row r="61" spans="1:22">
      <c r="A61" s="50">
        <v>8717</v>
      </c>
      <c r="B61" s="50" t="str">
        <f>IF(ISNA(VLOOKUP($A61,Council_Data!$A$3:$AB$840,2,0)),0,VLOOKUP($A61,Council_Data!$A$3:$AB$840,2,0))</f>
        <v>178</v>
      </c>
      <c r="C61" s="50" t="str">
        <f>IF(ISNA(VLOOKUP($A61,Council_Data!$A$3:$AB$840,3,0)),0,VLOOKUP($A61,Council_Data!$A$3:$AB$840,3,0))</f>
        <v>Gregory</v>
      </c>
      <c r="D61" s="93">
        <f>IF(ISNA(VLOOKUP($A61,Council_Data!$A$3:$AB$840,5,0)),0,VLOOKUP($A61,Council_Data!$A$3:$AB$840,5,0))</f>
        <v>107</v>
      </c>
      <c r="E61" s="93">
        <f>IF(ISNA(VLOOKUP($A61,Council_Data!$A$3:$AB$840,6,0)),0,VLOOKUP($A61,Council_Data!$A$3:$AB$840,6,0))</f>
        <v>5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1</v>
      </c>
      <c r="P61" s="93">
        <f>IF(ISNA(VLOOKUP($A61,Council_Data!$A$3:$AB$840,17,0)),0,VLOOKUP($A61,Council_Data!$A$3:$AB$840,17,0))</f>
        <v>-1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1</v>
      </c>
      <c r="S61" s="93">
        <f>IF(ISNA(VLOOKUP($A61,Council_Data!$A$3:$AB$840,20,0)),0,VLOOKUP($A61,Council_Data!$A$3:$AB$840,20,0))</f>
        <v>-1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2</v>
      </c>
      <c r="V61" s="50" t="str">
        <f>IF(ISNA(VLOOKUP($A61,Council_Data!$A$3:$AB$840,24,0)),0,VLOOKUP($A61,Council_Data!$A$3:$AB$840,24,0))</f>
        <v>Carlin</v>
      </c>
    </row>
    <row r="62" spans="1:22">
      <c r="A62" s="50">
        <v>10764</v>
      </c>
      <c r="B62" s="50" t="str">
        <f>IF(ISNA(VLOOKUP($A62,Council_Data!$A$3:$AB$840,2,0)),0,VLOOKUP($A62,Council_Data!$A$3:$AB$840,2,0))</f>
        <v>180</v>
      </c>
      <c r="C62" s="50" t="str">
        <f>IF(ISNA(VLOOKUP($A62,Council_Data!$A$3:$AB$840,3,0)),0,VLOOKUP($A62,Council_Data!$A$3:$AB$840,3,0))</f>
        <v>Sinton</v>
      </c>
      <c r="D62" s="93">
        <f>IF(ISNA(VLOOKUP($A62,Council_Data!$A$3:$AB$840,5,0)),0,VLOOKUP($A62,Council_Data!$A$3:$AB$840,5,0))</f>
        <v>56</v>
      </c>
      <c r="E62" s="93">
        <f>IF(ISNA(VLOOKUP($A62,Council_Data!$A$3:$AB$840,6,0)),0,VLOOKUP($A62,Council_Data!$A$3:$AB$840,6,0))</f>
        <v>3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0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0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3</v>
      </c>
      <c r="V62" s="50" t="str">
        <f>IF(ISNA(VLOOKUP($A62,Council_Data!$A$3:$AB$840,24,0)),0,VLOOKUP($A62,Council_Data!$A$3:$AB$840,24,0))</f>
        <v>Carlin</v>
      </c>
    </row>
    <row r="63" spans="1:22">
      <c r="A63" s="50">
        <v>12081</v>
      </c>
      <c r="B63" s="50" t="str">
        <f>IF(ISNA(VLOOKUP($A63,Council_Data!$A$3:$AB$840,2,0)),0,VLOOKUP($A63,Council_Data!$A$3:$AB$840,2,0))</f>
        <v>180</v>
      </c>
      <c r="C63" s="50" t="str">
        <f>IF(ISNA(VLOOKUP($A63,Council_Data!$A$3:$AB$840,3,0)),0,VLOOKUP($A63,Council_Data!$A$3:$AB$840,3,0))</f>
        <v>Corpus Christi</v>
      </c>
      <c r="D63" s="93">
        <f>IF(ISNA(VLOOKUP($A63,Council_Data!$A$3:$AB$840,5,0)),0,VLOOKUP($A63,Council_Data!$A$3:$AB$840,5,0))</f>
        <v>40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Carlin</v>
      </c>
    </row>
    <row r="64" spans="1:22">
      <c r="A64" s="50">
        <v>13257</v>
      </c>
      <c r="B64" s="50" t="str">
        <f>IF(ISNA(VLOOKUP($A64,Council_Data!$A$3:$AB$840,2,0)),0,VLOOKUP($A64,Council_Data!$A$3:$AB$840,2,0))</f>
        <v>177</v>
      </c>
      <c r="C64" s="50" t="str">
        <f>IF(ISNA(VLOOKUP($A64,Council_Data!$A$3:$AB$840,3,0)),0,VLOOKUP($A64,Council_Data!$A$3:$AB$840,3,0))</f>
        <v>Banquete</v>
      </c>
      <c r="D64" s="93">
        <f>IF(ISNA(VLOOKUP($A64,Council_Data!$A$3:$AB$840,5,0)),0,VLOOKUP($A64,Council_Data!$A$3:$AB$840,5,0))</f>
        <v>66</v>
      </c>
      <c r="E64" s="93">
        <f>IF(ISNA(VLOOKUP($A64,Council_Data!$A$3:$AB$840,6,0)),0,VLOOKUP($A64,Council_Data!$A$3:$AB$840,6,0))</f>
        <v>3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0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0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2</v>
      </c>
      <c r="V64" s="50" t="str">
        <f>IF(ISNA(VLOOKUP($A64,Council_Data!$A$3:$AB$840,24,0)),0,VLOOKUP($A64,Council_Data!$A$3:$AB$840,24,0))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799</v>
      </c>
      <c r="B4" s="50" t="str">
        <f>IF(ISNA(VLOOKUP($A4,Council_Data!$A$3:$AB$840,2,0)),0,VLOOKUP($A4,Council_Data!$A$3:$AB$840,2,0))</f>
        <v>104</v>
      </c>
      <c r="C4" s="50" t="str">
        <f>IF(ISNA(VLOOKUP($A4,Council_Data!$A$3:$AB$840,3,0)),0,VLOOKUP($A4,Council_Data!$A$3:$AB$840,3,0))</f>
        <v>Dallas</v>
      </c>
      <c r="D4" s="93">
        <f>IF(ISNA(VLOOKUP($A4,Council_Data!$A$3:$AB$840,5,0)),0,VLOOKUP($A4,Council_Data!$A$3:$AB$840,5,0))</f>
        <v>1744</v>
      </c>
      <c r="E4" s="93">
        <f>IF(ISNA(VLOOKUP($A4,Council_Data!$A$3:$AB$840,6,0)),0,VLOOKUP($A4,Council_Data!$A$3:$AB$840,6,0))</f>
        <v>20</v>
      </c>
      <c r="F4" s="93">
        <f>IF(ISNA(VLOOKUP($A4,Council_Data!$A$3:$AB$840,7,0)),0,VLOOKUP($A4,Council_Data!$A$3:$AB$840,7,0))</f>
        <v>1</v>
      </c>
      <c r="G4" s="93">
        <f>IF(ISNA(VLOOKUP($A4,Council_Data!$A$3:$AB$840,8,0)),0,VLOOKUP($A4,Council_Data!$A$3:$AB$840,8,0))</f>
        <v>1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5</v>
      </c>
      <c r="J4" s="93">
        <f>IF(ISNA(VLOOKUP($A4,Council_Data!$A$3:$AB$840,11,0)),0,VLOOKUP($A4,Council_Data!$A$3:$AB$840,11,0))</f>
        <v>7</v>
      </c>
      <c r="K4" s="93">
        <f>IF(ISNA(VLOOKUP($A4,Council_Data!$A$3:$AB$840,12,0)),0,VLOOKUP($A4,Council_Data!$A$3:$AB$840,12,0))</f>
        <v>-2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2</v>
      </c>
      <c r="P4" s="93">
        <f>IF(ISNA(VLOOKUP($A4,Council_Data!$A$3:$AB$840,17,0)),0,VLOOKUP($A4,Council_Data!$A$3:$AB$840,17,0))</f>
        <v>-2</v>
      </c>
      <c r="Q4" s="93">
        <f>IF(ISNA(VLOOKUP($A4,Council_Data!$A$3:$AB$840,18,0)),0,VLOOKUP($A4,Council_Data!$A$3:$AB$840,18,0))</f>
        <v>3</v>
      </c>
      <c r="R4" s="93">
        <f>IF(ISNA(VLOOKUP($A4,Council_Data!$A$3:$AB$840,19,0)),0,VLOOKUP($A4,Council_Data!$A$3:$AB$840,19,0))</f>
        <v>7</v>
      </c>
      <c r="S4" s="93">
        <f>IF(ISNA(VLOOKUP($A4,Council_Data!$A$3:$AB$840,20,0)),0,VLOOKUP($A4,Council_Data!$A$3:$AB$840,20,0))</f>
        <v>-4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Regan</v>
      </c>
    </row>
    <row r="5" spans="1:22">
      <c r="A5" s="50">
        <v>830</v>
      </c>
      <c r="B5" s="50" t="str">
        <f>IF(ISNA(VLOOKUP($A5,Council_Data!$A$3:$AB$840,2,0)),0,VLOOKUP($A5,Council_Data!$A$3:$AB$840,2,0))</f>
        <v>101</v>
      </c>
      <c r="C5" s="50" t="str">
        <f>IF(ISNA(VLOOKUP($A5,Council_Data!$A$3:$AB$840,3,0)),0,VLOOKUP($A5,Council_Data!$A$3:$AB$840,3,0))</f>
        <v>Denison</v>
      </c>
      <c r="D5" s="93">
        <f>IF(ISNA(VLOOKUP($A5,Council_Data!$A$3:$AB$840,5,0)),0,VLOOKUP($A5,Council_Data!$A$3:$AB$840,5,0))</f>
        <v>174</v>
      </c>
      <c r="E5" s="93">
        <f>IF(ISNA(VLOOKUP($A5,Council_Data!$A$3:$AB$840,6,0)),0,VLOOKUP($A5,Council_Data!$A$3:$AB$840,6,0))</f>
        <v>8</v>
      </c>
      <c r="F5" s="93">
        <f>IF(ISNA(VLOOKUP($A5,Council_Data!$A$3:$AB$840,7,0)),0,VLOOKUP($A5,Council_Data!$A$3:$AB$840,7,0))</f>
        <v>1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1</v>
      </c>
      <c r="I5" s="93">
        <f>IF(ISNA(VLOOKUP($A5,Council_Data!$A$3:$AB$840,10,0)),0,VLOOKUP($A5,Council_Data!$A$3:$AB$840,10,0))</f>
        <v>7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7</v>
      </c>
      <c r="L5" s="94">
        <f>IF(ISNA(VLOOKUP($A5,Council_Data!$A$3:$AB$840,13,0)),0,VLOOKUP($A5,Council_Data!$A$3:$AB$840,13,0))</f>
        <v>87.5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1</v>
      </c>
      <c r="O5" s="93">
        <f>IF(ISNA(VLOOKUP($A5,Council_Data!$A$3:$AB$840,16,0)),0,VLOOKUP($A5,Council_Data!$A$3:$AB$840,16,0))</f>
        <v>1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2</v>
      </c>
      <c r="R5" s="93">
        <f>IF(ISNA(VLOOKUP($A5,Council_Data!$A$3:$AB$840,19,0)),0,VLOOKUP($A5,Council_Data!$A$3:$AB$840,19,0))</f>
        <v>2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Regan</v>
      </c>
    </row>
    <row r="6" spans="1:22">
      <c r="A6" s="50">
        <v>1289</v>
      </c>
      <c r="B6" s="50" t="str">
        <f>IF(ISNA(VLOOKUP($A6,Council_Data!$A$3:$AB$840,2,0)),0,VLOOKUP($A6,Council_Data!$A$3:$AB$840,2,0))</f>
        <v>101</v>
      </c>
      <c r="C6" s="50" t="str">
        <f>IF(ISNA(VLOOKUP($A6,Council_Data!$A$3:$AB$840,3,0)),0,VLOOKUP($A6,Council_Data!$A$3:$AB$840,3,0))</f>
        <v>Sherman</v>
      </c>
      <c r="D6" s="93">
        <f>IF(ISNA(VLOOKUP($A6,Council_Data!$A$3:$AB$840,5,0)),0,VLOOKUP($A6,Council_Data!$A$3:$AB$840,5,0))</f>
        <v>132</v>
      </c>
      <c r="E6" s="93">
        <f>IF(ISNA(VLOOKUP($A6,Council_Data!$A$3:$AB$840,6,0)),0,VLOOKUP($A6,Council_Data!$A$3:$AB$840,6,0))</f>
        <v>7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9</v>
      </c>
      <c r="H6" s="93">
        <f>IF(ISNA(VLOOKUP($A6,Council_Data!$A$3:$AB$840,9,0)),0,VLOOKUP($A6,Council_Data!$A$3:$AB$840,9,0))</f>
        <v>-9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9</v>
      </c>
      <c r="K6" s="93">
        <f>IF(ISNA(VLOOKUP($A6,Council_Data!$A$3:$AB$840,12,0)),0,VLOOKUP($A6,Council_Data!$A$3:$AB$840,12,0))</f>
        <v>-9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2</v>
      </c>
      <c r="P6" s="93">
        <f>IF(ISNA(VLOOKUP($A6,Council_Data!$A$3:$AB$840,17,0)),0,VLOOKUP($A6,Council_Data!$A$3:$AB$840,17,0))</f>
        <v>-2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2</v>
      </c>
      <c r="S6" s="93">
        <f>IF(ISNA(VLOOKUP($A6,Council_Data!$A$3:$AB$840,20,0)),0,VLOOKUP($A6,Council_Data!$A$3:$AB$840,20,0))</f>
        <v>-2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Regan</v>
      </c>
    </row>
    <row r="7" spans="1:22">
      <c r="A7" s="50">
        <v>1353</v>
      </c>
      <c r="B7" s="50" t="str">
        <f>IF(ISNA(VLOOKUP($A7,Council_Data!$A$3:$AB$840,2,0)),0,VLOOKUP($A7,Council_Data!$A$3:$AB$840,2,0))</f>
        <v>102</v>
      </c>
      <c r="C7" s="50" t="str">
        <f>IF(ISNA(VLOOKUP($A7,Council_Data!$A$3:$AB$840,3,0)),0,VLOOKUP($A7,Council_Data!$A$3:$AB$840,3,0))</f>
        <v>Ennis</v>
      </c>
      <c r="D7" s="93">
        <f>IF(ISNA(VLOOKUP($A7,Council_Data!$A$3:$AB$840,5,0)),0,VLOOKUP($A7,Council_Data!$A$3:$AB$840,5,0))</f>
        <v>325</v>
      </c>
      <c r="E7" s="93">
        <f>IF(ISNA(VLOOKUP($A7,Council_Data!$A$3:$AB$840,6,0)),0,VLOOKUP($A7,Council_Data!$A$3:$AB$840,6,0))</f>
        <v>15</v>
      </c>
      <c r="F7" s="93">
        <f>IF(ISNA(VLOOKUP($A7,Council_Data!$A$3:$AB$840,7,0)),0,VLOOKUP($A7,Council_Data!$A$3:$AB$840,7,0))</f>
        <v>1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1</v>
      </c>
      <c r="I7" s="93">
        <f>IF(ISNA(VLOOKUP($A7,Council_Data!$A$3:$AB$840,10,0)),0,VLOOKUP($A7,Council_Data!$A$3:$AB$840,10,0))</f>
        <v>5</v>
      </c>
      <c r="J7" s="93">
        <f>IF(ISNA(VLOOKUP($A7,Council_Data!$A$3:$AB$840,11,0)),0,VLOOKUP($A7,Council_Data!$A$3:$AB$840,11,0))</f>
        <v>4</v>
      </c>
      <c r="K7" s="93">
        <f>IF(ISNA(VLOOKUP($A7,Council_Data!$A$3:$AB$840,12,0)),0,VLOOKUP($A7,Council_Data!$A$3:$AB$840,12,0))</f>
        <v>1</v>
      </c>
      <c r="L7" s="94">
        <f>IF(ISNA(VLOOKUP($A7,Council_Data!$A$3:$AB$840,13,0)),0,VLOOKUP($A7,Council_Data!$A$3:$AB$840,13,0))</f>
        <v>6.67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Regan</v>
      </c>
    </row>
    <row r="8" spans="1:22">
      <c r="A8" s="50">
        <v>3460</v>
      </c>
      <c r="B8" s="50" t="str">
        <f>IF(ISNA(VLOOKUP($A8,Council_Data!$A$3:$AB$840,2,0)),0,VLOOKUP($A8,Council_Data!$A$3:$AB$840,2,0))</f>
        <v>116</v>
      </c>
      <c r="C8" s="50" t="str">
        <f>IF(ISNA(VLOOKUP($A8,Council_Data!$A$3:$AB$840,3,0)),0,VLOOKUP($A8,Council_Data!$A$3:$AB$840,3,0))</f>
        <v>Grand Prairie</v>
      </c>
      <c r="D8" s="93">
        <f>IF(ISNA(VLOOKUP($A8,Council_Data!$A$3:$AB$840,5,0)),0,VLOOKUP($A8,Council_Data!$A$3:$AB$840,5,0))</f>
        <v>78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1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1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Stark</v>
      </c>
    </row>
    <row r="9" spans="1:22">
      <c r="A9" s="50">
        <v>3593</v>
      </c>
      <c r="B9" s="50" t="str">
        <f>IF(ISNA(VLOOKUP($A9,Council_Data!$A$3:$AB$840,2,0)),0,VLOOKUP($A9,Council_Data!$A$3:$AB$840,2,0))</f>
        <v>105</v>
      </c>
      <c r="C9" s="50" t="str">
        <f>IF(ISNA(VLOOKUP($A9,Council_Data!$A$3:$AB$840,3,0)),0,VLOOKUP($A9,Council_Data!$A$3:$AB$840,3,0))</f>
        <v>Dallas</v>
      </c>
      <c r="D9" s="93">
        <f>IF(ISNA(VLOOKUP($A9,Council_Data!$A$3:$AB$840,5,0)),0,VLOOKUP($A9,Council_Data!$A$3:$AB$840,5,0))</f>
        <v>253</v>
      </c>
      <c r="E9" s="93">
        <f>IF(ISNA(VLOOKUP($A9,Council_Data!$A$3:$AB$840,6,0)),0,VLOOKUP($A9,Council_Data!$A$3:$AB$840,6,0))</f>
        <v>12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Regan</v>
      </c>
    </row>
    <row r="10" spans="1:22">
      <c r="A10" s="50">
        <v>4370</v>
      </c>
      <c r="B10" s="50" t="str">
        <f>IF(ISNA(VLOOKUP($A10,Council_Data!$A$3:$AB$840,2,0)),0,VLOOKUP($A10,Council_Data!$A$3:$AB$840,2,0))</f>
        <v>105</v>
      </c>
      <c r="C10" s="50" t="str">
        <f>IF(ISNA(VLOOKUP($A10,Council_Data!$A$3:$AB$840,3,0)),0,VLOOKUP($A10,Council_Data!$A$3:$AB$840,3,0))</f>
        <v>Dallas</v>
      </c>
      <c r="D10" s="93">
        <f>IF(ISNA(VLOOKUP($A10,Council_Data!$A$3:$AB$840,5,0)),0,VLOOKUP($A10,Council_Data!$A$3:$AB$840,5,0))</f>
        <v>189</v>
      </c>
      <c r="E10" s="93">
        <f>IF(ISNA(VLOOKUP($A10,Council_Data!$A$3:$AB$840,6,0)),0,VLOOKUP($A10,Council_Data!$A$3:$AB$840,6,0))</f>
        <v>9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2</v>
      </c>
      <c r="S10" s="93">
        <f>IF(ISNA(VLOOKUP($A10,Council_Data!$A$3:$AB$840,20,0)),0,VLOOKUP($A10,Council_Data!$A$3:$AB$840,20,0))</f>
        <v>-2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Regan</v>
      </c>
    </row>
    <row r="11" spans="1:22">
      <c r="A11" s="50">
        <v>5052</v>
      </c>
      <c r="B11" s="50" t="str">
        <f>IF(ISNA(VLOOKUP($A11,Council_Data!$A$3:$AB$840,2,0)),0,VLOOKUP($A11,Council_Data!$A$3:$AB$840,2,0))</f>
        <v>106</v>
      </c>
      <c r="C11" s="50" t="str">
        <f>IF(ISNA(VLOOKUP($A11,Council_Data!$A$3:$AB$840,3,0)),0,VLOOKUP($A11,Council_Data!$A$3:$AB$840,3,0))</f>
        <v>Dallas</v>
      </c>
      <c r="D11" s="93">
        <f>IF(ISNA(VLOOKUP($A11,Council_Data!$A$3:$AB$840,5,0)),0,VLOOKUP($A11,Council_Data!$A$3:$AB$840,5,0))</f>
        <v>302</v>
      </c>
      <c r="E11" s="93">
        <f>IF(ISNA(VLOOKUP($A11,Council_Data!$A$3:$AB$840,6,0)),0,VLOOKUP($A11,Council_Data!$A$3:$AB$840,6,0))</f>
        <v>13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13</v>
      </c>
      <c r="K11" s="93">
        <f>IF(ISNA(VLOOKUP($A11,Council_Data!$A$3:$AB$840,12,0)),0,VLOOKUP($A11,Council_Data!$A$3:$AB$840,12,0))</f>
        <v>-13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4</v>
      </c>
      <c r="S11" s="93">
        <f>IF(ISNA(VLOOKUP($A11,Council_Data!$A$3:$AB$840,20,0)),0,VLOOKUP($A11,Council_Data!$A$3:$AB$840,20,0))</f>
        <v>-3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Regan</v>
      </c>
    </row>
    <row r="12" spans="1:22">
      <c r="A12" s="50">
        <v>5211</v>
      </c>
      <c r="B12" s="50" t="str">
        <f>IF(ISNA(VLOOKUP($A12,Council_Data!$A$3:$AB$840,2,0)),0,VLOOKUP($A12,Council_Data!$A$3:$AB$840,2,0))</f>
        <v>102</v>
      </c>
      <c r="C12" s="50" t="str">
        <f>IF(ISNA(VLOOKUP($A12,Council_Data!$A$3:$AB$840,3,0)),0,VLOOKUP($A12,Council_Data!$A$3:$AB$840,3,0))</f>
        <v>Corsicana</v>
      </c>
      <c r="D12" s="93">
        <f>IF(ISNA(VLOOKUP($A12,Council_Data!$A$3:$AB$840,5,0)),0,VLOOKUP($A12,Council_Data!$A$3:$AB$840,5,0))</f>
        <v>126</v>
      </c>
      <c r="E12" s="93">
        <f>IF(ISNA(VLOOKUP($A12,Council_Data!$A$3:$AB$840,6,0)),0,VLOOKUP($A12,Council_Data!$A$3:$AB$840,6,0))</f>
        <v>6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2</v>
      </c>
      <c r="V12" s="50" t="str">
        <f>IF(ISNA(VLOOKUP($A12,Council_Data!$A$3:$AB$840,24,0)),0,VLOOKUP($A12,Council_Data!$A$3:$AB$840,24,0))</f>
        <v>Regan</v>
      </c>
    </row>
    <row r="13" spans="1:22">
      <c r="A13" s="50">
        <v>5243</v>
      </c>
      <c r="B13" s="50" t="str">
        <f>IF(ISNA(VLOOKUP($A13,Council_Data!$A$3:$AB$840,2,0)),0,VLOOKUP($A13,Council_Data!$A$3:$AB$840,2,0))</f>
        <v>115</v>
      </c>
      <c r="C13" s="50" t="str">
        <f>IF(ISNA(VLOOKUP($A13,Council_Data!$A$3:$AB$840,3,0)),0,VLOOKUP($A13,Council_Data!$A$3:$AB$840,3,0))</f>
        <v>Irving</v>
      </c>
      <c r="D13" s="93">
        <f>IF(ISNA(VLOOKUP($A13,Council_Data!$A$3:$AB$840,5,0)),0,VLOOKUP($A13,Council_Data!$A$3:$AB$840,5,0))</f>
        <v>262</v>
      </c>
      <c r="E13" s="93">
        <f>IF(ISNA(VLOOKUP($A13,Council_Data!$A$3:$AB$840,6,0)),0,VLOOKUP($A13,Council_Data!$A$3:$AB$840,6,0))</f>
        <v>11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Regan</v>
      </c>
    </row>
    <row r="14" spans="1:22">
      <c r="A14" s="50">
        <v>5538</v>
      </c>
      <c r="B14" s="50" t="str">
        <f>IF(ISNA(VLOOKUP($A14,Council_Data!$A$3:$AB$840,2,0)),0,VLOOKUP($A14,Council_Data!$A$3:$AB$840,2,0))</f>
        <v>110</v>
      </c>
      <c r="C14" s="50" t="str">
        <f>IF(ISNA(VLOOKUP($A14,Council_Data!$A$3:$AB$840,3,0)),0,VLOOKUP($A14,Council_Data!$A$3:$AB$840,3,0))</f>
        <v>Dallas</v>
      </c>
      <c r="D14" s="93">
        <f>IF(ISNA(VLOOKUP($A14,Council_Data!$A$3:$AB$840,5,0)),0,VLOOKUP($A14,Council_Data!$A$3:$AB$840,5,0))</f>
        <v>127</v>
      </c>
      <c r="E14" s="93">
        <f>IF(ISNA(VLOOKUP($A14,Council_Data!$A$3:$AB$840,6,0)),0,VLOOKUP($A14,Council_Data!$A$3:$AB$840,6,0))</f>
        <v>6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Regan</v>
      </c>
    </row>
    <row r="15" spans="1:22">
      <c r="A15" s="50">
        <v>5656</v>
      </c>
      <c r="B15" s="50" t="str">
        <f>IF(ISNA(VLOOKUP($A15,Council_Data!$A$3:$AB$840,2,0)),0,VLOOKUP($A15,Council_Data!$A$3:$AB$840,2,0))</f>
        <v>106</v>
      </c>
      <c r="C15" s="50" t="str">
        <f>IF(ISNA(VLOOKUP($A15,Council_Data!$A$3:$AB$840,3,0)),0,VLOOKUP($A15,Council_Data!$A$3:$AB$840,3,0))</f>
        <v>Dallas</v>
      </c>
      <c r="D15" s="93">
        <f>IF(ISNA(VLOOKUP($A15,Council_Data!$A$3:$AB$840,5,0)),0,VLOOKUP($A15,Council_Data!$A$3:$AB$840,5,0))</f>
        <v>249</v>
      </c>
      <c r="E15" s="93">
        <f>IF(ISNA(VLOOKUP($A15,Council_Data!$A$3:$AB$840,6,0)),0,VLOOKUP($A15,Council_Data!$A$3:$AB$840,6,0))</f>
        <v>12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8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8</v>
      </c>
      <c r="L15" s="94">
        <f>IF(ISNA(VLOOKUP($A15,Council_Data!$A$3:$AB$840,13,0)),0,VLOOKUP($A15,Council_Data!$A$3:$AB$840,13,0))</f>
        <v>66.67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1</v>
      </c>
      <c r="O15" s="93">
        <f>IF(ISNA(VLOOKUP($A15,Council_Data!$A$3:$AB$840,16,0)),0,VLOOKUP($A15,Council_Data!$A$3:$AB$840,16,0))</f>
        <v>1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2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Regan</v>
      </c>
    </row>
    <row r="16" spans="1:22">
      <c r="A16" s="50">
        <v>6065</v>
      </c>
      <c r="B16" s="50" t="str">
        <f>IF(ISNA(VLOOKUP($A16,Council_Data!$A$3:$AB$840,2,0)),0,VLOOKUP($A16,Council_Data!$A$3:$AB$840,2,0))</f>
        <v>111</v>
      </c>
      <c r="C16" s="50" t="str">
        <f>IF(ISNA(VLOOKUP($A16,Council_Data!$A$3:$AB$840,3,0)),0,VLOOKUP($A16,Council_Data!$A$3:$AB$840,3,0))</f>
        <v>Plano</v>
      </c>
      <c r="D16" s="93">
        <f>IF(ISNA(VLOOKUP($A16,Council_Data!$A$3:$AB$840,5,0)),0,VLOOKUP($A16,Council_Data!$A$3:$AB$840,5,0))</f>
        <v>394</v>
      </c>
      <c r="E16" s="93">
        <f>IF(ISNA(VLOOKUP($A16,Council_Data!$A$3:$AB$840,6,0)),0,VLOOKUP($A16,Council_Data!$A$3:$AB$840,6,0))</f>
        <v>19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12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12</v>
      </c>
      <c r="L16" s="94">
        <f>IF(ISNA(VLOOKUP($A16,Council_Data!$A$3:$AB$840,13,0)),0,VLOOKUP($A16,Council_Data!$A$3:$AB$840,13,0))</f>
        <v>63.16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3</v>
      </c>
      <c r="R16" s="93">
        <f>IF(ISNA(VLOOKUP($A16,Council_Data!$A$3:$AB$840,19,0)),0,VLOOKUP($A16,Council_Data!$A$3:$AB$840,19,0))</f>
        <v>4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Regan</v>
      </c>
    </row>
    <row r="17" spans="1:22">
      <c r="A17" s="50">
        <v>6402</v>
      </c>
      <c r="B17" s="50" t="str">
        <f>IF(ISNA(VLOOKUP($A17,Council_Data!$A$3:$AB$840,2,0)),0,VLOOKUP($A17,Council_Data!$A$3:$AB$840,2,0))</f>
        <v>113</v>
      </c>
      <c r="C17" s="50" t="str">
        <f>IF(ISNA(VLOOKUP($A17,Council_Data!$A$3:$AB$840,3,0)),0,VLOOKUP($A17,Council_Data!$A$3:$AB$840,3,0))</f>
        <v>Garland</v>
      </c>
      <c r="D17" s="93">
        <f>IF(ISNA(VLOOKUP($A17,Council_Data!$A$3:$AB$840,5,0)),0,VLOOKUP($A17,Council_Data!$A$3:$AB$840,5,0))</f>
        <v>153</v>
      </c>
      <c r="E17" s="93">
        <f>IF(ISNA(VLOOKUP($A17,Council_Data!$A$3:$AB$840,6,0)),0,VLOOKUP($A17,Council_Data!$A$3:$AB$840,6,0))</f>
        <v>7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Regan</v>
      </c>
    </row>
    <row r="18" spans="1:22">
      <c r="A18" s="50">
        <v>6887</v>
      </c>
      <c r="B18" s="50" t="str">
        <f>IF(ISNA(VLOOKUP($A18,Council_Data!$A$3:$AB$840,2,0)),0,VLOOKUP($A18,Council_Data!$A$3:$AB$840,2,0))</f>
        <v>107</v>
      </c>
      <c r="C18" s="50" t="str">
        <f>IF(ISNA(VLOOKUP($A18,Council_Data!$A$3:$AB$840,3,0)),0,VLOOKUP($A18,Council_Data!$A$3:$AB$840,3,0))</f>
        <v>Terrell</v>
      </c>
      <c r="D18" s="93">
        <f>IF(ISNA(VLOOKUP($A18,Council_Data!$A$3:$AB$840,5,0)),0,VLOOKUP($A18,Council_Data!$A$3:$AB$840,5,0))</f>
        <v>84</v>
      </c>
      <c r="E18" s="93">
        <f>IF(ISNA(VLOOKUP($A18,Council_Data!$A$3:$AB$840,6,0)),0,VLOOKUP($A18,Council_Data!$A$3:$AB$840,6,0))</f>
        <v>4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Regan</v>
      </c>
    </row>
    <row r="19" spans="1:22">
      <c r="A19" s="50">
        <v>7017</v>
      </c>
      <c r="B19" s="50" t="str">
        <f>IF(ISNA(VLOOKUP($A19,Council_Data!$A$3:$AB$840,2,0)),0,VLOOKUP($A19,Council_Data!$A$3:$AB$840,2,0))</f>
        <v>109</v>
      </c>
      <c r="C19" s="50" t="str">
        <f>IF(ISNA(VLOOKUP($A19,Council_Data!$A$3:$AB$840,3,0)),0,VLOOKUP($A19,Council_Data!$A$3:$AB$840,3,0))</f>
        <v>Dallas</v>
      </c>
      <c r="D19" s="93">
        <f>IF(ISNA(VLOOKUP($A19,Council_Data!$A$3:$AB$840,5,0)),0,VLOOKUP($A19,Council_Data!$A$3:$AB$840,5,0))</f>
        <v>105</v>
      </c>
      <c r="E19" s="93">
        <f>IF(ISNA(VLOOKUP($A19,Council_Data!$A$3:$AB$840,6,0)),0,VLOOKUP($A19,Council_Data!$A$3:$AB$840,6,0))</f>
        <v>5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1</v>
      </c>
      <c r="P19" s="93">
        <f>IF(ISNA(VLOOKUP($A19,Council_Data!$A$3:$AB$840,17,0)),0,VLOOKUP($A19,Council_Data!$A$3:$AB$840,17,0))</f>
        <v>-1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2</v>
      </c>
      <c r="S19" s="93">
        <f>IF(ISNA(VLOOKUP($A19,Council_Data!$A$3:$AB$840,20,0)),0,VLOOKUP($A19,Council_Data!$A$3:$AB$840,20,0))</f>
        <v>-2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Regan</v>
      </c>
    </row>
    <row r="20" spans="1:22">
      <c r="A20" s="50">
        <v>7438</v>
      </c>
      <c r="B20" s="50" t="str">
        <f>IF(ISNA(VLOOKUP($A20,Council_Data!$A$3:$AB$840,2,0)),0,VLOOKUP($A20,Council_Data!$A$3:$AB$840,2,0))</f>
        <v>110</v>
      </c>
      <c r="C20" s="50" t="str">
        <f>IF(ISNA(VLOOKUP($A20,Council_Data!$A$3:$AB$840,3,0)),0,VLOOKUP($A20,Council_Data!$A$3:$AB$840,3,0))</f>
        <v>Greenville</v>
      </c>
      <c r="D20" s="93">
        <f>IF(ISNA(VLOOKUP($A20,Council_Data!$A$3:$AB$840,5,0)),0,VLOOKUP($A20,Council_Data!$A$3:$AB$840,5,0))</f>
        <v>136</v>
      </c>
      <c r="E20" s="93">
        <f>IF(ISNA(VLOOKUP($A20,Council_Data!$A$3:$AB$840,6,0)),0,VLOOKUP($A20,Council_Data!$A$3:$AB$840,6,0))</f>
        <v>7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4</v>
      </c>
      <c r="J20" s="93">
        <f>IF(ISNA(VLOOKUP($A20,Council_Data!$A$3:$AB$840,11,0)),0,VLOOKUP($A20,Council_Data!$A$3:$AB$840,11,0))</f>
        <v>1</v>
      </c>
      <c r="K20" s="93">
        <f>IF(ISNA(VLOOKUP($A20,Council_Data!$A$3:$AB$840,12,0)),0,VLOOKUP($A20,Council_Data!$A$3:$AB$840,12,0))</f>
        <v>3</v>
      </c>
      <c r="L20" s="94">
        <f>IF(ISNA(VLOOKUP($A20,Council_Data!$A$3:$AB$840,13,0)),0,VLOOKUP($A20,Council_Data!$A$3:$AB$840,13,0))</f>
        <v>42.86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1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Regan</v>
      </c>
    </row>
    <row r="21" spans="1:22">
      <c r="A21" s="50">
        <v>7850</v>
      </c>
      <c r="B21" s="50" t="str">
        <f>IF(ISNA(VLOOKUP($A21,Council_Data!$A$3:$AB$840,2,0)),0,VLOOKUP($A21,Council_Data!$A$3:$AB$840,2,0))</f>
        <v>111</v>
      </c>
      <c r="C21" s="50" t="str">
        <f>IF(ISNA(VLOOKUP($A21,Council_Data!$A$3:$AB$840,3,0)),0,VLOOKUP($A21,Council_Data!$A$3:$AB$840,3,0))</f>
        <v>Plano</v>
      </c>
      <c r="D21" s="93">
        <f>IF(ISNA(VLOOKUP($A21,Council_Data!$A$3:$AB$840,5,0)),0,VLOOKUP($A21,Council_Data!$A$3:$AB$840,5,0))</f>
        <v>349</v>
      </c>
      <c r="E21" s="93">
        <f>IF(ISNA(VLOOKUP($A21,Council_Data!$A$3:$AB$840,6,0)),0,VLOOKUP($A21,Council_Data!$A$3:$AB$840,6,0))</f>
        <v>16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1</v>
      </c>
      <c r="H21" s="93">
        <f>IF(ISNA(VLOOKUP($A21,Council_Data!$A$3:$AB$840,9,0)),0,VLOOKUP($A21,Council_Data!$A$3:$AB$840,9,0))</f>
        <v>-1</v>
      </c>
      <c r="I21" s="93">
        <f>IF(ISNA(VLOOKUP($A21,Council_Data!$A$3:$AB$840,10,0)),0,VLOOKUP($A21,Council_Data!$A$3:$AB$840,10,0))</f>
        <v>1</v>
      </c>
      <c r="J21" s="93">
        <f>IF(ISNA(VLOOKUP($A21,Council_Data!$A$3:$AB$840,11,0)),0,VLOOKUP($A21,Council_Data!$A$3:$AB$840,11,0))</f>
        <v>1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1</v>
      </c>
      <c r="P21" s="93">
        <f>IF(ISNA(VLOOKUP($A21,Council_Data!$A$3:$AB$840,17,0)),0,VLOOKUP($A21,Council_Data!$A$3:$AB$840,17,0))</f>
        <v>-1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2</v>
      </c>
      <c r="S21" s="93">
        <f>IF(ISNA(VLOOKUP($A21,Council_Data!$A$3:$AB$840,20,0)),0,VLOOKUP($A21,Council_Data!$A$3:$AB$840,20,0))</f>
        <v>-2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Regan</v>
      </c>
    </row>
    <row r="22" spans="1:22">
      <c r="A22" s="50">
        <v>8157</v>
      </c>
      <c r="B22" s="50" t="str">
        <f>IF(ISNA(VLOOKUP($A22,Council_Data!$A$3:$AB$840,2,0)),0,VLOOKUP($A22,Council_Data!$A$3:$AB$840,2,0))</f>
        <v>109</v>
      </c>
      <c r="C22" s="50" t="str">
        <f>IF(ISNA(VLOOKUP($A22,Council_Data!$A$3:$AB$840,3,0)),0,VLOOKUP($A22,Council_Data!$A$3:$AB$840,3,0))</f>
        <v>Duncanville</v>
      </c>
      <c r="D22" s="93">
        <f>IF(ISNA(VLOOKUP($A22,Council_Data!$A$3:$AB$840,5,0)),0,VLOOKUP($A22,Council_Data!$A$3:$AB$840,5,0))</f>
        <v>244</v>
      </c>
      <c r="E22" s="93">
        <f>IF(ISNA(VLOOKUP($A22,Council_Data!$A$3:$AB$840,6,0)),0,VLOOKUP($A22,Council_Data!$A$3:$AB$840,6,0))</f>
        <v>11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5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5</v>
      </c>
      <c r="L22" s="94">
        <f>IF(ISNA(VLOOKUP($A22,Council_Data!$A$3:$AB$840,13,0)),0,VLOOKUP($A22,Council_Data!$A$3:$AB$840,13,0))</f>
        <v>45.45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3</v>
      </c>
      <c r="S22" s="93">
        <f>IF(ISNA(VLOOKUP($A22,Council_Data!$A$3:$AB$840,20,0)),0,VLOOKUP($A22,Council_Data!$A$3:$AB$840,20,0))</f>
        <v>-2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Stark</v>
      </c>
    </row>
    <row r="23" spans="1:22">
      <c r="A23" s="50">
        <v>8417</v>
      </c>
      <c r="B23" s="50" t="str">
        <f>IF(ISNA(VLOOKUP($A23,Council_Data!$A$3:$AB$840,2,0)),0,VLOOKUP($A23,Council_Data!$A$3:$AB$840,2,0))</f>
        <v>102</v>
      </c>
      <c r="C23" s="50" t="str">
        <f>IF(ISNA(VLOOKUP($A23,Council_Data!$A$3:$AB$840,3,0)),0,VLOOKUP($A23,Council_Data!$A$3:$AB$840,3,0))</f>
        <v>Waxahachie</v>
      </c>
      <c r="D23" s="93">
        <f>IF(ISNA(VLOOKUP($A23,Council_Data!$A$3:$AB$840,5,0)),0,VLOOKUP($A23,Council_Data!$A$3:$AB$840,5,0))</f>
        <v>269</v>
      </c>
      <c r="E23" s="93">
        <f>IF(ISNA(VLOOKUP($A23,Council_Data!$A$3:$AB$840,6,0)),0,VLOOKUP($A23,Council_Data!$A$3:$AB$840,6,0))</f>
        <v>13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6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6</v>
      </c>
      <c r="L23" s="94">
        <f>IF(ISNA(VLOOKUP($A23,Council_Data!$A$3:$AB$840,13,0)),0,VLOOKUP($A23,Council_Data!$A$3:$AB$840,13,0))</f>
        <v>46.15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1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1</v>
      </c>
      <c r="Q23" s="93">
        <f>IF(ISNA(VLOOKUP($A23,Council_Data!$A$3:$AB$840,18,0)),0,VLOOKUP($A23,Council_Data!$A$3:$AB$840,18,0))</f>
        <v>4</v>
      </c>
      <c r="R23" s="93">
        <f>IF(ISNA(VLOOKUP($A23,Council_Data!$A$3:$AB$840,19,0)),0,VLOOKUP($A23,Council_Data!$A$3:$AB$840,19,0))</f>
        <v>2</v>
      </c>
      <c r="S23" s="93">
        <f>IF(ISNA(VLOOKUP($A23,Council_Data!$A$3:$AB$840,20,0)),0,VLOOKUP($A23,Council_Data!$A$3:$AB$840,20,0))</f>
        <v>2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Regan</v>
      </c>
    </row>
    <row r="24" spans="1:22" ht="25.5">
      <c r="A24" s="50">
        <v>8787</v>
      </c>
      <c r="B24" s="50" t="str">
        <f>IF(ISNA(VLOOKUP($A24,Council_Data!$A$3:$AB$840,2,0)),0,VLOOKUP($A24,Council_Data!$A$3:$AB$840,2,0))</f>
        <v>116</v>
      </c>
      <c r="C24" s="50" t="str">
        <f>IF(ISNA(VLOOKUP($A24,Council_Data!$A$3:$AB$840,3,0)),0,VLOOKUP($A24,Council_Data!$A$3:$AB$840,3,0))</f>
        <v>Dallas Fort Worth Met</v>
      </c>
      <c r="D24" s="93">
        <f>IF(ISNA(VLOOKUP($A24,Council_Data!$A$3:$AB$840,5,0)),0,VLOOKUP($A24,Council_Data!$A$3:$AB$840,5,0))</f>
        <v>32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Regan</v>
      </c>
    </row>
    <row r="25" spans="1:22">
      <c r="A25" s="50">
        <v>8954</v>
      </c>
      <c r="B25" s="50" t="str">
        <f>IF(ISNA(VLOOKUP($A25,Council_Data!$A$3:$AB$840,2,0)),0,VLOOKUP($A25,Council_Data!$A$3:$AB$840,2,0))</f>
        <v>103</v>
      </c>
      <c r="C25" s="50" t="str">
        <f>IF(ISNA(VLOOKUP($A25,Council_Data!$A$3:$AB$840,3,0)),0,VLOOKUP($A25,Council_Data!$A$3:$AB$840,3,0))</f>
        <v>Richardson</v>
      </c>
      <c r="D25" s="93">
        <f>IF(ISNA(VLOOKUP($A25,Council_Data!$A$3:$AB$840,5,0)),0,VLOOKUP($A25,Council_Data!$A$3:$AB$840,5,0))</f>
        <v>327</v>
      </c>
      <c r="E25" s="93">
        <f>IF(ISNA(VLOOKUP($A25,Council_Data!$A$3:$AB$840,6,0)),0,VLOOKUP($A25,Council_Data!$A$3:$AB$840,6,0))</f>
        <v>16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3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3</v>
      </c>
      <c r="L25" s="94">
        <f>IF(ISNA(VLOOKUP($A25,Council_Data!$A$3:$AB$840,13,0)),0,VLOOKUP($A25,Council_Data!$A$3:$AB$840,13,0))</f>
        <v>18.75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2</v>
      </c>
      <c r="R25" s="93">
        <f>IF(ISNA(VLOOKUP($A25,Council_Data!$A$3:$AB$840,19,0)),0,VLOOKUP($A25,Council_Data!$A$3:$AB$840,19,0))</f>
        <v>3</v>
      </c>
      <c r="S25" s="93">
        <f>IF(ISNA(VLOOKUP($A25,Council_Data!$A$3:$AB$840,20,0)),0,VLOOKUP($A25,Council_Data!$A$3:$AB$840,20,0))</f>
        <v>-1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Regan</v>
      </c>
    </row>
    <row r="26" spans="1:22">
      <c r="A26" s="50">
        <v>9337</v>
      </c>
      <c r="B26" s="50" t="str">
        <f>IF(ISNA(VLOOKUP($A26,Council_Data!$A$3:$AB$840,2,0)),0,VLOOKUP($A26,Council_Data!$A$3:$AB$840,2,0))</f>
        <v>103</v>
      </c>
      <c r="C26" s="50" t="str">
        <f>IF(ISNA(VLOOKUP($A26,Council_Data!$A$3:$AB$840,3,0)),0,VLOOKUP($A26,Council_Data!$A$3:$AB$840,3,0))</f>
        <v>Rockwall</v>
      </c>
      <c r="D26" s="93">
        <f>IF(ISNA(VLOOKUP($A26,Council_Data!$A$3:$AB$840,5,0)),0,VLOOKUP($A26,Council_Data!$A$3:$AB$840,5,0))</f>
        <v>256</v>
      </c>
      <c r="E26" s="93">
        <f>IF(ISNA(VLOOKUP($A26,Council_Data!$A$3:$AB$840,6,0)),0,VLOOKUP($A26,Council_Data!$A$3:$AB$840,6,0))</f>
        <v>12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2</v>
      </c>
      <c r="J26" s="93">
        <f>IF(ISNA(VLOOKUP($A26,Council_Data!$A$3:$AB$840,11,0)),0,VLOOKUP($A26,Council_Data!$A$3:$AB$840,11,0))</f>
        <v>1</v>
      </c>
      <c r="K26" s="93">
        <f>IF(ISNA(VLOOKUP($A26,Council_Data!$A$3:$AB$840,12,0)),0,VLOOKUP($A26,Council_Data!$A$3:$AB$840,12,0))</f>
        <v>1</v>
      </c>
      <c r="L26" s="94">
        <f>IF(ISNA(VLOOKUP($A26,Council_Data!$A$3:$AB$840,13,0)),0,VLOOKUP($A26,Council_Data!$A$3:$AB$840,13,0))</f>
        <v>8.33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1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Regan</v>
      </c>
    </row>
    <row r="27" spans="1:22">
      <c r="A27" s="50">
        <v>9903</v>
      </c>
      <c r="B27" s="50" t="str">
        <f>IF(ISNA(VLOOKUP($A27,Council_Data!$A$3:$AB$840,2,0)),0,VLOOKUP($A27,Council_Data!$A$3:$AB$840,2,0))</f>
        <v>114</v>
      </c>
      <c r="C27" s="50" t="str">
        <f>IF(ISNA(VLOOKUP($A27,Council_Data!$A$3:$AB$840,3,0)),0,VLOOKUP($A27,Council_Data!$A$3:$AB$840,3,0))</f>
        <v>Mckinney</v>
      </c>
      <c r="D27" s="93">
        <f>IF(ISNA(VLOOKUP($A27,Council_Data!$A$3:$AB$840,5,0)),0,VLOOKUP($A27,Council_Data!$A$3:$AB$840,5,0))</f>
        <v>205</v>
      </c>
      <c r="E27" s="93">
        <f>IF(ISNA(VLOOKUP($A27,Council_Data!$A$3:$AB$840,6,0)),0,VLOOKUP($A27,Council_Data!$A$3:$AB$840,6,0))</f>
        <v>10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10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2</v>
      </c>
      <c r="S27" s="93">
        <f>IF(ISNA(VLOOKUP($A27,Council_Data!$A$3:$AB$840,20,0)),0,VLOOKUP($A27,Council_Data!$A$3:$AB$840,20,0))</f>
        <v>-2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Regan</v>
      </c>
    </row>
    <row r="28" spans="1:22">
      <c r="A28" s="50">
        <v>10245</v>
      </c>
      <c r="B28" s="50" t="str">
        <f>IF(ISNA(VLOOKUP($A28,Council_Data!$A$3:$AB$840,2,0)),0,VLOOKUP($A28,Council_Data!$A$3:$AB$840,2,0))</f>
        <v>108</v>
      </c>
      <c r="C28" s="50" t="str">
        <f>IF(ISNA(VLOOKUP($A28,Council_Data!$A$3:$AB$840,3,0)),0,VLOOKUP($A28,Council_Data!$A$3:$AB$840,3,0))</f>
        <v>Coppell</v>
      </c>
      <c r="D28" s="93">
        <f>IF(ISNA(VLOOKUP($A28,Council_Data!$A$3:$AB$840,5,0)),0,VLOOKUP($A28,Council_Data!$A$3:$AB$840,5,0))</f>
        <v>359</v>
      </c>
      <c r="E28" s="93">
        <f>IF(ISNA(VLOOKUP($A28,Council_Data!$A$3:$AB$840,6,0)),0,VLOOKUP($A28,Council_Data!$A$3:$AB$840,6,0))</f>
        <v>17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1</v>
      </c>
      <c r="J28" s="93">
        <f>IF(ISNA(VLOOKUP($A28,Council_Data!$A$3:$AB$840,11,0)),0,VLOOKUP($A28,Council_Data!$A$3:$AB$840,11,0))</f>
        <v>1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Regan</v>
      </c>
    </row>
    <row r="29" spans="1:22">
      <c r="A29" s="50">
        <v>10523</v>
      </c>
      <c r="B29" s="50" t="str">
        <f>IF(ISNA(VLOOKUP($A29,Council_Data!$A$3:$AB$840,2,0)),0,VLOOKUP($A29,Council_Data!$A$3:$AB$840,2,0))</f>
        <v>115</v>
      </c>
      <c r="C29" s="50" t="str">
        <f>IF(ISNA(VLOOKUP($A29,Council_Data!$A$3:$AB$840,3,0)),0,VLOOKUP($A29,Council_Data!$A$3:$AB$840,3,0))</f>
        <v>Grand Praire</v>
      </c>
      <c r="D29" s="93">
        <f>IF(ISNA(VLOOKUP($A29,Council_Data!$A$3:$AB$840,5,0)),0,VLOOKUP($A29,Council_Data!$A$3:$AB$840,5,0))</f>
        <v>141</v>
      </c>
      <c r="E29" s="93">
        <f>IF(ISNA(VLOOKUP($A29,Council_Data!$A$3:$AB$840,6,0)),0,VLOOKUP($A29,Council_Data!$A$3:$AB$840,6,0))</f>
        <v>7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9</v>
      </c>
      <c r="J29" s="93">
        <f>IF(ISNA(VLOOKUP($A29,Council_Data!$A$3:$AB$840,11,0)),0,VLOOKUP($A29,Council_Data!$A$3:$AB$840,11,0))</f>
        <v>38</v>
      </c>
      <c r="K29" s="93">
        <f>IF(ISNA(VLOOKUP($A29,Council_Data!$A$3:$AB$840,12,0)),0,VLOOKUP($A29,Council_Data!$A$3:$AB$840,12,0))</f>
        <v>-29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4</v>
      </c>
      <c r="R29" s="93">
        <f>IF(ISNA(VLOOKUP($A29,Council_Data!$A$3:$AB$840,19,0)),0,VLOOKUP($A29,Council_Data!$A$3:$AB$840,19,0))</f>
        <v>9</v>
      </c>
      <c r="S29" s="93">
        <f>IF(ISNA(VLOOKUP($A29,Council_Data!$A$3:$AB$840,20,0)),0,VLOOKUP($A29,Council_Data!$A$3:$AB$840,20,0))</f>
        <v>-5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Stark</v>
      </c>
    </row>
    <row r="30" spans="1:22">
      <c r="A30" s="50">
        <v>10646</v>
      </c>
      <c r="B30" s="50" t="str">
        <f>IF(ISNA(VLOOKUP($A30,Council_Data!$A$3:$AB$840,2,0)),0,VLOOKUP($A30,Council_Data!$A$3:$AB$840,2,0))</f>
        <v>105</v>
      </c>
      <c r="C30" s="50" t="str">
        <f>IF(ISNA(VLOOKUP($A30,Council_Data!$A$3:$AB$840,3,0)),0,VLOOKUP($A30,Council_Data!$A$3:$AB$840,3,0))</f>
        <v>Rowlett</v>
      </c>
      <c r="D30" s="93">
        <f>IF(ISNA(VLOOKUP($A30,Council_Data!$A$3:$AB$840,5,0)),0,VLOOKUP($A30,Council_Data!$A$3:$AB$840,5,0))</f>
        <v>159</v>
      </c>
      <c r="E30" s="93">
        <f>IF(ISNA(VLOOKUP($A30,Council_Data!$A$3:$AB$840,6,0)),0,VLOOKUP($A30,Council_Data!$A$3:$AB$840,6,0))</f>
        <v>8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1</v>
      </c>
      <c r="J30" s="93">
        <f>IF(ISNA(VLOOKUP($A30,Council_Data!$A$3:$AB$840,11,0)),0,VLOOKUP($A30,Council_Data!$A$3:$AB$840,11,0))</f>
        <v>15</v>
      </c>
      <c r="K30" s="93">
        <f>IF(ISNA(VLOOKUP($A30,Council_Data!$A$3:$AB$840,12,0)),0,VLOOKUP($A30,Council_Data!$A$3:$AB$840,12,0))</f>
        <v>-14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1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1</v>
      </c>
      <c r="Q30" s="93">
        <f>IF(ISNA(VLOOKUP($A30,Council_Data!$A$3:$AB$840,18,0)),0,VLOOKUP($A30,Council_Data!$A$3:$AB$840,18,0))</f>
        <v>2</v>
      </c>
      <c r="R30" s="93">
        <f>IF(ISNA(VLOOKUP($A30,Council_Data!$A$3:$AB$840,19,0)),0,VLOOKUP($A30,Council_Data!$A$3:$AB$840,19,0))</f>
        <v>2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Regan</v>
      </c>
    </row>
    <row r="31" spans="1:22">
      <c r="A31" s="50">
        <v>10879</v>
      </c>
      <c r="B31" s="50" t="str">
        <f>IF(ISNA(VLOOKUP($A31,Council_Data!$A$3:$AB$840,2,0)),0,VLOOKUP($A31,Council_Data!$A$3:$AB$840,2,0))</f>
        <v>101</v>
      </c>
      <c r="C31" s="50" t="str">
        <f>IF(ISNA(VLOOKUP($A31,Council_Data!$A$3:$AB$840,3,0)),0,VLOOKUP($A31,Council_Data!$A$3:$AB$840,3,0))</f>
        <v>Bonham</v>
      </c>
      <c r="D31" s="93">
        <f>IF(ISNA(VLOOKUP($A31,Council_Data!$A$3:$AB$840,5,0)),0,VLOOKUP($A31,Council_Data!$A$3:$AB$840,5,0))</f>
        <v>85</v>
      </c>
      <c r="E31" s="93">
        <f>IF(ISNA(VLOOKUP($A31,Council_Data!$A$3:$AB$840,6,0)),0,VLOOKUP($A31,Council_Data!$A$3:$AB$840,6,0))</f>
        <v>4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1</v>
      </c>
      <c r="S31" s="93">
        <f>IF(ISNA(VLOOKUP($A31,Council_Data!$A$3:$AB$840,20,0)),0,VLOOKUP($A31,Council_Data!$A$3:$AB$840,20,0))</f>
        <v>-1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Regan</v>
      </c>
    </row>
    <row r="32" spans="1:22">
      <c r="A32" s="50">
        <v>11169</v>
      </c>
      <c r="B32" s="50" t="str">
        <f>IF(ISNA(VLOOKUP($A32,Council_Data!$A$3:$AB$840,2,0)),0,VLOOKUP($A32,Council_Data!$A$3:$AB$840,2,0))</f>
        <v>106</v>
      </c>
      <c r="C32" s="50" t="str">
        <f>IF(ISNA(VLOOKUP($A32,Council_Data!$A$3:$AB$840,3,0)),0,VLOOKUP($A32,Council_Data!$A$3:$AB$840,3,0))</f>
        <v>Dallas</v>
      </c>
      <c r="D32" s="93">
        <f>IF(ISNA(VLOOKUP($A32,Council_Data!$A$3:$AB$840,5,0)),0,VLOOKUP($A32,Council_Data!$A$3:$AB$840,5,0))</f>
        <v>138</v>
      </c>
      <c r="E32" s="93">
        <f>IF(ISNA(VLOOKUP($A32,Council_Data!$A$3:$AB$840,6,0)),0,VLOOKUP($A32,Council_Data!$A$3:$AB$840,6,0))</f>
        <v>7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1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1</v>
      </c>
      <c r="L32" s="94">
        <f>IF(ISNA(VLOOKUP($A32,Council_Data!$A$3:$AB$840,13,0)),0,VLOOKUP($A32,Council_Data!$A$3:$AB$840,13,0))</f>
        <v>14.29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Regan</v>
      </c>
    </row>
    <row r="33" spans="1:22">
      <c r="A33" s="50">
        <v>11293</v>
      </c>
      <c r="B33" s="50" t="str">
        <f>IF(ISNA(VLOOKUP($A33,Council_Data!$A$3:$AB$840,2,0)),0,VLOOKUP($A33,Council_Data!$A$3:$AB$840,2,0))</f>
        <v>114</v>
      </c>
      <c r="C33" s="50" t="str">
        <f>IF(ISNA(VLOOKUP($A33,Council_Data!$A$3:$AB$840,3,0)),0,VLOOKUP($A33,Council_Data!$A$3:$AB$840,3,0))</f>
        <v>Allen</v>
      </c>
      <c r="D33" s="93">
        <f>IF(ISNA(VLOOKUP($A33,Council_Data!$A$3:$AB$840,5,0)),0,VLOOKUP($A33,Council_Data!$A$3:$AB$840,5,0))</f>
        <v>478</v>
      </c>
      <c r="E33" s="93">
        <f>IF(ISNA(VLOOKUP($A33,Council_Data!$A$3:$AB$840,6,0)),0,VLOOKUP($A33,Council_Data!$A$3:$AB$840,6,0))</f>
        <v>20</v>
      </c>
      <c r="F33" s="93">
        <f>IF(ISNA(VLOOKUP($A33,Council_Data!$A$3:$AB$840,7,0)),0,VLOOKUP($A33,Council_Data!$A$3:$AB$840,7,0))</f>
        <v>3</v>
      </c>
      <c r="G33" s="93">
        <f>IF(ISNA(VLOOKUP($A33,Council_Data!$A$3:$AB$840,8,0)),0,VLOOKUP($A33,Council_Data!$A$3:$AB$840,8,0))</f>
        <v>5</v>
      </c>
      <c r="H33" s="93">
        <f>IF(ISNA(VLOOKUP($A33,Council_Data!$A$3:$AB$840,9,0)),0,VLOOKUP($A33,Council_Data!$A$3:$AB$840,9,0))</f>
        <v>-2</v>
      </c>
      <c r="I33" s="93">
        <f>IF(ISNA(VLOOKUP($A33,Council_Data!$A$3:$AB$840,10,0)),0,VLOOKUP($A33,Council_Data!$A$3:$AB$840,10,0))</f>
        <v>6</v>
      </c>
      <c r="J33" s="93">
        <f>IF(ISNA(VLOOKUP($A33,Council_Data!$A$3:$AB$840,11,0)),0,VLOOKUP($A33,Council_Data!$A$3:$AB$840,11,0))</f>
        <v>5</v>
      </c>
      <c r="K33" s="93">
        <f>IF(ISNA(VLOOKUP($A33,Council_Data!$A$3:$AB$840,12,0)),0,VLOOKUP($A33,Council_Data!$A$3:$AB$840,12,0))</f>
        <v>1</v>
      </c>
      <c r="L33" s="94">
        <f>IF(ISNA(VLOOKUP($A33,Council_Data!$A$3:$AB$840,13,0)),0,VLOOKUP($A33,Council_Data!$A$3:$AB$840,13,0))</f>
        <v>5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2</v>
      </c>
      <c r="P33" s="93">
        <f>IF(ISNA(VLOOKUP($A33,Council_Data!$A$3:$AB$840,17,0)),0,VLOOKUP($A33,Council_Data!$A$3:$AB$840,17,0))</f>
        <v>-2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4</v>
      </c>
      <c r="S33" s="93">
        <f>IF(ISNA(VLOOKUP($A33,Council_Data!$A$3:$AB$840,20,0)),0,VLOOKUP($A33,Council_Data!$A$3:$AB$840,20,0))</f>
        <v>-4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1</v>
      </c>
      <c r="V33" s="50" t="str">
        <f>IF(ISNA(VLOOKUP($A33,Council_Data!$A$3:$AB$840,24,0)),0,VLOOKUP($A33,Council_Data!$A$3:$AB$840,24,0))</f>
        <v>Regan</v>
      </c>
    </row>
    <row r="34" spans="1:22">
      <c r="A34" s="50">
        <v>11414</v>
      </c>
      <c r="B34" s="50" t="str">
        <f>IF(ISNA(VLOOKUP($A34,Council_Data!$A$3:$AB$840,2,0)),0,VLOOKUP($A34,Council_Data!$A$3:$AB$840,2,0))</f>
        <v>105</v>
      </c>
      <c r="C34" s="50" t="str">
        <f>IF(ISNA(VLOOKUP($A34,Council_Data!$A$3:$AB$840,3,0)),0,VLOOKUP($A34,Council_Data!$A$3:$AB$840,3,0))</f>
        <v>Dallas</v>
      </c>
      <c r="D34" s="93">
        <f>IF(ISNA(VLOOKUP($A34,Council_Data!$A$3:$AB$840,5,0)),0,VLOOKUP($A34,Council_Data!$A$3:$AB$840,5,0))</f>
        <v>60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2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2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Regan</v>
      </c>
    </row>
    <row r="35" spans="1:22">
      <c r="A35" s="50">
        <v>11716</v>
      </c>
      <c r="B35" s="50" t="str">
        <f>IF(ISNA(VLOOKUP($A35,Council_Data!$A$3:$AB$840,2,0)),0,VLOOKUP($A35,Council_Data!$A$3:$AB$840,2,0))</f>
        <v>106</v>
      </c>
      <c r="C35" s="50" t="str">
        <f>IF(ISNA(VLOOKUP($A35,Council_Data!$A$3:$AB$840,3,0)),0,VLOOKUP($A35,Council_Data!$A$3:$AB$840,3,0))</f>
        <v>Plano</v>
      </c>
      <c r="D35" s="93">
        <f>IF(ISNA(VLOOKUP($A35,Council_Data!$A$3:$AB$840,5,0)),0,VLOOKUP($A35,Council_Data!$A$3:$AB$840,5,0))</f>
        <v>251</v>
      </c>
      <c r="E35" s="93">
        <f>IF(ISNA(VLOOKUP($A35,Council_Data!$A$3:$AB$840,6,0)),0,VLOOKUP($A35,Council_Data!$A$3:$AB$840,6,0))</f>
        <v>12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2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2</v>
      </c>
      <c r="L35" s="94">
        <f>IF(ISNA(VLOOKUP($A35,Council_Data!$A$3:$AB$840,13,0)),0,VLOOKUP($A35,Council_Data!$A$3:$AB$840,13,0))</f>
        <v>16.670000000000002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3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3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1</v>
      </c>
      <c r="V35" s="50" t="str">
        <f>IF(ISNA(VLOOKUP($A35,Council_Data!$A$3:$AB$840,24,0)),0,VLOOKUP($A35,Council_Data!$A$3:$AB$840,24,0))</f>
        <v>Regan</v>
      </c>
    </row>
    <row r="36" spans="1:22">
      <c r="A36" s="50">
        <v>11721</v>
      </c>
      <c r="B36" s="50" t="str">
        <f>IF(ISNA(VLOOKUP($A36,Council_Data!$A$3:$AB$840,2,0)),0,VLOOKUP($A36,Council_Data!$A$3:$AB$840,2,0))</f>
        <v>107</v>
      </c>
      <c r="C36" s="50" t="str">
        <f>IF(ISNA(VLOOKUP($A36,Council_Data!$A$3:$AB$840,3,0)),0,VLOOKUP($A36,Council_Data!$A$3:$AB$840,3,0))</f>
        <v>Kaufman</v>
      </c>
      <c r="D36" s="93">
        <f>IF(ISNA(VLOOKUP($A36,Council_Data!$A$3:$AB$840,5,0)),0,VLOOKUP($A36,Council_Data!$A$3:$AB$840,5,0))</f>
        <v>93</v>
      </c>
      <c r="E36" s="93">
        <f>IF(ISNA(VLOOKUP($A36,Council_Data!$A$3:$AB$840,6,0)),0,VLOOKUP($A36,Council_Data!$A$3:$AB$840,6,0))</f>
        <v>5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2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2</v>
      </c>
      <c r="L36" s="94">
        <f>IF(ISNA(VLOOKUP($A36,Council_Data!$A$3:$AB$840,13,0)),0,VLOOKUP($A36,Council_Data!$A$3:$AB$840,13,0))</f>
        <v>40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2</v>
      </c>
      <c r="V36" s="50" t="str">
        <f>IF(ISNA(VLOOKUP($A36,Council_Data!$A$3:$AB$840,24,0)),0,VLOOKUP($A36,Council_Data!$A$3:$AB$840,24,0))</f>
        <v>Regan</v>
      </c>
    </row>
    <row r="37" spans="1:22">
      <c r="A37" s="50">
        <v>11771</v>
      </c>
      <c r="B37" s="50" t="str">
        <f>IF(ISNA(VLOOKUP($A37,Council_Data!$A$3:$AB$840,2,0)),0,VLOOKUP($A37,Council_Data!$A$3:$AB$840,2,0))</f>
        <v>116</v>
      </c>
      <c r="C37" s="50" t="str">
        <f>IF(ISNA(VLOOKUP($A37,Council_Data!$A$3:$AB$840,3,0)),0,VLOOKUP($A37,Council_Data!$A$3:$AB$840,3,0))</f>
        <v>Irving</v>
      </c>
      <c r="D37" s="93">
        <f>IF(ISNA(VLOOKUP($A37,Council_Data!$A$3:$AB$840,5,0)),0,VLOOKUP($A37,Council_Data!$A$3:$AB$840,5,0))</f>
        <v>22</v>
      </c>
      <c r="E37" s="93">
        <f>IF(ISNA(VLOOKUP($A37,Council_Data!$A$3:$AB$840,6,0)),0,VLOOKUP($A37,Council_Data!$A$3:$AB$840,6,0))</f>
        <v>3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3</v>
      </c>
      <c r="V37" s="50" t="str">
        <f>IF(ISNA(VLOOKUP($A37,Council_Data!$A$3:$AB$840,24,0)),0,VLOOKUP($A37,Council_Data!$A$3:$AB$840,24,0))</f>
        <v>Regan</v>
      </c>
    </row>
    <row r="38" spans="1:22">
      <c r="A38" s="50">
        <v>11862</v>
      </c>
      <c r="B38" s="50" t="str">
        <f>IF(ISNA(VLOOKUP($A38,Council_Data!$A$3:$AB$840,2,0)),0,VLOOKUP($A38,Council_Data!$A$3:$AB$840,2,0))</f>
        <v>103</v>
      </c>
      <c r="C38" s="50" t="str">
        <f>IF(ISNA(VLOOKUP($A38,Council_Data!$A$3:$AB$840,3,0)),0,VLOOKUP($A38,Council_Data!$A$3:$AB$840,3,0))</f>
        <v>Garland</v>
      </c>
      <c r="D38" s="93">
        <f>IF(ISNA(VLOOKUP($A38,Council_Data!$A$3:$AB$840,5,0)),0,VLOOKUP($A38,Council_Data!$A$3:$AB$840,5,0))</f>
        <v>269</v>
      </c>
      <c r="E38" s="93">
        <f>IF(ISNA(VLOOKUP($A38,Council_Data!$A$3:$AB$840,6,0)),0,VLOOKUP($A38,Council_Data!$A$3:$AB$840,6,0))</f>
        <v>13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2</v>
      </c>
      <c r="J38" s="93">
        <f>IF(ISNA(VLOOKUP($A38,Council_Data!$A$3:$AB$840,11,0)),0,VLOOKUP($A38,Council_Data!$A$3:$AB$840,11,0))</f>
        <v>6</v>
      </c>
      <c r="K38" s="93">
        <f>IF(ISNA(VLOOKUP($A38,Council_Data!$A$3:$AB$840,12,0)),0,VLOOKUP($A38,Council_Data!$A$3:$AB$840,12,0))</f>
        <v>-4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1</v>
      </c>
      <c r="P38" s="93">
        <f>IF(ISNA(VLOOKUP($A38,Council_Data!$A$3:$AB$840,17,0)),0,VLOOKUP($A38,Council_Data!$A$3:$AB$840,17,0))</f>
        <v>-1</v>
      </c>
      <c r="Q38" s="93">
        <f>IF(ISNA(VLOOKUP($A38,Council_Data!$A$3:$AB$840,18,0)),0,VLOOKUP($A38,Council_Data!$A$3:$AB$840,18,0))</f>
        <v>3</v>
      </c>
      <c r="R38" s="93">
        <f>IF(ISNA(VLOOKUP($A38,Council_Data!$A$3:$AB$840,19,0)),0,VLOOKUP($A38,Council_Data!$A$3:$AB$840,19,0))</f>
        <v>3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1</v>
      </c>
      <c r="V38" s="50" t="str">
        <f>IF(ISNA(VLOOKUP($A38,Council_Data!$A$3:$AB$840,24,0)),0,VLOOKUP($A38,Council_Data!$A$3:$AB$840,24,0))</f>
        <v>Regan</v>
      </c>
    </row>
    <row r="39" spans="1:22">
      <c r="A39" s="50">
        <v>11937</v>
      </c>
      <c r="B39" s="50" t="str">
        <f>IF(ISNA(VLOOKUP($A39,Council_Data!$A$3:$AB$840,2,0)),0,VLOOKUP($A39,Council_Data!$A$3:$AB$840,2,0))</f>
        <v>104</v>
      </c>
      <c r="C39" s="50" t="str">
        <f>IF(ISNA(VLOOKUP($A39,Council_Data!$A$3:$AB$840,3,0)),0,VLOOKUP($A39,Council_Data!$A$3:$AB$840,3,0))</f>
        <v>Dallas</v>
      </c>
      <c r="D39" s="93">
        <f>IF(ISNA(VLOOKUP($A39,Council_Data!$A$3:$AB$840,5,0)),0,VLOOKUP($A39,Council_Data!$A$3:$AB$840,5,0))</f>
        <v>353</v>
      </c>
      <c r="E39" s="93">
        <f>IF(ISNA(VLOOKUP($A39,Council_Data!$A$3:$AB$840,6,0)),0,VLOOKUP($A39,Council_Data!$A$3:$AB$840,6,0))</f>
        <v>18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2</v>
      </c>
      <c r="H39" s="93">
        <f>IF(ISNA(VLOOKUP($A39,Council_Data!$A$3:$AB$840,9,0)),0,VLOOKUP($A39,Council_Data!$A$3:$AB$840,9,0))</f>
        <v>-2</v>
      </c>
      <c r="I39" s="93">
        <f>IF(ISNA(VLOOKUP($A39,Council_Data!$A$3:$AB$840,10,0)),0,VLOOKUP($A39,Council_Data!$A$3:$AB$840,10,0))</f>
        <v>1</v>
      </c>
      <c r="J39" s="93">
        <f>IF(ISNA(VLOOKUP($A39,Council_Data!$A$3:$AB$840,11,0)),0,VLOOKUP($A39,Council_Data!$A$3:$AB$840,11,0))</f>
        <v>2</v>
      </c>
      <c r="K39" s="93">
        <f>IF(ISNA(VLOOKUP($A39,Council_Data!$A$3:$AB$840,12,0)),0,VLOOKUP($A39,Council_Data!$A$3:$AB$840,12,0))</f>
        <v>-1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1</v>
      </c>
      <c r="V39" s="50" t="str">
        <f>IF(ISNA(VLOOKUP($A39,Council_Data!$A$3:$AB$840,24,0)),0,VLOOKUP($A39,Council_Data!$A$3:$AB$840,24,0))</f>
        <v>Regan</v>
      </c>
    </row>
    <row r="40" spans="1:22">
      <c r="A40" s="50">
        <v>12021</v>
      </c>
      <c r="B40" s="50" t="str">
        <f>IF(ISNA(VLOOKUP($A40,Council_Data!$A$3:$AB$840,2,0)),0,VLOOKUP($A40,Council_Data!$A$3:$AB$840,2,0))</f>
        <v>114</v>
      </c>
      <c r="C40" s="50" t="str">
        <f>IF(ISNA(VLOOKUP($A40,Council_Data!$A$3:$AB$840,3,0)),0,VLOOKUP($A40,Council_Data!$A$3:$AB$840,3,0))</f>
        <v>Richardson</v>
      </c>
      <c r="D40" s="93">
        <f>IF(ISNA(VLOOKUP($A40,Council_Data!$A$3:$AB$840,5,0)),0,VLOOKUP($A40,Council_Data!$A$3:$AB$840,5,0))</f>
        <v>131</v>
      </c>
      <c r="E40" s="93">
        <f>IF(ISNA(VLOOKUP($A40,Council_Data!$A$3:$AB$840,6,0)),0,VLOOKUP($A40,Council_Data!$A$3:$AB$840,6,0))</f>
        <v>6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1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1</v>
      </c>
      <c r="L40" s="94">
        <f>IF(ISNA(VLOOKUP($A40,Council_Data!$A$3:$AB$840,13,0)),0,VLOOKUP($A40,Council_Data!$A$3:$AB$840,13,0))</f>
        <v>16.670000000000002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2</v>
      </c>
      <c r="V40" s="50" t="str">
        <f>IF(ISNA(VLOOKUP($A40,Council_Data!$A$3:$AB$840,24,0)),0,VLOOKUP($A40,Council_Data!$A$3:$AB$840,24,0))</f>
        <v>Regan</v>
      </c>
    </row>
    <row r="41" spans="1:22">
      <c r="A41" s="50">
        <v>12153</v>
      </c>
      <c r="B41" s="50" t="str">
        <f>IF(ISNA(VLOOKUP($A41,Council_Data!$A$3:$AB$840,2,0)),0,VLOOKUP($A41,Council_Data!$A$3:$AB$840,2,0))</f>
        <v>114</v>
      </c>
      <c r="C41" s="50" t="str">
        <f>IF(ISNA(VLOOKUP($A41,Council_Data!$A$3:$AB$840,3,0)),0,VLOOKUP($A41,Council_Data!$A$3:$AB$840,3,0))</f>
        <v>Mckinney</v>
      </c>
      <c r="D41" s="93">
        <f>IF(ISNA(VLOOKUP($A41,Council_Data!$A$3:$AB$840,5,0)),0,VLOOKUP($A41,Council_Data!$A$3:$AB$840,5,0))</f>
        <v>324</v>
      </c>
      <c r="E41" s="93">
        <f>IF(ISNA(VLOOKUP($A41,Council_Data!$A$3:$AB$840,6,0)),0,VLOOKUP($A41,Council_Data!$A$3:$AB$840,6,0))</f>
        <v>16</v>
      </c>
      <c r="F41" s="93">
        <f>IF(ISNA(VLOOKUP($A41,Council_Data!$A$3:$AB$840,7,0)),0,VLOOKUP($A41,Council_Data!$A$3:$AB$840,7,0))</f>
        <v>2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2</v>
      </c>
      <c r="I41" s="93">
        <f>IF(ISNA(VLOOKUP($A41,Council_Data!$A$3:$AB$840,10,0)),0,VLOOKUP($A41,Council_Data!$A$3:$AB$840,10,0))</f>
        <v>2</v>
      </c>
      <c r="J41" s="93">
        <f>IF(ISNA(VLOOKUP($A41,Council_Data!$A$3:$AB$840,11,0)),0,VLOOKUP($A41,Council_Data!$A$3:$AB$840,11,0))</f>
        <v>1</v>
      </c>
      <c r="K41" s="93">
        <f>IF(ISNA(VLOOKUP($A41,Council_Data!$A$3:$AB$840,12,0)),0,VLOOKUP($A41,Council_Data!$A$3:$AB$840,12,0))</f>
        <v>1</v>
      </c>
      <c r="L41" s="94">
        <f>IF(ISNA(VLOOKUP($A41,Council_Data!$A$3:$AB$840,13,0)),0,VLOOKUP($A41,Council_Data!$A$3:$AB$840,13,0))</f>
        <v>6.25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1</v>
      </c>
      <c r="O41" s="93">
        <f>IF(ISNA(VLOOKUP($A41,Council_Data!$A$3:$AB$840,16,0)),0,VLOOKUP($A41,Council_Data!$A$3:$AB$840,16,0))</f>
        <v>1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2</v>
      </c>
      <c r="R41" s="93">
        <f>IF(ISNA(VLOOKUP($A41,Council_Data!$A$3:$AB$840,19,0)),0,VLOOKUP($A41,Council_Data!$A$3:$AB$840,19,0))</f>
        <v>3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1</v>
      </c>
      <c r="V41" s="50" t="str">
        <f>IF(ISNA(VLOOKUP($A41,Council_Data!$A$3:$AB$840,24,0)),0,VLOOKUP($A41,Council_Data!$A$3:$AB$840,24,0))</f>
        <v>Regan</v>
      </c>
    </row>
    <row r="42" spans="1:22">
      <c r="A42" s="50">
        <v>12300</v>
      </c>
      <c r="B42" s="50" t="str">
        <f>IF(ISNA(VLOOKUP($A42,Council_Data!$A$3:$AB$840,2,0)),0,VLOOKUP($A42,Council_Data!$A$3:$AB$840,2,0))</f>
        <v>110</v>
      </c>
      <c r="C42" s="50" t="str">
        <f>IF(ISNA(VLOOKUP($A42,Council_Data!$A$3:$AB$840,3,0)),0,VLOOKUP($A42,Council_Data!$A$3:$AB$840,3,0))</f>
        <v>Wylie</v>
      </c>
      <c r="D42" s="93">
        <f>IF(ISNA(VLOOKUP($A42,Council_Data!$A$3:$AB$840,5,0)),0,VLOOKUP($A42,Council_Data!$A$3:$AB$840,5,0))</f>
        <v>258</v>
      </c>
      <c r="E42" s="93">
        <f>IF(ISNA(VLOOKUP($A42,Council_Data!$A$3:$AB$840,6,0)),0,VLOOKUP($A42,Council_Data!$A$3:$AB$840,6,0))</f>
        <v>12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1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1</v>
      </c>
      <c r="L42" s="94">
        <f>IF(ISNA(VLOOKUP($A42,Council_Data!$A$3:$AB$840,13,0)),0,VLOOKUP($A42,Council_Data!$A$3:$AB$840,13,0))</f>
        <v>8.33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1</v>
      </c>
      <c r="P42" s="93">
        <f>IF(ISNA(VLOOKUP($A42,Council_Data!$A$3:$AB$840,17,0)),0,VLOOKUP($A42,Council_Data!$A$3:$AB$840,17,0))</f>
        <v>-1</v>
      </c>
      <c r="Q42" s="93">
        <f>IF(ISNA(VLOOKUP($A42,Council_Data!$A$3:$AB$840,18,0)),0,VLOOKUP($A42,Council_Data!$A$3:$AB$840,18,0))</f>
        <v>1</v>
      </c>
      <c r="R42" s="93">
        <f>IF(ISNA(VLOOKUP($A42,Council_Data!$A$3:$AB$840,19,0)),0,VLOOKUP($A42,Council_Data!$A$3:$AB$840,19,0))</f>
        <v>1</v>
      </c>
      <c r="S42" s="93">
        <f>IF(ISNA(VLOOKUP($A42,Council_Data!$A$3:$AB$840,20,0)),0,VLOOKUP($A42,Council_Data!$A$3:$AB$840,20,0))</f>
        <v>0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Regan</v>
      </c>
    </row>
    <row r="43" spans="1:22">
      <c r="A43" s="50">
        <v>12480</v>
      </c>
      <c r="B43" s="50" t="str">
        <f>IF(ISNA(VLOOKUP($A43,Council_Data!$A$3:$AB$840,2,0)),0,VLOOKUP($A43,Council_Data!$A$3:$AB$840,2,0))</f>
        <v>111</v>
      </c>
      <c r="C43" s="50" t="str">
        <f>IF(ISNA(VLOOKUP($A43,Council_Data!$A$3:$AB$840,3,0)),0,VLOOKUP($A43,Council_Data!$A$3:$AB$840,3,0))</f>
        <v>Frisco</v>
      </c>
      <c r="D43" s="93">
        <f>IF(ISNA(VLOOKUP($A43,Council_Data!$A$3:$AB$840,5,0)),0,VLOOKUP($A43,Council_Data!$A$3:$AB$840,5,0))</f>
        <v>562</v>
      </c>
      <c r="E43" s="93">
        <f>IF(ISNA(VLOOKUP($A43,Council_Data!$A$3:$AB$840,6,0)),0,VLOOKUP($A43,Council_Data!$A$3:$AB$840,6,0))</f>
        <v>20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48</v>
      </c>
      <c r="H43" s="93">
        <f>IF(ISNA(VLOOKUP($A43,Council_Data!$A$3:$AB$840,9,0)),0,VLOOKUP($A43,Council_Data!$A$3:$AB$840,9,0))</f>
        <v>-48</v>
      </c>
      <c r="I43" s="93">
        <f>IF(ISNA(VLOOKUP($A43,Council_Data!$A$3:$AB$840,10,0)),0,VLOOKUP($A43,Council_Data!$A$3:$AB$840,10,0))</f>
        <v>3</v>
      </c>
      <c r="J43" s="93">
        <f>IF(ISNA(VLOOKUP($A43,Council_Data!$A$3:$AB$840,11,0)),0,VLOOKUP($A43,Council_Data!$A$3:$AB$840,11,0))</f>
        <v>49</v>
      </c>
      <c r="K43" s="93">
        <f>IF(ISNA(VLOOKUP($A43,Council_Data!$A$3:$AB$840,12,0)),0,VLOOKUP($A43,Council_Data!$A$3:$AB$840,12,0))</f>
        <v>-46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1</v>
      </c>
      <c r="O43" s="93">
        <f>IF(ISNA(VLOOKUP($A43,Council_Data!$A$3:$AB$840,16,0)),0,VLOOKUP($A43,Council_Data!$A$3:$AB$840,16,0))</f>
        <v>3</v>
      </c>
      <c r="P43" s="93">
        <f>IF(ISNA(VLOOKUP($A43,Council_Data!$A$3:$AB$840,17,0)),0,VLOOKUP($A43,Council_Data!$A$3:$AB$840,17,0))</f>
        <v>-2</v>
      </c>
      <c r="Q43" s="93">
        <f>IF(ISNA(VLOOKUP($A43,Council_Data!$A$3:$AB$840,18,0)),0,VLOOKUP($A43,Council_Data!$A$3:$AB$840,18,0))</f>
        <v>4</v>
      </c>
      <c r="R43" s="93">
        <f>IF(ISNA(VLOOKUP($A43,Council_Data!$A$3:$AB$840,19,0)),0,VLOOKUP($A43,Council_Data!$A$3:$AB$840,19,0))</f>
        <v>6</v>
      </c>
      <c r="S43" s="93">
        <f>IF(ISNA(VLOOKUP($A43,Council_Data!$A$3:$AB$840,20,0)),0,VLOOKUP($A43,Council_Data!$A$3:$AB$840,20,0))</f>
        <v>-2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1</v>
      </c>
      <c r="V43" s="50" t="str">
        <f>IF(ISNA(VLOOKUP($A43,Council_Data!$A$3:$AB$840,24,0)),0,VLOOKUP($A43,Council_Data!$A$3:$AB$840,24,0))</f>
        <v>Regan</v>
      </c>
    </row>
    <row r="44" spans="1:22">
      <c r="A44" s="50">
        <v>12484</v>
      </c>
      <c r="B44" s="50" t="str">
        <f>IF(ISNA(VLOOKUP($A44,Council_Data!$A$3:$AB$840,2,0)),0,VLOOKUP($A44,Council_Data!$A$3:$AB$840,2,0))</f>
        <v>109</v>
      </c>
      <c r="C44" s="50" t="str">
        <f>IF(ISNA(VLOOKUP($A44,Council_Data!$A$3:$AB$840,3,0)),0,VLOOKUP($A44,Council_Data!$A$3:$AB$840,3,0))</f>
        <v>Lancaster</v>
      </c>
      <c r="D44" s="93">
        <f>IF(ISNA(VLOOKUP($A44,Council_Data!$A$3:$AB$840,5,0)),0,VLOOKUP($A44,Council_Data!$A$3:$AB$840,5,0))</f>
        <v>91</v>
      </c>
      <c r="E44" s="93">
        <f>IF(ISNA(VLOOKUP($A44,Council_Data!$A$3:$AB$840,6,0)),0,VLOOKUP($A44,Council_Data!$A$3:$AB$840,6,0))</f>
        <v>4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1</v>
      </c>
      <c r="S44" s="93">
        <f>IF(ISNA(VLOOKUP($A44,Council_Data!$A$3:$AB$840,20,0)),0,VLOOKUP($A44,Council_Data!$A$3:$AB$840,20,0))</f>
        <v>-1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2</v>
      </c>
      <c r="V44" s="50" t="str">
        <f>IF(ISNA(VLOOKUP($A44,Council_Data!$A$3:$AB$840,24,0)),0,VLOOKUP($A44,Council_Data!$A$3:$AB$840,24,0))</f>
        <v>Stark</v>
      </c>
    </row>
    <row r="45" spans="1:22">
      <c r="A45" s="50">
        <v>12964</v>
      </c>
      <c r="B45" s="50" t="str">
        <f>IF(ISNA(VLOOKUP($A45,Council_Data!$A$3:$AB$840,2,0)),0,VLOOKUP($A45,Council_Data!$A$3:$AB$840,2,0))</f>
        <v>102</v>
      </c>
      <c r="C45" s="50" t="str">
        <f>IF(ISNA(VLOOKUP($A45,Council_Data!$A$3:$AB$840,3,0)),0,VLOOKUP($A45,Council_Data!$A$3:$AB$840,3,0))</f>
        <v>Ferris</v>
      </c>
      <c r="D45" s="93">
        <f>IF(ISNA(VLOOKUP($A45,Council_Data!$A$3:$AB$840,5,0)),0,VLOOKUP($A45,Council_Data!$A$3:$AB$840,5,0))</f>
        <v>47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0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Regan</v>
      </c>
    </row>
    <row r="46" spans="1:22">
      <c r="A46" s="50">
        <v>13044</v>
      </c>
      <c r="B46" s="50" t="str">
        <f>IF(ISNA(VLOOKUP($A46,Council_Data!$A$3:$AB$840,2,0)),0,VLOOKUP($A46,Council_Data!$A$3:$AB$840,2,0))</f>
        <v>111</v>
      </c>
      <c r="C46" s="50" t="str">
        <f>IF(ISNA(VLOOKUP($A46,Council_Data!$A$3:$AB$840,3,0)),0,VLOOKUP($A46,Council_Data!$A$3:$AB$840,3,0))</f>
        <v>Allen</v>
      </c>
      <c r="D46" s="93">
        <f>IF(ISNA(VLOOKUP($A46,Council_Data!$A$3:$AB$840,5,0)),0,VLOOKUP($A46,Council_Data!$A$3:$AB$840,5,0))</f>
        <v>226</v>
      </c>
      <c r="E46" s="93">
        <f>IF(ISNA(VLOOKUP($A46,Council_Data!$A$3:$AB$840,6,0)),0,VLOOKUP($A46,Council_Data!$A$3:$AB$840,6,0))</f>
        <v>11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1</v>
      </c>
      <c r="J46" s="93">
        <f>IF(ISNA(VLOOKUP($A46,Council_Data!$A$3:$AB$840,11,0)),0,VLOOKUP($A46,Council_Data!$A$3:$AB$840,11,0))</f>
        <v>26</v>
      </c>
      <c r="K46" s="93">
        <f>IF(ISNA(VLOOKUP($A46,Council_Data!$A$3:$AB$840,12,0)),0,VLOOKUP($A46,Council_Data!$A$3:$AB$840,12,0))</f>
        <v>-25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1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1</v>
      </c>
      <c r="Q46" s="93">
        <f>IF(ISNA(VLOOKUP($A46,Council_Data!$A$3:$AB$840,18,0)),0,VLOOKUP($A46,Council_Data!$A$3:$AB$840,18,0))</f>
        <v>2</v>
      </c>
      <c r="R46" s="93">
        <f>IF(ISNA(VLOOKUP($A46,Council_Data!$A$3:$AB$840,19,0)),0,VLOOKUP($A46,Council_Data!$A$3:$AB$840,19,0))</f>
        <v>6</v>
      </c>
      <c r="S46" s="93">
        <f>IF(ISNA(VLOOKUP($A46,Council_Data!$A$3:$AB$840,20,0)),0,VLOOKUP($A46,Council_Data!$A$3:$AB$840,20,0))</f>
        <v>-4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1</v>
      </c>
      <c r="V46" s="50" t="str">
        <f>IF(ISNA(VLOOKUP($A46,Council_Data!$A$3:$AB$840,24,0)),0,VLOOKUP($A46,Council_Data!$A$3:$AB$840,24,0))</f>
        <v>Regan</v>
      </c>
    </row>
    <row r="47" spans="1:22">
      <c r="A47" s="50">
        <v>13068</v>
      </c>
      <c r="B47" s="50" t="str">
        <f>IF(ISNA(VLOOKUP($A47,Council_Data!$A$3:$AB$840,2,0)),0,VLOOKUP($A47,Council_Data!$A$3:$AB$840,2,0))</f>
        <v>113</v>
      </c>
      <c r="C47" s="50" t="str">
        <f>IF(ISNA(VLOOKUP($A47,Council_Data!$A$3:$AB$840,3,0)),0,VLOOKUP($A47,Council_Data!$A$3:$AB$840,3,0))</f>
        <v>Dallas</v>
      </c>
      <c r="D47" s="93">
        <f>IF(ISNA(VLOOKUP($A47,Council_Data!$A$3:$AB$840,5,0)),0,VLOOKUP($A47,Council_Data!$A$3:$AB$840,5,0))</f>
        <v>36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Regan</v>
      </c>
    </row>
    <row r="48" spans="1:22">
      <c r="A48" s="50">
        <v>13133</v>
      </c>
      <c r="B48" s="50" t="str">
        <f>IF(ISNA(VLOOKUP($A48,Council_Data!$A$3:$AB$840,2,0)),0,VLOOKUP($A48,Council_Data!$A$3:$AB$840,2,0))</f>
        <v>107</v>
      </c>
      <c r="C48" s="50" t="str">
        <f>IF(ISNA(VLOOKUP($A48,Council_Data!$A$3:$AB$840,3,0)),0,VLOOKUP($A48,Council_Data!$A$3:$AB$840,3,0))</f>
        <v>Talty</v>
      </c>
      <c r="D48" s="93">
        <f>IF(ISNA(VLOOKUP($A48,Council_Data!$A$3:$AB$840,5,0)),0,VLOOKUP($A48,Council_Data!$A$3:$AB$840,5,0))</f>
        <v>162</v>
      </c>
      <c r="E48" s="93">
        <f>IF(ISNA(VLOOKUP($A48,Council_Data!$A$3:$AB$840,6,0)),0,VLOOKUP($A48,Council_Data!$A$3:$AB$840,6,0))</f>
        <v>8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1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1</v>
      </c>
      <c r="L48" s="94">
        <f>IF(ISNA(VLOOKUP($A48,Council_Data!$A$3:$AB$840,13,0)),0,VLOOKUP($A48,Council_Data!$A$3:$AB$840,13,0))</f>
        <v>12.5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1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Regan</v>
      </c>
    </row>
    <row r="49" spans="1:22">
      <c r="A49" s="50">
        <v>13158</v>
      </c>
      <c r="B49" s="50" t="str">
        <f>IF(ISNA(VLOOKUP($A49,Council_Data!$A$3:$AB$840,2,0)),0,VLOOKUP($A49,Council_Data!$A$3:$AB$840,2,0))</f>
        <v>107</v>
      </c>
      <c r="C49" s="50" t="str">
        <f>IF(ISNA(VLOOKUP($A49,Council_Data!$A$3:$AB$840,3,0)),0,VLOOKUP($A49,Council_Data!$A$3:$AB$840,3,0))</f>
        <v>Mesquite</v>
      </c>
      <c r="D49" s="93">
        <f>IF(ISNA(VLOOKUP($A49,Council_Data!$A$3:$AB$840,5,0)),0,VLOOKUP($A49,Council_Data!$A$3:$AB$840,5,0))</f>
        <v>120</v>
      </c>
      <c r="E49" s="93">
        <f>IF(ISNA(VLOOKUP($A49,Council_Data!$A$3:$AB$840,6,0)),0,VLOOKUP($A49,Council_Data!$A$3:$AB$840,6,0))</f>
        <v>6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1</v>
      </c>
      <c r="P49" s="93">
        <f>IF(ISNA(VLOOKUP($A49,Council_Data!$A$3:$AB$840,17,0)),0,VLOOKUP($A49,Council_Data!$A$3:$AB$840,17,0))</f>
        <v>-1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1</v>
      </c>
      <c r="S49" s="93">
        <f>IF(ISNA(VLOOKUP($A49,Council_Data!$A$3:$AB$840,20,0)),0,VLOOKUP($A49,Council_Data!$A$3:$AB$840,20,0))</f>
        <v>-1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2</v>
      </c>
      <c r="V49" s="50" t="str">
        <f>IF(ISNA(VLOOKUP($A49,Council_Data!$A$3:$AB$840,24,0)),0,VLOOKUP($A49,Council_Data!$A$3:$AB$840,24,0))</f>
        <v>Regan</v>
      </c>
    </row>
    <row r="50" spans="1:22">
      <c r="A50" s="50">
        <v>13322</v>
      </c>
      <c r="B50" s="50" t="str">
        <f>IF(ISNA(VLOOKUP($A50,Council_Data!$A$3:$AB$840,2,0)),0,VLOOKUP($A50,Council_Data!$A$3:$AB$840,2,0))</f>
        <v>113</v>
      </c>
      <c r="C50" s="50" t="str">
        <f>IF(ISNA(VLOOKUP($A50,Council_Data!$A$3:$AB$840,3,0)),0,VLOOKUP($A50,Council_Data!$A$3:$AB$840,3,0))</f>
        <v>Dallas</v>
      </c>
      <c r="D50" s="93">
        <f>IF(ISNA(VLOOKUP($A50,Council_Data!$A$3:$AB$840,5,0)),0,VLOOKUP($A50,Council_Data!$A$3:$AB$840,5,0))</f>
        <v>102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2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2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Regan</v>
      </c>
    </row>
    <row r="51" spans="1:22">
      <c r="A51" s="50">
        <v>13520</v>
      </c>
      <c r="B51" s="50" t="str">
        <f>IF(ISNA(VLOOKUP($A51,Council_Data!$A$3:$AB$840,2,0)),0,VLOOKUP($A51,Council_Data!$A$3:$AB$840,2,0))</f>
        <v>108</v>
      </c>
      <c r="C51" s="50" t="str">
        <f>IF(ISNA(VLOOKUP($A51,Council_Data!$A$3:$AB$840,3,0)),0,VLOOKUP($A51,Council_Data!$A$3:$AB$840,3,0))</f>
        <v>Dallas</v>
      </c>
      <c r="D51" s="93">
        <f>IF(ISNA(VLOOKUP($A51,Council_Data!$A$3:$AB$840,5,0)),0,VLOOKUP($A51,Council_Data!$A$3:$AB$840,5,0))</f>
        <v>338</v>
      </c>
      <c r="E51" s="93">
        <f>IF(ISNA(VLOOKUP($A51,Council_Data!$A$3:$AB$840,6,0)),0,VLOOKUP($A51,Council_Data!$A$3:$AB$840,6,0))</f>
        <v>17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1</v>
      </c>
      <c r="P51" s="93">
        <f>IF(ISNA(VLOOKUP($A51,Council_Data!$A$3:$AB$840,17,0)),0,VLOOKUP($A51,Council_Data!$A$3:$AB$840,17,0))</f>
        <v>-1</v>
      </c>
      <c r="Q51" s="93">
        <f>IF(ISNA(VLOOKUP($A51,Council_Data!$A$3:$AB$840,18,0)),0,VLOOKUP($A51,Council_Data!$A$3:$AB$840,18,0))</f>
        <v>2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1</v>
      </c>
      <c r="V51" s="50" t="str">
        <f>IF(ISNA(VLOOKUP($A51,Council_Data!$A$3:$AB$840,24,0)),0,VLOOKUP($A51,Council_Data!$A$3:$AB$840,24,0))</f>
        <v>Regan</v>
      </c>
    </row>
    <row r="52" spans="1:22">
      <c r="A52" s="50">
        <v>14568</v>
      </c>
      <c r="B52" s="50" t="str">
        <f>IF(ISNA(VLOOKUP($A52,Council_Data!$A$3:$AB$840,2,0)),0,VLOOKUP($A52,Council_Data!$A$3:$AB$840,2,0))</f>
        <v>112</v>
      </c>
      <c r="C52" s="50" t="str">
        <f>IF(ISNA(VLOOKUP($A52,Council_Data!$A$3:$AB$840,3,0)),0,VLOOKUP($A52,Council_Data!$A$3:$AB$840,3,0))</f>
        <v>Dallas</v>
      </c>
      <c r="D52" s="93">
        <f>IF(ISNA(VLOOKUP($A52,Council_Data!$A$3:$AB$840,5,0)),0,VLOOKUP($A52,Council_Data!$A$3:$AB$840,5,0))</f>
        <v>123</v>
      </c>
      <c r="E52" s="93">
        <f>IF(ISNA(VLOOKUP($A52,Council_Data!$A$3:$AB$840,6,0)),0,VLOOKUP($A52,Council_Data!$A$3:$AB$840,6,0))</f>
        <v>6</v>
      </c>
      <c r="F52" s="93">
        <f>IF(ISNA(VLOOKUP($A52,Council_Data!$A$3:$AB$840,7,0)),0,VLOOKUP($A52,Council_Data!$A$3:$AB$840,7,0))</f>
        <v>1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1</v>
      </c>
      <c r="I52" s="93">
        <f>IF(ISNA(VLOOKUP($A52,Council_Data!$A$3:$AB$840,10,0)),0,VLOOKUP($A52,Council_Data!$A$3:$AB$840,10,0))</f>
        <v>4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4</v>
      </c>
      <c r="L52" s="94">
        <f>IF(ISNA(VLOOKUP($A52,Council_Data!$A$3:$AB$840,13,0)),0,VLOOKUP($A52,Council_Data!$A$3:$AB$840,13,0))</f>
        <v>66.67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1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1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Regan</v>
      </c>
    </row>
    <row r="53" spans="1:22">
      <c r="A53" s="50">
        <v>14810</v>
      </c>
      <c r="B53" s="50" t="str">
        <f>IF(ISNA(VLOOKUP($A53,Council_Data!$A$3:$AB$840,2,0)),0,VLOOKUP($A53,Council_Data!$A$3:$AB$840,2,0))</f>
        <v>112</v>
      </c>
      <c r="C53" s="50" t="str">
        <f>IF(ISNA(VLOOKUP($A53,Council_Data!$A$3:$AB$840,3,0)),0,VLOOKUP($A53,Council_Data!$A$3:$AB$840,3,0))</f>
        <v>Dallas</v>
      </c>
      <c r="D53" s="93">
        <f>IF(ISNA(VLOOKUP($A53,Council_Data!$A$3:$AB$840,5,0)),0,VLOOKUP($A53,Council_Data!$A$3:$AB$840,5,0))</f>
        <v>53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2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2</v>
      </c>
      <c r="L53" s="94">
        <f>IF(ISNA(VLOOKUP($A53,Council_Data!$A$3:$AB$840,13,0)),0,VLOOKUP($A53,Council_Data!$A$3:$AB$840,13,0))</f>
        <v>66.67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Regan</v>
      </c>
    </row>
    <row r="54" spans="1:22">
      <c r="A54" s="50">
        <v>14872</v>
      </c>
      <c r="B54" s="50" t="str">
        <f>IF(ISNA(VLOOKUP($A54,Council_Data!$A$3:$AB$840,2,0)),0,VLOOKUP($A54,Council_Data!$A$3:$AB$840,2,0))</f>
        <v>116</v>
      </c>
      <c r="C54" s="50" t="str">
        <f>IF(ISNA(VLOOKUP($A54,Council_Data!$A$3:$AB$840,3,0)),0,VLOOKUP($A54,Council_Data!$A$3:$AB$840,3,0))</f>
        <v>Irving</v>
      </c>
      <c r="D54" s="93">
        <f>IF(ISNA(VLOOKUP($A54,Council_Data!$A$3:$AB$840,5,0)),0,VLOOKUP($A54,Council_Data!$A$3:$AB$840,5,0))</f>
        <v>39</v>
      </c>
      <c r="E54" s="93">
        <f>IF(ISNA(VLOOKUP($A54,Council_Data!$A$3:$AB$840,6,0)),0,VLOOKUP($A54,Council_Data!$A$3:$AB$840,6,0))</f>
        <v>3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3</v>
      </c>
      <c r="V54" s="50" t="str">
        <f>IF(ISNA(VLOOKUP($A54,Council_Data!$A$3:$AB$840,24,0)),0,VLOOKUP($A54,Council_Data!$A$3:$AB$840,24,0))</f>
        <v>Regan</v>
      </c>
    </row>
    <row r="55" spans="1:22">
      <c r="A55" s="50">
        <v>15033</v>
      </c>
      <c r="B55" s="50" t="str">
        <f>IF(ISNA(VLOOKUP($A55,Council_Data!$A$3:$AB$840,2,0)),0,VLOOKUP($A55,Council_Data!$A$3:$AB$840,2,0))</f>
        <v>108</v>
      </c>
      <c r="C55" s="50" t="str">
        <f>IF(ISNA(VLOOKUP($A55,Council_Data!$A$3:$AB$840,3,0)),0,VLOOKUP($A55,Council_Data!$A$3:$AB$840,3,0))</f>
        <v>Irving</v>
      </c>
      <c r="D55" s="93">
        <f>IF(ISNA(VLOOKUP($A55,Council_Data!$A$3:$AB$840,5,0)),0,VLOOKUP($A55,Council_Data!$A$3:$AB$840,5,0))</f>
        <v>125</v>
      </c>
      <c r="E55" s="93">
        <f>IF(ISNA(VLOOKUP($A55,Council_Data!$A$3:$AB$840,6,0)),0,VLOOKUP($A55,Council_Data!$A$3:$AB$840,6,0))</f>
        <v>6</v>
      </c>
      <c r="F55" s="93">
        <f>IF(ISNA(VLOOKUP($A55,Council_Data!$A$3:$AB$840,7,0)),0,VLOOKUP($A55,Council_Data!$A$3:$AB$840,7,0))</f>
        <v>1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1</v>
      </c>
      <c r="I55" s="93">
        <f>IF(ISNA(VLOOKUP($A55,Council_Data!$A$3:$AB$840,10,0)),0,VLOOKUP($A55,Council_Data!$A$3:$AB$840,10,0))</f>
        <v>3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3</v>
      </c>
      <c r="L55" s="94">
        <f>IF(ISNA(VLOOKUP($A55,Council_Data!$A$3:$AB$840,13,0)),0,VLOOKUP($A55,Council_Data!$A$3:$AB$840,13,0))</f>
        <v>50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1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1</v>
      </c>
      <c r="Q55" s="93">
        <f>IF(ISNA(VLOOKUP($A55,Council_Data!$A$3:$AB$840,18,0)),0,VLOOKUP($A55,Council_Data!$A$3:$AB$840,18,0))</f>
        <v>4</v>
      </c>
      <c r="R55" s="93">
        <f>IF(ISNA(VLOOKUP($A55,Council_Data!$A$3:$AB$840,19,0)),0,VLOOKUP($A55,Council_Data!$A$3:$AB$840,19,0))</f>
        <v>1</v>
      </c>
      <c r="S55" s="93">
        <f>IF(ISNA(VLOOKUP($A55,Council_Data!$A$3:$AB$840,20,0)),0,VLOOKUP($A55,Council_Data!$A$3:$AB$840,20,0))</f>
        <v>3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2</v>
      </c>
      <c r="V55" s="50" t="str">
        <f>IF(ISNA(VLOOKUP($A55,Council_Data!$A$3:$AB$840,24,0)),0,VLOOKUP($A55,Council_Data!$A$3:$AB$840,24,0))</f>
        <v>Regan</v>
      </c>
    </row>
    <row r="56" spans="1:22">
      <c r="A56" s="50">
        <v>15852</v>
      </c>
      <c r="B56" s="50" t="str">
        <f>IF(ISNA(VLOOKUP($A56,Council_Data!$A$3:$AB$840,2,0)),0,VLOOKUP($A56,Council_Data!$A$3:$AB$840,2,0))</f>
        <v>104</v>
      </c>
      <c r="C56" s="50" t="str">
        <f>IF(ISNA(VLOOKUP($A56,Council_Data!$A$3:$AB$840,3,0)),0,VLOOKUP($A56,Council_Data!$A$3:$AB$840,3,0))</f>
        <v>Dallas</v>
      </c>
      <c r="D56" s="93">
        <f>IF(ISNA(VLOOKUP($A56,Council_Data!$A$3:$AB$840,5,0)),0,VLOOKUP($A56,Council_Data!$A$3:$AB$840,5,0))</f>
        <v>54</v>
      </c>
      <c r="E56" s="93">
        <f>IF(ISNA(VLOOKUP($A56,Council_Data!$A$3:$AB$840,6,0)),0,VLOOKUP($A56,Council_Data!$A$3:$AB$840,6,0))</f>
        <v>3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Regan</v>
      </c>
    </row>
    <row r="57" spans="1:22">
      <c r="A57" s="50">
        <v>16047</v>
      </c>
      <c r="B57" s="50" t="str">
        <f>IF(ISNA(VLOOKUP($A57,Council_Data!$A$3:$AB$840,2,0)),0,VLOOKUP($A57,Council_Data!$A$3:$AB$840,2,0))</f>
        <v>101</v>
      </c>
      <c r="C57" s="50" t="str">
        <f>IF(ISNA(VLOOKUP($A57,Council_Data!$A$3:$AB$840,3,0)),0,VLOOKUP($A57,Council_Data!$A$3:$AB$840,3,0))</f>
        <v>Van Alstyne</v>
      </c>
      <c r="D57" s="93">
        <f>IF(ISNA(VLOOKUP($A57,Council_Data!$A$3:$AB$840,5,0)),0,VLOOKUP($A57,Council_Data!$A$3:$AB$840,5,0))</f>
        <v>67</v>
      </c>
      <c r="E57" s="93">
        <f>IF(ISNA(VLOOKUP($A57,Council_Data!$A$3:$AB$840,6,0)),0,VLOOKUP($A57,Council_Data!$A$3:$AB$840,6,0))</f>
        <v>3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2</v>
      </c>
      <c r="R57" s="93">
        <f>IF(ISNA(VLOOKUP($A57,Council_Data!$A$3:$AB$840,19,0)),0,VLOOKUP($A57,Council_Data!$A$3:$AB$840,19,0))</f>
        <v>2</v>
      </c>
      <c r="S57" s="93">
        <f>IF(ISNA(VLOOKUP($A57,Council_Data!$A$3:$AB$840,20,0)),0,VLOOKUP($A57,Council_Data!$A$3:$AB$840,20,0))</f>
        <v>0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2</v>
      </c>
      <c r="V57" s="50" t="str">
        <f>IF(ISNA(VLOOKUP($A57,Council_Data!$A$3:$AB$840,24,0)),0,VLOOKUP($A57,Council_Data!$A$3:$AB$840,24,0))</f>
        <v>Regan</v>
      </c>
    </row>
    <row r="58" spans="1:22">
      <c r="A58" s="50">
        <v>16202</v>
      </c>
      <c r="B58" s="50" t="str">
        <f>IF(ISNA(VLOOKUP($A58,Council_Data!$A$3:$AB$840,2,0)),0,VLOOKUP($A58,Council_Data!$A$3:$AB$840,2,0))</f>
        <v>110</v>
      </c>
      <c r="C58" s="50" t="str">
        <f>IF(ISNA(VLOOKUP($A58,Council_Data!$A$3:$AB$840,3,0)),0,VLOOKUP($A58,Council_Data!$A$3:$AB$840,3,0))</f>
        <v>Commerce</v>
      </c>
      <c r="D58" s="93">
        <f>IF(ISNA(VLOOKUP($A58,Council_Data!$A$3:$AB$840,5,0)),0,VLOOKUP($A58,Council_Data!$A$3:$AB$840,5,0))</f>
        <v>36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2</v>
      </c>
      <c r="J58" s="93">
        <f>IF(ISNA(VLOOKUP($A58,Council_Data!$A$3:$AB$840,11,0)),0,VLOOKUP($A58,Council_Data!$A$3:$AB$840,11,0))</f>
        <v>1</v>
      </c>
      <c r="K58" s="93">
        <f>IF(ISNA(VLOOKUP($A58,Council_Data!$A$3:$AB$840,12,0)),0,VLOOKUP($A58,Council_Data!$A$3:$AB$840,12,0))</f>
        <v>1</v>
      </c>
      <c r="L58" s="94">
        <f>IF(ISNA(VLOOKUP($A58,Council_Data!$A$3:$AB$840,13,0)),0,VLOOKUP($A58,Council_Data!$A$3:$AB$840,13,0))</f>
        <v>33.33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1</v>
      </c>
      <c r="S58" s="93">
        <f>IF(ISNA(VLOOKUP($A58,Council_Data!$A$3:$AB$840,20,0)),0,VLOOKUP($A58,Council_Data!$A$3:$AB$840,20,0))</f>
        <v>0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Regan</v>
      </c>
    </row>
    <row r="59" spans="1:22">
      <c r="A59" s="76">
        <v>16375</v>
      </c>
      <c r="B59" s="50" t="str">
        <f>IF(ISNA(VLOOKUP($A59,Council_Data!$A$3:$AB$840,2,0)),0,VLOOKUP($A59,Council_Data!$A$3:$AB$840,2,0))</f>
        <v>112</v>
      </c>
      <c r="C59" s="50" t="str">
        <f>IF(ISNA(VLOOKUP($A59,Council_Data!$A$3:$AB$840,3,0)),0,VLOOKUP($A59,Council_Data!$A$3:$AB$840,3,0))</f>
        <v>Dallas</v>
      </c>
      <c r="D59" s="93">
        <f>IF(ISNA(VLOOKUP($A59,Council_Data!$A$3:$AB$840,5,0)),0,VLOOKUP($A59,Council_Data!$A$3:$AB$840,5,0))</f>
        <v>48</v>
      </c>
      <c r="E59" s="93">
        <f>IF(ISNA(VLOOKUP($A59,Council_Data!$A$3:$AB$840,6,0)),0,VLOOKUP($A59,Council_Data!$A$3:$AB$840,6,0))</f>
        <v>3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1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1</v>
      </c>
      <c r="L59" s="94">
        <f>IF(ISNA(VLOOKUP($A59,Council_Data!$A$3:$AB$840,13,0)),0,VLOOKUP($A59,Council_Data!$A$3:$AB$840,13,0))</f>
        <v>33.33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1</v>
      </c>
      <c r="R59" s="93">
        <f>IF(ISNA(VLOOKUP($A59,Council_Data!$A$3:$AB$840,19,0)),0,VLOOKUP($A59,Council_Data!$A$3:$AB$840,19,0))</f>
        <v>0</v>
      </c>
      <c r="S59" s="93">
        <f>IF(ISNA(VLOOKUP($A59,Council_Data!$A$3:$AB$840,20,0)),0,VLOOKUP($A59,Council_Data!$A$3:$AB$840,20,0))</f>
        <v>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3</v>
      </c>
      <c r="V59" s="50" t="str">
        <f>IF(ISNA(VLOOKUP($A59,Council_Data!$A$3:$AB$840,24,0)),0,VLOOKUP($A59,Council_Data!$A$3:$AB$840,24,0))</f>
        <v>Regan</v>
      </c>
    </row>
    <row r="60" spans="1:22">
      <c r="A60" s="50">
        <v>16820</v>
      </c>
      <c r="B60" s="50" t="str">
        <f>IF(ISNA(VLOOKUP($A60,Council_Data!$A$3:$AB$840,2,0)),0,VLOOKUP($A60,Council_Data!$A$3:$AB$840,2,0))</f>
        <v>112</v>
      </c>
      <c r="C60" s="50" t="str">
        <f>IF(ISNA(VLOOKUP($A60,Council_Data!$A$3:$AB$840,3,0)),0,VLOOKUP($A60,Council_Data!$A$3:$AB$840,3,0))</f>
        <v>Dallas</v>
      </c>
      <c r="D60" s="93">
        <f>IF(ISNA(VLOOKUP($A60,Council_Data!$A$3:$AB$840,5,0)),0,VLOOKUP($A60,Council_Data!$A$3:$AB$840,5,0))</f>
        <v>42</v>
      </c>
      <c r="E60" s="93">
        <f>IF(ISNA(VLOOKUP($A60,Council_Data!$A$3:$AB$840,6,0)),0,VLOOKUP($A60,Council_Data!$A$3:$AB$840,6,0))</f>
        <v>3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1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1</v>
      </c>
      <c r="L60" s="94">
        <f>IF(ISNA(VLOOKUP($A60,Council_Data!$A$3:$AB$840,13,0)),0,VLOOKUP($A60,Council_Data!$A$3:$AB$840,13,0))</f>
        <v>33.33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2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2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3</v>
      </c>
      <c r="V60" s="50" t="str">
        <f>IF(ISNA(VLOOKUP($A60,Council_Data!$A$3:$AB$840,24,0)),0,VLOOKUP($A60,Council_Data!$A$3:$AB$840,24,0))</f>
        <v>Regan</v>
      </c>
    </row>
    <row r="61" spans="1:22">
      <c r="A61" s="50">
        <v>17026</v>
      </c>
      <c r="B61" s="50" t="str">
        <f>IF(ISNA(VLOOKUP($A61,Council_Data!$A$3:$AB$840,2,0)),0,VLOOKUP($A61,Council_Data!$A$3:$AB$840,2,0))</f>
        <v>115</v>
      </c>
      <c r="C61" s="50" t="str">
        <f>IF(ISNA(VLOOKUP($A61,Council_Data!$A$3:$AB$840,3,0)),0,VLOOKUP($A61,Council_Data!$A$3:$AB$840,3,0))</f>
        <v>Dallas</v>
      </c>
      <c r="D61" s="93">
        <f>IF(ISNA(VLOOKUP($A61,Council_Data!$A$3:$AB$840,5,0)),0,VLOOKUP($A61,Council_Data!$A$3:$AB$840,5,0))</f>
        <v>31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3</v>
      </c>
      <c r="V61" s="50" t="str">
        <f>IF(ISNA(VLOOKUP($A61,Council_Data!$A$3:$AB$840,24,0)),0,VLOOKUP($A61,Council_Data!$A$3:$AB$840,24,0))</f>
        <v>Regan</v>
      </c>
    </row>
    <row r="62" spans="1:22">
      <c r="A62" s="50">
        <v>17111</v>
      </c>
      <c r="B62" s="50" t="str">
        <f>IF(ISNA(VLOOKUP($A62,Council_Data!$A$3:$AB$840,2,0)),0,VLOOKUP($A62,Council_Data!$A$3:$AB$840,2,0))</f>
        <v>109</v>
      </c>
      <c r="C62" s="50" t="str">
        <f>IF(ISNA(VLOOKUP($A62,Council_Data!$A$3:$AB$840,3,0)),0,VLOOKUP($A62,Council_Data!$A$3:$AB$840,3,0))</f>
        <v>Dallas</v>
      </c>
      <c r="D62" s="93">
        <f>IF(ISNA(VLOOKUP($A62,Council_Data!$A$3:$AB$840,5,0)),0,VLOOKUP($A62,Council_Data!$A$3:$AB$840,5,0))</f>
        <v>42</v>
      </c>
      <c r="E62" s="93">
        <f>IF(ISNA(VLOOKUP($A62,Council_Data!$A$3:$AB$840,6,0)),0,VLOOKUP($A62,Council_Data!$A$3:$AB$840,6,0))</f>
        <v>3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0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0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3</v>
      </c>
      <c r="V62" s="50" t="str">
        <f>IF(ISNA(VLOOKUP($A62,Council_Data!$A$3:$AB$840,24,0)),0,VLOOKUP($A62,Council_Data!$A$3:$AB$840,24,0))</f>
        <v>Regan</v>
      </c>
    </row>
    <row r="63" spans="1:22">
      <c r="A63" s="50">
        <v>17146</v>
      </c>
      <c r="B63" s="50" t="str">
        <f>IF(ISNA(VLOOKUP($A63,Council_Data!$A$3:$AB$840,2,0)),0,VLOOKUP($A63,Council_Data!$A$3:$AB$840,2,0))</f>
        <v>115</v>
      </c>
      <c r="C63" s="50" t="str">
        <f>IF(ISNA(VLOOKUP($A63,Council_Data!$A$3:$AB$840,3,0)),0,VLOOKUP($A63,Council_Data!$A$3:$AB$840,3,0))</f>
        <v>Irving</v>
      </c>
      <c r="D63" s="93">
        <f>IF(ISNA(VLOOKUP($A63,Council_Data!$A$3:$AB$840,5,0)),0,VLOOKUP($A63,Council_Data!$A$3:$AB$840,5,0))</f>
        <v>28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1</v>
      </c>
      <c r="P63" s="93">
        <f>IF(ISNA(VLOOKUP($A63,Council_Data!$A$3:$AB$840,17,0)),0,VLOOKUP($A63,Council_Data!$A$3:$AB$840,17,0))</f>
        <v>-1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1</v>
      </c>
      <c r="S63" s="93">
        <f>IF(ISNA(VLOOKUP($A63,Council_Data!$A$3:$AB$840,20,0)),0,VLOOKUP($A63,Council_Data!$A$3:$AB$840,20,0))</f>
        <v>-1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638</v>
      </c>
      <c r="B4" s="50" t="str">
        <f>IF(ISNA(VLOOKUP($A4,Council_Data!$A$3:$AB$840,2,0)),0,VLOOKUP($A4,Council_Data!$A$3:$AB$840,2,0))</f>
        <v>001</v>
      </c>
      <c r="C4" s="50" t="str">
        <f>IF(ISNA(VLOOKUP($A4,Council_Data!$A$3:$AB$840,3,0)),0,VLOOKUP($A4,Council_Data!$A$3:$AB$840,3,0))</f>
        <v>El Paso</v>
      </c>
      <c r="D4" s="93">
        <f>IF(ISNA(VLOOKUP($A4,Council_Data!$A$3:$AB$840,5,0)),0,VLOOKUP($A4,Council_Data!$A$3:$AB$840,5,0))</f>
        <v>91</v>
      </c>
      <c r="E4" s="93">
        <f>IF(ISNA(VLOOKUP($A4,Council_Data!$A$3:$AB$840,6,0)),0,VLOOKUP($A4,Council_Data!$A$3:$AB$840,6,0))</f>
        <v>4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1</v>
      </c>
      <c r="P4" s="93">
        <f>IF(ISNA(VLOOKUP($A4,Council_Data!$A$3:$AB$840,17,0)),0,VLOOKUP($A4,Council_Data!$A$3:$AB$840,17,0))</f>
        <v>-1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-1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Payne</v>
      </c>
    </row>
    <row r="5" spans="1:22">
      <c r="A5" s="50">
        <v>2592</v>
      </c>
      <c r="B5" s="50" t="str">
        <f>IF(ISNA(VLOOKUP($A5,Council_Data!$A$3:$AB$840,2,0)),0,VLOOKUP($A5,Council_Data!$A$3:$AB$840,2,0))</f>
        <v>007</v>
      </c>
      <c r="C5" s="50" t="str">
        <f>IF(ISNA(VLOOKUP($A5,Council_Data!$A$3:$AB$840,3,0)),0,VLOOKUP($A5,Council_Data!$A$3:$AB$840,3,0))</f>
        <v>El Paso</v>
      </c>
      <c r="D5" s="93">
        <f>IF(ISNA(VLOOKUP($A5,Council_Data!$A$3:$AB$840,5,0)),0,VLOOKUP($A5,Council_Data!$A$3:$AB$840,5,0))</f>
        <v>91</v>
      </c>
      <c r="E5" s="93">
        <f>IF(ISNA(VLOOKUP($A5,Council_Data!$A$3:$AB$840,6,0)),0,VLOOKUP($A5,Council_Data!$A$3:$AB$840,6,0))</f>
        <v>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1</v>
      </c>
      <c r="J5" s="93">
        <f>IF(ISNA(VLOOKUP($A5,Council_Data!$A$3:$AB$840,11,0)),0,VLOOKUP($A5,Council_Data!$A$3:$AB$840,11,0))</f>
        <v>2</v>
      </c>
      <c r="K5" s="93">
        <f>IF(ISNA(VLOOKUP($A5,Council_Data!$A$3:$AB$840,12,0)),0,VLOOKUP($A5,Council_Data!$A$3:$AB$840,12,0))</f>
        <v>-1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1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Payne</v>
      </c>
    </row>
    <row r="6" spans="1:22">
      <c r="A6" s="50">
        <v>3686</v>
      </c>
      <c r="B6" s="50" t="str">
        <f>IF(ISNA(VLOOKUP($A6,Council_Data!$A$3:$AB$840,2,0)),0,VLOOKUP($A6,Council_Data!$A$3:$AB$840,2,0))</f>
        <v>007</v>
      </c>
      <c r="C6" s="50" t="str">
        <f>IF(ISNA(VLOOKUP($A6,Council_Data!$A$3:$AB$840,3,0)),0,VLOOKUP($A6,Council_Data!$A$3:$AB$840,3,0))</f>
        <v>Ysleta</v>
      </c>
      <c r="D6" s="93">
        <f>IF(ISNA(VLOOKUP($A6,Council_Data!$A$3:$AB$840,5,0)),0,VLOOKUP($A6,Council_Data!$A$3:$AB$840,5,0))</f>
        <v>85</v>
      </c>
      <c r="E6" s="93">
        <f>IF(ISNA(VLOOKUP($A6,Council_Data!$A$3:$AB$840,6,0)),0,VLOOKUP($A6,Council_Data!$A$3:$AB$840,6,0))</f>
        <v>4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Payne</v>
      </c>
    </row>
    <row r="7" spans="1:22">
      <c r="A7" s="50">
        <v>4497</v>
      </c>
      <c r="B7" s="50" t="str">
        <f>IF(ISNA(VLOOKUP($A7,Council_Data!$A$3:$AB$840,2,0)),0,VLOOKUP($A7,Council_Data!$A$3:$AB$840,2,0))</f>
        <v>005</v>
      </c>
      <c r="C7" s="50" t="str">
        <f>IF(ISNA(VLOOKUP($A7,Council_Data!$A$3:$AB$840,3,0)),0,VLOOKUP($A7,Council_Data!$A$3:$AB$840,3,0))</f>
        <v>El Paso</v>
      </c>
      <c r="D7" s="93">
        <f>IF(ISNA(VLOOKUP($A7,Council_Data!$A$3:$AB$840,5,0)),0,VLOOKUP($A7,Council_Data!$A$3:$AB$840,5,0))</f>
        <v>81</v>
      </c>
      <c r="E7" s="93">
        <f>IF(ISNA(VLOOKUP($A7,Council_Data!$A$3:$AB$840,6,0)),0,VLOOKUP($A7,Council_Data!$A$3:$AB$840,6,0))</f>
        <v>4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2</v>
      </c>
      <c r="V7" s="50" t="str">
        <f>IF(ISNA(VLOOKUP($A7,Council_Data!$A$3:$AB$840,24,0)),0,VLOOKUP($A7,Council_Data!$A$3:$AB$840,24,0))</f>
        <v>Payne</v>
      </c>
    </row>
    <row r="8" spans="1:22">
      <c r="A8" s="50">
        <v>5096</v>
      </c>
      <c r="B8" s="50" t="str">
        <f>IF(ISNA(VLOOKUP($A8,Council_Data!$A$3:$AB$840,2,0)),0,VLOOKUP($A8,Council_Data!$A$3:$AB$840,2,0))</f>
        <v>012</v>
      </c>
      <c r="C8" s="50" t="str">
        <f>IF(ISNA(VLOOKUP($A8,Council_Data!$A$3:$AB$840,3,0)),0,VLOOKUP($A8,Council_Data!$A$3:$AB$840,3,0))</f>
        <v>Alpine</v>
      </c>
      <c r="D8" s="93">
        <f>IF(ISNA(VLOOKUP($A8,Council_Data!$A$3:$AB$840,5,0)),0,VLOOKUP($A8,Council_Data!$A$3:$AB$840,5,0))</f>
        <v>143</v>
      </c>
      <c r="E8" s="93">
        <f>IF(ISNA(VLOOKUP($A8,Council_Data!$A$3:$AB$840,6,0)),0,VLOOKUP($A8,Council_Data!$A$3:$AB$840,6,0))</f>
        <v>7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Payne</v>
      </c>
    </row>
    <row r="9" spans="1:22" ht="25.5">
      <c r="A9" s="50">
        <v>6204</v>
      </c>
      <c r="B9" s="50" t="str">
        <f>IF(ISNA(VLOOKUP($A9,Council_Data!$A$3:$AB$840,2,0)),0,VLOOKUP($A9,Council_Data!$A$3:$AB$840,2,0))</f>
        <v>Unassigned</v>
      </c>
      <c r="C9" s="50" t="str">
        <f>IF(ISNA(VLOOKUP($A9,Council_Data!$A$3:$AB$840,3,0)),0,VLOOKUP($A9,Council_Data!$A$3:$AB$840,3,0))</f>
        <v>Marfa</v>
      </c>
      <c r="D9" s="93">
        <f>IF(ISNA(VLOOKUP($A9,Council_Data!$A$3:$AB$840,5,0)),0,VLOOKUP($A9,Council_Data!$A$3:$AB$840,5,0))</f>
        <v>0</v>
      </c>
      <c r="E9" s="93">
        <f>IF(ISNA(VLOOKUP($A9,Council_Data!$A$3:$AB$840,6,0)),0,VLOOKUP($A9,Council_Data!$A$3:$AB$840,6,0))</f>
        <v>0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Payne</v>
      </c>
    </row>
    <row r="10" spans="1:22">
      <c r="A10" s="50">
        <v>6711</v>
      </c>
      <c r="B10" s="50" t="str">
        <f>IF(ISNA(VLOOKUP($A10,Council_Data!$A$3:$AB$840,2,0)),0,VLOOKUP($A10,Council_Data!$A$3:$AB$840,2,0))</f>
        <v>001</v>
      </c>
      <c r="C10" s="50" t="str">
        <f>IF(ISNA(VLOOKUP($A10,Council_Data!$A$3:$AB$840,3,0)),0,VLOOKUP($A10,Council_Data!$A$3:$AB$840,3,0))</f>
        <v>El Paso</v>
      </c>
      <c r="D10" s="93">
        <f>IF(ISNA(VLOOKUP($A10,Council_Data!$A$3:$AB$840,5,0)),0,VLOOKUP($A10,Council_Data!$A$3:$AB$840,5,0))</f>
        <v>118</v>
      </c>
      <c r="E10" s="93">
        <f>IF(ISNA(VLOOKUP($A10,Council_Data!$A$3:$AB$840,6,0)),0,VLOOKUP($A10,Council_Data!$A$3:$AB$840,6,0))</f>
        <v>6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1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1</v>
      </c>
      <c r="L10" s="94">
        <f>IF(ISNA(VLOOKUP($A10,Council_Data!$A$3:$AB$840,13,0)),0,VLOOKUP($A10,Council_Data!$A$3:$AB$840,13,0))</f>
        <v>16.670000000000002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1</v>
      </c>
      <c r="P10" s="93">
        <f>IF(ISNA(VLOOKUP($A10,Council_Data!$A$3:$AB$840,17,0)),0,VLOOKUP($A10,Council_Data!$A$3:$AB$840,17,0))</f>
        <v>-1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Payne</v>
      </c>
    </row>
    <row r="11" spans="1:22">
      <c r="A11" s="50">
        <v>6914</v>
      </c>
      <c r="B11" s="50" t="str">
        <f>IF(ISNA(VLOOKUP($A11,Council_Data!$A$3:$AB$840,2,0)),0,VLOOKUP($A11,Council_Data!$A$3:$AB$840,2,0))</f>
        <v>010</v>
      </c>
      <c r="C11" s="50" t="str">
        <f>IF(ISNA(VLOOKUP($A11,Council_Data!$A$3:$AB$840,3,0)),0,VLOOKUP($A11,Council_Data!$A$3:$AB$840,3,0))</f>
        <v>El Paso</v>
      </c>
      <c r="D11" s="93">
        <f>IF(ISNA(VLOOKUP($A11,Council_Data!$A$3:$AB$840,5,0)),0,VLOOKUP($A11,Council_Data!$A$3:$AB$840,5,0))</f>
        <v>53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1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1</v>
      </c>
      <c r="L11" s="94">
        <f>IF(ISNA(VLOOKUP($A11,Council_Data!$A$3:$AB$840,13,0)),0,VLOOKUP($A11,Council_Data!$A$3:$AB$840,13,0))</f>
        <v>33.33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>
      <c r="A12" s="50">
        <v>7563</v>
      </c>
      <c r="B12" s="50" t="str">
        <f>IF(ISNA(VLOOKUP($A12,Council_Data!$A$3:$AB$840,2,0)),0,VLOOKUP($A12,Council_Data!$A$3:$AB$840,2,0))</f>
        <v>002</v>
      </c>
      <c r="C12" s="50" t="str">
        <f>IF(ISNA(VLOOKUP($A12,Council_Data!$A$3:$AB$840,3,0)),0,VLOOKUP($A12,Council_Data!$A$3:$AB$840,3,0))</f>
        <v>El Paso</v>
      </c>
      <c r="D12" s="93">
        <f>IF(ISNA(VLOOKUP($A12,Council_Data!$A$3:$AB$840,5,0)),0,VLOOKUP($A12,Council_Data!$A$3:$AB$840,5,0))</f>
        <v>313</v>
      </c>
      <c r="E12" s="93">
        <f>IF(ISNA(VLOOKUP($A12,Council_Data!$A$3:$AB$840,6,0)),0,VLOOKUP($A12,Council_Data!$A$3:$AB$840,6,0))</f>
        <v>16</v>
      </c>
      <c r="F12" s="93">
        <f>IF(ISNA(VLOOKUP($A12,Council_Data!$A$3:$AB$840,7,0)),0,VLOOKUP($A12,Council_Data!$A$3:$AB$840,7,0))</f>
        <v>4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4</v>
      </c>
      <c r="I12" s="93">
        <f>IF(ISNA(VLOOKUP($A12,Council_Data!$A$3:$AB$840,10,0)),0,VLOOKUP($A12,Council_Data!$A$3:$AB$840,10,0))</f>
        <v>8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8</v>
      </c>
      <c r="L12" s="94">
        <f>IF(ISNA(VLOOKUP($A12,Council_Data!$A$3:$AB$840,13,0)),0,VLOOKUP($A12,Council_Data!$A$3:$AB$840,13,0))</f>
        <v>50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-2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Payne</v>
      </c>
    </row>
    <row r="13" spans="1:22" ht="25.5">
      <c r="A13" s="50">
        <v>7713</v>
      </c>
      <c r="B13" s="50" t="str">
        <f>IF(ISNA(VLOOKUP($A13,Council_Data!$A$3:$AB$840,2,0)),0,VLOOKUP($A13,Council_Data!$A$3:$AB$840,2,0))</f>
        <v>013</v>
      </c>
      <c r="C13" s="50" t="str">
        <f>IF(ISNA(VLOOKUP($A13,Council_Data!$A$3:$AB$840,3,0)),0,VLOOKUP($A13,Council_Data!$A$3:$AB$840,3,0))</f>
        <v>San Elizario</v>
      </c>
      <c r="D13" s="93">
        <f>IF(ISNA(VLOOKUP($A13,Council_Data!$A$3:$AB$840,5,0)),0,VLOOKUP($A13,Council_Data!$A$3:$AB$840,5,0))</f>
        <v>22</v>
      </c>
      <c r="E13" s="93">
        <f>IF(ISNA(VLOOKUP($A13,Council_Data!$A$3:$AB$840,6,0)),0,VLOOKUP($A13,Council_Data!$A$3:$AB$840,6,0))</f>
        <v>3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3</v>
      </c>
      <c r="V13" s="50" t="str">
        <f>IF(ISNA(VLOOKUP($A13,Council_Data!$A$3:$AB$840,24,0)),0,VLOOKUP($A13,Council_Data!$A$3:$AB$840,24,0))</f>
        <v>Payne</v>
      </c>
    </row>
    <row r="14" spans="1:22">
      <c r="A14" s="50">
        <v>7720</v>
      </c>
      <c r="B14" s="50" t="str">
        <f>IF(ISNA(VLOOKUP($A14,Council_Data!$A$3:$AB$840,2,0)),0,VLOOKUP($A14,Council_Data!$A$3:$AB$840,2,0))</f>
        <v>011</v>
      </c>
      <c r="C14" s="50" t="str">
        <f>IF(ISNA(VLOOKUP($A14,Council_Data!$A$3:$AB$840,3,0)),0,VLOOKUP($A14,Council_Data!$A$3:$AB$840,3,0))</f>
        <v>Pecos</v>
      </c>
      <c r="D14" s="93">
        <f>IF(ISNA(VLOOKUP($A14,Council_Data!$A$3:$AB$840,5,0)),0,VLOOKUP($A14,Council_Data!$A$3:$AB$840,5,0))</f>
        <v>68</v>
      </c>
      <c r="E14" s="93">
        <f>IF(ISNA(VLOOKUP($A14,Council_Data!$A$3:$AB$840,6,0)),0,VLOOKUP($A14,Council_Data!$A$3:$AB$840,6,0))</f>
        <v>3</v>
      </c>
      <c r="F14" s="93">
        <f>IF(ISNA(VLOOKUP($A14,Council_Data!$A$3:$AB$840,7,0)),0,VLOOKUP($A14,Council_Data!$A$3:$AB$840,7,0))</f>
        <v>1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1</v>
      </c>
      <c r="I14" s="93">
        <f>IF(ISNA(VLOOKUP($A14,Council_Data!$A$3:$AB$840,10,0)),0,VLOOKUP($A14,Council_Data!$A$3:$AB$840,10,0))</f>
        <v>5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5</v>
      </c>
      <c r="L14" s="94">
        <f>IF(ISNA(VLOOKUP($A14,Council_Data!$A$3:$AB$840,13,0)),0,VLOOKUP($A14,Council_Data!$A$3:$AB$840,13,0))</f>
        <v>166.67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Payne</v>
      </c>
    </row>
    <row r="15" spans="1:22" ht="25.5">
      <c r="A15" s="50">
        <v>7819</v>
      </c>
      <c r="B15" s="50" t="str">
        <f>IF(ISNA(VLOOKUP($A15,Council_Data!$A$3:$AB$840,2,0)),0,VLOOKUP($A15,Council_Data!$A$3:$AB$840,2,0))</f>
        <v>Unassigned</v>
      </c>
      <c r="C15" s="50" t="str">
        <f>IF(ISNA(VLOOKUP($A15,Council_Data!$A$3:$AB$840,3,0)),0,VLOOKUP($A15,Council_Data!$A$3:$AB$840,3,0))</f>
        <v>El Paso</v>
      </c>
      <c r="D15" s="93">
        <f>IF(ISNA(VLOOKUP($A15,Council_Data!$A$3:$AB$840,5,0)),0,VLOOKUP($A15,Council_Data!$A$3:$AB$840,5,0))</f>
        <v>0</v>
      </c>
      <c r="E15" s="93">
        <f>IF(ISNA(VLOOKUP($A15,Council_Data!$A$3:$AB$840,6,0)),0,VLOOKUP($A15,Council_Data!$A$3:$AB$840,6,0))</f>
        <v>0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Payne</v>
      </c>
    </row>
    <row r="16" spans="1:22">
      <c r="A16" s="50">
        <v>8044</v>
      </c>
      <c r="B16" s="50" t="str">
        <f>IF(ISNA(VLOOKUP($A16,Council_Data!$A$3:$AB$840,2,0)),0,VLOOKUP($A16,Council_Data!$A$3:$AB$840,2,0))</f>
        <v>006</v>
      </c>
      <c r="C16" s="50" t="str">
        <f>IF(ISNA(VLOOKUP($A16,Council_Data!$A$3:$AB$840,3,0)),0,VLOOKUP($A16,Council_Data!$A$3:$AB$840,3,0))</f>
        <v>El Paso</v>
      </c>
      <c r="D16" s="93">
        <f>IF(ISNA(VLOOKUP($A16,Council_Data!$A$3:$AB$840,5,0)),0,VLOOKUP($A16,Council_Data!$A$3:$AB$840,5,0))</f>
        <v>60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Payne</v>
      </c>
    </row>
    <row r="17" spans="1:22">
      <c r="A17" s="50">
        <v>9067</v>
      </c>
      <c r="B17" s="50" t="str">
        <f>IF(ISNA(VLOOKUP($A17,Council_Data!$A$3:$AB$840,2,0)),0,VLOOKUP($A17,Council_Data!$A$3:$AB$840,2,0))</f>
        <v>013</v>
      </c>
      <c r="C17" s="50" t="str">
        <f>IF(ISNA(VLOOKUP($A17,Council_Data!$A$3:$AB$840,3,0)),0,VLOOKUP($A17,Council_Data!$A$3:$AB$840,3,0))</f>
        <v>El Paso</v>
      </c>
      <c r="D17" s="93">
        <f>IF(ISNA(VLOOKUP($A17,Council_Data!$A$3:$AB$840,5,0)),0,VLOOKUP($A17,Council_Data!$A$3:$AB$840,5,0))</f>
        <v>19</v>
      </c>
      <c r="E17" s="93">
        <f>IF(ISNA(VLOOKUP($A17,Council_Data!$A$3:$AB$840,6,0)),0,VLOOKUP($A17,Council_Data!$A$3:$AB$840,6,0))</f>
        <v>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3</v>
      </c>
      <c r="V17" s="50" t="str">
        <f>IF(ISNA(VLOOKUP($A17,Council_Data!$A$3:$AB$840,24,0)),0,VLOOKUP($A17,Council_Data!$A$3:$AB$840,24,0))</f>
        <v>Payne</v>
      </c>
    </row>
    <row r="18" spans="1:22">
      <c r="A18" s="50">
        <v>9129</v>
      </c>
      <c r="B18" s="50" t="str">
        <f>IF(ISNA(VLOOKUP($A18,Council_Data!$A$3:$AB$840,2,0)),0,VLOOKUP($A18,Council_Data!$A$3:$AB$840,2,0))</f>
        <v>005</v>
      </c>
      <c r="C18" s="50" t="str">
        <f>IF(ISNA(VLOOKUP($A18,Council_Data!$A$3:$AB$840,3,0)),0,VLOOKUP($A18,Council_Data!$A$3:$AB$840,3,0))</f>
        <v>El Paso</v>
      </c>
      <c r="D18" s="93">
        <f>IF(ISNA(VLOOKUP($A18,Council_Data!$A$3:$AB$840,5,0)),0,VLOOKUP($A18,Council_Data!$A$3:$AB$840,5,0))</f>
        <v>63</v>
      </c>
      <c r="E18" s="93">
        <f>IF(ISNA(VLOOKUP($A18,Council_Data!$A$3:$AB$840,6,0)),0,VLOOKUP($A18,Council_Data!$A$3:$AB$840,6,0))</f>
        <v>3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Payne</v>
      </c>
    </row>
    <row r="19" spans="1:22" ht="25.5">
      <c r="A19" s="50">
        <v>9701</v>
      </c>
      <c r="B19" s="50" t="str">
        <f>IF(ISNA(VLOOKUP($A19,Council_Data!$A$3:$AB$840,2,0)),0,VLOOKUP($A19,Council_Data!$A$3:$AB$840,2,0))</f>
        <v>Unassigned</v>
      </c>
      <c r="C19" s="50" t="str">
        <f>IF(ISNA(VLOOKUP($A19,Council_Data!$A$3:$AB$840,3,0)),0,VLOOKUP($A19,Council_Data!$A$3:$AB$840,3,0))</f>
        <v>Marathon</v>
      </c>
      <c r="D19" s="93">
        <f>IF(ISNA(VLOOKUP($A19,Council_Data!$A$3:$AB$840,5,0)),0,VLOOKUP($A19,Council_Data!$A$3:$AB$840,5,0))</f>
        <v>0</v>
      </c>
      <c r="E19" s="93">
        <f>IF(ISNA(VLOOKUP($A19,Council_Data!$A$3:$AB$840,6,0)),0,VLOOKUP($A19,Council_Data!$A$3:$AB$840,6,0))</f>
        <v>0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Payne</v>
      </c>
    </row>
    <row r="20" spans="1:22">
      <c r="A20" s="50">
        <v>10129</v>
      </c>
      <c r="B20" s="50" t="str">
        <f>IF(ISNA(VLOOKUP($A20,Council_Data!$A$3:$AB$840,2,0)),0,VLOOKUP($A20,Council_Data!$A$3:$AB$840,2,0))</f>
        <v>012</v>
      </c>
      <c r="C20" s="50" t="str">
        <f>IF(ISNA(VLOOKUP($A20,Council_Data!$A$3:$AB$840,3,0)),0,VLOOKUP($A20,Council_Data!$A$3:$AB$840,3,0))</f>
        <v>Presidio</v>
      </c>
      <c r="D20" s="93">
        <f>IF(ISNA(VLOOKUP($A20,Council_Data!$A$3:$AB$840,5,0)),0,VLOOKUP($A20,Council_Data!$A$3:$AB$840,5,0))</f>
        <v>41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>
      <c r="A21" s="50">
        <v>10256</v>
      </c>
      <c r="B21" s="50" t="str">
        <f>IF(ISNA(VLOOKUP($A21,Council_Data!$A$3:$AB$840,2,0)),0,VLOOKUP($A21,Council_Data!$A$3:$AB$840,2,0))</f>
        <v>011</v>
      </c>
      <c r="C21" s="50" t="str">
        <f>IF(ISNA(VLOOKUP($A21,Council_Data!$A$3:$AB$840,3,0)),0,VLOOKUP($A21,Council_Data!$A$3:$AB$840,3,0))</f>
        <v>Monahans</v>
      </c>
      <c r="D21" s="93">
        <f>IF(ISNA(VLOOKUP($A21,Council_Data!$A$3:$AB$840,5,0)),0,VLOOKUP($A21,Council_Data!$A$3:$AB$840,5,0))</f>
        <v>61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Payne</v>
      </c>
    </row>
    <row r="22" spans="1:22">
      <c r="A22" s="50">
        <v>10420</v>
      </c>
      <c r="B22" s="50" t="str">
        <f>IF(ISNA(VLOOKUP($A22,Council_Data!$A$3:$AB$840,2,0)),0,VLOOKUP($A22,Council_Data!$A$3:$AB$840,2,0))</f>
        <v>003</v>
      </c>
      <c r="C22" s="50" t="str">
        <f>IF(ISNA(VLOOKUP($A22,Council_Data!$A$3:$AB$840,3,0)),0,VLOOKUP($A22,Council_Data!$A$3:$AB$840,3,0))</f>
        <v>El Paso</v>
      </c>
      <c r="D22" s="93">
        <f>IF(ISNA(VLOOKUP($A22,Council_Data!$A$3:$AB$840,5,0)),0,VLOOKUP($A22,Council_Data!$A$3:$AB$840,5,0))</f>
        <v>326</v>
      </c>
      <c r="E22" s="93">
        <f>IF(ISNA(VLOOKUP($A22,Council_Data!$A$3:$AB$840,6,0)),0,VLOOKUP($A22,Council_Data!$A$3:$AB$840,6,0))</f>
        <v>16</v>
      </c>
      <c r="F22" s="93">
        <f>IF(ISNA(VLOOKUP($A22,Council_Data!$A$3:$AB$840,7,0)),0,VLOOKUP($A22,Council_Data!$A$3:$AB$840,7,0))</f>
        <v>1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1</v>
      </c>
      <c r="I22" s="93">
        <f>IF(ISNA(VLOOKUP($A22,Council_Data!$A$3:$AB$840,10,0)),0,VLOOKUP($A22,Council_Data!$A$3:$AB$840,10,0))</f>
        <v>4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4</v>
      </c>
      <c r="L22" s="94">
        <f>IF(ISNA(VLOOKUP($A22,Council_Data!$A$3:$AB$840,13,0)),0,VLOOKUP($A22,Council_Data!$A$3:$AB$840,13,0))</f>
        <v>25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Payne</v>
      </c>
    </row>
    <row r="23" spans="1:22">
      <c r="A23" s="50">
        <v>10509</v>
      </c>
      <c r="B23" s="50" t="str">
        <f>IF(ISNA(VLOOKUP($A23,Council_Data!$A$3:$AB$840,2,0)),0,VLOOKUP($A23,Council_Data!$A$3:$AB$840,2,0))</f>
        <v>011</v>
      </c>
      <c r="C23" s="50" t="str">
        <f>IF(ISNA(VLOOKUP($A23,Council_Data!$A$3:$AB$840,3,0)),0,VLOOKUP($A23,Council_Data!$A$3:$AB$840,3,0))</f>
        <v>Kermit</v>
      </c>
      <c r="D23" s="93">
        <f>IF(ISNA(VLOOKUP($A23,Council_Data!$A$3:$AB$840,5,0)),0,VLOOKUP($A23,Council_Data!$A$3:$AB$840,5,0))</f>
        <v>43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Payne</v>
      </c>
    </row>
    <row r="24" spans="1:22">
      <c r="A24" s="50">
        <v>10788</v>
      </c>
      <c r="B24" s="50" t="str">
        <f>IF(ISNA(VLOOKUP($A24,Council_Data!$A$3:$AB$840,2,0)),0,VLOOKUP($A24,Council_Data!$A$3:$AB$840,2,0))</f>
        <v>013</v>
      </c>
      <c r="C24" s="50" t="str">
        <f>IF(ISNA(VLOOKUP($A24,Council_Data!$A$3:$AB$840,3,0)),0,VLOOKUP($A24,Council_Data!$A$3:$AB$840,3,0))</f>
        <v>El Paso</v>
      </c>
      <c r="D24" s="93">
        <f>IF(ISNA(VLOOKUP($A24,Council_Data!$A$3:$AB$840,5,0)),0,VLOOKUP($A24,Council_Data!$A$3:$AB$840,5,0))</f>
        <v>50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1</v>
      </c>
      <c r="P24" s="93">
        <f>IF(ISNA(VLOOKUP($A24,Council_Data!$A$3:$AB$840,17,0)),0,VLOOKUP($A24,Council_Data!$A$3:$AB$840,17,0))</f>
        <v>-1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Payne</v>
      </c>
    </row>
    <row r="25" spans="1:22">
      <c r="A25" s="50">
        <v>10862</v>
      </c>
      <c r="B25" s="50" t="str">
        <f>IF(ISNA(VLOOKUP($A25,Council_Data!$A$3:$AB$840,2,0)),0,VLOOKUP($A25,Council_Data!$A$3:$AB$840,2,0))</f>
        <v>005</v>
      </c>
      <c r="C25" s="50" t="str">
        <f>IF(ISNA(VLOOKUP($A25,Council_Data!$A$3:$AB$840,3,0)),0,VLOOKUP($A25,Council_Data!$A$3:$AB$840,3,0))</f>
        <v>El Paso</v>
      </c>
      <c r="D25" s="93">
        <f>IF(ISNA(VLOOKUP($A25,Council_Data!$A$3:$AB$840,5,0)),0,VLOOKUP($A25,Council_Data!$A$3:$AB$840,5,0))</f>
        <v>44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 ht="25.5">
      <c r="A26" s="50">
        <v>10997</v>
      </c>
      <c r="B26" s="50" t="str">
        <f>IF(ISNA(VLOOKUP($A26,Council_Data!$A$3:$AB$840,2,0)),0,VLOOKUP($A26,Council_Data!$A$3:$AB$840,2,0))</f>
        <v>Unassigned</v>
      </c>
      <c r="C26" s="50" t="str">
        <f>IF(ISNA(VLOOKUP($A26,Council_Data!$A$3:$AB$840,3,0)),0,VLOOKUP($A26,Council_Data!$A$3:$AB$840,3,0))</f>
        <v>El Paso</v>
      </c>
      <c r="D26" s="93">
        <f>IF(ISNA(VLOOKUP($A26,Council_Data!$A$3:$AB$840,5,0)),0,VLOOKUP($A26,Council_Data!$A$3:$AB$840,5,0))</f>
        <v>54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Payne</v>
      </c>
    </row>
    <row r="27" spans="1:22">
      <c r="A27" s="50">
        <v>11344</v>
      </c>
      <c r="B27" s="50" t="str">
        <f>IF(ISNA(VLOOKUP($A27,Council_Data!$A$3:$AB$840,2,0)),0,VLOOKUP($A27,Council_Data!$A$3:$AB$840,2,0))</f>
        <v>012</v>
      </c>
      <c r="C27" s="50" t="str">
        <f>IF(ISNA(VLOOKUP($A27,Council_Data!$A$3:$AB$840,3,0)),0,VLOOKUP($A27,Council_Data!$A$3:$AB$840,3,0))</f>
        <v>Van Horn</v>
      </c>
      <c r="D27" s="93">
        <f>IF(ISNA(VLOOKUP($A27,Council_Data!$A$3:$AB$840,5,0)),0,VLOOKUP($A27,Council_Data!$A$3:$AB$840,5,0))</f>
        <v>62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Payne</v>
      </c>
    </row>
    <row r="28" spans="1:22">
      <c r="A28" s="50">
        <v>11613</v>
      </c>
      <c r="B28" s="50" t="str">
        <f>IF(ISNA(VLOOKUP($A28,Council_Data!$A$3:$AB$840,2,0)),0,VLOOKUP($A28,Council_Data!$A$3:$AB$840,2,0))</f>
        <v>006</v>
      </c>
      <c r="C28" s="50" t="str">
        <f>IF(ISNA(VLOOKUP($A28,Council_Data!$A$3:$AB$840,3,0)),0,VLOOKUP($A28,Council_Data!$A$3:$AB$840,3,0))</f>
        <v>El Paso</v>
      </c>
      <c r="D28" s="93">
        <f>IF(ISNA(VLOOKUP($A28,Council_Data!$A$3:$AB$840,5,0)),0,VLOOKUP($A28,Council_Data!$A$3:$AB$840,5,0))</f>
        <v>36</v>
      </c>
      <c r="E28" s="93">
        <f>IF(ISNA(VLOOKUP($A28,Council_Data!$A$3:$AB$840,6,0)),0,VLOOKUP($A28,Council_Data!$A$3:$AB$840,6,0))</f>
        <v>3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2</v>
      </c>
      <c r="J28" s="93">
        <f>IF(ISNA(VLOOKUP($A28,Council_Data!$A$3:$AB$840,11,0)),0,VLOOKUP($A28,Council_Data!$A$3:$AB$840,11,0))</f>
        <v>5</v>
      </c>
      <c r="K28" s="93">
        <f>IF(ISNA(VLOOKUP($A28,Council_Data!$A$3:$AB$840,12,0)),0,VLOOKUP($A28,Council_Data!$A$3:$AB$840,12,0))</f>
        <v>-3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3</v>
      </c>
      <c r="V28" s="50" t="str">
        <f>IF(ISNA(VLOOKUP($A28,Council_Data!$A$3:$AB$840,24,0)),0,VLOOKUP($A28,Council_Data!$A$3:$AB$840,24,0))</f>
        <v>Payne</v>
      </c>
    </row>
    <row r="29" spans="1:22">
      <c r="A29" s="50">
        <v>11864</v>
      </c>
      <c r="B29" s="50" t="str">
        <f>IF(ISNA(VLOOKUP($A29,Council_Data!$A$3:$AB$840,2,0)),0,VLOOKUP($A29,Council_Data!$A$3:$AB$840,2,0))</f>
        <v>010</v>
      </c>
      <c r="C29" s="50" t="str">
        <f>IF(ISNA(VLOOKUP($A29,Council_Data!$A$3:$AB$840,3,0)),0,VLOOKUP($A29,Council_Data!$A$3:$AB$840,3,0))</f>
        <v>El Paso</v>
      </c>
      <c r="D29" s="93">
        <f>IF(ISNA(VLOOKUP($A29,Council_Data!$A$3:$AB$840,5,0)),0,VLOOKUP($A29,Council_Data!$A$3:$AB$840,5,0))</f>
        <v>68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2</v>
      </c>
      <c r="K29" s="93">
        <f>IF(ISNA(VLOOKUP($A29,Council_Data!$A$3:$AB$840,12,0)),0,VLOOKUP($A29,Council_Data!$A$3:$AB$840,12,0))</f>
        <v>-2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1</v>
      </c>
      <c r="P29" s="93">
        <f>IF(ISNA(VLOOKUP($A29,Council_Data!$A$3:$AB$840,17,0)),0,VLOOKUP($A29,Council_Data!$A$3:$AB$840,17,0))</f>
        <v>-1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1</v>
      </c>
      <c r="S29" s="93">
        <f>IF(ISNA(VLOOKUP($A29,Council_Data!$A$3:$AB$840,20,0)),0,VLOOKUP($A29,Council_Data!$A$3:$AB$840,20,0))</f>
        <v>-1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Payne</v>
      </c>
    </row>
    <row r="30" spans="1:22">
      <c r="A30" s="50">
        <v>11926</v>
      </c>
      <c r="B30" s="50" t="str">
        <f>IF(ISNA(VLOOKUP($A30,Council_Data!$A$3:$AB$840,2,0)),0,VLOOKUP($A30,Council_Data!$A$3:$AB$840,2,0))</f>
        <v>002</v>
      </c>
      <c r="C30" s="50" t="str">
        <f>IF(ISNA(VLOOKUP($A30,Council_Data!$A$3:$AB$840,3,0)),0,VLOOKUP($A30,Council_Data!$A$3:$AB$840,3,0))</f>
        <v>El Paso</v>
      </c>
      <c r="D30" s="93">
        <f>IF(ISNA(VLOOKUP($A30,Council_Data!$A$3:$AB$840,5,0)),0,VLOOKUP($A30,Council_Data!$A$3:$AB$840,5,0))</f>
        <v>88</v>
      </c>
      <c r="E30" s="93">
        <f>IF(ISNA(VLOOKUP($A30,Council_Data!$A$3:$AB$840,6,0)),0,VLOOKUP($A30,Council_Data!$A$3:$AB$840,6,0))</f>
        <v>4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Payne</v>
      </c>
    </row>
    <row r="31" spans="1:22">
      <c r="A31" s="50">
        <v>12084</v>
      </c>
      <c r="B31" s="50" t="str">
        <f>IF(ISNA(VLOOKUP($A31,Council_Data!$A$3:$AB$840,2,0)),0,VLOOKUP($A31,Council_Data!$A$3:$AB$840,2,0))</f>
        <v>003</v>
      </c>
      <c r="C31" s="50" t="str">
        <f>IF(ISNA(VLOOKUP($A31,Council_Data!$A$3:$AB$840,3,0)),0,VLOOKUP($A31,Council_Data!$A$3:$AB$840,3,0))</f>
        <v>El Paso</v>
      </c>
      <c r="D31" s="93">
        <f>IF(ISNA(VLOOKUP($A31,Council_Data!$A$3:$AB$840,5,0)),0,VLOOKUP($A31,Council_Data!$A$3:$AB$840,5,0))</f>
        <v>69</v>
      </c>
      <c r="E31" s="93">
        <f>IF(ISNA(VLOOKUP($A31,Council_Data!$A$3:$AB$840,6,0)),0,VLOOKUP($A31,Council_Data!$A$3:$AB$840,6,0))</f>
        <v>3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4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4</v>
      </c>
      <c r="L31" s="94">
        <f>IF(ISNA(VLOOKUP($A31,Council_Data!$A$3:$AB$840,13,0)),0,VLOOKUP($A31,Council_Data!$A$3:$AB$840,13,0))</f>
        <v>133.33000000000001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Payne</v>
      </c>
    </row>
    <row r="32" spans="1:22">
      <c r="A32" s="50">
        <v>12160</v>
      </c>
      <c r="B32" s="50" t="str">
        <f>IF(ISNA(VLOOKUP($A32,Council_Data!$A$3:$AB$840,2,0)),0,VLOOKUP($A32,Council_Data!$A$3:$AB$840,2,0))</f>
        <v>008</v>
      </c>
      <c r="C32" s="50" t="str">
        <f>IF(ISNA(VLOOKUP($A32,Council_Data!$A$3:$AB$840,3,0)),0,VLOOKUP($A32,Council_Data!$A$3:$AB$840,3,0))</f>
        <v>El Paso</v>
      </c>
      <c r="D32" s="93">
        <f>IF(ISNA(VLOOKUP($A32,Council_Data!$A$3:$AB$840,5,0)),0,VLOOKUP($A32,Council_Data!$A$3:$AB$840,5,0))</f>
        <v>138</v>
      </c>
      <c r="E32" s="93">
        <f>IF(ISNA(VLOOKUP($A32,Council_Data!$A$3:$AB$840,6,0)),0,VLOOKUP($A32,Council_Data!$A$3:$AB$840,6,0))</f>
        <v>6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1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1</v>
      </c>
      <c r="L32" s="94">
        <f>IF(ISNA(VLOOKUP($A32,Council_Data!$A$3:$AB$840,13,0)),0,VLOOKUP($A32,Council_Data!$A$3:$AB$840,13,0))</f>
        <v>16.670000000000002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1</v>
      </c>
      <c r="P32" s="93">
        <f>IF(ISNA(VLOOKUP($A32,Council_Data!$A$3:$AB$840,17,0)),0,VLOOKUP($A32,Council_Data!$A$3:$AB$840,17,0))</f>
        <v>-1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-1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Payne</v>
      </c>
    </row>
    <row r="33" spans="1:22">
      <c r="A33" s="50">
        <v>12360</v>
      </c>
      <c r="B33" s="50" t="str">
        <f>IF(ISNA(VLOOKUP($A33,Council_Data!$A$3:$AB$840,2,0)),0,VLOOKUP($A33,Council_Data!$A$3:$AB$840,2,0))</f>
        <v>002</v>
      </c>
      <c r="C33" s="50" t="str">
        <f>IF(ISNA(VLOOKUP($A33,Council_Data!$A$3:$AB$840,3,0)),0,VLOOKUP($A33,Council_Data!$A$3:$AB$840,3,0))</f>
        <v>El Paso</v>
      </c>
      <c r="D33" s="93">
        <f>IF(ISNA(VLOOKUP($A33,Council_Data!$A$3:$AB$840,5,0)),0,VLOOKUP($A33,Council_Data!$A$3:$AB$840,5,0))</f>
        <v>173</v>
      </c>
      <c r="E33" s="93">
        <f>IF(ISNA(VLOOKUP($A33,Council_Data!$A$3:$AB$840,6,0)),0,VLOOKUP($A33,Council_Data!$A$3:$AB$840,6,0))</f>
        <v>9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1</v>
      </c>
      <c r="V33" s="50" t="str">
        <f>IF(ISNA(VLOOKUP($A33,Council_Data!$A$3:$AB$840,24,0)),0,VLOOKUP($A33,Council_Data!$A$3:$AB$840,24,0))</f>
        <v>Payne</v>
      </c>
    </row>
    <row r="34" spans="1:22">
      <c r="A34" s="50">
        <v>12697</v>
      </c>
      <c r="B34" s="50" t="str">
        <f>IF(ISNA(VLOOKUP($A34,Council_Data!$A$3:$AB$840,2,0)),0,VLOOKUP($A34,Council_Data!$A$3:$AB$840,2,0))</f>
        <v>004</v>
      </c>
      <c r="C34" s="50" t="str">
        <f>IF(ISNA(VLOOKUP($A34,Council_Data!$A$3:$AB$840,3,0)),0,VLOOKUP($A34,Council_Data!$A$3:$AB$840,3,0))</f>
        <v>El Paso</v>
      </c>
      <c r="D34" s="93">
        <f>IF(ISNA(VLOOKUP($A34,Council_Data!$A$3:$AB$840,5,0)),0,VLOOKUP($A34,Council_Data!$A$3:$AB$840,5,0))</f>
        <v>30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13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13</v>
      </c>
      <c r="L34" s="94">
        <f>IF(ISNA(VLOOKUP($A34,Council_Data!$A$3:$AB$840,13,0)),0,VLOOKUP($A34,Council_Data!$A$3:$AB$840,13,0))</f>
        <v>433.33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Payne</v>
      </c>
    </row>
    <row r="35" spans="1:22">
      <c r="A35" s="50">
        <v>13342</v>
      </c>
      <c r="B35" s="50" t="str">
        <f>IF(ISNA(VLOOKUP($A35,Council_Data!$A$3:$AB$840,2,0)),0,VLOOKUP($A35,Council_Data!$A$3:$AB$840,2,0))</f>
        <v>010</v>
      </c>
      <c r="C35" s="50" t="str">
        <f>IF(ISNA(VLOOKUP($A35,Council_Data!$A$3:$AB$840,3,0)),0,VLOOKUP($A35,Council_Data!$A$3:$AB$840,3,0))</f>
        <v>El Paso</v>
      </c>
      <c r="D35" s="93">
        <f>IF(ISNA(VLOOKUP($A35,Council_Data!$A$3:$AB$840,5,0)),0,VLOOKUP($A35,Council_Data!$A$3:$AB$840,5,0))</f>
        <v>60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Payne</v>
      </c>
    </row>
    <row r="36" spans="1:22">
      <c r="A36" s="50">
        <v>14413</v>
      </c>
      <c r="B36" s="50" t="str">
        <f>IF(ISNA(VLOOKUP($A36,Council_Data!$A$3:$AB$840,2,0)),0,VLOOKUP($A36,Council_Data!$A$3:$AB$840,2,0))</f>
        <v>008</v>
      </c>
      <c r="C36" s="50" t="str">
        <f>IF(ISNA(VLOOKUP($A36,Council_Data!$A$3:$AB$840,3,0)),0,VLOOKUP($A36,Council_Data!$A$3:$AB$840,3,0))</f>
        <v>El Paso</v>
      </c>
      <c r="D36" s="93">
        <f>IF(ISNA(VLOOKUP($A36,Council_Data!$A$3:$AB$840,5,0)),0,VLOOKUP($A36,Council_Data!$A$3:$AB$840,5,0))</f>
        <v>77</v>
      </c>
      <c r="E36" s="93">
        <f>IF(ISNA(VLOOKUP($A36,Council_Data!$A$3:$AB$840,6,0)),0,VLOOKUP($A36,Council_Data!$A$3:$AB$840,6,0))</f>
        <v>4</v>
      </c>
      <c r="F36" s="93">
        <f>IF(ISNA(VLOOKUP($A36,Council_Data!$A$3:$AB$840,7,0)),0,VLOOKUP($A36,Council_Data!$A$3:$AB$840,7,0))</f>
        <v>1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1</v>
      </c>
      <c r="I36" s="93">
        <f>IF(ISNA(VLOOKUP($A36,Council_Data!$A$3:$AB$840,10,0)),0,VLOOKUP($A36,Council_Data!$A$3:$AB$840,10,0))</f>
        <v>2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2</v>
      </c>
      <c r="L36" s="94">
        <f>IF(ISNA(VLOOKUP($A36,Council_Data!$A$3:$AB$840,13,0)),0,VLOOKUP($A36,Council_Data!$A$3:$AB$840,13,0))</f>
        <v>50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1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1</v>
      </c>
      <c r="Q36" s="93">
        <f>IF(ISNA(VLOOKUP($A36,Council_Data!$A$3:$AB$840,18,0)),0,VLOOKUP($A36,Council_Data!$A$3:$AB$840,18,0))</f>
        <v>3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3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2</v>
      </c>
      <c r="V36" s="50" t="str">
        <f>IF(ISNA(VLOOKUP($A36,Council_Data!$A$3:$AB$840,24,0)),0,VLOOKUP($A36,Council_Data!$A$3:$AB$840,24,0))</f>
        <v>Payne</v>
      </c>
    </row>
    <row r="37" spans="1:22">
      <c r="A37" s="50">
        <v>14584</v>
      </c>
      <c r="B37" s="50" t="str">
        <f>IF(ISNA(VLOOKUP($A37,Council_Data!$A$3:$AB$840,2,0)),0,VLOOKUP($A37,Council_Data!$A$3:$AB$840,2,0))</f>
        <v>005</v>
      </c>
      <c r="C37" s="50" t="str">
        <f>IF(ISNA(VLOOKUP($A37,Council_Data!$A$3:$AB$840,3,0)),0,VLOOKUP($A37,Council_Data!$A$3:$AB$840,3,0))</f>
        <v>Ft Bliss</v>
      </c>
      <c r="D37" s="93">
        <f>IF(ISNA(VLOOKUP($A37,Council_Data!$A$3:$AB$840,5,0)),0,VLOOKUP($A37,Council_Data!$A$3:$AB$840,5,0))</f>
        <v>79</v>
      </c>
      <c r="E37" s="93">
        <f>IF(ISNA(VLOOKUP($A37,Council_Data!$A$3:$AB$840,6,0)),0,VLOOKUP($A37,Council_Data!$A$3:$AB$840,6,0))</f>
        <v>4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4</v>
      </c>
      <c r="J37" s="93">
        <f>IF(ISNA(VLOOKUP($A37,Council_Data!$A$3:$AB$840,11,0)),0,VLOOKUP($A37,Council_Data!$A$3:$AB$840,11,0))</f>
        <v>1</v>
      </c>
      <c r="K37" s="93">
        <f>IF(ISNA(VLOOKUP($A37,Council_Data!$A$3:$AB$840,12,0)),0,VLOOKUP($A37,Council_Data!$A$3:$AB$840,12,0))</f>
        <v>3</v>
      </c>
      <c r="L37" s="94">
        <f>IF(ISNA(VLOOKUP($A37,Council_Data!$A$3:$AB$840,13,0)),0,VLOOKUP($A37,Council_Data!$A$3:$AB$840,13,0))</f>
        <v>75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1</v>
      </c>
      <c r="S37" s="93">
        <f>IF(ISNA(VLOOKUP($A37,Council_Data!$A$3:$AB$840,20,0)),0,VLOOKUP($A37,Council_Data!$A$3:$AB$840,20,0))</f>
        <v>-1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2</v>
      </c>
      <c r="V37" s="50" t="str">
        <f>IF(ISNA(VLOOKUP($A37,Council_Data!$A$3:$AB$840,24,0)),0,VLOOKUP($A37,Council_Data!$A$3:$AB$840,24,0))</f>
        <v>Payne</v>
      </c>
    </row>
    <row r="38" spans="1:22">
      <c r="A38" s="50">
        <v>15017</v>
      </c>
      <c r="B38" s="50" t="str">
        <f>IF(ISNA(VLOOKUP($A38,Council_Data!$A$3:$AB$840,2,0)),0,VLOOKUP($A38,Council_Data!$A$3:$AB$840,2,0))</f>
        <v>006</v>
      </c>
      <c r="C38" s="50" t="str">
        <f>IF(ISNA(VLOOKUP($A38,Council_Data!$A$3:$AB$840,3,0)),0,VLOOKUP($A38,Council_Data!$A$3:$AB$840,3,0))</f>
        <v>El Paso</v>
      </c>
      <c r="D38" s="93">
        <f>IF(ISNA(VLOOKUP($A38,Council_Data!$A$3:$AB$840,5,0)),0,VLOOKUP($A38,Council_Data!$A$3:$AB$840,5,0))</f>
        <v>137</v>
      </c>
      <c r="E38" s="93">
        <f>IF(ISNA(VLOOKUP($A38,Council_Data!$A$3:$AB$840,6,0)),0,VLOOKUP($A38,Council_Data!$A$3:$AB$840,6,0))</f>
        <v>7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2</v>
      </c>
      <c r="J38" s="93">
        <f>IF(ISNA(VLOOKUP($A38,Council_Data!$A$3:$AB$840,11,0)),0,VLOOKUP($A38,Council_Data!$A$3:$AB$840,11,0))</f>
        <v>3</v>
      </c>
      <c r="K38" s="93">
        <f>IF(ISNA(VLOOKUP($A38,Council_Data!$A$3:$AB$840,12,0)),0,VLOOKUP($A38,Council_Data!$A$3:$AB$840,12,0))</f>
        <v>-1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Payne</v>
      </c>
    </row>
    <row r="39" spans="1:22">
      <c r="A39" s="50">
        <v>15727</v>
      </c>
      <c r="B39" s="50" t="str">
        <f>IF(ISNA(VLOOKUP($A39,Council_Data!$A$3:$AB$840,2,0)),0,VLOOKUP($A39,Council_Data!$A$3:$AB$840,2,0))</f>
        <v>001</v>
      </c>
      <c r="C39" s="50" t="str">
        <f>IF(ISNA(VLOOKUP($A39,Council_Data!$A$3:$AB$840,3,0)),0,VLOOKUP($A39,Council_Data!$A$3:$AB$840,3,0))</f>
        <v>El Paso</v>
      </c>
      <c r="D39" s="93">
        <f>IF(ISNA(VLOOKUP($A39,Council_Data!$A$3:$AB$840,5,0)),0,VLOOKUP($A39,Council_Data!$A$3:$AB$840,5,0))</f>
        <v>36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Payne</v>
      </c>
    </row>
    <row r="40" spans="1:22">
      <c r="A40" s="50">
        <v>15799</v>
      </c>
      <c r="B40" s="50" t="str">
        <f>IF(ISNA(VLOOKUP($A40,Council_Data!$A$3:$AB$840,2,0)),0,VLOOKUP($A40,Council_Data!$A$3:$AB$840,2,0))</f>
        <v>009</v>
      </c>
      <c r="C40" s="50" t="str">
        <f>IF(ISNA(VLOOKUP($A40,Council_Data!$A$3:$AB$840,3,0)),0,VLOOKUP($A40,Council_Data!$A$3:$AB$840,3,0))</f>
        <v>Fabens</v>
      </c>
      <c r="D40" s="93">
        <f>IF(ISNA(VLOOKUP($A40,Council_Data!$A$3:$AB$840,5,0)),0,VLOOKUP($A40,Council_Data!$A$3:$AB$840,5,0))</f>
        <v>27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1</v>
      </c>
      <c r="P40" s="93">
        <f>IF(ISNA(VLOOKUP($A40,Council_Data!$A$3:$AB$840,17,0)),0,VLOOKUP($A40,Council_Data!$A$3:$AB$840,17,0))</f>
        <v>-1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1</v>
      </c>
      <c r="S40" s="93">
        <f>IF(ISNA(VLOOKUP($A40,Council_Data!$A$3:$AB$840,20,0)),0,VLOOKUP($A40,Council_Data!$A$3:$AB$840,20,0))</f>
        <v>-1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Payne</v>
      </c>
    </row>
    <row r="41" spans="1:22">
      <c r="A41" s="50">
        <v>16041</v>
      </c>
      <c r="B41" s="50" t="str">
        <f>IF(ISNA(VLOOKUP($A41,Council_Data!$A$3:$AB$840,2,0)),0,VLOOKUP($A41,Council_Data!$A$3:$AB$840,2,0))</f>
        <v>001</v>
      </c>
      <c r="C41" s="50" t="str">
        <f>IF(ISNA(VLOOKUP($A41,Council_Data!$A$3:$AB$840,3,0)),0,VLOOKUP($A41,Council_Data!$A$3:$AB$840,3,0))</f>
        <v>El Paso</v>
      </c>
      <c r="D41" s="93">
        <f>IF(ISNA(VLOOKUP($A41,Council_Data!$A$3:$AB$840,5,0)),0,VLOOKUP($A41,Council_Data!$A$3:$AB$840,5,0))</f>
        <v>48</v>
      </c>
      <c r="E41" s="93">
        <f>IF(ISNA(VLOOKUP($A41,Council_Data!$A$3:$AB$840,6,0)),0,VLOOKUP($A41,Council_Data!$A$3:$AB$840,6,0))</f>
        <v>3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1</v>
      </c>
      <c r="H41" s="93">
        <f>IF(ISNA(VLOOKUP($A41,Council_Data!$A$3:$AB$840,9,0)),0,VLOOKUP($A41,Council_Data!$A$3:$AB$840,9,0))</f>
        <v>-1</v>
      </c>
      <c r="I41" s="93">
        <f>IF(ISNA(VLOOKUP($A41,Council_Data!$A$3:$AB$840,10,0)),0,VLOOKUP($A41,Council_Data!$A$3:$AB$840,10,0))</f>
        <v>3</v>
      </c>
      <c r="J41" s="93">
        <f>IF(ISNA(VLOOKUP($A41,Council_Data!$A$3:$AB$840,11,0)),0,VLOOKUP($A41,Council_Data!$A$3:$AB$840,11,0))</f>
        <v>2</v>
      </c>
      <c r="K41" s="93">
        <f>IF(ISNA(VLOOKUP($A41,Council_Data!$A$3:$AB$840,12,0)),0,VLOOKUP($A41,Council_Data!$A$3:$AB$840,12,0))</f>
        <v>1</v>
      </c>
      <c r="L41" s="94">
        <f>IF(ISNA(VLOOKUP($A41,Council_Data!$A$3:$AB$840,13,0)),0,VLOOKUP($A41,Council_Data!$A$3:$AB$840,13,0))</f>
        <v>33.33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1</v>
      </c>
      <c r="O41" s="93">
        <f>IF(ISNA(VLOOKUP($A41,Council_Data!$A$3:$AB$840,16,0)),0,VLOOKUP($A41,Council_Data!$A$3:$AB$840,16,0))</f>
        <v>1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3</v>
      </c>
      <c r="V41" s="50" t="str">
        <f>IF(ISNA(VLOOKUP($A41,Council_Data!$A$3:$AB$840,24,0)),0,VLOOKUP($A41,Council_Data!$A$3:$AB$840,24,0))</f>
        <v>Payne</v>
      </c>
    </row>
    <row r="42" spans="1:22" ht="25.5">
      <c r="A42" s="50">
        <v>16287</v>
      </c>
      <c r="B42" s="50" t="str">
        <f>IF(ISNA(VLOOKUP($A42,Council_Data!$A$3:$AB$840,2,0)),0,VLOOKUP($A42,Council_Data!$A$3:$AB$840,2,0))</f>
        <v>009</v>
      </c>
      <c r="C42" s="50" t="str">
        <f>IF(ISNA(VLOOKUP($A42,Council_Data!$A$3:$AB$840,3,0)),0,VLOOKUP($A42,Council_Data!$A$3:$AB$840,3,0))</f>
        <v>Horizon City</v>
      </c>
      <c r="D42" s="93">
        <f>IF(ISNA(VLOOKUP($A42,Council_Data!$A$3:$AB$840,5,0)),0,VLOOKUP($A42,Council_Data!$A$3:$AB$840,5,0))</f>
        <v>42</v>
      </c>
      <c r="E42" s="93">
        <f>IF(ISNA(VLOOKUP($A42,Council_Data!$A$3:$AB$840,6,0)),0,VLOOKUP($A42,Council_Data!$A$3:$AB$840,6,0))</f>
        <v>3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1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1</v>
      </c>
      <c r="L42" s="94">
        <f>IF(ISNA(VLOOKUP($A42,Council_Data!$A$3:$AB$840,13,0)),0,VLOOKUP($A42,Council_Data!$A$3:$AB$840,13,0))</f>
        <v>33.33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0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3</v>
      </c>
      <c r="V42" s="50" t="str">
        <f>IF(ISNA(VLOOKUP($A42,Council_Data!$A$3:$AB$840,24,0)),0,VLOOKUP($A42,Council_Data!$A$3:$AB$840,24,0))</f>
        <v>Payne</v>
      </c>
    </row>
    <row r="43" spans="1:22">
      <c r="A43" s="50">
        <v>16778</v>
      </c>
      <c r="B43" s="50" t="str">
        <f>IF(ISNA(VLOOKUP($A43,Council_Data!$A$3:$AB$840,2,0)),0,VLOOKUP($A43,Council_Data!$A$3:$AB$840,2,0))</f>
        <v>004</v>
      </c>
      <c r="C43" s="50" t="str">
        <f>IF(ISNA(VLOOKUP($A43,Council_Data!$A$3:$AB$840,3,0)),0,VLOOKUP($A43,Council_Data!$A$3:$AB$840,3,0))</f>
        <v>El Paso</v>
      </c>
      <c r="D43" s="93">
        <f>IF(ISNA(VLOOKUP($A43,Council_Data!$A$3:$AB$840,5,0)),0,VLOOKUP($A43,Council_Data!$A$3:$AB$840,5,0))</f>
        <v>67</v>
      </c>
      <c r="E43" s="93">
        <f>IF(ISNA(VLOOKUP($A43,Council_Data!$A$3:$AB$840,6,0)),0,VLOOKUP($A43,Council_Data!$A$3:$AB$840,6,0))</f>
        <v>3</v>
      </c>
      <c r="F43" s="93">
        <f>IF(ISNA(VLOOKUP($A43,Council_Data!$A$3:$AB$840,7,0)),0,VLOOKUP($A43,Council_Data!$A$3:$AB$840,7,0))</f>
        <v>2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2</v>
      </c>
      <c r="I43" s="93">
        <f>IF(ISNA(VLOOKUP($A43,Council_Data!$A$3:$AB$840,10,0)),0,VLOOKUP($A43,Council_Data!$A$3:$AB$840,10,0))</f>
        <v>11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11</v>
      </c>
      <c r="L43" s="94">
        <f>IF(ISNA(VLOOKUP($A43,Council_Data!$A$3:$AB$840,13,0)),0,VLOOKUP($A43,Council_Data!$A$3:$AB$840,13,0))</f>
        <v>366.67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1</v>
      </c>
      <c r="P43" s="93">
        <f>IF(ISNA(VLOOKUP($A43,Council_Data!$A$3:$AB$840,17,0)),0,VLOOKUP($A43,Council_Data!$A$3:$AB$840,17,0))</f>
        <v>-1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1</v>
      </c>
      <c r="S43" s="93">
        <f>IF(ISNA(VLOOKUP($A43,Council_Data!$A$3:$AB$840,20,0)),0,VLOOKUP($A43,Council_Data!$A$3:$AB$840,20,0))</f>
        <v>-1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2</v>
      </c>
      <c r="V43" s="50" t="str">
        <f>IF(ISNA(VLOOKUP($A43,Council_Data!$A$3:$AB$840,24,0)),0,VLOOKUP($A43,Council_Data!$A$3:$AB$840,24,0))</f>
        <v>Payne</v>
      </c>
    </row>
    <row r="44" spans="1:22">
      <c r="A44" s="50">
        <v>17420</v>
      </c>
      <c r="B44" s="50" t="str">
        <f>IF(ISNA(VLOOKUP($A44,Council_Data!$A$3:$AB$840,2,0)),0,VLOOKUP($A44,Council_Data!$A$3:$AB$840,2,0))</f>
        <v>008</v>
      </c>
      <c r="C44" s="50" t="str">
        <f>IF(ISNA(VLOOKUP($A44,Council_Data!$A$3:$AB$840,3,0)),0,VLOOKUP($A44,Council_Data!$A$3:$AB$840,3,0))</f>
        <v>El Paso</v>
      </c>
      <c r="D44" s="93">
        <f>IF(ISNA(VLOOKUP($A44,Council_Data!$A$3:$AB$840,5,0)),0,VLOOKUP($A44,Council_Data!$A$3:$AB$840,5,0))</f>
        <v>28</v>
      </c>
      <c r="E44" s="93">
        <f>IF(ISNA(VLOOKUP($A44,Council_Data!$A$3:$AB$840,6,0)),0,VLOOKUP($A44,Council_Data!$A$3:$AB$840,6,0))</f>
        <v>3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3</v>
      </c>
      <c r="V44" s="50" t="str">
        <f>IF(ISNA(VLOOKUP($A44,Council_Data!$A$3:$AB$840,24,0)),0,VLOOKUP($A44,Council_Data!$A$3:$AB$840,24,0))</f>
        <v>Payne</v>
      </c>
    </row>
    <row r="45" spans="1:22">
      <c r="A45" s="50">
        <v>17449</v>
      </c>
      <c r="B45" s="50" t="str">
        <f>IF(ISNA(VLOOKUP($A45,Council_Data!$A$3:$AB$840,2,0)),0,VLOOKUP($A45,Council_Data!$A$3:$AB$840,2,0))</f>
        <v>003</v>
      </c>
      <c r="C45" s="50" t="str">
        <f>IF(ISNA(VLOOKUP($A45,Council_Data!$A$3:$AB$840,3,0)),0,VLOOKUP($A45,Council_Data!$A$3:$AB$840,3,0))</f>
        <v>El Paso</v>
      </c>
      <c r="D45" s="93">
        <f>IF(ISNA(VLOOKUP($A45,Council_Data!$A$3:$AB$840,5,0)),0,VLOOKUP($A45,Council_Data!$A$3:$AB$840,5,0))</f>
        <v>24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3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3</v>
      </c>
      <c r="I45" s="93">
        <f>IF(ISNA(VLOOKUP($A45,Council_Data!$A$3:$AB$840,10,0)),0,VLOOKUP($A45,Council_Data!$A$3:$AB$840,10,0))</f>
        <v>4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4</v>
      </c>
      <c r="L45" s="94">
        <f>IF(ISNA(VLOOKUP($A45,Council_Data!$A$3:$AB$840,13,0)),0,VLOOKUP($A45,Council_Data!$A$3:$AB$840,13,0))</f>
        <v>133.33000000000001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1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856</v>
      </c>
      <c r="B1" s="24" t="s">
        <v>761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759</v>
      </c>
      <c r="B4" s="50" t="str">
        <f>IF(ISNA(VLOOKUP($A4,Council_Data!$A$3:$AB$840,2,0)),0,VLOOKUP($A4,Council_Data!$A$3:$AB$840,2,0))</f>
        <v>018</v>
      </c>
      <c r="C4" s="50" t="str">
        <f>IF(ISNA(VLOOKUP($A4,Council_Data!$A$3:$AB$840,3,0)),0,VLOOKUP($A4,Council_Data!$A$3:$AB$840,3,0))</f>
        <v>Keller</v>
      </c>
      <c r="D4" s="93">
        <f>IF(ISNA(VLOOKUP($A4,Council_Data!$A$3:$AB$840,5,0)),0,VLOOKUP($A4,Council_Data!$A$3:$AB$840,5,0))</f>
        <v>561</v>
      </c>
      <c r="E4" s="93">
        <f>IF(ISNA(VLOOKUP($A4,Council_Data!$A$3:$AB$840,6,0)),0,VLOOKUP($A4,Council_Data!$A$3:$AB$840,6,0))</f>
        <v>20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6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6</v>
      </c>
      <c r="L4" s="94">
        <f>IF(ISNA(VLOOKUP($A4,Council_Data!$A$3:$AB$840,13,0)),0,VLOOKUP($A4,Council_Data!$A$3:$AB$840,13,0))</f>
        <v>30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1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1</v>
      </c>
      <c r="Q4" s="93">
        <f>IF(ISNA(VLOOKUP($A4,Council_Data!$A$3:$AB$840,18,0)),0,VLOOKUP($A4,Council_Data!$A$3:$AB$840,18,0))</f>
        <v>6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5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Stark</v>
      </c>
    </row>
    <row r="5" spans="1:22">
      <c r="A5" s="50">
        <v>1167</v>
      </c>
      <c r="B5" s="50" t="str">
        <f>IF(ISNA(VLOOKUP($A5,Council_Data!$A$3:$AB$840,2,0)),0,VLOOKUP($A5,Council_Data!$A$3:$AB$840,2,0))</f>
        <v>021</v>
      </c>
      <c r="C5" s="50" t="str">
        <f>IF(ISNA(VLOOKUP($A5,Council_Data!$A$3:$AB$840,3,0)),0,VLOOKUP($A5,Council_Data!$A$3:$AB$840,3,0))</f>
        <v>Gainesville</v>
      </c>
      <c r="D5" s="93">
        <f>IF(ISNA(VLOOKUP($A5,Council_Data!$A$3:$AB$840,5,0)),0,VLOOKUP($A5,Council_Data!$A$3:$AB$840,5,0))</f>
        <v>255</v>
      </c>
      <c r="E5" s="93">
        <f>IF(ISNA(VLOOKUP($A5,Council_Data!$A$3:$AB$840,6,0)),0,VLOOKUP($A5,Council_Data!$A$3:$AB$840,6,0))</f>
        <v>12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Stark</v>
      </c>
    </row>
    <row r="6" spans="1:22">
      <c r="A6" s="50">
        <v>1459</v>
      </c>
      <c r="B6" s="50" t="str">
        <f>IF(ISNA(VLOOKUP($A6,Council_Data!$A$3:$AB$840,2,0)),0,VLOOKUP($A6,Council_Data!$A$3:$AB$840,2,0))</f>
        <v>021</v>
      </c>
      <c r="C6" s="50" t="str">
        <f>IF(ISNA(VLOOKUP($A6,Council_Data!$A$3:$AB$840,3,0)),0,VLOOKUP($A6,Council_Data!$A$3:$AB$840,3,0))</f>
        <v>Muenster</v>
      </c>
      <c r="D6" s="93">
        <f>IF(ISNA(VLOOKUP($A6,Council_Data!$A$3:$AB$840,5,0)),0,VLOOKUP($A6,Council_Data!$A$3:$AB$840,5,0))</f>
        <v>288</v>
      </c>
      <c r="E6" s="93">
        <f>IF(ISNA(VLOOKUP($A6,Council_Data!$A$3:$AB$840,6,0)),0,VLOOKUP($A6,Council_Data!$A$3:$AB$840,6,0))</f>
        <v>14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2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2</v>
      </c>
      <c r="L6" s="94">
        <f>IF(ISNA(VLOOKUP($A6,Council_Data!$A$3:$AB$840,13,0)),0,VLOOKUP($A6,Council_Data!$A$3:$AB$840,13,0))</f>
        <v>14.29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1</v>
      </c>
      <c r="V6" s="50" t="str">
        <f>IF(ISNA(VLOOKUP($A6,Council_Data!$A$3:$AB$840,24,0)),0,VLOOKUP($A6,Council_Data!$A$3:$AB$840,24,0))</f>
        <v>Stark</v>
      </c>
    </row>
    <row r="7" spans="1:22">
      <c r="A7" s="50">
        <v>1473</v>
      </c>
      <c r="B7" s="50" t="str">
        <f>IF(ISNA(VLOOKUP($A7,Council_Data!$A$3:$AB$840,2,0)),0,VLOOKUP($A7,Council_Data!$A$3:$AB$840,2,0))</f>
        <v>022</v>
      </c>
      <c r="C7" s="50" t="str">
        <f>IF(ISNA(VLOOKUP($A7,Council_Data!$A$3:$AB$840,3,0)),0,VLOOKUP($A7,Council_Data!$A$3:$AB$840,3,0))</f>
        <v>Wichita Falls</v>
      </c>
      <c r="D7" s="93">
        <f>IF(ISNA(VLOOKUP($A7,Council_Data!$A$3:$AB$840,5,0)),0,VLOOKUP($A7,Council_Data!$A$3:$AB$840,5,0))</f>
        <v>152</v>
      </c>
      <c r="E7" s="93">
        <f>IF(ISNA(VLOOKUP($A7,Council_Data!$A$3:$AB$840,6,0)),0,VLOOKUP($A7,Council_Data!$A$3:$AB$840,6,0))</f>
        <v>7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2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2</v>
      </c>
      <c r="L7" s="94">
        <f>IF(ISNA(VLOOKUP($A7,Council_Data!$A$3:$AB$840,13,0)),0,VLOOKUP($A7,Council_Data!$A$3:$AB$840,13,0))</f>
        <v>28.57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1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Stark</v>
      </c>
    </row>
    <row r="8" spans="1:22">
      <c r="A8" s="50">
        <v>1715</v>
      </c>
      <c r="B8" s="50" t="str">
        <f>IF(ISNA(VLOOKUP($A8,Council_Data!$A$3:$AB$840,2,0)),0,VLOOKUP($A8,Council_Data!$A$3:$AB$840,2,0))</f>
        <v>023</v>
      </c>
      <c r="C8" s="50" t="str">
        <f>IF(ISNA(VLOOKUP($A8,Council_Data!$A$3:$AB$840,3,0)),0,VLOOKUP($A8,Council_Data!$A$3:$AB$840,3,0))</f>
        <v>Scotland</v>
      </c>
      <c r="D8" s="93">
        <f>IF(ISNA(VLOOKUP($A8,Council_Data!$A$3:$AB$840,5,0)),0,VLOOKUP($A8,Council_Data!$A$3:$AB$840,5,0))</f>
        <v>91</v>
      </c>
      <c r="E8" s="93">
        <f>IF(ISNA(VLOOKUP($A8,Council_Data!$A$3:$AB$840,6,0)),0,VLOOKUP($A8,Council_Data!$A$3:$AB$840,6,0))</f>
        <v>4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1</v>
      </c>
      <c r="R8" s="93">
        <f>IF(ISNA(VLOOKUP($A8,Council_Data!$A$3:$AB$840,19,0)),0,VLOOKUP($A8,Council_Data!$A$3:$AB$840,19,0))</f>
        <v>1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Stark</v>
      </c>
    </row>
    <row r="9" spans="1:22">
      <c r="A9" s="50">
        <v>1766</v>
      </c>
      <c r="B9" s="50" t="str">
        <f>IF(ISNA(VLOOKUP($A9,Council_Data!$A$3:$AB$840,2,0)),0,VLOOKUP($A9,Council_Data!$A$3:$AB$840,2,0))</f>
        <v>023</v>
      </c>
      <c r="C9" s="50" t="str">
        <f>IF(ISNA(VLOOKUP($A9,Council_Data!$A$3:$AB$840,3,0)),0,VLOOKUP($A9,Council_Data!$A$3:$AB$840,3,0))</f>
        <v>Rhineland</v>
      </c>
      <c r="D9" s="93">
        <f>IF(ISNA(VLOOKUP($A9,Council_Data!$A$3:$AB$840,5,0)),0,VLOOKUP($A9,Council_Data!$A$3:$AB$840,5,0))</f>
        <v>101</v>
      </c>
      <c r="E9" s="93">
        <f>IF(ISNA(VLOOKUP($A9,Council_Data!$A$3:$AB$840,6,0)),0,VLOOKUP($A9,Council_Data!$A$3:$AB$840,6,0))</f>
        <v>5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Stark</v>
      </c>
    </row>
    <row r="10" spans="1:22">
      <c r="A10" s="50">
        <v>1824</v>
      </c>
      <c r="B10" s="50" t="str">
        <f>IF(ISNA(VLOOKUP($A10,Council_Data!$A$3:$AB$840,2,0)),0,VLOOKUP($A10,Council_Data!$A$3:$AB$840,2,0))</f>
        <v>023</v>
      </c>
      <c r="C10" s="50" t="str">
        <f>IF(ISNA(VLOOKUP($A10,Council_Data!$A$3:$AB$840,3,0)),0,VLOOKUP($A10,Council_Data!$A$3:$AB$840,3,0))</f>
        <v>Windthorst</v>
      </c>
      <c r="D10" s="93">
        <f>IF(ISNA(VLOOKUP($A10,Council_Data!$A$3:$AB$840,5,0)),0,VLOOKUP($A10,Council_Data!$A$3:$AB$840,5,0))</f>
        <v>275</v>
      </c>
      <c r="E10" s="93">
        <f>IF(ISNA(VLOOKUP($A10,Council_Data!$A$3:$AB$840,6,0)),0,VLOOKUP($A10,Council_Data!$A$3:$AB$840,6,0))</f>
        <v>13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Stark</v>
      </c>
    </row>
    <row r="11" spans="1:22">
      <c r="A11" s="50">
        <v>2045</v>
      </c>
      <c r="B11" s="50" t="str">
        <f>IF(ISNA(VLOOKUP($A11,Council_Data!$A$3:$AB$840,2,0)),0,VLOOKUP($A11,Council_Data!$A$3:$AB$840,2,0))</f>
        <v>030</v>
      </c>
      <c r="C11" s="50" t="str">
        <f>IF(ISNA(VLOOKUP($A11,Council_Data!$A$3:$AB$840,3,0)),0,VLOOKUP($A11,Council_Data!$A$3:$AB$840,3,0))</f>
        <v>Pilot Point</v>
      </c>
      <c r="D11" s="93">
        <f>IF(ISNA(VLOOKUP($A11,Council_Data!$A$3:$AB$840,5,0)),0,VLOOKUP($A11,Council_Data!$A$3:$AB$840,5,0))</f>
        <v>151</v>
      </c>
      <c r="E11" s="93">
        <f>IF(ISNA(VLOOKUP($A11,Council_Data!$A$3:$AB$840,6,0)),0,VLOOKUP($A11,Council_Data!$A$3:$AB$840,6,0))</f>
        <v>7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2</v>
      </c>
      <c r="J11" s="93">
        <f>IF(ISNA(VLOOKUP($A11,Council_Data!$A$3:$AB$840,11,0)),0,VLOOKUP($A11,Council_Data!$A$3:$AB$840,11,0))</f>
        <v>1</v>
      </c>
      <c r="K11" s="93">
        <f>IF(ISNA(VLOOKUP($A11,Council_Data!$A$3:$AB$840,12,0)),0,VLOOKUP($A11,Council_Data!$A$3:$AB$840,12,0))</f>
        <v>1</v>
      </c>
      <c r="L11" s="94">
        <f>IF(ISNA(VLOOKUP($A11,Council_Data!$A$3:$AB$840,13,0)),0,VLOOKUP($A11,Council_Data!$A$3:$AB$840,13,0))</f>
        <v>14.29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Stark</v>
      </c>
    </row>
    <row r="12" spans="1:22">
      <c r="A12" s="50">
        <v>2123</v>
      </c>
      <c r="B12" s="50" t="str">
        <f>IF(ISNA(VLOOKUP($A12,Council_Data!$A$3:$AB$840,2,0)),0,VLOOKUP($A12,Council_Data!$A$3:$AB$840,2,0))</f>
        <v>016</v>
      </c>
      <c r="C12" s="50" t="str">
        <f>IF(ISNA(VLOOKUP($A12,Council_Data!$A$3:$AB$840,3,0)),0,VLOOKUP($A12,Council_Data!$A$3:$AB$840,3,0))</f>
        <v>Ranger</v>
      </c>
      <c r="D12" s="93">
        <f>IF(ISNA(VLOOKUP($A12,Council_Data!$A$3:$AB$840,5,0)),0,VLOOKUP($A12,Council_Data!$A$3:$AB$840,5,0))</f>
        <v>53</v>
      </c>
      <c r="E12" s="93">
        <f>IF(ISNA(VLOOKUP($A12,Council_Data!$A$3:$AB$840,6,0)),0,VLOOKUP($A12,Council_Data!$A$3:$AB$840,6,0))</f>
        <v>3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Stark</v>
      </c>
    </row>
    <row r="13" spans="1:22">
      <c r="A13" s="50">
        <v>2813</v>
      </c>
      <c r="B13" s="50" t="str">
        <f>IF(ISNA(VLOOKUP($A13,Council_Data!$A$3:$AB$840,2,0)),0,VLOOKUP($A13,Council_Data!$A$3:$AB$840,2,0))</f>
        <v>020</v>
      </c>
      <c r="C13" s="50" t="str">
        <f>IF(ISNA(VLOOKUP($A13,Council_Data!$A$3:$AB$840,3,0)),0,VLOOKUP($A13,Council_Data!$A$3:$AB$840,3,0))</f>
        <v>Fort Worth</v>
      </c>
      <c r="D13" s="93">
        <f>IF(ISNA(VLOOKUP($A13,Council_Data!$A$3:$AB$840,5,0)),0,VLOOKUP($A13,Council_Data!$A$3:$AB$840,5,0))</f>
        <v>235</v>
      </c>
      <c r="E13" s="93">
        <f>IF(ISNA(VLOOKUP($A13,Council_Data!$A$3:$AB$840,6,0)),0,VLOOKUP($A13,Council_Data!$A$3:$AB$840,6,0))</f>
        <v>11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Stark</v>
      </c>
    </row>
    <row r="14" spans="1:22">
      <c r="A14" s="50">
        <v>3740</v>
      </c>
      <c r="B14" s="50" t="str">
        <f>IF(ISNA(VLOOKUP($A14,Council_Data!$A$3:$AB$840,2,0)),0,VLOOKUP($A14,Council_Data!$A$3:$AB$840,2,0))</f>
        <v>023</v>
      </c>
      <c r="C14" s="50" t="str">
        <f>IF(ISNA(VLOOKUP($A14,Council_Data!$A$3:$AB$840,3,0)),0,VLOOKUP($A14,Council_Data!$A$3:$AB$840,3,0))</f>
        <v>Seymour</v>
      </c>
      <c r="D14" s="93">
        <f>IF(ISNA(VLOOKUP($A14,Council_Data!$A$3:$AB$840,5,0)),0,VLOOKUP($A14,Council_Data!$A$3:$AB$840,5,0))</f>
        <v>87</v>
      </c>
      <c r="E14" s="93">
        <f>IF(ISNA(VLOOKUP($A14,Council_Data!$A$3:$AB$840,6,0)),0,VLOOKUP($A14,Council_Data!$A$3:$AB$840,6,0))</f>
        <v>4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1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1</v>
      </c>
      <c r="L14" s="94">
        <f>IF(ISNA(VLOOKUP($A14,Council_Data!$A$3:$AB$840,13,0)),0,VLOOKUP($A14,Council_Data!$A$3:$AB$840,13,0))</f>
        <v>25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1</v>
      </c>
      <c r="P14" s="93">
        <f>IF(ISNA(VLOOKUP($A14,Council_Data!$A$3:$AB$840,17,0)),0,VLOOKUP($A14,Council_Data!$A$3:$AB$840,17,0))</f>
        <v>-1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2</v>
      </c>
      <c r="S14" s="93">
        <f>IF(ISNA(VLOOKUP($A14,Council_Data!$A$3:$AB$840,20,0)),0,VLOOKUP($A14,Council_Data!$A$3:$AB$840,20,0))</f>
        <v>-2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Stark</v>
      </c>
    </row>
    <row r="15" spans="1:22">
      <c r="A15" s="50">
        <v>4101</v>
      </c>
      <c r="B15" s="50" t="str">
        <f>IF(ISNA(VLOOKUP($A15,Council_Data!$A$3:$AB$840,2,0)),0,VLOOKUP($A15,Council_Data!$A$3:$AB$840,2,0))</f>
        <v>029</v>
      </c>
      <c r="C15" s="50" t="str">
        <f>IF(ISNA(VLOOKUP($A15,Council_Data!$A$3:$AB$840,3,0)),0,VLOOKUP($A15,Council_Data!$A$3:$AB$840,3,0))</f>
        <v>Fort Worth</v>
      </c>
      <c r="D15" s="93">
        <f>IF(ISNA(VLOOKUP($A15,Council_Data!$A$3:$AB$840,5,0)),0,VLOOKUP($A15,Council_Data!$A$3:$AB$840,5,0))</f>
        <v>156</v>
      </c>
      <c r="E15" s="93">
        <f>IF(ISNA(VLOOKUP($A15,Council_Data!$A$3:$AB$840,6,0)),0,VLOOKUP($A15,Council_Data!$A$3:$AB$840,6,0))</f>
        <v>7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1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1</v>
      </c>
      <c r="L15" s="94">
        <f>IF(ISNA(VLOOKUP($A15,Council_Data!$A$3:$AB$840,13,0)),0,VLOOKUP($A15,Council_Data!$A$3:$AB$840,13,0))</f>
        <v>14.29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1</v>
      </c>
      <c r="O15" s="93">
        <f>IF(ISNA(VLOOKUP($A15,Council_Data!$A$3:$AB$840,16,0)),0,VLOOKUP($A15,Council_Data!$A$3:$AB$840,16,0))</f>
        <v>1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Stark</v>
      </c>
    </row>
    <row r="16" spans="1:22">
      <c r="A16" s="50">
        <v>4709</v>
      </c>
      <c r="B16" s="50" t="str">
        <f>IF(ISNA(VLOOKUP($A16,Council_Data!$A$3:$AB$840,2,0)),0,VLOOKUP($A16,Council_Data!$A$3:$AB$840,2,0))</f>
        <v>025</v>
      </c>
      <c r="C16" s="50" t="str">
        <f>IF(ISNA(VLOOKUP($A16,Council_Data!$A$3:$AB$840,3,0)),0,VLOOKUP($A16,Council_Data!$A$3:$AB$840,3,0))</f>
        <v>Fort Worth</v>
      </c>
      <c r="D16" s="93">
        <f>IF(ISNA(VLOOKUP($A16,Council_Data!$A$3:$AB$840,5,0)),0,VLOOKUP($A16,Council_Data!$A$3:$AB$840,5,0))</f>
        <v>272</v>
      </c>
      <c r="E16" s="93">
        <f>IF(ISNA(VLOOKUP($A16,Council_Data!$A$3:$AB$840,6,0)),0,VLOOKUP($A16,Council_Data!$A$3:$AB$840,6,0))</f>
        <v>12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1</v>
      </c>
      <c r="H16" s="93">
        <f>IF(ISNA(VLOOKUP($A16,Council_Data!$A$3:$AB$840,9,0)),0,VLOOKUP($A16,Council_Data!$A$3:$AB$840,9,0))</f>
        <v>-1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1</v>
      </c>
      <c r="K16" s="93">
        <f>IF(ISNA(VLOOKUP($A16,Council_Data!$A$3:$AB$840,12,0)),0,VLOOKUP($A16,Council_Data!$A$3:$AB$840,12,0))</f>
        <v>-1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Stark</v>
      </c>
    </row>
    <row r="17" spans="1:22">
      <c r="A17" s="50">
        <v>4771</v>
      </c>
      <c r="B17" s="50" t="str">
        <f>IF(ISNA(VLOOKUP($A17,Council_Data!$A$3:$AB$840,2,0)),0,VLOOKUP($A17,Council_Data!$A$3:$AB$840,2,0))</f>
        <v>027</v>
      </c>
      <c r="C17" s="50" t="str">
        <f>IF(ISNA(VLOOKUP($A17,Council_Data!$A$3:$AB$840,3,0)),0,VLOOKUP($A17,Council_Data!$A$3:$AB$840,3,0))</f>
        <v>Denton</v>
      </c>
      <c r="D17" s="93">
        <f>IF(ISNA(VLOOKUP($A17,Council_Data!$A$3:$AB$840,5,0)),0,VLOOKUP($A17,Council_Data!$A$3:$AB$840,5,0))</f>
        <v>291</v>
      </c>
      <c r="E17" s="93">
        <f>IF(ISNA(VLOOKUP($A17,Council_Data!$A$3:$AB$840,6,0)),0,VLOOKUP($A17,Council_Data!$A$3:$AB$840,6,0))</f>
        <v>14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1</v>
      </c>
      <c r="H17" s="93">
        <f>IF(ISNA(VLOOKUP($A17,Council_Data!$A$3:$AB$840,9,0)),0,VLOOKUP($A17,Council_Data!$A$3:$AB$840,9,0))</f>
        <v>-1</v>
      </c>
      <c r="I17" s="93">
        <f>IF(ISNA(VLOOKUP($A17,Council_Data!$A$3:$AB$840,10,0)),0,VLOOKUP($A17,Council_Data!$A$3:$AB$840,10,0))</f>
        <v>2</v>
      </c>
      <c r="J17" s="93">
        <f>IF(ISNA(VLOOKUP($A17,Council_Data!$A$3:$AB$840,11,0)),0,VLOOKUP($A17,Council_Data!$A$3:$AB$840,11,0))</f>
        <v>1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7.14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5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5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Stark</v>
      </c>
    </row>
    <row r="18" spans="1:22">
      <c r="A18" s="50">
        <v>6269</v>
      </c>
      <c r="B18" s="50" t="str">
        <f>IF(ISNA(VLOOKUP($A18,Council_Data!$A$3:$AB$840,2,0)),0,VLOOKUP($A18,Council_Data!$A$3:$AB$840,2,0))</f>
        <v>028</v>
      </c>
      <c r="C18" s="50" t="str">
        <f>IF(ISNA(VLOOKUP($A18,Council_Data!$A$3:$AB$840,3,0)),0,VLOOKUP($A18,Council_Data!$A$3:$AB$840,3,0))</f>
        <v>Arlington</v>
      </c>
      <c r="D18" s="93">
        <f>IF(ISNA(VLOOKUP($A18,Council_Data!$A$3:$AB$840,5,0)),0,VLOOKUP($A18,Council_Data!$A$3:$AB$840,5,0))</f>
        <v>396</v>
      </c>
      <c r="E18" s="93">
        <f>IF(ISNA(VLOOKUP($A18,Council_Data!$A$3:$AB$840,6,0)),0,VLOOKUP($A18,Council_Data!$A$3:$AB$840,6,0))</f>
        <v>17</v>
      </c>
      <c r="F18" s="93">
        <f>IF(ISNA(VLOOKUP($A18,Council_Data!$A$3:$AB$840,7,0)),0,VLOOKUP($A18,Council_Data!$A$3:$AB$840,7,0))</f>
        <v>3</v>
      </c>
      <c r="G18" s="93">
        <f>IF(ISNA(VLOOKUP($A18,Council_Data!$A$3:$AB$840,8,0)),0,VLOOKUP($A18,Council_Data!$A$3:$AB$840,8,0))</f>
        <v>1</v>
      </c>
      <c r="H18" s="93">
        <f>IF(ISNA(VLOOKUP($A18,Council_Data!$A$3:$AB$840,9,0)),0,VLOOKUP($A18,Council_Data!$A$3:$AB$840,9,0))</f>
        <v>2</v>
      </c>
      <c r="I18" s="93">
        <f>IF(ISNA(VLOOKUP($A18,Council_Data!$A$3:$AB$840,10,0)),0,VLOOKUP($A18,Council_Data!$A$3:$AB$840,10,0))</f>
        <v>13</v>
      </c>
      <c r="J18" s="93">
        <f>IF(ISNA(VLOOKUP($A18,Council_Data!$A$3:$AB$840,11,0)),0,VLOOKUP($A18,Council_Data!$A$3:$AB$840,11,0))</f>
        <v>2</v>
      </c>
      <c r="K18" s="93">
        <f>IF(ISNA(VLOOKUP($A18,Council_Data!$A$3:$AB$840,12,0)),0,VLOOKUP($A18,Council_Data!$A$3:$AB$840,12,0))</f>
        <v>11</v>
      </c>
      <c r="L18" s="94">
        <f>IF(ISNA(VLOOKUP($A18,Council_Data!$A$3:$AB$840,13,0)),0,VLOOKUP($A18,Council_Data!$A$3:$AB$840,13,0))</f>
        <v>64.709999999999994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1</v>
      </c>
      <c r="P18" s="93">
        <f>IF(ISNA(VLOOKUP($A18,Council_Data!$A$3:$AB$840,17,0)),0,VLOOKUP($A18,Council_Data!$A$3:$AB$840,17,0))</f>
        <v>-1</v>
      </c>
      <c r="Q18" s="93">
        <f>IF(ISNA(VLOOKUP($A18,Council_Data!$A$3:$AB$840,18,0)),0,VLOOKUP($A18,Council_Data!$A$3:$AB$840,18,0))</f>
        <v>2</v>
      </c>
      <c r="R18" s="93">
        <f>IF(ISNA(VLOOKUP($A18,Council_Data!$A$3:$AB$840,19,0)),0,VLOOKUP($A18,Council_Data!$A$3:$AB$840,19,0))</f>
        <v>2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Stark</v>
      </c>
    </row>
    <row r="19" spans="1:22">
      <c r="A19" s="50">
        <v>7099</v>
      </c>
      <c r="B19" s="50" t="str">
        <f>IF(ISNA(VLOOKUP($A19,Council_Data!$A$3:$AB$840,2,0)),0,VLOOKUP($A19,Council_Data!$A$3:$AB$840,2,0))</f>
        <v>024</v>
      </c>
      <c r="C19" s="50" t="str">
        <f>IF(ISNA(VLOOKUP($A19,Council_Data!$A$3:$AB$840,3,0)),0,VLOOKUP($A19,Council_Data!$A$3:$AB$840,3,0))</f>
        <v>Grapevine</v>
      </c>
      <c r="D19" s="93">
        <f>IF(ISNA(VLOOKUP($A19,Council_Data!$A$3:$AB$840,5,0)),0,VLOOKUP($A19,Council_Data!$A$3:$AB$840,5,0))</f>
        <v>288</v>
      </c>
      <c r="E19" s="93">
        <f>IF(ISNA(VLOOKUP($A19,Council_Data!$A$3:$AB$840,6,0)),0,VLOOKUP($A19,Council_Data!$A$3:$AB$840,6,0))</f>
        <v>13</v>
      </c>
      <c r="F19" s="93">
        <f>IF(ISNA(VLOOKUP($A19,Council_Data!$A$3:$AB$840,7,0)),0,VLOOKUP($A19,Council_Data!$A$3:$AB$840,7,0))</f>
        <v>4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4</v>
      </c>
      <c r="I19" s="93">
        <f>IF(ISNA(VLOOKUP($A19,Council_Data!$A$3:$AB$840,10,0)),0,VLOOKUP($A19,Council_Data!$A$3:$AB$840,10,0))</f>
        <v>6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6</v>
      </c>
      <c r="L19" s="94">
        <f>IF(ISNA(VLOOKUP($A19,Council_Data!$A$3:$AB$840,13,0)),0,VLOOKUP($A19,Council_Data!$A$3:$AB$840,13,0))</f>
        <v>46.15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2</v>
      </c>
      <c r="P19" s="93">
        <f>IF(ISNA(VLOOKUP($A19,Council_Data!$A$3:$AB$840,17,0)),0,VLOOKUP($A19,Council_Data!$A$3:$AB$840,17,0))</f>
        <v>-2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3</v>
      </c>
      <c r="S19" s="93">
        <f>IF(ISNA(VLOOKUP($A19,Council_Data!$A$3:$AB$840,20,0)),0,VLOOKUP($A19,Council_Data!$A$3:$AB$840,20,0))</f>
        <v>-3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Stark</v>
      </c>
    </row>
    <row r="20" spans="1:22">
      <c r="A20" s="50">
        <v>7175</v>
      </c>
      <c r="B20" s="50" t="str">
        <f>IF(ISNA(VLOOKUP($A20,Council_Data!$A$3:$AB$840,2,0)),0,VLOOKUP($A20,Council_Data!$A$3:$AB$840,2,0))</f>
        <v>020</v>
      </c>
      <c r="C20" s="50" t="str">
        <f>IF(ISNA(VLOOKUP($A20,Council_Data!$A$3:$AB$840,3,0)),0,VLOOKUP($A20,Council_Data!$A$3:$AB$840,3,0))</f>
        <v>Burleson</v>
      </c>
      <c r="D20" s="93">
        <f>IF(ISNA(VLOOKUP($A20,Council_Data!$A$3:$AB$840,5,0)),0,VLOOKUP($A20,Council_Data!$A$3:$AB$840,5,0))</f>
        <v>150</v>
      </c>
      <c r="E20" s="93">
        <f>IF(ISNA(VLOOKUP($A20,Council_Data!$A$3:$AB$840,6,0)),0,VLOOKUP($A20,Council_Data!$A$3:$AB$840,6,0))</f>
        <v>7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6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6</v>
      </c>
      <c r="L20" s="94">
        <f>IF(ISNA(VLOOKUP($A20,Council_Data!$A$3:$AB$840,13,0)),0,VLOOKUP($A20,Council_Data!$A$3:$AB$840,13,0))</f>
        <v>85.71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1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1</v>
      </c>
      <c r="V20" s="50" t="str">
        <f>IF(ISNA(VLOOKUP($A20,Council_Data!$A$3:$AB$840,24,0)),0,VLOOKUP($A20,Council_Data!$A$3:$AB$840,24,0))</f>
        <v>Stark</v>
      </c>
    </row>
    <row r="21" spans="1:22">
      <c r="A21" s="50">
        <v>7264</v>
      </c>
      <c r="B21" s="50" t="str">
        <f>IF(ISNA(VLOOKUP($A21,Council_Data!$A$3:$AB$840,2,0)),0,VLOOKUP($A21,Council_Data!$A$3:$AB$840,2,0))</f>
        <v>017</v>
      </c>
      <c r="C21" s="50" t="str">
        <f>IF(ISNA(VLOOKUP($A21,Council_Data!$A$3:$AB$840,3,0)),0,VLOOKUP($A21,Council_Data!$A$3:$AB$840,3,0))</f>
        <v>Weatherford</v>
      </c>
      <c r="D21" s="93">
        <f>IF(ISNA(VLOOKUP($A21,Council_Data!$A$3:$AB$840,5,0)),0,VLOOKUP($A21,Council_Data!$A$3:$AB$840,5,0))</f>
        <v>189</v>
      </c>
      <c r="E21" s="93">
        <f>IF(ISNA(VLOOKUP($A21,Council_Data!$A$3:$AB$840,6,0)),0,VLOOKUP($A21,Council_Data!$A$3:$AB$840,6,0))</f>
        <v>9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2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2</v>
      </c>
      <c r="L21" s="94">
        <f>IF(ISNA(VLOOKUP($A21,Council_Data!$A$3:$AB$840,13,0)),0,VLOOKUP($A21,Council_Data!$A$3:$AB$840,13,0))</f>
        <v>22.22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Stark</v>
      </c>
    </row>
    <row r="22" spans="1:22">
      <c r="A22" s="50">
        <v>7371</v>
      </c>
      <c r="B22" s="50" t="str">
        <f>IF(ISNA(VLOOKUP($A22,Council_Data!$A$3:$AB$840,2,0)),0,VLOOKUP($A22,Council_Data!$A$3:$AB$840,2,0))</f>
        <v>022</v>
      </c>
      <c r="C22" s="50" t="str">
        <f>IF(ISNA(VLOOKUP($A22,Council_Data!$A$3:$AB$840,3,0)),0,VLOOKUP($A22,Council_Data!$A$3:$AB$840,3,0))</f>
        <v>Burkburnett</v>
      </c>
      <c r="D22" s="93">
        <f>IF(ISNA(VLOOKUP($A22,Council_Data!$A$3:$AB$840,5,0)),0,VLOOKUP($A22,Council_Data!$A$3:$AB$840,5,0))</f>
        <v>103</v>
      </c>
      <c r="E22" s="93">
        <f>IF(ISNA(VLOOKUP($A22,Council_Data!$A$3:$AB$840,6,0)),0,VLOOKUP($A22,Council_Data!$A$3:$AB$840,6,0))</f>
        <v>5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Stark</v>
      </c>
    </row>
    <row r="23" spans="1:22">
      <c r="A23" s="50">
        <v>7435</v>
      </c>
      <c r="B23" s="50" t="str">
        <f>IF(ISNA(VLOOKUP($A23,Council_Data!$A$3:$AB$840,2,0)),0,VLOOKUP($A23,Council_Data!$A$3:$AB$840,2,0))</f>
        <v>022</v>
      </c>
      <c r="C23" s="50" t="str">
        <f>IF(ISNA(VLOOKUP($A23,Council_Data!$A$3:$AB$840,3,0)),0,VLOOKUP($A23,Council_Data!$A$3:$AB$840,3,0))</f>
        <v>Vernon</v>
      </c>
      <c r="D23" s="93">
        <f>IF(ISNA(VLOOKUP($A23,Council_Data!$A$3:$AB$840,5,0)),0,VLOOKUP($A23,Council_Data!$A$3:$AB$840,5,0))</f>
        <v>83</v>
      </c>
      <c r="E23" s="93">
        <f>IF(ISNA(VLOOKUP($A23,Council_Data!$A$3:$AB$840,6,0)),0,VLOOKUP($A23,Council_Data!$A$3:$AB$840,6,0))</f>
        <v>4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1</v>
      </c>
      <c r="P23" s="93">
        <f>IF(ISNA(VLOOKUP($A23,Council_Data!$A$3:$AB$840,17,0)),0,VLOOKUP($A23,Council_Data!$A$3:$AB$840,17,0))</f>
        <v>-1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1</v>
      </c>
      <c r="S23" s="93">
        <f>IF(ISNA(VLOOKUP($A23,Council_Data!$A$3:$AB$840,20,0)),0,VLOOKUP($A23,Council_Data!$A$3:$AB$840,20,0))</f>
        <v>-1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Stark</v>
      </c>
    </row>
    <row r="24" spans="1:22">
      <c r="A24" s="50">
        <v>7458</v>
      </c>
      <c r="B24" s="50" t="str">
        <f>IF(ISNA(VLOOKUP($A24,Council_Data!$A$3:$AB$840,2,0)),0,VLOOKUP($A24,Council_Data!$A$3:$AB$840,2,0))</f>
        <v>026</v>
      </c>
      <c r="C24" s="50" t="str">
        <f>IF(ISNA(VLOOKUP($A24,Council_Data!$A$3:$AB$840,3,0)),0,VLOOKUP($A24,Council_Data!$A$3:$AB$840,3,0))</f>
        <v>Fort Worth</v>
      </c>
      <c r="D24" s="93">
        <f>IF(ISNA(VLOOKUP($A24,Council_Data!$A$3:$AB$840,5,0)),0,VLOOKUP($A24,Council_Data!$A$3:$AB$840,5,0))</f>
        <v>75</v>
      </c>
      <c r="E24" s="93">
        <f>IF(ISNA(VLOOKUP($A24,Council_Data!$A$3:$AB$840,6,0)),0,VLOOKUP($A24,Council_Data!$A$3:$AB$840,6,0))</f>
        <v>4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1</v>
      </c>
      <c r="P24" s="93">
        <f>IF(ISNA(VLOOKUP($A24,Council_Data!$A$3:$AB$840,17,0)),0,VLOOKUP($A24,Council_Data!$A$3:$AB$840,17,0))</f>
        <v>-1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Stark</v>
      </c>
    </row>
    <row r="25" spans="1:22">
      <c r="A25" s="50">
        <v>7641</v>
      </c>
      <c r="B25" s="50" t="str">
        <f>IF(ISNA(VLOOKUP($A25,Council_Data!$A$3:$AB$840,2,0)),0,VLOOKUP($A25,Council_Data!$A$3:$AB$840,2,0))</f>
        <v>018</v>
      </c>
      <c r="C25" s="50" t="str">
        <f>IF(ISNA(VLOOKUP($A25,Council_Data!$A$3:$AB$840,3,0)),0,VLOOKUP($A25,Council_Data!$A$3:$AB$840,3,0))</f>
        <v>Bedford-Euless</v>
      </c>
      <c r="D25" s="93">
        <f>IF(ISNA(VLOOKUP($A25,Council_Data!$A$3:$AB$840,5,0)),0,VLOOKUP($A25,Council_Data!$A$3:$AB$840,5,0))</f>
        <v>318</v>
      </c>
      <c r="E25" s="93">
        <f>IF(ISNA(VLOOKUP($A25,Council_Data!$A$3:$AB$840,6,0)),0,VLOOKUP($A25,Council_Data!$A$3:$AB$840,6,0))</f>
        <v>15</v>
      </c>
      <c r="F25" s="93">
        <f>IF(ISNA(VLOOKUP($A25,Council_Data!$A$3:$AB$840,7,0)),0,VLOOKUP($A25,Council_Data!$A$3:$AB$840,7,0))</f>
        <v>2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2</v>
      </c>
      <c r="I25" s="93">
        <f>IF(ISNA(VLOOKUP($A25,Council_Data!$A$3:$AB$840,10,0)),0,VLOOKUP($A25,Council_Data!$A$3:$AB$840,10,0))</f>
        <v>2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2</v>
      </c>
      <c r="L25" s="94">
        <f>IF(ISNA(VLOOKUP($A25,Council_Data!$A$3:$AB$840,13,0)),0,VLOOKUP($A25,Council_Data!$A$3:$AB$840,13,0))</f>
        <v>13.33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1</v>
      </c>
      <c r="O25" s="93">
        <f>IF(ISNA(VLOOKUP($A25,Council_Data!$A$3:$AB$840,16,0)),0,VLOOKUP($A25,Council_Data!$A$3:$AB$840,16,0))</f>
        <v>1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2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1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Stark</v>
      </c>
    </row>
    <row r="26" spans="1:22">
      <c r="A26" s="50">
        <v>7736</v>
      </c>
      <c r="B26" s="50" t="str">
        <f>IF(ISNA(VLOOKUP($A26,Council_Data!$A$3:$AB$840,2,0)),0,VLOOKUP($A26,Council_Data!$A$3:$AB$840,2,0))</f>
        <v>019</v>
      </c>
      <c r="C26" s="50" t="str">
        <f>IF(ISNA(VLOOKUP($A26,Council_Data!$A$3:$AB$840,3,0)),0,VLOOKUP($A26,Council_Data!$A$3:$AB$840,3,0))</f>
        <v>Mansfield</v>
      </c>
      <c r="D26" s="93">
        <f>IF(ISNA(VLOOKUP($A26,Council_Data!$A$3:$AB$840,5,0)),0,VLOOKUP($A26,Council_Data!$A$3:$AB$840,5,0))</f>
        <v>311</v>
      </c>
      <c r="E26" s="93">
        <f>IF(ISNA(VLOOKUP($A26,Council_Data!$A$3:$AB$840,6,0)),0,VLOOKUP($A26,Council_Data!$A$3:$AB$840,6,0))</f>
        <v>15</v>
      </c>
      <c r="F26" s="93">
        <f>IF(ISNA(VLOOKUP($A26,Council_Data!$A$3:$AB$840,7,0)),0,VLOOKUP($A26,Council_Data!$A$3:$AB$840,7,0))</f>
        <v>1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1</v>
      </c>
      <c r="I26" s="93">
        <f>IF(ISNA(VLOOKUP($A26,Council_Data!$A$3:$AB$840,10,0)),0,VLOOKUP($A26,Council_Data!$A$3:$AB$840,10,0))</f>
        <v>4</v>
      </c>
      <c r="J26" s="93">
        <f>IF(ISNA(VLOOKUP($A26,Council_Data!$A$3:$AB$840,11,0)),0,VLOOKUP($A26,Council_Data!$A$3:$AB$840,11,0))</f>
        <v>31</v>
      </c>
      <c r="K26" s="93">
        <f>IF(ISNA(VLOOKUP($A26,Council_Data!$A$3:$AB$840,12,0)),0,VLOOKUP($A26,Council_Data!$A$3:$AB$840,12,0))</f>
        <v>-27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5</v>
      </c>
      <c r="S26" s="93">
        <f>IF(ISNA(VLOOKUP($A26,Council_Data!$A$3:$AB$840,20,0)),0,VLOOKUP($A26,Council_Data!$A$3:$AB$840,20,0))</f>
        <v>-5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Stark</v>
      </c>
    </row>
    <row r="27" spans="1:22" ht="25.5">
      <c r="A27" s="50">
        <v>8347</v>
      </c>
      <c r="B27" s="50" t="str">
        <f>IF(ISNA(VLOOKUP($A27,Council_Data!$A$3:$AB$840,2,0)),0,VLOOKUP($A27,Council_Data!$A$3:$AB$840,2,0))</f>
        <v>Unassigned</v>
      </c>
      <c r="C27" s="50" t="str">
        <f>IF(ISNA(VLOOKUP($A27,Council_Data!$A$3:$AB$840,3,0)),0,VLOOKUP($A27,Council_Data!$A$3:$AB$840,3,0))</f>
        <v>Cleburne</v>
      </c>
      <c r="D27" s="93">
        <f>IF(ISNA(VLOOKUP($A27,Council_Data!$A$3:$AB$840,5,0)),0,VLOOKUP($A27,Council_Data!$A$3:$AB$840,5,0))</f>
        <v>0</v>
      </c>
      <c r="E27" s="93">
        <f>IF(ISNA(VLOOKUP($A27,Council_Data!$A$3:$AB$840,6,0)),0,VLOOKUP($A27,Council_Data!$A$3:$AB$840,6,0))</f>
        <v>0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Stark</v>
      </c>
    </row>
    <row r="28" spans="1:22">
      <c r="A28" s="50">
        <v>8464</v>
      </c>
      <c r="B28" s="50" t="str">
        <f>IF(ISNA(VLOOKUP($A28,Council_Data!$A$3:$AB$840,2,0)),0,VLOOKUP($A28,Council_Data!$A$3:$AB$840,2,0))</f>
        <v>016</v>
      </c>
      <c r="C28" s="50" t="str">
        <f>IF(ISNA(VLOOKUP($A28,Council_Data!$A$3:$AB$840,3,0)),0,VLOOKUP($A28,Council_Data!$A$3:$AB$840,3,0))</f>
        <v>Mineral Wells</v>
      </c>
      <c r="D28" s="93">
        <f>IF(ISNA(VLOOKUP($A28,Council_Data!$A$3:$AB$840,5,0)),0,VLOOKUP($A28,Council_Data!$A$3:$AB$840,5,0))</f>
        <v>104</v>
      </c>
      <c r="E28" s="93">
        <f>IF(ISNA(VLOOKUP($A28,Council_Data!$A$3:$AB$840,6,0)),0,VLOOKUP($A28,Council_Data!$A$3:$AB$840,6,0))</f>
        <v>5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Stark</v>
      </c>
    </row>
    <row r="29" spans="1:22">
      <c r="A29" s="50">
        <v>8493</v>
      </c>
      <c r="B29" s="50" t="str">
        <f>IF(ISNA(VLOOKUP($A29,Council_Data!$A$3:$AB$840,2,0)),0,VLOOKUP($A29,Council_Data!$A$3:$AB$840,2,0))</f>
        <v>030</v>
      </c>
      <c r="C29" s="50" t="str">
        <f>IF(ISNA(VLOOKUP($A29,Council_Data!$A$3:$AB$840,3,0)),0,VLOOKUP($A29,Council_Data!$A$3:$AB$840,3,0))</f>
        <v>The Colony</v>
      </c>
      <c r="D29" s="93">
        <f>IF(ISNA(VLOOKUP($A29,Council_Data!$A$3:$AB$840,5,0)),0,VLOOKUP($A29,Council_Data!$A$3:$AB$840,5,0))</f>
        <v>150</v>
      </c>
      <c r="E29" s="93">
        <f>IF(ISNA(VLOOKUP($A29,Council_Data!$A$3:$AB$840,6,0)),0,VLOOKUP($A29,Council_Data!$A$3:$AB$840,6,0))</f>
        <v>7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1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1</v>
      </c>
      <c r="L29" s="94">
        <f>IF(ISNA(VLOOKUP($A29,Council_Data!$A$3:$AB$840,13,0)),0,VLOOKUP($A29,Council_Data!$A$3:$AB$840,13,0))</f>
        <v>14.29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Regan</v>
      </c>
    </row>
    <row r="30" spans="1:22">
      <c r="A30" s="50">
        <v>8512</v>
      </c>
      <c r="B30" s="50" t="str">
        <f>IF(ISNA(VLOOKUP($A30,Council_Data!$A$3:$AB$840,2,0)),0,VLOOKUP($A30,Council_Data!$A$3:$AB$840,2,0))</f>
        <v>025</v>
      </c>
      <c r="C30" s="50" t="str">
        <f>IF(ISNA(VLOOKUP($A30,Council_Data!$A$3:$AB$840,3,0)),0,VLOOKUP($A30,Council_Data!$A$3:$AB$840,3,0))</f>
        <v>North Richland Hills</v>
      </c>
      <c r="D30" s="93">
        <f>IF(ISNA(VLOOKUP($A30,Council_Data!$A$3:$AB$840,5,0)),0,VLOOKUP($A30,Council_Data!$A$3:$AB$840,5,0))</f>
        <v>344</v>
      </c>
      <c r="E30" s="93">
        <f>IF(ISNA(VLOOKUP($A30,Council_Data!$A$3:$AB$840,6,0)),0,VLOOKUP($A30,Council_Data!$A$3:$AB$840,6,0))</f>
        <v>16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1</v>
      </c>
      <c r="H30" s="93">
        <f>IF(ISNA(VLOOKUP($A30,Council_Data!$A$3:$AB$840,9,0)),0,VLOOKUP($A30,Council_Data!$A$3:$AB$840,9,0))</f>
        <v>-1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2</v>
      </c>
      <c r="K30" s="93">
        <f>IF(ISNA(VLOOKUP($A30,Council_Data!$A$3:$AB$840,12,0)),0,VLOOKUP($A30,Council_Data!$A$3:$AB$840,12,0))</f>
        <v>-2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2</v>
      </c>
      <c r="R30" s="93">
        <f>IF(ISNA(VLOOKUP($A30,Council_Data!$A$3:$AB$840,19,0)),0,VLOOKUP($A30,Council_Data!$A$3:$AB$840,19,0))</f>
        <v>3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Stark</v>
      </c>
    </row>
    <row r="31" spans="1:22">
      <c r="A31" s="50">
        <v>8895</v>
      </c>
      <c r="B31" s="50" t="str">
        <f>IF(ISNA(VLOOKUP($A31,Council_Data!$A$3:$AB$840,2,0)),0,VLOOKUP($A31,Council_Data!$A$3:$AB$840,2,0))</f>
        <v>028</v>
      </c>
      <c r="C31" s="50" t="str">
        <f>IF(ISNA(VLOOKUP($A31,Council_Data!$A$3:$AB$840,3,0)),0,VLOOKUP($A31,Council_Data!$A$3:$AB$840,3,0))</f>
        <v>Arlington</v>
      </c>
      <c r="D31" s="93">
        <f>IF(ISNA(VLOOKUP($A31,Council_Data!$A$3:$AB$840,5,0)),0,VLOOKUP($A31,Council_Data!$A$3:$AB$840,5,0))</f>
        <v>84</v>
      </c>
      <c r="E31" s="93">
        <f>IF(ISNA(VLOOKUP($A31,Council_Data!$A$3:$AB$840,6,0)),0,VLOOKUP($A31,Council_Data!$A$3:$AB$840,6,0))</f>
        <v>4</v>
      </c>
      <c r="F31" s="93">
        <f>IF(ISNA(VLOOKUP($A31,Council_Data!$A$3:$AB$840,7,0)),0,VLOOKUP($A31,Council_Data!$A$3:$AB$840,7,0))</f>
        <v>2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2</v>
      </c>
      <c r="I31" s="93">
        <f>IF(ISNA(VLOOKUP($A31,Council_Data!$A$3:$AB$840,10,0)),0,VLOOKUP($A31,Council_Data!$A$3:$AB$840,10,0))</f>
        <v>2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2</v>
      </c>
      <c r="L31" s="94">
        <f>IF(ISNA(VLOOKUP($A31,Council_Data!$A$3:$AB$840,13,0)),0,VLOOKUP($A31,Council_Data!$A$3:$AB$840,13,0))</f>
        <v>50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Stark</v>
      </c>
    </row>
    <row r="32" spans="1:22">
      <c r="A32" s="50">
        <v>9299</v>
      </c>
      <c r="B32" s="50" t="str">
        <f>IF(ISNA(VLOOKUP($A32,Council_Data!$A$3:$AB$840,2,0)),0,VLOOKUP($A32,Council_Data!$A$3:$AB$840,2,0))</f>
        <v>019</v>
      </c>
      <c r="C32" s="50" t="str">
        <f>IF(ISNA(VLOOKUP($A32,Council_Data!$A$3:$AB$840,3,0)),0,VLOOKUP($A32,Council_Data!$A$3:$AB$840,3,0))</f>
        <v>Arlington</v>
      </c>
      <c r="D32" s="93">
        <f>IF(ISNA(VLOOKUP($A32,Council_Data!$A$3:$AB$840,5,0)),0,VLOOKUP($A32,Council_Data!$A$3:$AB$840,5,0))</f>
        <v>195</v>
      </c>
      <c r="E32" s="93">
        <f>IF(ISNA(VLOOKUP($A32,Council_Data!$A$3:$AB$840,6,0)),0,VLOOKUP($A32,Council_Data!$A$3:$AB$840,6,0))</f>
        <v>9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1</v>
      </c>
      <c r="H32" s="93">
        <f>IF(ISNA(VLOOKUP($A32,Council_Data!$A$3:$AB$840,9,0)),0,VLOOKUP($A32,Council_Data!$A$3:$AB$840,9,0))</f>
        <v>-1</v>
      </c>
      <c r="I32" s="93">
        <f>IF(ISNA(VLOOKUP($A32,Council_Data!$A$3:$AB$840,10,0)),0,VLOOKUP($A32,Council_Data!$A$3:$AB$840,10,0))</f>
        <v>8</v>
      </c>
      <c r="J32" s="93">
        <f>IF(ISNA(VLOOKUP($A32,Council_Data!$A$3:$AB$840,11,0)),0,VLOOKUP($A32,Council_Data!$A$3:$AB$840,11,0))</f>
        <v>2</v>
      </c>
      <c r="K32" s="93">
        <f>IF(ISNA(VLOOKUP($A32,Council_Data!$A$3:$AB$840,12,0)),0,VLOOKUP($A32,Council_Data!$A$3:$AB$840,12,0))</f>
        <v>6</v>
      </c>
      <c r="L32" s="94">
        <f>IF(ISNA(VLOOKUP($A32,Council_Data!$A$3:$AB$840,13,0)),0,VLOOKUP($A32,Council_Data!$A$3:$AB$840,13,0))</f>
        <v>66.67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1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1</v>
      </c>
      <c r="Q32" s="93">
        <f>IF(ISNA(VLOOKUP($A32,Council_Data!$A$3:$AB$840,18,0)),0,VLOOKUP($A32,Council_Data!$A$3:$AB$840,18,0))</f>
        <v>7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6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1</v>
      </c>
      <c r="V32" s="50" t="str">
        <f>IF(ISNA(VLOOKUP($A32,Council_Data!$A$3:$AB$840,24,0)),0,VLOOKUP($A32,Council_Data!$A$3:$AB$840,24,0))</f>
        <v>Stark</v>
      </c>
    </row>
    <row r="33" spans="1:22" ht="25.5">
      <c r="A33" s="50">
        <v>9503</v>
      </c>
      <c r="B33" s="50" t="str">
        <f>IF(ISNA(VLOOKUP($A33,Council_Data!$A$3:$AB$840,2,0)),0,VLOOKUP($A33,Council_Data!$A$3:$AB$840,2,0))</f>
        <v>Unassigned</v>
      </c>
      <c r="C33" s="50" t="str">
        <f>IF(ISNA(VLOOKUP($A33,Council_Data!$A$3:$AB$840,3,0)),0,VLOOKUP($A33,Council_Data!$A$3:$AB$840,3,0))</f>
        <v>Iowa Park</v>
      </c>
      <c r="D33" s="93">
        <f>IF(ISNA(VLOOKUP($A33,Council_Data!$A$3:$AB$840,5,0)),0,VLOOKUP($A33,Council_Data!$A$3:$AB$840,5,0))</f>
        <v>0</v>
      </c>
      <c r="E33" s="93">
        <f>IF(ISNA(VLOOKUP($A33,Council_Data!$A$3:$AB$840,6,0)),0,VLOOKUP($A33,Council_Data!$A$3:$AB$840,6,0))</f>
        <v>0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3</v>
      </c>
      <c r="V33" s="50" t="str">
        <f>IF(ISNA(VLOOKUP($A33,Council_Data!$A$3:$AB$840,24,0)),0,VLOOKUP($A33,Council_Data!$A$3:$AB$840,24,0))</f>
        <v>Stark</v>
      </c>
    </row>
    <row r="34" spans="1:22">
      <c r="A34" s="50">
        <v>9634</v>
      </c>
      <c r="B34" s="50" t="str">
        <f>IF(ISNA(VLOOKUP($A34,Council_Data!$A$3:$AB$840,2,0)),0,VLOOKUP($A34,Council_Data!$A$3:$AB$840,2,0))</f>
        <v>016</v>
      </c>
      <c r="C34" s="50" t="str">
        <f>IF(ISNA(VLOOKUP($A34,Council_Data!$A$3:$AB$840,3,0)),0,VLOOKUP($A34,Council_Data!$A$3:$AB$840,3,0))</f>
        <v>Graham</v>
      </c>
      <c r="D34" s="93">
        <f>IF(ISNA(VLOOKUP($A34,Council_Data!$A$3:$AB$840,5,0)),0,VLOOKUP($A34,Council_Data!$A$3:$AB$840,5,0))</f>
        <v>81</v>
      </c>
      <c r="E34" s="93">
        <f>IF(ISNA(VLOOKUP($A34,Council_Data!$A$3:$AB$840,6,0)),0,VLOOKUP($A34,Council_Data!$A$3:$AB$840,6,0))</f>
        <v>4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Stark</v>
      </c>
    </row>
    <row r="35" spans="1:22">
      <c r="A35" s="50">
        <v>9644</v>
      </c>
      <c r="B35" s="50" t="str">
        <f>IF(ISNA(VLOOKUP($A35,Council_Data!$A$3:$AB$840,2,0)),0,VLOOKUP($A35,Council_Data!$A$3:$AB$840,2,0))</f>
        <v>027</v>
      </c>
      <c r="C35" s="50" t="str">
        <f>IF(ISNA(VLOOKUP($A35,Council_Data!$A$3:$AB$840,3,0)),0,VLOOKUP($A35,Council_Data!$A$3:$AB$840,3,0))</f>
        <v>Decatur</v>
      </c>
      <c r="D35" s="93">
        <f>IF(ISNA(VLOOKUP($A35,Council_Data!$A$3:$AB$840,5,0)),0,VLOOKUP($A35,Council_Data!$A$3:$AB$840,5,0))</f>
        <v>94</v>
      </c>
      <c r="E35" s="93">
        <f>IF(ISNA(VLOOKUP($A35,Council_Data!$A$3:$AB$840,6,0)),0,VLOOKUP($A35,Council_Data!$A$3:$AB$840,6,0))</f>
        <v>5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6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6</v>
      </c>
      <c r="L35" s="94">
        <f>IF(ISNA(VLOOKUP($A35,Council_Data!$A$3:$AB$840,13,0)),0,VLOOKUP($A35,Council_Data!$A$3:$AB$840,13,0))</f>
        <v>120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2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2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2</v>
      </c>
      <c r="V35" s="50" t="str">
        <f>IF(ISNA(VLOOKUP($A35,Council_Data!$A$3:$AB$840,24,0)),0,VLOOKUP($A35,Council_Data!$A$3:$AB$840,24,0))</f>
        <v>Stark</v>
      </c>
    </row>
    <row r="36" spans="1:22">
      <c r="A36" s="50">
        <v>9748</v>
      </c>
      <c r="B36" s="50" t="str">
        <f>IF(ISNA(VLOOKUP($A36,Council_Data!$A$3:$AB$840,2,0)),0,VLOOKUP($A36,Council_Data!$A$3:$AB$840,2,0))</f>
        <v>017</v>
      </c>
      <c r="C36" s="50" t="str">
        <f>IF(ISNA(VLOOKUP($A36,Council_Data!$A$3:$AB$840,3,0)),0,VLOOKUP($A36,Council_Data!$A$3:$AB$840,3,0))</f>
        <v>Granbury</v>
      </c>
      <c r="D36" s="93">
        <f>IF(ISNA(VLOOKUP($A36,Council_Data!$A$3:$AB$840,5,0)),0,VLOOKUP($A36,Council_Data!$A$3:$AB$840,5,0))</f>
        <v>190</v>
      </c>
      <c r="E36" s="93">
        <f>IF(ISNA(VLOOKUP($A36,Council_Data!$A$3:$AB$840,6,0)),0,VLOOKUP($A36,Council_Data!$A$3:$AB$840,6,0))</f>
        <v>9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1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1</v>
      </c>
      <c r="L36" s="94">
        <f>IF(ISNA(VLOOKUP($A36,Council_Data!$A$3:$AB$840,13,0)),0,VLOOKUP($A36,Council_Data!$A$3:$AB$840,13,0))</f>
        <v>11.11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1</v>
      </c>
      <c r="P36" s="93">
        <f>IF(ISNA(VLOOKUP($A36,Council_Data!$A$3:$AB$840,17,0)),0,VLOOKUP($A36,Council_Data!$A$3:$AB$840,17,0))</f>
        <v>-1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Stark</v>
      </c>
    </row>
    <row r="37" spans="1:22">
      <c r="A37" s="50">
        <v>9868</v>
      </c>
      <c r="B37" s="50" t="str">
        <f>IF(ISNA(VLOOKUP($A37,Council_Data!$A$3:$AB$840,2,0)),0,VLOOKUP($A37,Council_Data!$A$3:$AB$840,2,0))</f>
        <v>032</v>
      </c>
      <c r="C37" s="50" t="str">
        <f>IF(ISNA(VLOOKUP($A37,Council_Data!$A$3:$AB$840,3,0)),0,VLOOKUP($A37,Council_Data!$A$3:$AB$840,3,0))</f>
        <v>Fort Worth</v>
      </c>
      <c r="D37" s="93">
        <f>IF(ISNA(VLOOKUP($A37,Council_Data!$A$3:$AB$840,5,0)),0,VLOOKUP($A37,Council_Data!$A$3:$AB$840,5,0))</f>
        <v>234</v>
      </c>
      <c r="E37" s="93">
        <f>IF(ISNA(VLOOKUP($A37,Council_Data!$A$3:$AB$840,6,0)),0,VLOOKUP($A37,Council_Data!$A$3:$AB$840,6,0))</f>
        <v>11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12</v>
      </c>
      <c r="J37" s="93">
        <f>IF(ISNA(VLOOKUP($A37,Council_Data!$A$3:$AB$840,11,0)),0,VLOOKUP($A37,Council_Data!$A$3:$AB$840,11,0))</f>
        <v>1</v>
      </c>
      <c r="K37" s="93">
        <f>IF(ISNA(VLOOKUP($A37,Council_Data!$A$3:$AB$840,12,0)),0,VLOOKUP($A37,Council_Data!$A$3:$AB$840,12,0))</f>
        <v>11</v>
      </c>
      <c r="L37" s="94">
        <f>IF(ISNA(VLOOKUP($A37,Council_Data!$A$3:$AB$840,13,0)),0,VLOOKUP($A37,Council_Data!$A$3:$AB$840,13,0))</f>
        <v>100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1</v>
      </c>
      <c r="P37" s="93">
        <f>IF(ISNA(VLOOKUP($A37,Council_Data!$A$3:$AB$840,17,0)),0,VLOOKUP($A37,Council_Data!$A$3:$AB$840,17,0))</f>
        <v>-1</v>
      </c>
      <c r="Q37" s="93">
        <f>IF(ISNA(VLOOKUP($A37,Council_Data!$A$3:$AB$840,18,0)),0,VLOOKUP($A37,Council_Data!$A$3:$AB$840,18,0))</f>
        <v>5</v>
      </c>
      <c r="R37" s="93">
        <f>IF(ISNA(VLOOKUP($A37,Council_Data!$A$3:$AB$840,19,0)),0,VLOOKUP($A37,Council_Data!$A$3:$AB$840,19,0))</f>
        <v>1</v>
      </c>
      <c r="S37" s="93">
        <f>IF(ISNA(VLOOKUP($A37,Council_Data!$A$3:$AB$840,20,0)),0,VLOOKUP($A37,Council_Data!$A$3:$AB$840,20,0))</f>
        <v>4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1</v>
      </c>
      <c r="V37" s="50" t="str">
        <f>IF(ISNA(VLOOKUP($A37,Council_Data!$A$3:$AB$840,24,0)),0,VLOOKUP($A37,Council_Data!$A$3:$AB$840,24,0))</f>
        <v>Stark</v>
      </c>
    </row>
    <row r="38" spans="1:22">
      <c r="A38" s="50">
        <v>9884</v>
      </c>
      <c r="B38" s="50" t="str">
        <f>IF(ISNA(VLOOKUP($A38,Council_Data!$A$3:$AB$840,2,0)),0,VLOOKUP($A38,Council_Data!$A$3:$AB$840,2,0))</f>
        <v>024</v>
      </c>
      <c r="C38" s="50" t="str">
        <f>IF(ISNA(VLOOKUP($A38,Council_Data!$A$3:$AB$840,3,0)),0,VLOOKUP($A38,Council_Data!$A$3:$AB$840,3,0))</f>
        <v>Lewisville</v>
      </c>
      <c r="D38" s="93">
        <f>IF(ISNA(VLOOKUP($A38,Council_Data!$A$3:$AB$840,5,0)),0,VLOOKUP($A38,Council_Data!$A$3:$AB$840,5,0))</f>
        <v>384</v>
      </c>
      <c r="E38" s="93">
        <f>IF(ISNA(VLOOKUP($A38,Council_Data!$A$3:$AB$840,6,0)),0,VLOOKUP($A38,Council_Data!$A$3:$AB$840,6,0))</f>
        <v>18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1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1</v>
      </c>
      <c r="L38" s="94">
        <f>IF(ISNA(VLOOKUP($A38,Council_Data!$A$3:$AB$840,13,0)),0,VLOOKUP($A38,Council_Data!$A$3:$AB$840,13,0))</f>
        <v>5.56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3</v>
      </c>
      <c r="R38" s="93">
        <f>IF(ISNA(VLOOKUP($A38,Council_Data!$A$3:$AB$840,19,0)),0,VLOOKUP($A38,Council_Data!$A$3:$AB$840,19,0))</f>
        <v>2</v>
      </c>
      <c r="S38" s="93">
        <f>IF(ISNA(VLOOKUP($A38,Council_Data!$A$3:$AB$840,20,0)),0,VLOOKUP($A38,Council_Data!$A$3:$AB$840,20,0))</f>
        <v>1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1</v>
      </c>
      <c r="V38" s="50" t="str">
        <f>IF(ISNA(VLOOKUP($A38,Council_Data!$A$3:$AB$840,24,0)),0,VLOOKUP($A38,Council_Data!$A$3:$AB$840,24,0))</f>
        <v>Regan</v>
      </c>
    </row>
    <row r="39" spans="1:22">
      <c r="A39" s="50">
        <v>10375</v>
      </c>
      <c r="B39" s="50" t="str">
        <f>IF(ISNA(VLOOKUP($A39,Council_Data!$A$3:$AB$840,2,0)),0,VLOOKUP($A39,Council_Data!$A$3:$AB$840,2,0))</f>
        <v>020</v>
      </c>
      <c r="C39" s="50" t="str">
        <f>IF(ISNA(VLOOKUP($A39,Council_Data!$A$3:$AB$840,3,0)),0,VLOOKUP($A39,Council_Data!$A$3:$AB$840,3,0))</f>
        <v>Hillsboro</v>
      </c>
      <c r="D39" s="93">
        <f>IF(ISNA(VLOOKUP($A39,Council_Data!$A$3:$AB$840,5,0)),0,VLOOKUP($A39,Council_Data!$A$3:$AB$840,5,0))</f>
        <v>40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Stark</v>
      </c>
    </row>
    <row r="40" spans="1:22">
      <c r="A40" s="50">
        <v>10816</v>
      </c>
      <c r="B40" s="50" t="str">
        <f>IF(ISNA(VLOOKUP($A40,Council_Data!$A$3:$AB$840,2,0)),0,VLOOKUP($A40,Council_Data!$A$3:$AB$840,2,0))</f>
        <v>017</v>
      </c>
      <c r="C40" s="50" t="str">
        <f>IF(ISNA(VLOOKUP($A40,Council_Data!$A$3:$AB$840,3,0)),0,VLOOKUP($A40,Council_Data!$A$3:$AB$840,3,0))</f>
        <v>Stephenville</v>
      </c>
      <c r="D40" s="93">
        <f>IF(ISNA(VLOOKUP($A40,Council_Data!$A$3:$AB$840,5,0)),0,VLOOKUP($A40,Council_Data!$A$3:$AB$840,5,0))</f>
        <v>194</v>
      </c>
      <c r="E40" s="93">
        <f>IF(ISNA(VLOOKUP($A40,Council_Data!$A$3:$AB$840,6,0)),0,VLOOKUP($A40,Council_Data!$A$3:$AB$840,6,0))</f>
        <v>9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1</v>
      </c>
      <c r="P40" s="93">
        <f>IF(ISNA(VLOOKUP($A40,Council_Data!$A$3:$AB$840,17,0)),0,VLOOKUP($A40,Council_Data!$A$3:$AB$840,17,0))</f>
        <v>-1</v>
      </c>
      <c r="Q40" s="93">
        <f>IF(ISNA(VLOOKUP($A40,Council_Data!$A$3:$AB$840,18,0)),0,VLOOKUP($A40,Council_Data!$A$3:$AB$840,18,0))</f>
        <v>2</v>
      </c>
      <c r="R40" s="93">
        <f>IF(ISNA(VLOOKUP($A40,Council_Data!$A$3:$AB$840,19,0)),0,VLOOKUP($A40,Council_Data!$A$3:$AB$840,19,0))</f>
        <v>1</v>
      </c>
      <c r="S40" s="93">
        <f>IF(ISNA(VLOOKUP($A40,Council_Data!$A$3:$AB$840,20,0)),0,VLOOKUP($A40,Council_Data!$A$3:$AB$840,20,0))</f>
        <v>1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1</v>
      </c>
      <c r="V40" s="50" t="str">
        <f>IF(ISNA(VLOOKUP($A40,Council_Data!$A$3:$AB$840,24,0)),0,VLOOKUP($A40,Council_Data!$A$3:$AB$840,24,0))</f>
        <v>Stark</v>
      </c>
    </row>
    <row r="41" spans="1:22">
      <c r="A41" s="50">
        <v>10930</v>
      </c>
      <c r="B41" s="50" t="str">
        <f>IF(ISNA(VLOOKUP($A41,Council_Data!$A$3:$AB$840,2,0)),0,VLOOKUP($A41,Council_Data!$A$3:$AB$840,2,0))</f>
        <v>026</v>
      </c>
      <c r="C41" s="50" t="str">
        <f>IF(ISNA(VLOOKUP($A41,Council_Data!$A$3:$AB$840,3,0)),0,VLOOKUP($A41,Council_Data!$A$3:$AB$840,3,0))</f>
        <v>Ft Worth</v>
      </c>
      <c r="D41" s="93">
        <f>IF(ISNA(VLOOKUP($A41,Council_Data!$A$3:$AB$840,5,0)),0,VLOOKUP($A41,Council_Data!$A$3:$AB$840,5,0))</f>
        <v>209</v>
      </c>
      <c r="E41" s="93">
        <f>IF(ISNA(VLOOKUP($A41,Council_Data!$A$3:$AB$840,6,0)),0,VLOOKUP($A41,Council_Data!$A$3:$AB$840,6,0))</f>
        <v>10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2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2</v>
      </c>
      <c r="L41" s="94">
        <f>IF(ISNA(VLOOKUP($A41,Council_Data!$A$3:$AB$840,13,0)),0,VLOOKUP($A41,Council_Data!$A$3:$AB$840,13,0))</f>
        <v>20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2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1</v>
      </c>
      <c r="V41" s="50" t="str">
        <f>IF(ISNA(VLOOKUP($A41,Council_Data!$A$3:$AB$840,24,0)),0,VLOOKUP($A41,Council_Data!$A$3:$AB$840,24,0))</f>
        <v>Stark</v>
      </c>
    </row>
    <row r="42" spans="1:22">
      <c r="A42" s="50">
        <v>10998</v>
      </c>
      <c r="B42" s="50" t="str">
        <f>IF(ISNA(VLOOKUP($A42,Council_Data!$A$3:$AB$840,2,0)),0,VLOOKUP($A42,Council_Data!$A$3:$AB$840,2,0))</f>
        <v>022</v>
      </c>
      <c r="C42" s="50" t="str">
        <f>IF(ISNA(VLOOKUP($A42,Council_Data!$A$3:$AB$840,3,0)),0,VLOOKUP($A42,Council_Data!$A$3:$AB$840,3,0))</f>
        <v>Wichita Falls</v>
      </c>
      <c r="D42" s="93">
        <f>IF(ISNA(VLOOKUP($A42,Council_Data!$A$3:$AB$840,5,0)),0,VLOOKUP($A42,Council_Data!$A$3:$AB$840,5,0))</f>
        <v>199</v>
      </c>
      <c r="E42" s="93">
        <f>IF(ISNA(VLOOKUP($A42,Council_Data!$A$3:$AB$840,6,0)),0,VLOOKUP($A42,Council_Data!$A$3:$AB$840,6,0))</f>
        <v>9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0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0</v>
      </c>
      <c r="L42" s="94">
        <f>IF(ISNA(VLOOKUP($A42,Council_Data!$A$3:$AB$840,13,0)),0,VLOOKUP($A42,Council_Data!$A$3:$AB$840,13,0))</f>
        <v>0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1</v>
      </c>
      <c r="S42" s="93">
        <f>IF(ISNA(VLOOKUP($A42,Council_Data!$A$3:$AB$840,20,0)),0,VLOOKUP($A42,Council_Data!$A$3:$AB$840,20,0))</f>
        <v>-1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Stark</v>
      </c>
    </row>
    <row r="44" spans="1:22">
      <c r="A44" s="50">
        <v>11423</v>
      </c>
      <c r="B44" s="50" t="str">
        <f>IF(ISNA(VLOOKUP($A44,Council_Data!$A$3:$AB$840,2,0)),0,VLOOKUP($A44,Council_Data!$A$3:$AB$840,2,0))</f>
        <v>026</v>
      </c>
      <c r="C44" s="50" t="str">
        <f>IF(ISNA(VLOOKUP($A44,Council_Data!$A$3:$AB$840,3,0)),0,VLOOKUP($A44,Council_Data!$A$3:$AB$840,3,0))</f>
        <v>Fort Worth</v>
      </c>
      <c r="D44" s="93">
        <f>IF(ISNA(VLOOKUP($A44,Council_Data!$A$3:$AB$840,5,0)),0,VLOOKUP($A44,Council_Data!$A$3:$AB$840,5,0))</f>
        <v>140</v>
      </c>
      <c r="E44" s="93">
        <f>IF(ISNA(VLOOKUP($A44,Council_Data!$A$3:$AB$840,6,0)),0,VLOOKUP($A44,Council_Data!$A$3:$AB$840,6,0))</f>
        <v>7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1</v>
      </c>
      <c r="V44" s="50" t="str">
        <f>IF(ISNA(VLOOKUP($A44,Council_Data!$A$3:$AB$840,24,0)),0,VLOOKUP($A44,Council_Data!$A$3:$AB$840,24,0))</f>
        <v>Stark</v>
      </c>
    </row>
    <row r="45" spans="1:22" ht="25.5">
      <c r="A45" s="50">
        <v>11638</v>
      </c>
      <c r="B45" s="50" t="str">
        <f>IF(ISNA(VLOOKUP($A45,Council_Data!$A$3:$AB$840,2,0)),0,VLOOKUP($A45,Council_Data!$A$3:$AB$840,2,0))</f>
        <v>016</v>
      </c>
      <c r="C45" s="50" t="str">
        <f>IF(ISNA(VLOOKUP($A45,Council_Data!$A$3:$AB$840,3,0)),0,VLOOKUP($A45,Council_Data!$A$3:$AB$840,3,0))</f>
        <v>Albany/Breckenridge</v>
      </c>
      <c r="D45" s="93">
        <f>IF(ISNA(VLOOKUP($A45,Council_Data!$A$3:$AB$840,5,0)),0,VLOOKUP($A45,Council_Data!$A$3:$AB$840,5,0))</f>
        <v>30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0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Stark</v>
      </c>
    </row>
    <row r="46" spans="1:22">
      <c r="A46" s="50">
        <v>11905</v>
      </c>
      <c r="B46" s="50" t="str">
        <f>IF(ISNA(VLOOKUP($A46,Council_Data!$A$3:$AB$840,2,0)),0,VLOOKUP($A46,Council_Data!$A$3:$AB$840,2,0))</f>
        <v>021</v>
      </c>
      <c r="C46" s="50" t="str">
        <f>IF(ISNA(VLOOKUP($A46,Council_Data!$A$3:$AB$840,3,0)),0,VLOOKUP($A46,Council_Data!$A$3:$AB$840,3,0))</f>
        <v>Lindsay</v>
      </c>
      <c r="D46" s="93">
        <f>IF(ISNA(VLOOKUP($A46,Council_Data!$A$3:$AB$840,5,0)),0,VLOOKUP($A46,Council_Data!$A$3:$AB$840,5,0))</f>
        <v>229</v>
      </c>
      <c r="E46" s="93">
        <f>IF(ISNA(VLOOKUP($A46,Council_Data!$A$3:$AB$840,6,0)),0,VLOOKUP($A46,Council_Data!$A$3:$AB$840,6,0))</f>
        <v>11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1</v>
      </c>
      <c r="V46" s="50" t="str">
        <f>IF(ISNA(VLOOKUP($A46,Council_Data!$A$3:$AB$840,24,0)),0,VLOOKUP($A46,Council_Data!$A$3:$AB$840,24,0))</f>
        <v>Stark</v>
      </c>
    </row>
    <row r="47" spans="1:22" ht="25.5">
      <c r="A47" s="50">
        <v>12445</v>
      </c>
      <c r="B47" s="50" t="str">
        <f>IF(ISNA(VLOOKUP($A47,Council_Data!$A$3:$AB$840,2,0)),0,VLOOKUP($A47,Council_Data!$A$3:$AB$840,2,0))</f>
        <v>Unassigned</v>
      </c>
      <c r="C47" s="50" t="str">
        <f>IF(ISNA(VLOOKUP($A47,Council_Data!$A$3:$AB$840,3,0)),0,VLOOKUP($A47,Council_Data!$A$3:$AB$840,3,0))</f>
        <v>Fort Worth</v>
      </c>
      <c r="D47" s="93">
        <f>IF(ISNA(VLOOKUP($A47,Council_Data!$A$3:$AB$840,5,0)),0,VLOOKUP($A47,Council_Data!$A$3:$AB$840,5,0))</f>
        <v>0</v>
      </c>
      <c r="E47" s="93">
        <f>IF(ISNA(VLOOKUP($A47,Council_Data!$A$3:$AB$840,6,0)),0,VLOOKUP($A47,Council_Data!$A$3:$AB$840,6,0))</f>
        <v>0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Stark</v>
      </c>
    </row>
    <row r="48" spans="1:22">
      <c r="A48" s="50">
        <v>12553</v>
      </c>
      <c r="B48" s="50" t="str">
        <f>IF(ISNA(VLOOKUP($A48,Council_Data!$A$3:$AB$840,2,0)),0,VLOOKUP($A48,Council_Data!$A$3:$AB$840,2,0))</f>
        <v>027</v>
      </c>
      <c r="C48" s="50" t="str">
        <f>IF(ISNA(VLOOKUP($A48,Council_Data!$A$3:$AB$840,3,0)),0,VLOOKUP($A48,Council_Data!$A$3:$AB$840,3,0))</f>
        <v>Denton</v>
      </c>
      <c r="D48" s="93">
        <f>IF(ISNA(VLOOKUP($A48,Council_Data!$A$3:$AB$840,5,0)),0,VLOOKUP($A48,Council_Data!$A$3:$AB$840,5,0))</f>
        <v>379</v>
      </c>
      <c r="E48" s="93">
        <f>IF(ISNA(VLOOKUP($A48,Council_Data!$A$3:$AB$840,6,0)),0,VLOOKUP($A48,Council_Data!$A$3:$AB$840,6,0))</f>
        <v>19</v>
      </c>
      <c r="F48" s="93">
        <f>IF(ISNA(VLOOKUP($A48,Council_Data!$A$3:$AB$840,7,0)),0,VLOOKUP($A48,Council_Data!$A$3:$AB$840,7,0))</f>
        <v>1</v>
      </c>
      <c r="G48" s="93">
        <f>IF(ISNA(VLOOKUP($A48,Council_Data!$A$3:$AB$840,8,0)),0,VLOOKUP($A48,Council_Data!$A$3:$AB$840,8,0))</f>
        <v>2</v>
      </c>
      <c r="H48" s="93">
        <f>IF(ISNA(VLOOKUP($A48,Council_Data!$A$3:$AB$840,9,0)),0,VLOOKUP($A48,Council_Data!$A$3:$AB$840,9,0))</f>
        <v>-1</v>
      </c>
      <c r="I48" s="93">
        <f>IF(ISNA(VLOOKUP($A48,Council_Data!$A$3:$AB$840,10,0)),0,VLOOKUP($A48,Council_Data!$A$3:$AB$840,10,0))</f>
        <v>9</v>
      </c>
      <c r="J48" s="93">
        <f>IF(ISNA(VLOOKUP($A48,Council_Data!$A$3:$AB$840,11,0)),0,VLOOKUP($A48,Council_Data!$A$3:$AB$840,11,0))</f>
        <v>5</v>
      </c>
      <c r="K48" s="93">
        <f>IF(ISNA(VLOOKUP($A48,Council_Data!$A$3:$AB$840,12,0)),0,VLOOKUP($A48,Council_Data!$A$3:$AB$840,12,0))</f>
        <v>4</v>
      </c>
      <c r="L48" s="94">
        <f>IF(ISNA(VLOOKUP($A48,Council_Data!$A$3:$AB$840,13,0)),0,VLOOKUP($A48,Council_Data!$A$3:$AB$840,13,0))</f>
        <v>21.05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2</v>
      </c>
      <c r="R48" s="93">
        <f>IF(ISNA(VLOOKUP($A48,Council_Data!$A$3:$AB$840,19,0)),0,VLOOKUP($A48,Council_Data!$A$3:$AB$840,19,0))</f>
        <v>2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Stark</v>
      </c>
    </row>
    <row r="49" spans="1:22">
      <c r="A49" s="50">
        <v>12575</v>
      </c>
      <c r="B49" s="50" t="str">
        <f>IF(ISNA(VLOOKUP($A49,Council_Data!$A$3:$AB$840,2,0)),0,VLOOKUP($A49,Council_Data!$A$3:$AB$840,2,0))</f>
        <v>031</v>
      </c>
      <c r="C49" s="50" t="str">
        <f>IF(ISNA(VLOOKUP($A49,Council_Data!$A$3:$AB$840,3,0)),0,VLOOKUP($A49,Council_Data!$A$3:$AB$840,3,0))</f>
        <v>Fort Worth</v>
      </c>
      <c r="D49" s="93">
        <f>IF(ISNA(VLOOKUP($A49,Council_Data!$A$3:$AB$840,5,0)),0,VLOOKUP($A49,Council_Data!$A$3:$AB$840,5,0))</f>
        <v>21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Stark</v>
      </c>
    </row>
    <row r="50" spans="1:22">
      <c r="A50" s="50">
        <v>13317</v>
      </c>
      <c r="B50" s="50" t="str">
        <f>IF(ISNA(VLOOKUP($A50,Council_Data!$A$3:$AB$840,2,0)),0,VLOOKUP($A50,Council_Data!$A$3:$AB$840,2,0))</f>
        <v>031</v>
      </c>
      <c r="C50" s="50" t="str">
        <f>IF(ISNA(VLOOKUP($A50,Council_Data!$A$3:$AB$840,3,0)),0,VLOOKUP($A50,Council_Data!$A$3:$AB$840,3,0))</f>
        <v>Ft Worth</v>
      </c>
      <c r="D50" s="93">
        <f>IF(ISNA(VLOOKUP($A50,Council_Data!$A$3:$AB$840,5,0)),0,VLOOKUP($A50,Council_Data!$A$3:$AB$840,5,0))</f>
        <v>21</v>
      </c>
      <c r="E50" s="93">
        <f>IF(ISNA(VLOOKUP($A50,Council_Data!$A$3:$AB$840,6,0)),0,VLOOKUP($A50,Council_Data!$A$3:$AB$840,6,0))</f>
        <v>3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3</v>
      </c>
      <c r="V50" s="50" t="str">
        <f>IF(ISNA(VLOOKUP($A50,Council_Data!$A$3:$AB$840,24,0)),0,VLOOKUP($A50,Council_Data!$A$3:$AB$840,24,0))</f>
        <v>Stark</v>
      </c>
    </row>
    <row r="51" spans="1:22">
      <c r="A51" s="50">
        <v>13363</v>
      </c>
      <c r="B51" s="50" t="str">
        <f>IF(ISNA(VLOOKUP($A51,Council_Data!$A$3:$AB$840,2,0)),0,VLOOKUP($A51,Council_Data!$A$3:$AB$840,2,0))</f>
        <v>019</v>
      </c>
      <c r="C51" s="50" t="str">
        <f>IF(ISNA(VLOOKUP($A51,Council_Data!$A$3:$AB$840,3,0)),0,VLOOKUP($A51,Council_Data!$A$3:$AB$840,3,0))</f>
        <v>Arlington</v>
      </c>
      <c r="D51" s="93">
        <f>IF(ISNA(VLOOKUP($A51,Council_Data!$A$3:$AB$840,5,0)),0,VLOOKUP($A51,Council_Data!$A$3:$AB$840,5,0))</f>
        <v>80</v>
      </c>
      <c r="E51" s="93">
        <f>IF(ISNA(VLOOKUP($A51,Council_Data!$A$3:$AB$840,6,0)),0,VLOOKUP($A51,Council_Data!$A$3:$AB$840,6,0))</f>
        <v>4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1</v>
      </c>
      <c r="P51" s="93">
        <f>IF(ISNA(VLOOKUP($A51,Council_Data!$A$3:$AB$840,17,0)),0,VLOOKUP($A51,Council_Data!$A$3:$AB$840,17,0))</f>
        <v>-1</v>
      </c>
      <c r="Q51" s="93">
        <f>IF(ISNA(VLOOKUP($A51,Council_Data!$A$3:$AB$840,18,0)),0,VLOOKUP($A51,Council_Data!$A$3:$AB$840,18,0))</f>
        <v>1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0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2</v>
      </c>
      <c r="V51" s="50" t="str">
        <f>IF(ISNA(VLOOKUP($A51,Council_Data!$A$3:$AB$840,24,0)),0,VLOOKUP($A51,Council_Data!$A$3:$AB$840,24,0))</f>
        <v>Stark</v>
      </c>
    </row>
    <row r="52" spans="1:22">
      <c r="A52" s="50">
        <v>13408</v>
      </c>
      <c r="B52" s="50" t="str">
        <f>IF(ISNA(VLOOKUP($A52,Council_Data!$A$3:$AB$840,2,0)),0,VLOOKUP($A52,Council_Data!$A$3:$AB$840,2,0))</f>
        <v>030</v>
      </c>
      <c r="C52" s="50" t="str">
        <f>IF(ISNA(VLOOKUP($A52,Council_Data!$A$3:$AB$840,3,0)),0,VLOOKUP($A52,Council_Data!$A$3:$AB$840,3,0))</f>
        <v>Carrollton</v>
      </c>
      <c r="D52" s="93">
        <f>IF(ISNA(VLOOKUP($A52,Council_Data!$A$3:$AB$840,5,0)),0,VLOOKUP($A52,Council_Data!$A$3:$AB$840,5,0))</f>
        <v>135</v>
      </c>
      <c r="E52" s="93">
        <f>IF(ISNA(VLOOKUP($A52,Council_Data!$A$3:$AB$840,6,0)),0,VLOOKUP($A52,Council_Data!$A$3:$AB$840,6,0))</f>
        <v>6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3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3</v>
      </c>
      <c r="L52" s="94">
        <f>IF(ISNA(VLOOKUP($A52,Council_Data!$A$3:$AB$840,13,0)),0,VLOOKUP($A52,Council_Data!$A$3:$AB$840,13,0))</f>
        <v>50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Regan</v>
      </c>
    </row>
    <row r="53" spans="1:22">
      <c r="A53" s="50">
        <v>13470</v>
      </c>
      <c r="B53" s="50" t="str">
        <f>IF(ISNA(VLOOKUP($A53,Council_Data!$A$3:$AB$840,2,0)),0,VLOOKUP($A53,Council_Data!$A$3:$AB$840,2,0))</f>
        <v>026</v>
      </c>
      <c r="C53" s="50" t="str">
        <f>IF(ISNA(VLOOKUP($A53,Council_Data!$A$3:$AB$840,3,0)),0,VLOOKUP($A53,Council_Data!$A$3:$AB$840,3,0))</f>
        <v>Arlington</v>
      </c>
      <c r="D53" s="93">
        <f>IF(ISNA(VLOOKUP($A53,Council_Data!$A$3:$AB$840,5,0)),0,VLOOKUP($A53,Council_Data!$A$3:$AB$840,5,0))</f>
        <v>210</v>
      </c>
      <c r="E53" s="93">
        <f>IF(ISNA(VLOOKUP($A53,Council_Data!$A$3:$AB$840,6,0)),0,VLOOKUP($A53,Council_Data!$A$3:$AB$840,6,0))</f>
        <v>10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25</v>
      </c>
      <c r="K53" s="93">
        <f>IF(ISNA(VLOOKUP($A53,Council_Data!$A$3:$AB$840,12,0)),0,VLOOKUP($A53,Council_Data!$A$3:$AB$840,12,0))</f>
        <v>-25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1</v>
      </c>
      <c r="R53" s="93">
        <f>IF(ISNA(VLOOKUP($A53,Council_Data!$A$3:$AB$840,19,0)),0,VLOOKUP($A53,Council_Data!$A$3:$AB$840,19,0))</f>
        <v>6</v>
      </c>
      <c r="S53" s="93">
        <f>IF(ISNA(VLOOKUP($A53,Council_Data!$A$3:$AB$840,20,0)),0,VLOOKUP($A53,Council_Data!$A$3:$AB$840,20,0))</f>
        <v>-5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1</v>
      </c>
      <c r="V53" s="50" t="str">
        <f>IF(ISNA(VLOOKUP($A53,Council_Data!$A$3:$AB$840,24,0)),0,VLOOKUP($A53,Council_Data!$A$3:$AB$840,24,0))</f>
        <v>Stark</v>
      </c>
    </row>
    <row r="54" spans="1:22" ht="25.5">
      <c r="A54" s="50">
        <v>14339</v>
      </c>
      <c r="B54" s="50" t="str">
        <f>IF(ISNA(VLOOKUP($A54,Council_Data!$A$3:$AB$840,2,0)),0,VLOOKUP($A54,Council_Data!$A$3:$AB$840,2,0))</f>
        <v>021</v>
      </c>
      <c r="C54" s="50" t="str">
        <f>IF(ISNA(VLOOKUP($A54,Council_Data!$A$3:$AB$840,3,0)),0,VLOOKUP($A54,Council_Data!$A$3:$AB$840,3,0))</f>
        <v>Bowie/Henrietta/Montague/Nocon</v>
      </c>
      <c r="D54" s="93">
        <f>IF(ISNA(VLOOKUP($A54,Council_Data!$A$3:$AB$840,5,0)),0,VLOOKUP($A54,Council_Data!$A$3:$AB$840,5,0))</f>
        <v>67</v>
      </c>
      <c r="E54" s="93">
        <f>IF(ISNA(VLOOKUP($A54,Council_Data!$A$3:$AB$840,6,0)),0,VLOOKUP($A54,Council_Data!$A$3:$AB$840,6,0))</f>
        <v>3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1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1</v>
      </c>
      <c r="L54" s="94">
        <f>IF(ISNA(VLOOKUP($A54,Council_Data!$A$3:$AB$840,13,0)),0,VLOOKUP($A54,Council_Data!$A$3:$AB$840,13,0))</f>
        <v>33.33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1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1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2</v>
      </c>
      <c r="V54" s="50" t="str">
        <f>IF(ISNA(VLOOKUP($A54,Council_Data!$A$3:$AB$840,24,0)),0,VLOOKUP($A54,Council_Data!$A$3:$AB$840,24,0))</f>
        <v>Stark</v>
      </c>
    </row>
    <row r="55" spans="1:22">
      <c r="A55" s="50">
        <v>14549</v>
      </c>
      <c r="B55" s="50" t="str">
        <f>IF(ISNA(VLOOKUP($A55,Council_Data!$A$3:$AB$840,2,0)),0,VLOOKUP($A55,Council_Data!$A$3:$AB$840,2,0))</f>
        <v>028</v>
      </c>
      <c r="C55" s="50" t="str">
        <f>IF(ISNA(VLOOKUP($A55,Council_Data!$A$3:$AB$840,3,0)),0,VLOOKUP($A55,Council_Data!$A$3:$AB$840,3,0))</f>
        <v>Arlington</v>
      </c>
      <c r="D55" s="93">
        <f>IF(ISNA(VLOOKUP($A55,Council_Data!$A$3:$AB$840,5,0)),0,VLOOKUP($A55,Council_Data!$A$3:$AB$840,5,0))</f>
        <v>121</v>
      </c>
      <c r="E55" s="93">
        <f>IF(ISNA(VLOOKUP($A55,Council_Data!$A$3:$AB$840,6,0)),0,VLOOKUP($A55,Council_Data!$A$3:$AB$840,6,0))</f>
        <v>6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0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0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2</v>
      </c>
      <c r="V55" s="50" t="str">
        <f>IF(ISNA(VLOOKUP($A55,Council_Data!$A$3:$AB$840,24,0)),0,VLOOKUP($A55,Council_Data!$A$3:$AB$840,24,0))</f>
        <v>Stark</v>
      </c>
    </row>
    <row r="56" spans="1:22">
      <c r="A56" s="50">
        <v>14679</v>
      </c>
      <c r="B56" s="50" t="str">
        <f>IF(ISNA(VLOOKUP($A56,Council_Data!$A$3:$AB$840,2,0)),0,VLOOKUP($A56,Council_Data!$A$3:$AB$840,2,0))</f>
        <v>032</v>
      </c>
      <c r="C56" s="50" t="str">
        <f>IF(ISNA(VLOOKUP($A56,Council_Data!$A$3:$AB$840,3,0)),0,VLOOKUP($A56,Council_Data!$A$3:$AB$840,3,0))</f>
        <v>Fort Worth</v>
      </c>
      <c r="D56" s="93">
        <f>IF(ISNA(VLOOKUP($A56,Council_Data!$A$3:$AB$840,5,0)),0,VLOOKUP($A56,Council_Data!$A$3:$AB$840,5,0))</f>
        <v>207</v>
      </c>
      <c r="E56" s="93">
        <f>IF(ISNA(VLOOKUP($A56,Council_Data!$A$3:$AB$840,6,0)),0,VLOOKUP($A56,Council_Data!$A$3:$AB$840,6,0))</f>
        <v>10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2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2</v>
      </c>
      <c r="L56" s="94">
        <f>IF(ISNA(VLOOKUP($A56,Council_Data!$A$3:$AB$840,13,0)),0,VLOOKUP($A56,Council_Data!$A$3:$AB$840,13,0))</f>
        <v>20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1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1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1</v>
      </c>
      <c r="V56" s="50" t="str">
        <f>IF(ISNA(VLOOKUP($A56,Council_Data!$A$3:$AB$840,24,0)),0,VLOOKUP($A56,Council_Data!$A$3:$AB$840,24,0))</f>
        <v>Stark</v>
      </c>
    </row>
    <row r="57" spans="1:22" ht="25.5">
      <c r="A57" s="50">
        <v>14789</v>
      </c>
      <c r="B57" s="50" t="str">
        <f>IF(ISNA(VLOOKUP($A57,Council_Data!$A$3:$AB$840,2,0)),0,VLOOKUP($A57,Council_Data!$A$3:$AB$840,2,0))</f>
        <v>Unassigned</v>
      </c>
      <c r="C57" s="50" t="str">
        <f>IF(ISNA(VLOOKUP($A57,Council_Data!$A$3:$AB$840,3,0)),0,VLOOKUP($A57,Council_Data!$A$3:$AB$840,3,0))</f>
        <v>Denton</v>
      </c>
      <c r="D57" s="93">
        <f>IF(ISNA(VLOOKUP($A57,Council_Data!$A$3:$AB$840,5,0)),0,VLOOKUP($A57,Council_Data!$A$3:$AB$840,5,0))</f>
        <v>0</v>
      </c>
      <c r="E57" s="93">
        <f>IF(ISNA(VLOOKUP($A57,Council_Data!$A$3:$AB$840,6,0)),0,VLOOKUP($A57,Council_Data!$A$3:$AB$840,6,0))</f>
        <v>0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0</v>
      </c>
      <c r="S57" s="93">
        <f>IF(ISNA(VLOOKUP($A57,Council_Data!$A$3:$AB$840,20,0)),0,VLOOKUP($A57,Council_Data!$A$3:$AB$840,20,0))</f>
        <v>0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3</v>
      </c>
      <c r="V57" s="50" t="str">
        <f>IF(ISNA(VLOOKUP($A57,Council_Data!$A$3:$AB$840,24,0)),0,VLOOKUP($A57,Council_Data!$A$3:$AB$840,24,0))</f>
        <v>Stark</v>
      </c>
    </row>
    <row r="58" spans="1:22">
      <c r="A58" s="50">
        <v>15320</v>
      </c>
      <c r="B58" s="50" t="str">
        <f>IF(ISNA(VLOOKUP($A58,Council_Data!$A$3:$AB$840,2,0)),0,VLOOKUP($A58,Council_Data!$A$3:$AB$840,2,0))</f>
        <v>017</v>
      </c>
      <c r="C58" s="50" t="str">
        <f>IF(ISNA(VLOOKUP($A58,Council_Data!$A$3:$AB$840,3,0)),0,VLOOKUP($A58,Council_Data!$A$3:$AB$840,3,0))</f>
        <v>Glen Rose</v>
      </c>
      <c r="D58" s="93">
        <f>IF(ISNA(VLOOKUP($A58,Council_Data!$A$3:$AB$840,5,0)),0,VLOOKUP($A58,Council_Data!$A$3:$AB$840,5,0))</f>
        <v>49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1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1</v>
      </c>
      <c r="L58" s="94">
        <f>IF(ISNA(VLOOKUP($A58,Council_Data!$A$3:$AB$840,13,0)),0,VLOOKUP($A58,Council_Data!$A$3:$AB$840,13,0))</f>
        <v>33.33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1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Stark</v>
      </c>
    </row>
    <row r="59" spans="1:22">
      <c r="A59" s="50">
        <v>15789</v>
      </c>
      <c r="B59" s="50" t="str">
        <f>IF(ISNA(VLOOKUP($A59,Council_Data!$A$3:$AB$840,2,0)),0,VLOOKUP($A59,Council_Data!$A$3:$AB$840,2,0))</f>
        <v>024</v>
      </c>
      <c r="C59" s="50" t="str">
        <f>IF(ISNA(VLOOKUP($A59,Council_Data!$A$3:$AB$840,3,0)),0,VLOOKUP($A59,Council_Data!$A$3:$AB$840,3,0))</f>
        <v>Colleyville</v>
      </c>
      <c r="D59" s="93">
        <f>IF(ISNA(VLOOKUP($A59,Council_Data!$A$3:$AB$840,5,0)),0,VLOOKUP($A59,Council_Data!$A$3:$AB$840,5,0))</f>
        <v>159</v>
      </c>
      <c r="E59" s="93">
        <f>IF(ISNA(VLOOKUP($A59,Council_Data!$A$3:$AB$840,6,0)),0,VLOOKUP($A59,Council_Data!$A$3:$AB$840,6,0))</f>
        <v>7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1</v>
      </c>
      <c r="H59" s="93">
        <f>IF(ISNA(VLOOKUP($A59,Council_Data!$A$3:$AB$840,9,0)),0,VLOOKUP($A59,Council_Data!$A$3:$AB$840,9,0))</f>
        <v>-1</v>
      </c>
      <c r="I59" s="93">
        <f>IF(ISNA(VLOOKUP($A59,Council_Data!$A$3:$AB$840,10,0)),0,VLOOKUP($A59,Council_Data!$A$3:$AB$840,10,0))</f>
        <v>6</v>
      </c>
      <c r="J59" s="93">
        <f>IF(ISNA(VLOOKUP($A59,Council_Data!$A$3:$AB$840,11,0)),0,VLOOKUP($A59,Council_Data!$A$3:$AB$840,11,0))</f>
        <v>4</v>
      </c>
      <c r="K59" s="93">
        <f>IF(ISNA(VLOOKUP($A59,Council_Data!$A$3:$AB$840,12,0)),0,VLOOKUP($A59,Council_Data!$A$3:$AB$840,12,0))</f>
        <v>2</v>
      </c>
      <c r="L59" s="94">
        <f>IF(ISNA(VLOOKUP($A59,Council_Data!$A$3:$AB$840,13,0)),0,VLOOKUP($A59,Council_Data!$A$3:$AB$840,13,0))</f>
        <v>28.57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4</v>
      </c>
      <c r="R59" s="93">
        <f>IF(ISNA(VLOOKUP($A59,Council_Data!$A$3:$AB$840,19,0)),0,VLOOKUP($A59,Council_Data!$A$3:$AB$840,19,0))</f>
        <v>3</v>
      </c>
      <c r="S59" s="93">
        <f>IF(ISNA(VLOOKUP($A59,Council_Data!$A$3:$AB$840,20,0)),0,VLOOKUP($A59,Council_Data!$A$3:$AB$840,20,0))</f>
        <v>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1</v>
      </c>
      <c r="V59" s="50" t="str">
        <f>IF(ISNA(VLOOKUP($A59,Council_Data!$A$3:$AB$840,24,0)),0,VLOOKUP($A59,Council_Data!$A$3:$AB$840,24,0))</f>
        <v>Stark</v>
      </c>
    </row>
    <row r="60" spans="1:22">
      <c r="A60" s="50">
        <v>15882</v>
      </c>
      <c r="B60" s="50" t="str">
        <f>IF(ISNA(VLOOKUP($A60,Council_Data!$A$3:$AB$840,2,0)),0,VLOOKUP($A60,Council_Data!$A$3:$AB$840,2,0))</f>
        <v>018</v>
      </c>
      <c r="C60" s="50" t="str">
        <f>IF(ISNA(VLOOKUP($A60,Council_Data!$A$3:$AB$840,3,0)),0,VLOOKUP($A60,Council_Data!$A$3:$AB$840,3,0))</f>
        <v>Fort Worth</v>
      </c>
      <c r="D60" s="93">
        <f>IF(ISNA(VLOOKUP($A60,Council_Data!$A$3:$AB$840,5,0)),0,VLOOKUP($A60,Council_Data!$A$3:$AB$840,5,0))</f>
        <v>100</v>
      </c>
      <c r="E60" s="93">
        <f>IF(ISNA(VLOOKUP($A60,Council_Data!$A$3:$AB$840,6,0)),0,VLOOKUP($A60,Council_Data!$A$3:$AB$840,6,0))</f>
        <v>5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0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0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0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2</v>
      </c>
      <c r="V60" s="50" t="str">
        <f>IF(ISNA(VLOOKUP($A60,Council_Data!$A$3:$AB$840,24,0)),0,VLOOKUP($A60,Council_Data!$A$3:$AB$840,24,0))</f>
        <v>Stark</v>
      </c>
    </row>
    <row r="61" spans="1:22">
      <c r="A61" s="50">
        <v>16042</v>
      </c>
      <c r="B61" s="50" t="str">
        <f>IF(ISNA(VLOOKUP($A61,Council_Data!$A$3:$AB$840,2,0)),0,VLOOKUP($A61,Council_Data!$A$3:$AB$840,2,0))</f>
        <v>020</v>
      </c>
      <c r="C61" s="50" t="str">
        <f>IF(ISNA(VLOOKUP($A61,Council_Data!$A$3:$AB$840,3,0)),0,VLOOKUP($A61,Council_Data!$A$3:$AB$840,3,0))</f>
        <v>Cleburne</v>
      </c>
      <c r="D61" s="93">
        <f>IF(ISNA(VLOOKUP($A61,Council_Data!$A$3:$AB$840,5,0)),0,VLOOKUP($A61,Council_Data!$A$3:$AB$840,5,0))</f>
        <v>62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1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1</v>
      </c>
      <c r="I61" s="93">
        <f>IF(ISNA(VLOOKUP($A61,Council_Data!$A$3:$AB$840,10,0)),0,VLOOKUP($A61,Council_Data!$A$3:$AB$840,10,0))</f>
        <v>1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1</v>
      </c>
      <c r="L61" s="94">
        <f>IF(ISNA(VLOOKUP($A61,Council_Data!$A$3:$AB$840,13,0)),0,VLOOKUP($A61,Council_Data!$A$3:$AB$840,13,0))</f>
        <v>33.33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2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2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3</v>
      </c>
      <c r="V61" s="50" t="str">
        <f>IF(ISNA(VLOOKUP($A61,Council_Data!$A$3:$AB$840,24,0)),0,VLOOKUP($A61,Council_Data!$A$3:$AB$840,24,0))</f>
        <v>Stark</v>
      </c>
    </row>
    <row r="62" spans="1:22">
      <c r="A62" s="50">
        <v>16258</v>
      </c>
      <c r="B62" s="50" t="str">
        <f>IF(ISNA(VLOOKUP($A62,Council_Data!$A$3:$AB$840,2,0)),0,VLOOKUP($A62,Council_Data!$A$3:$AB$840,2,0))</f>
        <v>025</v>
      </c>
      <c r="C62" s="50" t="str">
        <f>IF(ISNA(VLOOKUP($A62,Council_Data!$A$3:$AB$840,3,0)),0,VLOOKUP($A62,Council_Data!$A$3:$AB$840,3,0))</f>
        <v>Fort Worth</v>
      </c>
      <c r="D62" s="93">
        <f>IF(ISNA(VLOOKUP($A62,Council_Data!$A$3:$AB$840,5,0)),0,VLOOKUP($A62,Council_Data!$A$3:$AB$840,5,0))</f>
        <v>50</v>
      </c>
      <c r="E62" s="93">
        <f>IF(ISNA(VLOOKUP($A62,Council_Data!$A$3:$AB$840,6,0)),0,VLOOKUP($A62,Council_Data!$A$3:$AB$840,6,0))</f>
        <v>3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1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1</v>
      </c>
      <c r="L62" s="94">
        <f>IF(ISNA(VLOOKUP($A62,Council_Data!$A$3:$AB$840,13,0)),0,VLOOKUP($A62,Council_Data!$A$3:$AB$840,13,0))</f>
        <v>33.33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1</v>
      </c>
      <c r="R62" s="93">
        <f>IF(ISNA(VLOOKUP($A62,Council_Data!$A$3:$AB$840,19,0)),0,VLOOKUP($A62,Council_Data!$A$3:$AB$840,19,0))</f>
        <v>2</v>
      </c>
      <c r="S62" s="93">
        <f>IF(ISNA(VLOOKUP($A62,Council_Data!$A$3:$AB$840,20,0)),0,VLOOKUP($A62,Council_Data!$A$3:$AB$840,20,0))</f>
        <v>-1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3</v>
      </c>
      <c r="V62" s="50" t="str">
        <f>IF(ISNA(VLOOKUP($A62,Council_Data!$A$3:$AB$840,24,0)),0,VLOOKUP($A62,Council_Data!$A$3:$AB$840,24,0))</f>
        <v>Stark</v>
      </c>
    </row>
    <row r="63" spans="1:22">
      <c r="A63" s="76">
        <v>16393</v>
      </c>
      <c r="B63" s="50" t="str">
        <f>IF(ISNA(VLOOKUP($A63,Council_Data!$A$3:$AB$840,2,0)),0,VLOOKUP($A63,Council_Data!$A$3:$AB$840,2,0))</f>
        <v>027</v>
      </c>
      <c r="C63" s="50" t="str">
        <f>IF(ISNA(VLOOKUP($A63,Council_Data!$A$3:$AB$840,3,0)),0,VLOOKUP($A63,Council_Data!$A$3:$AB$840,3,0))</f>
        <v>Denton</v>
      </c>
      <c r="D63" s="93">
        <f>IF(ISNA(VLOOKUP($A63,Council_Data!$A$3:$AB$840,5,0)),0,VLOOKUP($A63,Council_Data!$A$3:$AB$840,5,0))</f>
        <v>50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1</v>
      </c>
      <c r="G63" s="93">
        <f>IF(ISNA(VLOOKUP($A63,Council_Data!$A$3:$AB$840,8,0)),0,VLOOKUP($A63,Council_Data!$A$3:$AB$840,8,0))</f>
        <v>2</v>
      </c>
      <c r="H63" s="93">
        <f>IF(ISNA(VLOOKUP($A63,Council_Data!$A$3:$AB$840,9,0)),0,VLOOKUP($A63,Council_Data!$A$3:$AB$840,9,0))</f>
        <v>-1</v>
      </c>
      <c r="I63" s="93">
        <f>IF(ISNA(VLOOKUP($A63,Council_Data!$A$3:$AB$840,10,0)),0,VLOOKUP($A63,Council_Data!$A$3:$AB$840,10,0))</f>
        <v>4</v>
      </c>
      <c r="J63" s="93">
        <f>IF(ISNA(VLOOKUP($A63,Council_Data!$A$3:$AB$840,11,0)),0,VLOOKUP($A63,Council_Data!$A$3:$AB$840,11,0))</f>
        <v>2</v>
      </c>
      <c r="K63" s="93">
        <f>IF(ISNA(VLOOKUP($A63,Council_Data!$A$3:$AB$840,12,0)),0,VLOOKUP($A63,Council_Data!$A$3:$AB$840,12,0))</f>
        <v>2</v>
      </c>
      <c r="L63" s="94">
        <f>IF(ISNA(VLOOKUP($A63,Council_Data!$A$3:$AB$840,13,0)),0,VLOOKUP($A63,Council_Data!$A$3:$AB$840,13,0))</f>
        <v>66.67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1</v>
      </c>
      <c r="O63" s="93">
        <f>IF(ISNA(VLOOKUP($A63,Council_Data!$A$3:$AB$840,16,0)),0,VLOOKUP($A63,Council_Data!$A$3:$AB$840,16,0))</f>
        <v>1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1</v>
      </c>
      <c r="R63" s="93">
        <f>IF(ISNA(VLOOKUP($A63,Council_Data!$A$3:$AB$840,19,0)),0,VLOOKUP($A63,Council_Data!$A$3:$AB$840,19,0))</f>
        <v>1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Stark</v>
      </c>
    </row>
    <row r="64" spans="1:22">
      <c r="A64" s="76">
        <v>16522</v>
      </c>
      <c r="B64" s="50" t="str">
        <f>IF(ISNA(VLOOKUP($A64,Council_Data!$A$3:$AB$840,2,0)),0,VLOOKUP($A64,Council_Data!$A$3:$AB$840,2,0))</f>
        <v>022</v>
      </c>
      <c r="C64" s="50" t="str">
        <f>IF(ISNA(VLOOKUP($A64,Council_Data!$A$3:$AB$840,3,0)),0,VLOOKUP($A64,Council_Data!$A$3:$AB$840,3,0))</f>
        <v>Wichita Falls</v>
      </c>
      <c r="D64" s="93">
        <f>IF(ISNA(VLOOKUP($A64,Council_Data!$A$3:$AB$840,5,0)),0,VLOOKUP($A64,Council_Data!$A$3:$AB$840,5,0))</f>
        <v>32</v>
      </c>
      <c r="E64" s="93">
        <f>IF(ISNA(VLOOKUP($A64,Council_Data!$A$3:$AB$840,6,0)),0,VLOOKUP($A64,Council_Data!$A$3:$AB$840,6,0))</f>
        <v>3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1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1</v>
      </c>
      <c r="Q64" s="93">
        <f>IF(ISNA(VLOOKUP($A64,Council_Data!$A$3:$AB$840,18,0)),0,VLOOKUP($A64,Council_Data!$A$3:$AB$840,18,0))</f>
        <v>1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1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3</v>
      </c>
      <c r="V64" s="50" t="str">
        <f>IF(ISNA(VLOOKUP($A64,Council_Data!$A$3:$AB$840,24,0)),0,VLOOKUP($A64,Council_Data!$A$3:$AB$840,24,0))</f>
        <v>Stark</v>
      </c>
    </row>
    <row r="65" spans="1:22">
      <c r="A65" s="76">
        <v>16663</v>
      </c>
      <c r="B65" s="50" t="str">
        <f>IF(ISNA(VLOOKUP($A65,Council_Data!$A$3:$AB$840,2,0)),0,VLOOKUP($A65,Council_Data!$A$3:$AB$840,2,0))</f>
        <v>025</v>
      </c>
      <c r="C65" s="50" t="str">
        <f>IF(ISNA(VLOOKUP($A65,Council_Data!$A$3:$AB$840,3,0)),0,VLOOKUP($A65,Council_Data!$A$3:$AB$840,3,0))</f>
        <v>Fort Worth</v>
      </c>
      <c r="D65" s="93">
        <f>IF(ISNA(VLOOKUP($A65,Council_Data!$A$3:$AB$840,5,0)),0,VLOOKUP($A65,Council_Data!$A$3:$AB$840,5,0))</f>
        <v>54</v>
      </c>
      <c r="E65" s="93">
        <f>IF(ISNA(VLOOKUP($A65,Council_Data!$A$3:$AB$840,6,0)),0,VLOOKUP($A65,Council_Data!$A$3:$AB$840,6,0))</f>
        <v>3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2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2</v>
      </c>
      <c r="L65" s="94">
        <f>IF(ISNA(VLOOKUP($A65,Council_Data!$A$3:$AB$840,13,0)),0,VLOOKUP($A65,Council_Data!$A$3:$AB$840,13,0))</f>
        <v>66.67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1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1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3</v>
      </c>
      <c r="V65" s="50" t="str">
        <f>IF(ISNA(VLOOKUP($A65,Council_Data!$A$3:$AB$840,24,0)),0,VLOOKUP($A65,Council_Data!$A$3:$AB$840,24,0))</f>
        <v>Stark</v>
      </c>
    </row>
    <row r="66" spans="1:22">
      <c r="A66" s="50">
        <v>17024</v>
      </c>
      <c r="B66" s="50" t="str">
        <f>IF(ISNA(VLOOKUP($A66,Council_Data!$A$3:$AB$840,2,0)),0,VLOOKUP($A66,Council_Data!$A$3:$AB$840,2,0))</f>
        <v>033</v>
      </c>
      <c r="C66" s="50" t="str">
        <f>IF(ISNA(VLOOKUP($A66,Council_Data!$A$3:$AB$840,3,0)),0,VLOOKUP($A66,Council_Data!$A$3:$AB$840,3,0))</f>
        <v>Nas Fort Worth Jrb</v>
      </c>
      <c r="D66" s="93">
        <f>IF(ISNA(VLOOKUP($A66,Council_Data!$A$3:$AB$840,5,0)),0,VLOOKUP($A66,Council_Data!$A$3:$AB$840,5,0))</f>
        <v>28</v>
      </c>
      <c r="E66" s="93">
        <f>IF(ISNA(VLOOKUP($A66,Council_Data!$A$3:$AB$840,6,0)),0,VLOOKUP($A66,Council_Data!$A$3:$AB$840,6,0))</f>
        <v>3</v>
      </c>
      <c r="F66" s="93">
        <f>IF(ISNA(VLOOKUP($A66,Council_Data!$A$3:$AB$840,7,0)),0,VLOOKUP($A66,Council_Data!$A$3:$AB$840,7,0))</f>
        <v>0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0</v>
      </c>
      <c r="I66" s="93">
        <f>IF(ISNA(VLOOKUP($A66,Council_Data!$A$3:$AB$840,10,0)),0,VLOOKUP($A66,Council_Data!$A$3:$AB$840,10,0))</f>
        <v>1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1</v>
      </c>
      <c r="L66" s="94">
        <f>IF(ISNA(VLOOKUP($A66,Council_Data!$A$3:$AB$840,13,0)),0,VLOOKUP($A66,Council_Data!$A$3:$AB$840,13,0))</f>
        <v>33.33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0</v>
      </c>
      <c r="R66" s="93">
        <f>IF(ISNA(VLOOKUP($A66,Council_Data!$A$3:$AB$840,19,0)),0,VLOOKUP($A66,Council_Data!$A$3:$AB$840,19,0))</f>
        <v>0</v>
      </c>
      <c r="S66" s="93">
        <f>IF(ISNA(VLOOKUP($A66,Council_Data!$A$3:$AB$840,20,0)),0,VLOOKUP($A66,Council_Data!$A$3:$AB$840,20,0))</f>
        <v>0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3</v>
      </c>
      <c r="V66" s="50" t="str">
        <f>IF(ISNA(VLOOKUP($A66,Council_Data!$A$3:$AB$840,24,0)),0,VLOOKUP($A66,Council_Data!$A$3:$AB$840,24,0))</f>
        <v>Stark</v>
      </c>
    </row>
    <row r="67" spans="1:22">
      <c r="A67" s="50">
        <v>17039</v>
      </c>
      <c r="B67" s="50" t="str">
        <f>IF(ISNA(VLOOKUP($A67,Council_Data!$A$3:$AB$840,2,0)),0,VLOOKUP($A67,Council_Data!$A$3:$AB$840,2,0))</f>
        <v>032</v>
      </c>
      <c r="C67" s="50" t="str">
        <f>IF(ISNA(VLOOKUP($A67,Council_Data!$A$3:$AB$840,3,0)),0,VLOOKUP($A67,Council_Data!$A$3:$AB$840,3,0))</f>
        <v>Fort Worth</v>
      </c>
      <c r="D67" s="93">
        <f>IF(ISNA(VLOOKUP($A67,Council_Data!$A$3:$AB$840,5,0)),0,VLOOKUP($A67,Council_Data!$A$3:$AB$840,5,0))</f>
        <v>38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3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3</v>
      </c>
      <c r="L67" s="94">
        <f>IF(ISNA(VLOOKUP($A67,Council_Data!$A$3:$AB$840,13,0)),0,VLOOKUP($A67,Council_Data!$A$3:$AB$840,13,0))</f>
        <v>100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Stark</v>
      </c>
    </row>
    <row r="68" spans="1:22">
      <c r="A68" s="50">
        <v>17196</v>
      </c>
      <c r="B68" s="50" t="str">
        <f>IF(ISNA(VLOOKUP($A68,Council_Data!$A$3:$AB$840,2,0)),0,VLOOKUP($A68,Council_Data!$A$3:$AB$840,2,0))</f>
        <v>029</v>
      </c>
      <c r="C68" s="50" t="str">
        <f>IF(ISNA(VLOOKUP($A68,Council_Data!$A$3:$AB$840,3,0)),0,VLOOKUP($A68,Council_Data!$A$3:$AB$840,3,0))</f>
        <v>Aledo</v>
      </c>
      <c r="D68" s="93">
        <f>IF(ISNA(VLOOKUP($A68,Council_Data!$A$3:$AB$840,5,0)),0,VLOOKUP($A68,Council_Data!$A$3:$AB$840,5,0))</f>
        <v>49</v>
      </c>
      <c r="E68" s="93">
        <f>IF(ISNA(VLOOKUP($A68,Council_Data!$A$3:$AB$840,6,0)),0,VLOOKUP($A68,Council_Data!$A$3:$AB$840,6,0))</f>
        <v>3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1</v>
      </c>
      <c r="H68" s="93">
        <f>IF(ISNA(VLOOKUP($A68,Council_Data!$A$3:$AB$840,9,0)),0,VLOOKUP($A68,Council_Data!$A$3:$AB$840,9,0))</f>
        <v>-1</v>
      </c>
      <c r="I68" s="93">
        <f>IF(ISNA(VLOOKUP($A68,Council_Data!$A$3:$AB$840,10,0)),0,VLOOKUP($A68,Council_Data!$A$3:$AB$840,10,0))</f>
        <v>0</v>
      </c>
      <c r="J68" s="93">
        <f>IF(ISNA(VLOOKUP($A68,Council_Data!$A$3:$AB$840,11,0)),0,VLOOKUP($A68,Council_Data!$A$3:$AB$840,11,0))</f>
        <v>1</v>
      </c>
      <c r="K68" s="93">
        <f>IF(ISNA(VLOOKUP($A68,Council_Data!$A$3:$AB$840,12,0)),0,VLOOKUP($A68,Council_Data!$A$3:$AB$840,12,0))</f>
        <v>-1</v>
      </c>
      <c r="L68" s="94">
        <f>IF(ISNA(VLOOKUP($A68,Council_Data!$A$3:$AB$840,13,0)),0,VLOOKUP($A68,Council_Data!$A$3:$AB$840,13,0))</f>
        <v>0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1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1</v>
      </c>
      <c r="Q68" s="93">
        <f>IF(ISNA(VLOOKUP($A68,Council_Data!$A$3:$AB$840,18,0)),0,VLOOKUP($A68,Council_Data!$A$3:$AB$840,18,0))</f>
        <v>2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2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3</v>
      </c>
      <c r="V68" s="50" t="str">
        <f>IF(ISNA(VLOOKUP($A68,Council_Data!$A$3:$AB$840,24,0)),0,VLOOKUP($A68,Council_Data!$A$3:$AB$840,24,0))</f>
        <v>Stark</v>
      </c>
    </row>
    <row r="69" spans="1:22">
      <c r="A69" s="50">
        <v>17304</v>
      </c>
      <c r="B69" s="50" t="str">
        <f>IF(ISNA(VLOOKUP($A69,Council_Data!$A$3:$AB$840,2,0)),0,VLOOKUP($A69,Council_Data!$A$3:$AB$840,2,0))</f>
        <v>030</v>
      </c>
      <c r="C69" s="50" t="str">
        <f>IF(ISNA(VLOOKUP($A69,Council_Data!$A$3:$AB$840,3,0)),0,VLOOKUP($A69,Council_Data!$A$3:$AB$840,3,0))</f>
        <v>Prosper</v>
      </c>
      <c r="D69" s="93">
        <f>IF(ISNA(VLOOKUP($A69,Council_Data!$A$3:$AB$840,5,0)),0,VLOOKUP($A69,Council_Data!$A$3:$AB$840,5,0))</f>
        <v>68</v>
      </c>
      <c r="E69" s="93">
        <f>IF(ISNA(VLOOKUP($A69,Council_Data!$A$3:$AB$840,6,0)),0,VLOOKUP($A69,Council_Data!$A$3:$AB$840,6,0))</f>
        <v>3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7</v>
      </c>
      <c r="J69" s="93">
        <f>IF(ISNA(VLOOKUP($A69,Council_Data!$A$3:$AB$840,11,0)),0,VLOOKUP($A69,Council_Data!$A$3:$AB$840,11,0))</f>
        <v>0</v>
      </c>
      <c r="K69" s="93">
        <f>IF(ISNA(VLOOKUP($A69,Council_Data!$A$3:$AB$840,12,0)),0,VLOOKUP($A69,Council_Data!$A$3:$AB$840,12,0))</f>
        <v>7</v>
      </c>
      <c r="L69" s="94">
        <f>IF(ISNA(VLOOKUP($A69,Council_Data!$A$3:$AB$840,13,0)),0,VLOOKUP($A69,Council_Data!$A$3:$AB$840,13,0))</f>
        <v>233.33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1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1</v>
      </c>
      <c r="Q69" s="93">
        <f>IF(ISNA(VLOOKUP($A69,Council_Data!$A$3:$AB$840,18,0)),0,VLOOKUP($A69,Council_Data!$A$3:$AB$840,18,0))</f>
        <v>2</v>
      </c>
      <c r="R69" s="93">
        <f>IF(ISNA(VLOOKUP($A69,Council_Data!$A$3:$AB$840,19,0)),0,VLOOKUP($A69,Council_Data!$A$3:$AB$840,19,0))</f>
        <v>0</v>
      </c>
      <c r="S69" s="93">
        <f>IF(ISNA(VLOOKUP($A69,Council_Data!$A$3:$AB$840,20,0)),0,VLOOKUP($A69,Council_Data!$A$3:$AB$840,20,0))</f>
        <v>2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2</v>
      </c>
      <c r="V69" s="50" t="str">
        <f>IF(ISNA(VLOOKUP($A69,Council_Data!$A$3:$AB$840,24,0)),0,VLOOKUP($A69,Council_Data!$A$3:$AB$840,24,0))</f>
        <v>Regan</v>
      </c>
    </row>
    <row r="70" spans="1:22">
      <c r="A70" s="50">
        <v>17404</v>
      </c>
      <c r="B70" s="50" t="str">
        <f>IF(ISNA(VLOOKUP($A70,Council_Data!$A$3:$AB$840,2,0)),0,VLOOKUP($A70,Council_Data!$A$3:$AB$840,2,0))</f>
        <v>029</v>
      </c>
      <c r="C70" s="50" t="str">
        <f>IF(ISNA(VLOOKUP($A70,Council_Data!$A$3:$AB$840,3,0)),0,VLOOKUP($A70,Council_Data!$A$3:$AB$840,3,0))</f>
        <v>Azle</v>
      </c>
      <c r="D70" s="93">
        <f>IF(ISNA(VLOOKUP($A70,Council_Data!$A$3:$AB$840,5,0)),0,VLOOKUP($A70,Council_Data!$A$3:$AB$840,5,0))</f>
        <v>38</v>
      </c>
      <c r="E70" s="93">
        <f>IF(ISNA(VLOOKUP($A70,Council_Data!$A$3:$AB$840,6,0)),0,VLOOKUP($A70,Council_Data!$A$3:$AB$840,6,0))</f>
        <v>3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0</v>
      </c>
      <c r="I70" s="93">
        <f>IF(ISNA(VLOOKUP($A70,Council_Data!$A$3:$AB$840,10,0)),0,VLOOKUP($A70,Council_Data!$A$3:$AB$840,10,0))</f>
        <v>1</v>
      </c>
      <c r="J70" s="93">
        <f>IF(ISNA(VLOOKUP($A70,Council_Data!$A$3:$AB$840,11,0)),0,VLOOKUP($A70,Council_Data!$A$3:$AB$840,11,0))</f>
        <v>0</v>
      </c>
      <c r="K70" s="93">
        <f>IF(ISNA(VLOOKUP($A70,Council_Data!$A$3:$AB$840,12,0)),0,VLOOKUP($A70,Council_Data!$A$3:$AB$840,12,0))</f>
        <v>1</v>
      </c>
      <c r="L70" s="94">
        <f>IF(ISNA(VLOOKUP($A70,Council_Data!$A$3:$AB$840,13,0)),0,VLOOKUP($A70,Council_Data!$A$3:$AB$840,13,0))</f>
        <v>33.33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2</v>
      </c>
      <c r="R70" s="93">
        <f>IF(ISNA(VLOOKUP($A70,Council_Data!$A$3:$AB$840,19,0)),0,VLOOKUP($A70,Council_Data!$A$3:$AB$840,19,0))</f>
        <v>1</v>
      </c>
      <c r="S70" s="93">
        <f>IF(ISNA(VLOOKUP($A70,Council_Data!$A$3:$AB$840,20,0)),0,VLOOKUP($A70,Council_Data!$A$3:$AB$840,20,0))</f>
        <v>1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3</v>
      </c>
      <c r="V70" s="50" t="str">
        <f>IF(ISNA(VLOOKUP($A70,Council_Data!$A$3:$AB$840,24,0)),0,VLOOKUP($A70,Council_Data!$A$3:$AB$840,24,0))</f>
        <v>Stark</v>
      </c>
    </row>
    <row r="71" spans="1:22">
      <c r="A71" s="50">
        <v>17410</v>
      </c>
      <c r="B71" s="50" t="str">
        <f>IF(ISNA(VLOOKUP($A71,Council_Data!$A$3:$AB$840,2,0)),0,VLOOKUP($A71,Council_Data!$A$3:$AB$840,2,0))</f>
        <v>025</v>
      </c>
      <c r="C71" s="50" t="str">
        <f>IF(ISNA(VLOOKUP($A71,Council_Data!$A$3:$AB$840,3,0)),0,VLOOKUP($A71,Council_Data!$A$3:$AB$840,3,0))</f>
        <v>Fort Worth</v>
      </c>
      <c r="D71" s="93">
        <f>IF(ISNA(VLOOKUP($A71,Council_Data!$A$3:$AB$840,5,0)),0,VLOOKUP($A71,Council_Data!$A$3:$AB$840,5,0))</f>
        <v>21</v>
      </c>
      <c r="E71" s="93">
        <f>IF(ISNA(VLOOKUP($A71,Council_Data!$A$3:$AB$840,6,0)),0,VLOOKUP($A71,Council_Data!$A$3:$AB$840,6,0))</f>
        <v>3</v>
      </c>
      <c r="F71" s="93">
        <f>IF(ISNA(VLOOKUP($A71,Council_Data!$A$3:$AB$840,7,0)),0,VLOOKUP($A71,Council_Data!$A$3:$AB$840,7,0))</f>
        <v>1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1</v>
      </c>
      <c r="I71" s="93">
        <f>IF(ISNA(VLOOKUP($A71,Council_Data!$A$3:$AB$840,10,0)),0,VLOOKUP($A71,Council_Data!$A$3:$AB$840,10,0))</f>
        <v>5</v>
      </c>
      <c r="J71" s="93">
        <f>IF(ISNA(VLOOKUP($A71,Council_Data!$A$3:$AB$840,11,0)),0,VLOOKUP($A71,Council_Data!$A$3:$AB$840,11,0))</f>
        <v>0</v>
      </c>
      <c r="K71" s="93">
        <f>IF(ISNA(VLOOKUP($A71,Council_Data!$A$3:$AB$840,12,0)),0,VLOOKUP($A71,Council_Data!$A$3:$AB$840,12,0))</f>
        <v>5</v>
      </c>
      <c r="L71" s="94">
        <f>IF(ISNA(VLOOKUP($A71,Council_Data!$A$3:$AB$840,13,0)),0,VLOOKUP($A71,Council_Data!$A$3:$AB$840,13,0))</f>
        <v>166.67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2</v>
      </c>
      <c r="R71" s="93">
        <f>IF(ISNA(VLOOKUP($A71,Council_Data!$A$3:$AB$840,19,0)),0,VLOOKUP($A71,Council_Data!$A$3:$AB$840,19,0))</f>
        <v>0</v>
      </c>
      <c r="S71" s="93">
        <f>IF(ISNA(VLOOKUP($A71,Council_Data!$A$3:$AB$840,20,0)),0,VLOOKUP($A71,Council_Data!$A$3:$AB$840,20,0))</f>
        <v>2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3</v>
      </c>
      <c r="V71" s="50" t="str">
        <f>IF(ISNA(VLOOKUP($A71,Council_Data!$A$3:$AB$840,24,0)),0,VLOOKUP($A71,Council_Data!$A$3:$AB$840,24,0))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35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29" t="s">
        <v>857</v>
      </c>
      <c r="B1" s="326"/>
    </row>
    <row r="2" spans="1:22" ht="13.5" thickBot="1">
      <c r="A2" s="326"/>
      <c r="B2" s="326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787</v>
      </c>
      <c r="B4" s="50" t="str">
        <f>IF(ISNA(VLOOKUP($A4,Council_Data!$A$3:$AB$840,2,0)),0,VLOOKUP($A4,Council_Data!$A$3:$AB$840,2,0))</f>
        <v>067</v>
      </c>
      <c r="C4" s="50" t="str">
        <f>IF(ISNA(VLOOKUP($A4,Council_Data!$A$3:$AB$840,3,0)),0,VLOOKUP($A4,Council_Data!$A$3:$AB$840,3,0))</f>
        <v>Galveston</v>
      </c>
      <c r="D4" s="93">
        <f>IF(ISNA(VLOOKUP($A4,Council_Data!$A$3:$AB$840,5,0)),0,VLOOKUP($A4,Council_Data!$A$3:$AB$840,5,0))</f>
        <v>274</v>
      </c>
      <c r="E4" s="93">
        <f>IF(ISNA(VLOOKUP($A4,Council_Data!$A$3:$AB$840,6,0)),0,VLOOKUP($A4,Council_Data!$A$3:$AB$840,6,0))</f>
        <v>12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1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1</v>
      </c>
      <c r="L4" s="94">
        <f>IF(ISNA(VLOOKUP($A4,Council_Data!$A$3:$AB$840,13,0)),0,VLOOKUP($A4,Council_Data!$A$3:$AB$840,13,0))</f>
        <v>8.33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Rangel</v>
      </c>
    </row>
    <row r="5" spans="1:22">
      <c r="A5" s="50">
        <v>803</v>
      </c>
      <c r="B5" s="50" t="str">
        <f>IF(ISNA(VLOOKUP($A5,Council_Data!$A$3:$AB$840,2,0)),0,VLOOKUP($A5,Council_Data!$A$3:$AB$840,2,0))</f>
        <v>083</v>
      </c>
      <c r="C5" s="50" t="str">
        <f>IF(ISNA(VLOOKUP($A5,Council_Data!$A$3:$AB$840,3,0)),0,VLOOKUP($A5,Council_Data!$A$3:$AB$840,3,0))</f>
        <v>Houston</v>
      </c>
      <c r="D5" s="93">
        <f>IF(ISNA(VLOOKUP($A5,Council_Data!$A$3:$AB$840,5,0)),0,VLOOKUP($A5,Council_Data!$A$3:$AB$840,5,0))</f>
        <v>311</v>
      </c>
      <c r="E5" s="93">
        <f>IF(ISNA(VLOOKUP($A5,Council_Data!$A$3:$AB$840,6,0)),0,VLOOKUP($A5,Council_Data!$A$3:$AB$840,6,0))</f>
        <v>14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1</v>
      </c>
      <c r="P5" s="93">
        <f>IF(ISNA(VLOOKUP($A5,Council_Data!$A$3:$AB$840,17,0)),0,VLOOKUP($A5,Council_Data!$A$3:$AB$840,17,0))</f>
        <v>-1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1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Rangel</v>
      </c>
    </row>
    <row r="6" spans="1:22">
      <c r="A6" s="50">
        <v>2788</v>
      </c>
      <c r="B6" s="50" t="str">
        <f>IF(ISNA(VLOOKUP($A6,Council_Data!$A$3:$AB$840,2,0)),0,VLOOKUP($A6,Council_Data!$A$3:$AB$840,2,0))</f>
        <v>071</v>
      </c>
      <c r="C6" s="50" t="str">
        <f>IF(ISNA(VLOOKUP($A6,Council_Data!$A$3:$AB$840,3,0)),0,VLOOKUP($A6,Council_Data!$A$3:$AB$840,3,0))</f>
        <v>Baytown</v>
      </c>
      <c r="D6" s="93">
        <f>IF(ISNA(VLOOKUP($A6,Council_Data!$A$3:$AB$840,5,0)),0,VLOOKUP($A6,Council_Data!$A$3:$AB$840,5,0))</f>
        <v>106</v>
      </c>
      <c r="E6" s="93">
        <f>IF(ISNA(VLOOKUP($A6,Council_Data!$A$3:$AB$840,6,0)),0,VLOOKUP($A6,Council_Data!$A$3:$AB$840,6,0))</f>
        <v>5</v>
      </c>
      <c r="F6" s="93">
        <f>IF(ISNA(VLOOKUP($A6,Council_Data!$A$3:$AB$840,7,0)),0,VLOOKUP($A6,Council_Data!$A$3:$AB$840,7,0))</f>
        <v>1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1</v>
      </c>
      <c r="I6" s="93">
        <f>IF(ISNA(VLOOKUP($A6,Council_Data!$A$3:$AB$840,10,0)),0,VLOOKUP($A6,Council_Data!$A$3:$AB$840,10,0))</f>
        <v>1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1</v>
      </c>
      <c r="L6" s="94">
        <f>IF(ISNA(VLOOKUP($A6,Council_Data!$A$3:$AB$840,13,0)),0,VLOOKUP($A6,Council_Data!$A$3:$AB$840,13,0))</f>
        <v>20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Rangel</v>
      </c>
    </row>
    <row r="7" spans="1:22">
      <c r="A7" s="50">
        <v>2801</v>
      </c>
      <c r="B7" s="50" t="str">
        <f>IF(ISNA(VLOOKUP($A7,Council_Data!$A$3:$AB$840,2,0)),0,VLOOKUP($A7,Council_Data!$A$3:$AB$840,2,0))</f>
        <v>075</v>
      </c>
      <c r="C7" s="50" t="str">
        <f>IF(ISNA(VLOOKUP($A7,Council_Data!$A$3:$AB$840,3,0)),0,VLOOKUP($A7,Council_Data!$A$3:$AB$840,3,0))</f>
        <v>Rosenberg</v>
      </c>
      <c r="D7" s="93">
        <f>IF(ISNA(VLOOKUP($A7,Council_Data!$A$3:$AB$840,5,0)),0,VLOOKUP($A7,Council_Data!$A$3:$AB$840,5,0))</f>
        <v>333</v>
      </c>
      <c r="E7" s="93">
        <f>IF(ISNA(VLOOKUP($A7,Council_Data!$A$3:$AB$840,6,0)),0,VLOOKUP($A7,Council_Data!$A$3:$AB$840,6,0))</f>
        <v>16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1</v>
      </c>
      <c r="K7" s="93">
        <f>IF(ISNA(VLOOKUP($A7,Council_Data!$A$3:$AB$840,12,0)),0,VLOOKUP($A7,Council_Data!$A$3:$AB$840,12,0))</f>
        <v>-1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2</v>
      </c>
      <c r="P7" s="93">
        <f>IF(ISNA(VLOOKUP($A7,Council_Data!$A$3:$AB$840,17,0)),0,VLOOKUP($A7,Council_Data!$A$3:$AB$840,17,0))</f>
        <v>-2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2</v>
      </c>
      <c r="S7" s="93">
        <f>IF(ISNA(VLOOKUP($A7,Council_Data!$A$3:$AB$840,20,0)),0,VLOOKUP($A7,Council_Data!$A$3:$AB$840,20,0))</f>
        <v>-2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Supak</v>
      </c>
    </row>
    <row r="8" spans="1:22">
      <c r="A8" s="50">
        <v>2917</v>
      </c>
      <c r="B8" s="50" t="str">
        <f>IF(ISNA(VLOOKUP($A8,Council_Data!$A$3:$AB$840,2,0)),0,VLOOKUP($A8,Council_Data!$A$3:$AB$840,2,0))</f>
        <v>088</v>
      </c>
      <c r="C8" s="50" t="str">
        <f>IF(ISNA(VLOOKUP($A8,Council_Data!$A$3:$AB$840,3,0)),0,VLOOKUP($A8,Council_Data!$A$3:$AB$840,3,0))</f>
        <v>Houston</v>
      </c>
      <c r="D8" s="93">
        <f>IF(ISNA(VLOOKUP($A8,Council_Data!$A$3:$AB$840,5,0)),0,VLOOKUP($A8,Council_Data!$A$3:$AB$840,5,0))</f>
        <v>499</v>
      </c>
      <c r="E8" s="93">
        <f>IF(ISNA(VLOOKUP($A8,Council_Data!$A$3:$AB$840,6,0)),0,VLOOKUP($A8,Council_Data!$A$3:$AB$840,6,0))</f>
        <v>20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6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6</v>
      </c>
      <c r="L8" s="94">
        <f>IF(ISNA(VLOOKUP($A8,Council_Data!$A$3:$AB$840,13,0)),0,VLOOKUP($A8,Council_Data!$A$3:$AB$840,13,0))</f>
        <v>30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1</v>
      </c>
      <c r="P8" s="93">
        <f>IF(ISNA(VLOOKUP($A8,Council_Data!$A$3:$AB$840,17,0)),0,VLOOKUP($A8,Council_Data!$A$3:$AB$840,17,0))</f>
        <v>-1</v>
      </c>
      <c r="Q8" s="93">
        <f>IF(ISNA(VLOOKUP($A8,Council_Data!$A$3:$AB$840,18,0)),0,VLOOKUP($A8,Council_Data!$A$3:$AB$840,18,0))</f>
        <v>3</v>
      </c>
      <c r="R8" s="93">
        <f>IF(ISNA(VLOOKUP($A8,Council_Data!$A$3:$AB$840,19,0)),0,VLOOKUP($A8,Council_Data!$A$3:$AB$840,19,0))</f>
        <v>2</v>
      </c>
      <c r="S8" s="93">
        <f>IF(ISNA(VLOOKUP($A8,Council_Data!$A$3:$AB$840,20,0)),0,VLOOKUP($A8,Council_Data!$A$3:$AB$840,20,0))</f>
        <v>1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Rangel</v>
      </c>
    </row>
    <row r="9" spans="1:22">
      <c r="A9" s="50">
        <v>3077</v>
      </c>
      <c r="B9" s="50" t="str">
        <f>IF(ISNA(VLOOKUP($A9,Council_Data!$A$3:$AB$840,2,0)),0,VLOOKUP($A9,Council_Data!$A$3:$AB$840,2,0))</f>
        <v>081</v>
      </c>
      <c r="C9" s="50" t="str">
        <f>IF(ISNA(VLOOKUP($A9,Council_Data!$A$3:$AB$840,3,0)),0,VLOOKUP($A9,Council_Data!$A$3:$AB$840,3,0))</f>
        <v>Houston</v>
      </c>
      <c r="D9" s="93">
        <f>IF(ISNA(VLOOKUP($A9,Council_Data!$A$3:$AB$840,5,0)),0,VLOOKUP($A9,Council_Data!$A$3:$AB$840,5,0))</f>
        <v>237</v>
      </c>
      <c r="E9" s="93">
        <f>IF(ISNA(VLOOKUP($A9,Council_Data!$A$3:$AB$840,6,0)),0,VLOOKUP($A9,Council_Data!$A$3:$AB$840,6,0))</f>
        <v>11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2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2</v>
      </c>
      <c r="L9" s="94">
        <f>IF(ISNA(VLOOKUP($A9,Council_Data!$A$3:$AB$840,13,0)),0,VLOOKUP($A9,Council_Data!$A$3:$AB$840,13,0))</f>
        <v>18.18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2</v>
      </c>
      <c r="P9" s="93">
        <f>IF(ISNA(VLOOKUP($A9,Council_Data!$A$3:$AB$840,17,0)),0,VLOOKUP($A9,Council_Data!$A$3:$AB$840,17,0))</f>
        <v>-2</v>
      </c>
      <c r="Q9" s="93">
        <f>IF(ISNA(VLOOKUP($A9,Council_Data!$A$3:$AB$840,18,0)),0,VLOOKUP($A9,Council_Data!$A$3:$AB$840,18,0))</f>
        <v>3</v>
      </c>
      <c r="R9" s="93">
        <f>IF(ISNA(VLOOKUP($A9,Council_Data!$A$3:$AB$840,19,0)),0,VLOOKUP($A9,Council_Data!$A$3:$AB$840,19,0))</f>
        <v>3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Rangel</v>
      </c>
    </row>
    <row r="10" spans="1:22">
      <c r="A10" s="50">
        <v>3217</v>
      </c>
      <c r="B10" s="50" t="str">
        <f>IF(ISNA(VLOOKUP($A10,Council_Data!$A$3:$AB$840,2,0)),0,VLOOKUP($A10,Council_Data!$A$3:$AB$840,2,0))</f>
        <v>068</v>
      </c>
      <c r="C10" s="50" t="str">
        <f>IF(ISNA(VLOOKUP($A10,Council_Data!$A$3:$AB$840,3,0)),0,VLOOKUP($A10,Council_Data!$A$3:$AB$840,3,0))</f>
        <v>Dickinson</v>
      </c>
      <c r="D10" s="93">
        <f>IF(ISNA(VLOOKUP($A10,Council_Data!$A$3:$AB$840,5,0)),0,VLOOKUP($A10,Council_Data!$A$3:$AB$840,5,0))</f>
        <v>257</v>
      </c>
      <c r="E10" s="93">
        <f>IF(ISNA(VLOOKUP($A10,Council_Data!$A$3:$AB$840,6,0)),0,VLOOKUP($A10,Council_Data!$A$3:$AB$840,6,0))</f>
        <v>12</v>
      </c>
      <c r="F10" s="93">
        <f>IF(ISNA(VLOOKUP($A10,Council_Data!$A$3:$AB$840,7,0)),0,VLOOKUP($A10,Council_Data!$A$3:$AB$840,7,0))</f>
        <v>2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2</v>
      </c>
      <c r="I10" s="93">
        <f>IF(ISNA(VLOOKUP($A10,Council_Data!$A$3:$AB$840,10,0)),0,VLOOKUP($A10,Council_Data!$A$3:$AB$840,10,0))</f>
        <v>4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4</v>
      </c>
      <c r="L10" s="94">
        <f>IF(ISNA(VLOOKUP($A10,Council_Data!$A$3:$AB$840,13,0)),0,VLOOKUP($A10,Council_Data!$A$3:$AB$840,13,0))</f>
        <v>33.33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1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1</v>
      </c>
      <c r="Q10" s="93">
        <f>IF(ISNA(VLOOKUP($A10,Council_Data!$A$3:$AB$840,18,0)),0,VLOOKUP($A10,Council_Data!$A$3:$AB$840,18,0))</f>
        <v>3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2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Rangel</v>
      </c>
    </row>
    <row r="11" spans="1:22">
      <c r="A11" s="50">
        <v>3229</v>
      </c>
      <c r="B11" s="50" t="str">
        <f>IF(ISNA(VLOOKUP($A11,Council_Data!$A$3:$AB$840,2,0)),0,VLOOKUP($A11,Council_Data!$A$3:$AB$840,2,0))</f>
        <v>073</v>
      </c>
      <c r="C11" s="50" t="str">
        <f>IF(ISNA(VLOOKUP($A11,Council_Data!$A$3:$AB$840,3,0)),0,VLOOKUP($A11,Council_Data!$A$3:$AB$840,3,0))</f>
        <v>Crosby</v>
      </c>
      <c r="D11" s="93">
        <f>IF(ISNA(VLOOKUP($A11,Council_Data!$A$3:$AB$840,5,0)),0,VLOOKUP($A11,Council_Data!$A$3:$AB$840,5,0))</f>
        <v>128</v>
      </c>
      <c r="E11" s="93">
        <f>IF(ISNA(VLOOKUP($A11,Council_Data!$A$3:$AB$840,6,0)),0,VLOOKUP($A11,Council_Data!$A$3:$AB$840,6,0))</f>
        <v>6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1</v>
      </c>
      <c r="J11" s="93">
        <f>IF(ISNA(VLOOKUP($A11,Council_Data!$A$3:$AB$840,11,0)),0,VLOOKUP($A11,Council_Data!$A$3:$AB$840,11,0))</f>
        <v>23</v>
      </c>
      <c r="K11" s="93">
        <f>IF(ISNA(VLOOKUP($A11,Council_Data!$A$3:$AB$840,12,0)),0,VLOOKUP($A11,Council_Data!$A$3:$AB$840,12,0))</f>
        <v>-22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1</v>
      </c>
      <c r="P11" s="93">
        <f>IF(ISNA(VLOOKUP($A11,Council_Data!$A$3:$AB$840,17,0)),0,VLOOKUP($A11,Council_Data!$A$3:$AB$840,17,0))</f>
        <v>-1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6</v>
      </c>
      <c r="S11" s="93">
        <f>IF(ISNA(VLOOKUP($A11,Council_Data!$A$3:$AB$840,20,0)),0,VLOOKUP($A11,Council_Data!$A$3:$AB$840,20,0))</f>
        <v>-6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2</v>
      </c>
      <c r="V11" s="50" t="str">
        <f>IF(ISNA(VLOOKUP($A11,Council_Data!$A$3:$AB$840,24,0)),0,VLOOKUP($A11,Council_Data!$A$3:$AB$840,24,0))</f>
        <v>Rangel</v>
      </c>
    </row>
    <row r="12" spans="1:22">
      <c r="A12" s="50">
        <v>3313</v>
      </c>
      <c r="B12" s="50" t="str">
        <f>IF(ISNA(VLOOKUP($A12,Council_Data!$A$3:$AB$840,2,0)),0,VLOOKUP($A12,Council_Data!$A$3:$AB$840,2,0))</f>
        <v>086</v>
      </c>
      <c r="C12" s="50" t="str">
        <f>IF(ISNA(VLOOKUP($A12,Council_Data!$A$3:$AB$840,3,0)),0,VLOOKUP($A12,Council_Data!$A$3:$AB$840,3,0))</f>
        <v>Sealy</v>
      </c>
      <c r="D12" s="93">
        <f>IF(ISNA(VLOOKUP($A12,Council_Data!$A$3:$AB$840,5,0)),0,VLOOKUP($A12,Council_Data!$A$3:$AB$840,5,0))</f>
        <v>230</v>
      </c>
      <c r="E12" s="93">
        <f>IF(ISNA(VLOOKUP($A12,Council_Data!$A$3:$AB$840,6,0)),0,VLOOKUP($A12,Council_Data!$A$3:$AB$840,6,0))</f>
        <v>11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5</v>
      </c>
      <c r="P12" s="93">
        <f>IF(ISNA(VLOOKUP($A12,Council_Data!$A$3:$AB$840,17,0)),0,VLOOKUP($A12,Council_Data!$A$3:$AB$840,17,0))</f>
        <v>-5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5</v>
      </c>
      <c r="S12" s="93">
        <f>IF(ISNA(VLOOKUP($A12,Council_Data!$A$3:$AB$840,20,0)),0,VLOOKUP($A12,Council_Data!$A$3:$AB$840,20,0))</f>
        <v>-4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Supak</v>
      </c>
    </row>
    <row r="13" spans="1:22">
      <c r="A13" s="50">
        <v>3365</v>
      </c>
      <c r="B13" s="50" t="str">
        <f>IF(ISNA(VLOOKUP($A13,Council_Data!$A$3:$AB$840,2,0)),0,VLOOKUP($A13,Council_Data!$A$3:$AB$840,2,0))</f>
        <v>066</v>
      </c>
      <c r="C13" s="50" t="str">
        <f>IF(ISNA(VLOOKUP($A13,Council_Data!$A$3:$AB$840,3,0)),0,VLOOKUP($A13,Council_Data!$A$3:$AB$840,3,0))</f>
        <v>Freeport</v>
      </c>
      <c r="D13" s="93">
        <f>IF(ISNA(VLOOKUP($A13,Council_Data!$A$3:$AB$840,5,0)),0,VLOOKUP($A13,Council_Data!$A$3:$AB$840,5,0))</f>
        <v>111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1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1</v>
      </c>
      <c r="L13" s="94">
        <f>IF(ISNA(VLOOKUP($A13,Council_Data!$A$3:$AB$840,13,0)),0,VLOOKUP($A13,Council_Data!$A$3:$AB$840,13,0))</f>
        <v>20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Supak</v>
      </c>
    </row>
    <row r="14" spans="1:22">
      <c r="A14" s="50">
        <v>3700</v>
      </c>
      <c r="B14" s="50" t="str">
        <f>IF(ISNA(VLOOKUP($A14,Council_Data!$A$3:$AB$840,2,0)),0,VLOOKUP($A14,Council_Data!$A$3:$AB$840,2,0))</f>
        <v>072</v>
      </c>
      <c r="C14" s="50" t="str">
        <f>IF(ISNA(VLOOKUP($A14,Council_Data!$A$3:$AB$840,3,0)),0,VLOOKUP($A14,Council_Data!$A$3:$AB$840,3,0))</f>
        <v>Pasadena</v>
      </c>
      <c r="D14" s="93">
        <f>IF(ISNA(VLOOKUP($A14,Council_Data!$A$3:$AB$840,5,0)),0,VLOOKUP($A14,Council_Data!$A$3:$AB$840,5,0))</f>
        <v>219</v>
      </c>
      <c r="E14" s="93">
        <f>IF(ISNA(VLOOKUP($A14,Council_Data!$A$3:$AB$840,6,0)),0,VLOOKUP($A14,Council_Data!$A$3:$AB$840,6,0))</f>
        <v>9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1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Rangel</v>
      </c>
    </row>
    <row r="15" spans="1:22">
      <c r="A15" s="50">
        <v>3793</v>
      </c>
      <c r="B15" s="50" t="str">
        <f>IF(ISNA(VLOOKUP($A15,Council_Data!$A$3:$AB$840,2,0)),0,VLOOKUP($A15,Council_Data!$A$3:$AB$840,2,0))</f>
        <v>086</v>
      </c>
      <c r="C15" s="50" t="str">
        <f>IF(ISNA(VLOOKUP($A15,Council_Data!$A$3:$AB$840,3,0)),0,VLOOKUP($A15,Council_Data!$A$3:$AB$840,3,0))</f>
        <v>Wallis</v>
      </c>
      <c r="D15" s="93">
        <f>IF(ISNA(VLOOKUP($A15,Council_Data!$A$3:$AB$840,5,0)),0,VLOOKUP($A15,Council_Data!$A$3:$AB$840,5,0))</f>
        <v>203</v>
      </c>
      <c r="E15" s="93">
        <f>IF(ISNA(VLOOKUP($A15,Council_Data!$A$3:$AB$840,6,0)),0,VLOOKUP($A15,Council_Data!$A$3:$AB$840,6,0))</f>
        <v>10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Supak</v>
      </c>
    </row>
    <row r="16" spans="1:22">
      <c r="A16" s="50">
        <v>3910</v>
      </c>
      <c r="B16" s="50" t="str">
        <f>IF(ISNA(VLOOKUP($A16,Council_Data!$A$3:$AB$840,2,0)),0,VLOOKUP($A16,Council_Data!$A$3:$AB$840,2,0))</f>
        <v>080</v>
      </c>
      <c r="C16" s="50" t="str">
        <f>IF(ISNA(VLOOKUP($A16,Council_Data!$A$3:$AB$840,3,0)),0,VLOOKUP($A16,Council_Data!$A$3:$AB$840,3,0))</f>
        <v>Houston</v>
      </c>
      <c r="D16" s="93">
        <f>IF(ISNA(VLOOKUP($A16,Council_Data!$A$3:$AB$840,5,0)),0,VLOOKUP($A16,Council_Data!$A$3:$AB$840,5,0))</f>
        <v>390</v>
      </c>
      <c r="E16" s="93">
        <f>IF(ISNA(VLOOKUP($A16,Council_Data!$A$3:$AB$840,6,0)),0,VLOOKUP($A16,Council_Data!$A$3:$AB$840,6,0))</f>
        <v>19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1</v>
      </c>
      <c r="H16" s="93">
        <f>IF(ISNA(VLOOKUP($A16,Council_Data!$A$3:$AB$840,9,0)),0,VLOOKUP($A16,Council_Data!$A$3:$AB$840,9,0))</f>
        <v>-1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3</v>
      </c>
      <c r="K16" s="93">
        <f>IF(ISNA(VLOOKUP($A16,Council_Data!$A$3:$AB$840,12,0)),0,VLOOKUP($A16,Council_Data!$A$3:$AB$840,12,0))</f>
        <v>-3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3</v>
      </c>
      <c r="P16" s="93">
        <f>IF(ISNA(VLOOKUP($A16,Council_Data!$A$3:$AB$840,17,0)),0,VLOOKUP($A16,Council_Data!$A$3:$AB$840,17,0))</f>
        <v>-3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6</v>
      </c>
      <c r="S16" s="93">
        <f>IF(ISNA(VLOOKUP($A16,Council_Data!$A$3:$AB$840,20,0)),0,VLOOKUP($A16,Council_Data!$A$3:$AB$840,20,0))</f>
        <v>-5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Supak</v>
      </c>
    </row>
    <row r="17" spans="1:22">
      <c r="A17" s="50">
        <v>4054</v>
      </c>
      <c r="B17" s="50" t="str">
        <f>IF(ISNA(VLOOKUP($A17,Council_Data!$A$3:$AB$840,2,0)),0,VLOOKUP($A17,Council_Data!$A$3:$AB$840,2,0))</f>
        <v>095</v>
      </c>
      <c r="C17" s="50" t="str">
        <f>IF(ISNA(VLOOKUP($A17,Council_Data!$A$3:$AB$840,3,0)),0,VLOOKUP($A17,Council_Data!$A$3:$AB$840,3,0))</f>
        <v>Anderson</v>
      </c>
      <c r="D17" s="93">
        <f>IF(ISNA(VLOOKUP($A17,Council_Data!$A$3:$AB$840,5,0)),0,VLOOKUP($A17,Council_Data!$A$3:$AB$840,5,0))</f>
        <v>160</v>
      </c>
      <c r="E17" s="93">
        <f>IF(ISNA(VLOOKUP($A17,Council_Data!$A$3:$AB$840,6,0)),0,VLOOKUP($A17,Council_Data!$A$3:$AB$840,6,0))</f>
        <v>8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1</v>
      </c>
      <c r="P17" s="93">
        <f>IF(ISNA(VLOOKUP($A17,Council_Data!$A$3:$AB$840,17,0)),0,VLOOKUP($A17,Council_Data!$A$3:$AB$840,17,0))</f>
        <v>-1</v>
      </c>
      <c r="Q17" s="93">
        <f>IF(ISNA(VLOOKUP($A17,Council_Data!$A$3:$AB$840,18,0)),0,VLOOKUP($A17,Council_Data!$A$3:$AB$840,18,0))</f>
        <v>1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Rangel</v>
      </c>
    </row>
    <row r="18" spans="1:22">
      <c r="A18" s="50">
        <v>4204</v>
      </c>
      <c r="B18" s="50" t="str">
        <f>IF(ISNA(VLOOKUP($A18,Council_Data!$A$3:$AB$840,2,0)),0,VLOOKUP($A18,Council_Data!$A$3:$AB$840,2,0))</f>
        <v>079</v>
      </c>
      <c r="C18" s="50" t="str">
        <f>IF(ISNA(VLOOKUP($A18,Council_Data!$A$3:$AB$840,3,0)),0,VLOOKUP($A18,Council_Data!$A$3:$AB$840,3,0))</f>
        <v>Sugar Land</v>
      </c>
      <c r="D18" s="93">
        <f>IF(ISNA(VLOOKUP($A18,Council_Data!$A$3:$AB$840,5,0)),0,VLOOKUP($A18,Council_Data!$A$3:$AB$840,5,0))</f>
        <v>465</v>
      </c>
      <c r="E18" s="93">
        <f>IF(ISNA(VLOOKUP($A18,Council_Data!$A$3:$AB$840,6,0)),0,VLOOKUP($A18,Council_Data!$A$3:$AB$840,6,0))</f>
        <v>20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1</v>
      </c>
      <c r="H18" s="93">
        <f>IF(ISNA(VLOOKUP($A18,Council_Data!$A$3:$AB$840,9,0)),0,VLOOKUP($A18,Council_Data!$A$3:$AB$840,9,0))</f>
        <v>-1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2</v>
      </c>
      <c r="K18" s="93">
        <f>IF(ISNA(VLOOKUP($A18,Council_Data!$A$3:$AB$840,12,0)),0,VLOOKUP($A18,Council_Data!$A$3:$AB$840,12,0))</f>
        <v>-2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1</v>
      </c>
      <c r="P18" s="93">
        <f>IF(ISNA(VLOOKUP($A18,Council_Data!$A$3:$AB$840,17,0)),0,VLOOKUP($A18,Council_Data!$A$3:$AB$840,17,0))</f>
        <v>-1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3</v>
      </c>
      <c r="S18" s="93">
        <f>IF(ISNA(VLOOKUP($A18,Council_Data!$A$3:$AB$840,20,0)),0,VLOOKUP($A18,Council_Data!$A$3:$AB$840,20,0))</f>
        <v>-3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Supak</v>
      </c>
    </row>
    <row r="19" spans="1:22">
      <c r="A19" s="50">
        <v>4550</v>
      </c>
      <c r="B19" s="50" t="str">
        <f>IF(ISNA(VLOOKUP($A19,Council_Data!$A$3:$AB$840,2,0)),0,VLOOKUP($A19,Council_Data!$A$3:$AB$840,2,0))</f>
        <v>082</v>
      </c>
      <c r="C19" s="50" t="str">
        <f>IF(ISNA(VLOOKUP($A19,Council_Data!$A$3:$AB$840,3,0)),0,VLOOKUP($A19,Council_Data!$A$3:$AB$840,3,0))</f>
        <v>Houston</v>
      </c>
      <c r="D19" s="93">
        <f>IF(ISNA(VLOOKUP($A19,Council_Data!$A$3:$AB$840,5,0)),0,VLOOKUP($A19,Council_Data!$A$3:$AB$840,5,0))</f>
        <v>266</v>
      </c>
      <c r="E19" s="93">
        <f>IF(ISNA(VLOOKUP($A19,Council_Data!$A$3:$AB$840,6,0)),0,VLOOKUP($A19,Council_Data!$A$3:$AB$840,6,0))</f>
        <v>12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2</v>
      </c>
      <c r="O19" s="93">
        <f>IF(ISNA(VLOOKUP($A19,Council_Data!$A$3:$AB$840,16,0)),0,VLOOKUP($A19,Council_Data!$A$3:$AB$840,16,0))</f>
        <v>1</v>
      </c>
      <c r="P19" s="93">
        <f>IF(ISNA(VLOOKUP($A19,Council_Data!$A$3:$AB$840,17,0)),0,VLOOKUP($A19,Council_Data!$A$3:$AB$840,17,0))</f>
        <v>1</v>
      </c>
      <c r="Q19" s="93">
        <f>IF(ISNA(VLOOKUP($A19,Council_Data!$A$3:$AB$840,18,0)),0,VLOOKUP($A19,Council_Data!$A$3:$AB$840,18,0))</f>
        <v>4</v>
      </c>
      <c r="R19" s="93">
        <f>IF(ISNA(VLOOKUP($A19,Council_Data!$A$3:$AB$840,19,0)),0,VLOOKUP($A19,Council_Data!$A$3:$AB$840,19,0))</f>
        <v>2</v>
      </c>
      <c r="S19" s="93">
        <f>IF(ISNA(VLOOKUP($A19,Council_Data!$A$3:$AB$840,20,0)),0,VLOOKUP($A19,Council_Data!$A$3:$AB$840,20,0))</f>
        <v>2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Rangel</v>
      </c>
    </row>
    <row r="20" spans="1:22">
      <c r="A20" s="50">
        <v>4577</v>
      </c>
      <c r="B20" s="50" t="str">
        <f>IF(ISNA(VLOOKUP($A20,Council_Data!$A$3:$AB$840,2,0)),0,VLOOKUP($A20,Council_Data!$A$3:$AB$840,2,0))</f>
        <v>074</v>
      </c>
      <c r="C20" s="50" t="str">
        <f>IF(ISNA(VLOOKUP($A20,Council_Data!$A$3:$AB$840,3,0)),0,VLOOKUP($A20,Council_Data!$A$3:$AB$840,3,0))</f>
        <v>Houston S</v>
      </c>
      <c r="D20" s="93">
        <f>IF(ISNA(VLOOKUP($A20,Council_Data!$A$3:$AB$840,5,0)),0,VLOOKUP($A20,Council_Data!$A$3:$AB$840,5,0))</f>
        <v>288</v>
      </c>
      <c r="E20" s="93">
        <f>IF(ISNA(VLOOKUP($A20,Council_Data!$A$3:$AB$840,6,0)),0,VLOOKUP($A20,Council_Data!$A$3:$AB$840,6,0))</f>
        <v>12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1</v>
      </c>
      <c r="H20" s="93">
        <f>IF(ISNA(VLOOKUP($A20,Council_Data!$A$3:$AB$840,9,0)),0,VLOOKUP($A20,Council_Data!$A$3:$AB$840,9,0))</f>
        <v>-1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1</v>
      </c>
      <c r="K20" s="93">
        <f>IF(ISNA(VLOOKUP($A20,Council_Data!$A$3:$AB$840,12,0)),0,VLOOKUP($A20,Council_Data!$A$3:$AB$840,12,0))</f>
        <v>-1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1</v>
      </c>
      <c r="P20" s="93">
        <f>IF(ISNA(VLOOKUP($A20,Council_Data!$A$3:$AB$840,17,0)),0,VLOOKUP($A20,Council_Data!$A$3:$AB$840,17,0))</f>
        <v>-1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2</v>
      </c>
      <c r="S20" s="93">
        <f>IF(ISNA(VLOOKUP($A20,Council_Data!$A$3:$AB$840,20,0)),0,VLOOKUP($A20,Council_Data!$A$3:$AB$840,20,0))</f>
        <v>-2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1</v>
      </c>
      <c r="V20" s="50" t="str">
        <f>IF(ISNA(VLOOKUP($A20,Council_Data!$A$3:$AB$840,24,0)),0,VLOOKUP($A20,Council_Data!$A$3:$AB$840,24,0))</f>
        <v>Rangel</v>
      </c>
    </row>
    <row r="21" spans="1:22">
      <c r="A21" s="50">
        <v>5077</v>
      </c>
      <c r="B21" s="50" t="str">
        <f>IF(ISNA(VLOOKUP($A21,Council_Data!$A$3:$AB$840,2,0)),0,VLOOKUP($A21,Council_Data!$A$3:$AB$840,2,0))</f>
        <v>073</v>
      </c>
      <c r="C21" s="50" t="str">
        <f>IF(ISNA(VLOOKUP($A21,Council_Data!$A$3:$AB$840,3,0)),0,VLOOKUP($A21,Council_Data!$A$3:$AB$840,3,0))</f>
        <v>Houston</v>
      </c>
      <c r="D21" s="93">
        <f>IF(ISNA(VLOOKUP($A21,Council_Data!$A$3:$AB$840,5,0)),0,VLOOKUP($A21,Council_Data!$A$3:$AB$840,5,0))</f>
        <v>100</v>
      </c>
      <c r="E21" s="93">
        <f>IF(ISNA(VLOOKUP($A21,Council_Data!$A$3:$AB$840,6,0)),0,VLOOKUP($A21,Council_Data!$A$3:$AB$840,6,0))</f>
        <v>5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2</v>
      </c>
      <c r="V21" s="50" t="str">
        <f>IF(ISNA(VLOOKUP($A21,Council_Data!$A$3:$AB$840,24,0)),0,VLOOKUP($A21,Council_Data!$A$3:$AB$840,24,0))</f>
        <v>Rangel</v>
      </c>
    </row>
    <row r="22" spans="1:22">
      <c r="A22" s="50">
        <v>5155</v>
      </c>
      <c r="B22" s="50" t="str">
        <f>IF(ISNA(VLOOKUP($A22,Council_Data!$A$3:$AB$840,2,0)),0,VLOOKUP($A22,Council_Data!$A$3:$AB$840,2,0))</f>
        <v>069</v>
      </c>
      <c r="C22" s="50" t="str">
        <f>IF(ISNA(VLOOKUP($A22,Council_Data!$A$3:$AB$840,3,0)),0,VLOOKUP($A22,Council_Data!$A$3:$AB$840,3,0))</f>
        <v>Angleton</v>
      </c>
      <c r="D22" s="93">
        <f>IF(ISNA(VLOOKUP($A22,Council_Data!$A$3:$AB$840,5,0)),0,VLOOKUP($A22,Council_Data!$A$3:$AB$840,5,0))</f>
        <v>259</v>
      </c>
      <c r="E22" s="93">
        <f>IF(ISNA(VLOOKUP($A22,Council_Data!$A$3:$AB$840,6,0)),0,VLOOKUP($A22,Council_Data!$A$3:$AB$840,6,0))</f>
        <v>12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1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1</v>
      </c>
      <c r="L22" s="94">
        <f>IF(ISNA(VLOOKUP($A22,Council_Data!$A$3:$AB$840,13,0)),0,VLOOKUP($A22,Council_Data!$A$3:$AB$840,13,0))</f>
        <v>8.33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2</v>
      </c>
      <c r="P22" s="93">
        <f>IF(ISNA(VLOOKUP($A22,Council_Data!$A$3:$AB$840,17,0)),0,VLOOKUP($A22,Council_Data!$A$3:$AB$840,17,0))</f>
        <v>-2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2</v>
      </c>
      <c r="S22" s="93">
        <f>IF(ISNA(VLOOKUP($A22,Council_Data!$A$3:$AB$840,20,0)),0,VLOOKUP($A22,Council_Data!$A$3:$AB$840,20,0))</f>
        <v>-2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Supak</v>
      </c>
    </row>
    <row r="23" spans="1:22">
      <c r="A23" s="50">
        <v>5232</v>
      </c>
      <c r="B23" s="50" t="str">
        <f>IF(ISNA(VLOOKUP($A23,Council_Data!$A$3:$AB$840,2,0)),0,VLOOKUP($A23,Council_Data!$A$3:$AB$840,2,0))</f>
        <v>071</v>
      </c>
      <c r="C23" s="50" t="str">
        <f>IF(ISNA(VLOOKUP($A23,Council_Data!$A$3:$AB$840,3,0)),0,VLOOKUP($A23,Council_Data!$A$3:$AB$840,3,0))</f>
        <v>La Porte</v>
      </c>
      <c r="D23" s="93">
        <f>IF(ISNA(VLOOKUP($A23,Council_Data!$A$3:$AB$840,5,0)),0,VLOOKUP($A23,Council_Data!$A$3:$AB$840,5,0))</f>
        <v>182</v>
      </c>
      <c r="E23" s="93">
        <f>IF(ISNA(VLOOKUP($A23,Council_Data!$A$3:$AB$840,6,0)),0,VLOOKUP($A23,Council_Data!$A$3:$AB$840,6,0))</f>
        <v>9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1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1</v>
      </c>
      <c r="L23" s="94">
        <f>IF(ISNA(VLOOKUP($A23,Council_Data!$A$3:$AB$840,13,0)),0,VLOOKUP($A23,Council_Data!$A$3:$AB$840,13,0))</f>
        <v>11.11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1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Rangel</v>
      </c>
    </row>
    <row r="24" spans="1:22">
      <c r="A24" s="50">
        <v>5236</v>
      </c>
      <c r="B24" s="50" t="str">
        <f>IF(ISNA(VLOOKUP($A24,Council_Data!$A$3:$AB$840,2,0)),0,VLOOKUP($A24,Council_Data!$A$3:$AB$840,2,0))</f>
        <v>068</v>
      </c>
      <c r="C24" s="50" t="str">
        <f>IF(ISNA(VLOOKUP($A24,Council_Data!$A$3:$AB$840,3,0)),0,VLOOKUP($A24,Council_Data!$A$3:$AB$840,3,0))</f>
        <v>La Marque</v>
      </c>
      <c r="D24" s="93">
        <f>IF(ISNA(VLOOKUP($A24,Council_Data!$A$3:$AB$840,5,0)),0,VLOOKUP($A24,Council_Data!$A$3:$AB$840,5,0))</f>
        <v>188</v>
      </c>
      <c r="E24" s="93">
        <f>IF(ISNA(VLOOKUP($A24,Council_Data!$A$3:$AB$840,6,0)),0,VLOOKUP($A24,Council_Data!$A$3:$AB$840,6,0))</f>
        <v>9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1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1</v>
      </c>
      <c r="L24" s="94">
        <f>IF(ISNA(VLOOKUP($A24,Council_Data!$A$3:$AB$840,13,0)),0,VLOOKUP($A24,Council_Data!$A$3:$AB$840,13,0))</f>
        <v>11.11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Rangel</v>
      </c>
    </row>
    <row r="25" spans="1:22">
      <c r="A25" s="50">
        <v>5678</v>
      </c>
      <c r="B25" s="50" t="str">
        <f>IF(ISNA(VLOOKUP($A25,Council_Data!$A$3:$AB$840,2,0)),0,VLOOKUP($A25,Council_Data!$A$3:$AB$840,2,0))</f>
        <v>080</v>
      </c>
      <c r="C25" s="50" t="str">
        <f>IF(ISNA(VLOOKUP($A25,Council_Data!$A$3:$AB$840,3,0)),0,VLOOKUP($A25,Council_Data!$A$3:$AB$840,3,0))</f>
        <v>Houston</v>
      </c>
      <c r="D25" s="93">
        <f>IF(ISNA(VLOOKUP($A25,Council_Data!$A$3:$AB$840,5,0)),0,VLOOKUP($A25,Council_Data!$A$3:$AB$840,5,0))</f>
        <v>168</v>
      </c>
      <c r="E25" s="93">
        <f>IF(ISNA(VLOOKUP($A25,Council_Data!$A$3:$AB$840,6,0)),0,VLOOKUP($A25,Council_Data!$A$3:$AB$840,6,0))</f>
        <v>8</v>
      </c>
      <c r="F25" s="93">
        <f>IF(ISNA(VLOOKUP($A25,Council_Data!$A$3:$AB$840,7,0)),0,VLOOKUP($A25,Council_Data!$A$3:$AB$840,7,0))</f>
        <v>1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1</v>
      </c>
      <c r="I25" s="93">
        <f>IF(ISNA(VLOOKUP($A25,Council_Data!$A$3:$AB$840,10,0)),0,VLOOKUP($A25,Council_Data!$A$3:$AB$840,10,0))</f>
        <v>5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5</v>
      </c>
      <c r="L25" s="94">
        <f>IF(ISNA(VLOOKUP($A25,Council_Data!$A$3:$AB$840,13,0)),0,VLOOKUP($A25,Council_Data!$A$3:$AB$840,13,0))</f>
        <v>62.5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1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1</v>
      </c>
      <c r="Q25" s="93">
        <f>IF(ISNA(VLOOKUP($A25,Council_Data!$A$3:$AB$840,18,0)),0,VLOOKUP($A25,Council_Data!$A$3:$AB$840,18,0))</f>
        <v>2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1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Supak</v>
      </c>
    </row>
    <row r="26" spans="1:22">
      <c r="A26" s="50">
        <v>5921</v>
      </c>
      <c r="B26" s="50" t="str">
        <f>IF(ISNA(VLOOKUP($A26,Council_Data!$A$3:$AB$840,2,0)),0,VLOOKUP($A26,Council_Data!$A$3:$AB$840,2,0))</f>
        <v>094</v>
      </c>
      <c r="C26" s="50" t="str">
        <f>IF(ISNA(VLOOKUP($A26,Council_Data!$A$3:$AB$840,3,0)),0,VLOOKUP($A26,Council_Data!$A$3:$AB$840,3,0))</f>
        <v>New Waverly</v>
      </c>
      <c r="D26" s="93">
        <f>IF(ISNA(VLOOKUP($A26,Council_Data!$A$3:$AB$840,5,0)),0,VLOOKUP($A26,Council_Data!$A$3:$AB$840,5,0))</f>
        <v>106</v>
      </c>
      <c r="E26" s="93">
        <f>IF(ISNA(VLOOKUP($A26,Council_Data!$A$3:$AB$840,6,0)),0,VLOOKUP($A26,Council_Data!$A$3:$AB$840,6,0))</f>
        <v>5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1</v>
      </c>
      <c r="K26" s="93">
        <f>IF(ISNA(VLOOKUP($A26,Council_Data!$A$3:$AB$840,12,0)),0,VLOOKUP($A26,Council_Data!$A$3:$AB$840,12,0))</f>
        <v>-1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1</v>
      </c>
      <c r="S26" s="93">
        <f>IF(ISNA(VLOOKUP($A26,Council_Data!$A$3:$AB$840,20,0)),0,VLOOKUP($A26,Council_Data!$A$3:$AB$840,20,0))</f>
        <v>-1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Rangel</v>
      </c>
    </row>
    <row r="27" spans="1:22">
      <c r="A27" s="50">
        <v>6234</v>
      </c>
      <c r="B27" s="50" t="str">
        <f>IF(ISNA(VLOOKUP($A27,Council_Data!$A$3:$AB$840,2,0)),0,VLOOKUP($A27,Council_Data!$A$3:$AB$840,2,0))</f>
        <v>071</v>
      </c>
      <c r="C27" s="50" t="str">
        <f>IF(ISNA(VLOOKUP($A27,Council_Data!$A$3:$AB$840,3,0)),0,VLOOKUP($A27,Council_Data!$A$3:$AB$840,3,0))</f>
        <v>Nassau Bay</v>
      </c>
      <c r="D27" s="93">
        <f>IF(ISNA(VLOOKUP($A27,Council_Data!$A$3:$AB$840,5,0)),0,VLOOKUP($A27,Council_Data!$A$3:$AB$840,5,0))</f>
        <v>160</v>
      </c>
      <c r="E27" s="93">
        <f>IF(ISNA(VLOOKUP($A27,Council_Data!$A$3:$AB$840,6,0)),0,VLOOKUP($A27,Council_Data!$A$3:$AB$840,6,0))</f>
        <v>8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6</v>
      </c>
      <c r="J27" s="93">
        <f>IF(ISNA(VLOOKUP($A27,Council_Data!$A$3:$AB$840,11,0)),0,VLOOKUP($A27,Council_Data!$A$3:$AB$840,11,0))</f>
        <v>1</v>
      </c>
      <c r="K27" s="93">
        <f>IF(ISNA(VLOOKUP($A27,Council_Data!$A$3:$AB$840,12,0)),0,VLOOKUP($A27,Council_Data!$A$3:$AB$840,12,0))</f>
        <v>5</v>
      </c>
      <c r="L27" s="94">
        <f>IF(ISNA(VLOOKUP($A27,Council_Data!$A$3:$AB$840,13,0)),0,VLOOKUP($A27,Council_Data!$A$3:$AB$840,13,0))</f>
        <v>62.5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2</v>
      </c>
      <c r="R27" s="93">
        <f>IF(ISNA(VLOOKUP($A27,Council_Data!$A$3:$AB$840,19,0)),0,VLOOKUP($A27,Council_Data!$A$3:$AB$840,19,0))</f>
        <v>2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Rangel</v>
      </c>
    </row>
    <row r="28" spans="1:22">
      <c r="A28" s="50">
        <v>6403</v>
      </c>
      <c r="B28" s="50" t="str">
        <f>IF(ISNA(VLOOKUP($A28,Council_Data!$A$3:$AB$840,2,0)),0,VLOOKUP($A28,Council_Data!$A$3:$AB$840,2,0))</f>
        <v>069</v>
      </c>
      <c r="C28" s="50" t="str">
        <f>IF(ISNA(VLOOKUP($A28,Council_Data!$A$3:$AB$840,3,0)),0,VLOOKUP($A28,Council_Data!$A$3:$AB$840,3,0))</f>
        <v>Alvin Manvel</v>
      </c>
      <c r="D28" s="93">
        <f>IF(ISNA(VLOOKUP($A28,Council_Data!$A$3:$AB$840,5,0)),0,VLOOKUP($A28,Council_Data!$A$3:$AB$840,5,0))</f>
        <v>298</v>
      </c>
      <c r="E28" s="93">
        <f>IF(ISNA(VLOOKUP($A28,Council_Data!$A$3:$AB$840,6,0)),0,VLOOKUP($A28,Council_Data!$A$3:$AB$840,6,0))</f>
        <v>14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2</v>
      </c>
      <c r="J28" s="93">
        <f>IF(ISNA(VLOOKUP($A28,Council_Data!$A$3:$AB$840,11,0)),0,VLOOKUP($A28,Council_Data!$A$3:$AB$840,11,0))</f>
        <v>23</v>
      </c>
      <c r="K28" s="93">
        <f>IF(ISNA(VLOOKUP($A28,Council_Data!$A$3:$AB$840,12,0)),0,VLOOKUP($A28,Council_Data!$A$3:$AB$840,12,0))</f>
        <v>-21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2</v>
      </c>
      <c r="R28" s="93">
        <f>IF(ISNA(VLOOKUP($A28,Council_Data!$A$3:$AB$840,19,0)),0,VLOOKUP($A28,Council_Data!$A$3:$AB$840,19,0))</f>
        <v>5</v>
      </c>
      <c r="S28" s="93">
        <f>IF(ISNA(VLOOKUP($A28,Council_Data!$A$3:$AB$840,20,0)),0,VLOOKUP($A28,Council_Data!$A$3:$AB$840,20,0))</f>
        <v>-3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Rangel</v>
      </c>
    </row>
    <row r="29" spans="1:22">
      <c r="A29" s="50">
        <v>6456</v>
      </c>
      <c r="B29" s="50" t="str">
        <f>IF(ISNA(VLOOKUP($A29,Council_Data!$A$3:$AB$840,2,0)),0,VLOOKUP($A29,Council_Data!$A$3:$AB$840,2,0))</f>
        <v>094</v>
      </c>
      <c r="C29" s="50" t="str">
        <f>IF(ISNA(VLOOKUP($A29,Council_Data!$A$3:$AB$840,3,0)),0,VLOOKUP($A29,Council_Data!$A$3:$AB$840,3,0))</f>
        <v>Conroe</v>
      </c>
      <c r="D29" s="93">
        <f>IF(ISNA(VLOOKUP($A29,Council_Data!$A$3:$AB$840,5,0)),0,VLOOKUP($A29,Council_Data!$A$3:$AB$840,5,0))</f>
        <v>324</v>
      </c>
      <c r="E29" s="93">
        <f>IF(ISNA(VLOOKUP($A29,Council_Data!$A$3:$AB$840,6,0)),0,VLOOKUP($A29,Council_Data!$A$3:$AB$840,6,0))</f>
        <v>15</v>
      </c>
      <c r="F29" s="93">
        <f>IF(ISNA(VLOOKUP($A29,Council_Data!$A$3:$AB$840,7,0)),0,VLOOKUP($A29,Council_Data!$A$3:$AB$840,7,0))</f>
        <v>1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1</v>
      </c>
      <c r="I29" s="93">
        <f>IF(ISNA(VLOOKUP($A29,Council_Data!$A$3:$AB$840,10,0)),0,VLOOKUP($A29,Council_Data!$A$3:$AB$840,10,0))</f>
        <v>1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1</v>
      </c>
      <c r="L29" s="94">
        <f>IF(ISNA(VLOOKUP($A29,Council_Data!$A$3:$AB$840,13,0)),0,VLOOKUP($A29,Council_Data!$A$3:$AB$840,13,0))</f>
        <v>6.67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1</v>
      </c>
      <c r="P29" s="93">
        <f>IF(ISNA(VLOOKUP($A29,Council_Data!$A$3:$AB$840,17,0)),0,VLOOKUP($A29,Council_Data!$A$3:$AB$840,17,0))</f>
        <v>-1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2</v>
      </c>
      <c r="S29" s="93">
        <f>IF(ISNA(VLOOKUP($A29,Council_Data!$A$3:$AB$840,20,0)),0,VLOOKUP($A29,Council_Data!$A$3:$AB$840,20,0))</f>
        <v>-2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Rangel</v>
      </c>
    </row>
    <row r="30" spans="1:22">
      <c r="A30" s="50">
        <v>6527</v>
      </c>
      <c r="B30" s="50" t="str">
        <f>IF(ISNA(VLOOKUP($A30,Council_Data!$A$3:$AB$840,2,0)),0,VLOOKUP($A30,Council_Data!$A$3:$AB$840,2,0))</f>
        <v>082</v>
      </c>
      <c r="C30" s="50" t="str">
        <f>IF(ISNA(VLOOKUP($A30,Council_Data!$A$3:$AB$840,3,0)),0,VLOOKUP($A30,Council_Data!$A$3:$AB$840,3,0))</f>
        <v>Houston</v>
      </c>
      <c r="D30" s="93">
        <f>IF(ISNA(VLOOKUP($A30,Council_Data!$A$3:$AB$840,5,0)),0,VLOOKUP($A30,Council_Data!$A$3:$AB$840,5,0))</f>
        <v>312</v>
      </c>
      <c r="E30" s="93">
        <f>IF(ISNA(VLOOKUP($A30,Council_Data!$A$3:$AB$840,6,0)),0,VLOOKUP($A30,Council_Data!$A$3:$AB$840,6,0))</f>
        <v>15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6</v>
      </c>
      <c r="H30" s="93">
        <f>IF(ISNA(VLOOKUP($A30,Council_Data!$A$3:$AB$840,9,0)),0,VLOOKUP($A30,Council_Data!$A$3:$AB$840,9,0))</f>
        <v>-6</v>
      </c>
      <c r="I30" s="93">
        <f>IF(ISNA(VLOOKUP($A30,Council_Data!$A$3:$AB$840,10,0)),0,VLOOKUP($A30,Council_Data!$A$3:$AB$840,10,0))</f>
        <v>5</v>
      </c>
      <c r="J30" s="93">
        <f>IF(ISNA(VLOOKUP($A30,Council_Data!$A$3:$AB$840,11,0)),0,VLOOKUP($A30,Council_Data!$A$3:$AB$840,11,0))</f>
        <v>21</v>
      </c>
      <c r="K30" s="93">
        <f>IF(ISNA(VLOOKUP($A30,Council_Data!$A$3:$AB$840,12,0)),0,VLOOKUP($A30,Council_Data!$A$3:$AB$840,12,0))</f>
        <v>-16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2</v>
      </c>
      <c r="P30" s="93">
        <f>IF(ISNA(VLOOKUP($A30,Council_Data!$A$3:$AB$840,17,0)),0,VLOOKUP($A30,Council_Data!$A$3:$AB$840,17,0))</f>
        <v>-2</v>
      </c>
      <c r="Q30" s="93">
        <f>IF(ISNA(VLOOKUP($A30,Council_Data!$A$3:$AB$840,18,0)),0,VLOOKUP($A30,Council_Data!$A$3:$AB$840,18,0))</f>
        <v>5</v>
      </c>
      <c r="R30" s="93">
        <f>IF(ISNA(VLOOKUP($A30,Council_Data!$A$3:$AB$840,19,0)),0,VLOOKUP($A30,Council_Data!$A$3:$AB$840,19,0))</f>
        <v>11</v>
      </c>
      <c r="S30" s="93">
        <f>IF(ISNA(VLOOKUP($A30,Council_Data!$A$3:$AB$840,20,0)),0,VLOOKUP($A30,Council_Data!$A$3:$AB$840,20,0))</f>
        <v>-6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Supak</v>
      </c>
    </row>
    <row r="31" spans="1:22">
      <c r="A31" s="50">
        <v>6557</v>
      </c>
      <c r="B31" s="50" t="str">
        <f>IF(ISNA(VLOOKUP($A31,Council_Data!$A$3:$AB$840,2,0)),0,VLOOKUP($A31,Council_Data!$A$3:$AB$840,2,0))</f>
        <v>093</v>
      </c>
      <c r="C31" s="50" t="str">
        <f>IF(ISNA(VLOOKUP($A31,Council_Data!$A$3:$AB$840,3,0)),0,VLOOKUP($A31,Council_Data!$A$3:$AB$840,3,0))</f>
        <v>Spring</v>
      </c>
      <c r="D31" s="93">
        <f>IF(ISNA(VLOOKUP($A31,Council_Data!$A$3:$AB$840,5,0)),0,VLOOKUP($A31,Council_Data!$A$3:$AB$840,5,0))</f>
        <v>368</v>
      </c>
      <c r="E31" s="93">
        <f>IF(ISNA(VLOOKUP($A31,Council_Data!$A$3:$AB$840,6,0)),0,VLOOKUP($A31,Council_Data!$A$3:$AB$840,6,0))</f>
        <v>17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3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3</v>
      </c>
      <c r="L31" s="94">
        <f>IF(ISNA(VLOOKUP($A31,Council_Data!$A$3:$AB$840,13,0)),0,VLOOKUP($A31,Council_Data!$A$3:$AB$840,13,0))</f>
        <v>17.649999999999999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1</v>
      </c>
      <c r="P31" s="93">
        <f>IF(ISNA(VLOOKUP($A31,Council_Data!$A$3:$AB$840,17,0)),0,VLOOKUP($A31,Council_Data!$A$3:$AB$840,17,0))</f>
        <v>-1</v>
      </c>
      <c r="Q31" s="93">
        <f>IF(ISNA(VLOOKUP($A31,Council_Data!$A$3:$AB$840,18,0)),0,VLOOKUP($A31,Council_Data!$A$3:$AB$840,18,0))</f>
        <v>2</v>
      </c>
      <c r="R31" s="93">
        <f>IF(ISNA(VLOOKUP($A31,Council_Data!$A$3:$AB$840,19,0)),0,VLOOKUP($A31,Council_Data!$A$3:$AB$840,19,0))</f>
        <v>2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Rangel</v>
      </c>
    </row>
    <row r="32" spans="1:22">
      <c r="A32" s="50">
        <v>6812</v>
      </c>
      <c r="B32" s="50" t="str">
        <f>IF(ISNA(VLOOKUP($A32,Council_Data!$A$3:$AB$840,2,0)),0,VLOOKUP($A32,Council_Data!$A$3:$AB$840,2,0))</f>
        <v>066</v>
      </c>
      <c r="C32" s="50" t="str">
        <f>IF(ISNA(VLOOKUP($A32,Council_Data!$A$3:$AB$840,3,0)),0,VLOOKUP($A32,Council_Data!$A$3:$AB$840,3,0))</f>
        <v>Lake Jackson</v>
      </c>
      <c r="D32" s="93">
        <f>IF(ISNA(VLOOKUP($A32,Council_Data!$A$3:$AB$840,5,0)),0,VLOOKUP($A32,Council_Data!$A$3:$AB$840,5,0))</f>
        <v>351</v>
      </c>
      <c r="E32" s="93">
        <f>IF(ISNA(VLOOKUP($A32,Council_Data!$A$3:$AB$840,6,0)),0,VLOOKUP($A32,Council_Data!$A$3:$AB$840,6,0))</f>
        <v>17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1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1</v>
      </c>
      <c r="V32" s="50" t="str">
        <f>IF(ISNA(VLOOKUP($A32,Council_Data!$A$3:$AB$840,24,0)),0,VLOOKUP($A32,Council_Data!$A$3:$AB$840,24,0))</f>
        <v>Supak</v>
      </c>
    </row>
    <row r="33" spans="1:22">
      <c r="A33" s="50">
        <v>6826</v>
      </c>
      <c r="B33" s="50" t="str">
        <f>IF(ISNA(VLOOKUP($A33,Council_Data!$A$3:$AB$840,2,0)),0,VLOOKUP($A33,Council_Data!$A$3:$AB$840,2,0))</f>
        <v>089</v>
      </c>
      <c r="C33" s="50" t="str">
        <f>IF(ISNA(VLOOKUP($A33,Council_Data!$A$3:$AB$840,3,0)),0,VLOOKUP($A33,Council_Data!$A$3:$AB$840,3,0))</f>
        <v>Houston</v>
      </c>
      <c r="D33" s="93">
        <f>IF(ISNA(VLOOKUP($A33,Council_Data!$A$3:$AB$840,5,0)),0,VLOOKUP($A33,Council_Data!$A$3:$AB$840,5,0))</f>
        <v>47</v>
      </c>
      <c r="E33" s="93">
        <f>IF(ISNA(VLOOKUP($A33,Council_Data!$A$3:$AB$840,6,0)),0,VLOOKUP($A33,Council_Data!$A$3:$AB$840,6,0))</f>
        <v>3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1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1</v>
      </c>
      <c r="L33" s="94">
        <f>IF(ISNA(VLOOKUP($A33,Council_Data!$A$3:$AB$840,13,0)),0,VLOOKUP($A33,Council_Data!$A$3:$AB$840,13,0))</f>
        <v>33.33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3</v>
      </c>
      <c r="V33" s="50" t="str">
        <f>IF(ISNA(VLOOKUP($A33,Council_Data!$A$3:$AB$840,24,0)),0,VLOOKUP($A33,Council_Data!$A$3:$AB$840,24,0))</f>
        <v>Rangel</v>
      </c>
    </row>
    <row r="34" spans="1:22">
      <c r="A34" s="50">
        <v>6859</v>
      </c>
      <c r="B34" s="50" t="str">
        <f>IF(ISNA(VLOOKUP($A34,Council_Data!$A$3:$AB$840,2,0)),0,VLOOKUP($A34,Council_Data!$A$3:$AB$840,2,0))</f>
        <v>098</v>
      </c>
      <c r="C34" s="50" t="str">
        <f>IF(ISNA(VLOOKUP($A34,Council_Data!$A$3:$AB$840,3,0)),0,VLOOKUP($A34,Council_Data!$A$3:$AB$840,3,0))</f>
        <v>Houston</v>
      </c>
      <c r="D34" s="93">
        <f>IF(ISNA(VLOOKUP($A34,Council_Data!$A$3:$AB$840,5,0)),0,VLOOKUP($A34,Council_Data!$A$3:$AB$840,5,0))</f>
        <v>93</v>
      </c>
      <c r="E34" s="93">
        <f>IF(ISNA(VLOOKUP($A34,Council_Data!$A$3:$AB$840,6,0)),0,VLOOKUP($A34,Council_Data!$A$3:$AB$840,6,0))</f>
        <v>4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Supak</v>
      </c>
    </row>
    <row r="35" spans="1:22">
      <c r="A35" s="50">
        <v>6878</v>
      </c>
      <c r="B35" s="50" t="str">
        <f>IF(ISNA(VLOOKUP($A35,Council_Data!$A$3:$AB$840,2,0)),0,VLOOKUP($A35,Council_Data!$A$3:$AB$840,2,0))</f>
        <v>092</v>
      </c>
      <c r="C35" s="50" t="str">
        <f>IF(ISNA(VLOOKUP($A35,Council_Data!$A$3:$AB$840,3,0)),0,VLOOKUP($A35,Council_Data!$A$3:$AB$840,3,0))</f>
        <v>Humble</v>
      </c>
      <c r="D35" s="93">
        <f>IF(ISNA(VLOOKUP($A35,Council_Data!$A$3:$AB$840,5,0)),0,VLOOKUP($A35,Council_Data!$A$3:$AB$840,5,0))</f>
        <v>680</v>
      </c>
      <c r="E35" s="93">
        <f>IF(ISNA(VLOOKUP($A35,Council_Data!$A$3:$AB$840,6,0)),0,VLOOKUP($A35,Council_Data!$A$3:$AB$840,6,0))</f>
        <v>20</v>
      </c>
      <c r="F35" s="93">
        <f>IF(ISNA(VLOOKUP($A35,Council_Data!$A$3:$AB$840,7,0)),0,VLOOKUP($A35,Council_Data!$A$3:$AB$840,7,0))</f>
        <v>1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1</v>
      </c>
      <c r="I35" s="93">
        <f>IF(ISNA(VLOOKUP($A35,Council_Data!$A$3:$AB$840,10,0)),0,VLOOKUP($A35,Council_Data!$A$3:$AB$840,10,0))</f>
        <v>5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5</v>
      </c>
      <c r="L35" s="94">
        <f>IF(ISNA(VLOOKUP($A35,Council_Data!$A$3:$AB$840,13,0)),0,VLOOKUP($A35,Council_Data!$A$3:$AB$840,13,0))</f>
        <v>25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1</v>
      </c>
      <c r="O35" s="93">
        <f>IF(ISNA(VLOOKUP($A35,Council_Data!$A$3:$AB$840,16,0)),0,VLOOKUP($A35,Council_Data!$A$3:$AB$840,16,0))</f>
        <v>3</v>
      </c>
      <c r="P35" s="93">
        <f>IF(ISNA(VLOOKUP($A35,Council_Data!$A$3:$AB$840,17,0)),0,VLOOKUP($A35,Council_Data!$A$3:$AB$840,17,0))</f>
        <v>-2</v>
      </c>
      <c r="Q35" s="93">
        <f>IF(ISNA(VLOOKUP($A35,Council_Data!$A$3:$AB$840,18,0)),0,VLOOKUP($A35,Council_Data!$A$3:$AB$840,18,0))</f>
        <v>4</v>
      </c>
      <c r="R35" s="93">
        <f>IF(ISNA(VLOOKUP($A35,Council_Data!$A$3:$AB$840,19,0)),0,VLOOKUP($A35,Council_Data!$A$3:$AB$840,19,0))</f>
        <v>4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1</v>
      </c>
      <c r="V35" s="50" t="str">
        <f>IF(ISNA(VLOOKUP($A35,Council_Data!$A$3:$AB$840,24,0)),0,VLOOKUP($A35,Council_Data!$A$3:$AB$840,24,0))</f>
        <v>Rangel</v>
      </c>
    </row>
    <row r="36" spans="1:22">
      <c r="A36" s="50">
        <v>6950</v>
      </c>
      <c r="B36" s="50" t="str">
        <f>IF(ISNA(VLOOKUP($A36,Council_Data!$A$3:$AB$840,2,0)),0,VLOOKUP($A36,Council_Data!$A$3:$AB$840,2,0))</f>
        <v>085</v>
      </c>
      <c r="C36" s="50" t="str">
        <f>IF(ISNA(VLOOKUP($A36,Council_Data!$A$3:$AB$840,3,0)),0,VLOOKUP($A36,Council_Data!$A$3:$AB$840,3,0))</f>
        <v>Katy</v>
      </c>
      <c r="D36" s="93">
        <f>IF(ISNA(VLOOKUP($A36,Council_Data!$A$3:$AB$840,5,0)),0,VLOOKUP($A36,Council_Data!$A$3:$AB$840,5,0))</f>
        <v>431</v>
      </c>
      <c r="E36" s="93">
        <f>IF(ISNA(VLOOKUP($A36,Council_Data!$A$3:$AB$840,6,0)),0,VLOOKUP($A36,Council_Data!$A$3:$AB$840,6,0))</f>
        <v>20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4</v>
      </c>
      <c r="H36" s="93">
        <f>IF(ISNA(VLOOKUP($A36,Council_Data!$A$3:$AB$840,9,0)),0,VLOOKUP($A36,Council_Data!$A$3:$AB$840,9,0))</f>
        <v>-4</v>
      </c>
      <c r="I36" s="93">
        <f>IF(ISNA(VLOOKUP($A36,Council_Data!$A$3:$AB$840,10,0)),0,VLOOKUP($A36,Council_Data!$A$3:$AB$840,10,0))</f>
        <v>1</v>
      </c>
      <c r="J36" s="93">
        <f>IF(ISNA(VLOOKUP($A36,Council_Data!$A$3:$AB$840,11,0)),0,VLOOKUP($A36,Council_Data!$A$3:$AB$840,11,0))</f>
        <v>5</v>
      </c>
      <c r="K36" s="93">
        <f>IF(ISNA(VLOOKUP($A36,Council_Data!$A$3:$AB$840,12,0)),0,VLOOKUP($A36,Council_Data!$A$3:$AB$840,12,0))</f>
        <v>-4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1</v>
      </c>
      <c r="O36" s="93">
        <f>IF(ISNA(VLOOKUP($A36,Council_Data!$A$3:$AB$840,16,0)),0,VLOOKUP($A36,Council_Data!$A$3:$AB$840,16,0))</f>
        <v>1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2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Supak</v>
      </c>
    </row>
    <row r="37" spans="1:22">
      <c r="A37" s="50">
        <v>7036</v>
      </c>
      <c r="B37" s="50" t="str">
        <f>IF(ISNA(VLOOKUP($A37,Council_Data!$A$3:$AB$840,2,0)),0,VLOOKUP($A37,Council_Data!$A$3:$AB$840,2,0))</f>
        <v>080</v>
      </c>
      <c r="C37" s="50" t="str">
        <f>IF(ISNA(VLOOKUP($A37,Council_Data!$A$3:$AB$840,3,0)),0,VLOOKUP($A37,Council_Data!$A$3:$AB$840,3,0))</f>
        <v>Houston</v>
      </c>
      <c r="D37" s="93">
        <f>IF(ISNA(VLOOKUP($A37,Council_Data!$A$3:$AB$840,5,0)),0,VLOOKUP($A37,Council_Data!$A$3:$AB$840,5,0))</f>
        <v>208</v>
      </c>
      <c r="E37" s="93">
        <f>IF(ISNA(VLOOKUP($A37,Council_Data!$A$3:$AB$840,6,0)),0,VLOOKUP($A37,Council_Data!$A$3:$AB$840,6,0))</f>
        <v>10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3</v>
      </c>
      <c r="P37" s="93">
        <f>IF(ISNA(VLOOKUP($A37,Council_Data!$A$3:$AB$840,17,0)),0,VLOOKUP($A37,Council_Data!$A$3:$AB$840,17,0))</f>
        <v>-3</v>
      </c>
      <c r="Q37" s="93">
        <f>IF(ISNA(VLOOKUP($A37,Council_Data!$A$3:$AB$840,18,0)),0,VLOOKUP($A37,Council_Data!$A$3:$AB$840,18,0))</f>
        <v>1</v>
      </c>
      <c r="R37" s="93">
        <f>IF(ISNA(VLOOKUP($A37,Council_Data!$A$3:$AB$840,19,0)),0,VLOOKUP($A37,Council_Data!$A$3:$AB$840,19,0))</f>
        <v>5</v>
      </c>
      <c r="S37" s="93">
        <f>IF(ISNA(VLOOKUP($A37,Council_Data!$A$3:$AB$840,20,0)),0,VLOOKUP($A37,Council_Data!$A$3:$AB$840,20,0))</f>
        <v>-4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1</v>
      </c>
      <c r="V37" s="50" t="str">
        <f>IF(ISNA(VLOOKUP($A37,Council_Data!$A$3:$AB$840,24,0)),0,VLOOKUP($A37,Council_Data!$A$3:$AB$840,24,0))</f>
        <v>Supak</v>
      </c>
    </row>
    <row r="38" spans="1:22">
      <c r="A38" s="50">
        <v>7067</v>
      </c>
      <c r="B38" s="50" t="str">
        <f>IF(ISNA(VLOOKUP($A38,Council_Data!$A$3:$AB$840,2,0)),0,VLOOKUP($A38,Council_Data!$A$3:$AB$840,2,0))</f>
        <v>075</v>
      </c>
      <c r="C38" s="50" t="str">
        <f>IF(ISNA(VLOOKUP($A38,Council_Data!$A$3:$AB$840,3,0)),0,VLOOKUP($A38,Council_Data!$A$3:$AB$840,3,0))</f>
        <v>Needville</v>
      </c>
      <c r="D38" s="93">
        <f>IF(ISNA(VLOOKUP($A38,Council_Data!$A$3:$AB$840,5,0)),0,VLOOKUP($A38,Council_Data!$A$3:$AB$840,5,0))</f>
        <v>307</v>
      </c>
      <c r="E38" s="93">
        <f>IF(ISNA(VLOOKUP($A38,Council_Data!$A$3:$AB$840,6,0)),0,VLOOKUP($A38,Council_Data!$A$3:$AB$840,6,0))</f>
        <v>15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4</v>
      </c>
      <c r="J38" s="93">
        <f>IF(ISNA(VLOOKUP($A38,Council_Data!$A$3:$AB$840,11,0)),0,VLOOKUP($A38,Council_Data!$A$3:$AB$840,11,0))</f>
        <v>1</v>
      </c>
      <c r="K38" s="93">
        <f>IF(ISNA(VLOOKUP($A38,Council_Data!$A$3:$AB$840,12,0)),0,VLOOKUP($A38,Council_Data!$A$3:$AB$840,12,0))</f>
        <v>3</v>
      </c>
      <c r="L38" s="94">
        <f>IF(ISNA(VLOOKUP($A38,Council_Data!$A$3:$AB$840,13,0)),0,VLOOKUP($A38,Council_Data!$A$3:$AB$840,13,0))</f>
        <v>20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3</v>
      </c>
      <c r="P38" s="93">
        <f>IF(ISNA(VLOOKUP($A38,Council_Data!$A$3:$AB$840,17,0)),0,VLOOKUP($A38,Council_Data!$A$3:$AB$840,17,0))</f>
        <v>-3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4</v>
      </c>
      <c r="S38" s="93">
        <f>IF(ISNA(VLOOKUP($A38,Council_Data!$A$3:$AB$840,20,0)),0,VLOOKUP($A38,Council_Data!$A$3:$AB$840,20,0))</f>
        <v>-4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1</v>
      </c>
      <c r="V38" s="50" t="str">
        <f>IF(ISNA(VLOOKUP($A38,Council_Data!$A$3:$AB$840,24,0)),0,VLOOKUP($A38,Council_Data!$A$3:$AB$840,24,0))</f>
        <v>Supak</v>
      </c>
    </row>
    <row r="39" spans="1:22">
      <c r="A39" s="50">
        <v>7136</v>
      </c>
      <c r="B39" s="50" t="str">
        <f>IF(ISNA(VLOOKUP($A39,Council_Data!$A$3:$AB$840,2,0)),0,VLOOKUP($A39,Council_Data!$A$3:$AB$840,2,0))</f>
        <v>091</v>
      </c>
      <c r="C39" s="50" t="str">
        <f>IF(ISNA(VLOOKUP($A39,Council_Data!$A$3:$AB$840,3,0)),0,VLOOKUP($A39,Council_Data!$A$3:$AB$840,3,0))</f>
        <v>Houston</v>
      </c>
      <c r="D39" s="93">
        <f>IF(ISNA(VLOOKUP($A39,Council_Data!$A$3:$AB$840,5,0)),0,VLOOKUP($A39,Council_Data!$A$3:$AB$840,5,0))</f>
        <v>120</v>
      </c>
      <c r="E39" s="93">
        <f>IF(ISNA(VLOOKUP($A39,Council_Data!$A$3:$AB$840,6,0)),0,VLOOKUP($A39,Council_Data!$A$3:$AB$840,6,0))</f>
        <v>6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2</v>
      </c>
      <c r="J39" s="93">
        <f>IF(ISNA(VLOOKUP($A39,Council_Data!$A$3:$AB$840,11,0)),0,VLOOKUP($A39,Council_Data!$A$3:$AB$840,11,0))</f>
        <v>5</v>
      </c>
      <c r="K39" s="93">
        <f>IF(ISNA(VLOOKUP($A39,Council_Data!$A$3:$AB$840,12,0)),0,VLOOKUP($A39,Council_Data!$A$3:$AB$840,12,0))</f>
        <v>-3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1</v>
      </c>
      <c r="P39" s="93">
        <f>IF(ISNA(VLOOKUP($A39,Council_Data!$A$3:$AB$840,17,0)),0,VLOOKUP($A39,Council_Data!$A$3:$AB$840,17,0))</f>
        <v>-1</v>
      </c>
      <c r="Q39" s="93">
        <f>IF(ISNA(VLOOKUP($A39,Council_Data!$A$3:$AB$840,18,0)),0,VLOOKUP($A39,Council_Data!$A$3:$AB$840,18,0))</f>
        <v>3</v>
      </c>
      <c r="R39" s="93">
        <f>IF(ISNA(VLOOKUP($A39,Council_Data!$A$3:$AB$840,19,0)),0,VLOOKUP($A39,Council_Data!$A$3:$AB$840,19,0))</f>
        <v>4</v>
      </c>
      <c r="S39" s="93">
        <f>IF(ISNA(VLOOKUP($A39,Council_Data!$A$3:$AB$840,20,0)),0,VLOOKUP($A39,Council_Data!$A$3:$AB$840,20,0))</f>
        <v>-1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2</v>
      </c>
      <c r="V39" s="50" t="str">
        <f>IF(ISNA(VLOOKUP($A39,Council_Data!$A$3:$AB$840,24,0)),0,VLOOKUP($A39,Council_Data!$A$3:$AB$840,24,0))</f>
        <v>Rangel</v>
      </c>
    </row>
    <row r="40" spans="1:22">
      <c r="A40" s="50">
        <v>7153</v>
      </c>
      <c r="B40" s="50" t="str">
        <f>IF(ISNA(VLOOKUP($A40,Council_Data!$A$3:$AB$840,2,0)),0,VLOOKUP($A40,Council_Data!$A$3:$AB$840,2,0))</f>
        <v>094</v>
      </c>
      <c r="C40" s="50" t="str">
        <f>IF(ISNA(VLOOKUP($A40,Council_Data!$A$3:$AB$840,3,0)),0,VLOOKUP($A40,Council_Data!$A$3:$AB$840,3,0))</f>
        <v>Huntsville</v>
      </c>
      <c r="D40" s="93">
        <f>IF(ISNA(VLOOKUP($A40,Council_Data!$A$3:$AB$840,5,0)),0,VLOOKUP($A40,Council_Data!$A$3:$AB$840,5,0))</f>
        <v>87</v>
      </c>
      <c r="E40" s="93">
        <f>IF(ISNA(VLOOKUP($A40,Council_Data!$A$3:$AB$840,6,0)),0,VLOOKUP($A40,Council_Data!$A$3:$AB$840,6,0))</f>
        <v>4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1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1</v>
      </c>
      <c r="L40" s="94">
        <f>IF(ISNA(VLOOKUP($A40,Council_Data!$A$3:$AB$840,13,0)),0,VLOOKUP($A40,Council_Data!$A$3:$AB$840,13,0))</f>
        <v>25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2</v>
      </c>
      <c r="V40" s="50" t="str">
        <f>IF(ISNA(VLOOKUP($A40,Council_Data!$A$3:$AB$840,24,0)),0,VLOOKUP($A40,Council_Data!$A$3:$AB$840,24,0))</f>
        <v>Rangel</v>
      </c>
    </row>
    <row r="41" spans="1:22">
      <c r="A41" s="50">
        <v>7206</v>
      </c>
      <c r="B41" s="50" t="str">
        <f>IF(ISNA(VLOOKUP($A41,Council_Data!$A$3:$AB$840,2,0)),0,VLOOKUP($A41,Council_Data!$A$3:$AB$840,2,0))</f>
        <v>071</v>
      </c>
      <c r="C41" s="50" t="str">
        <f>IF(ISNA(VLOOKUP($A41,Council_Data!$A$3:$AB$840,3,0)),0,VLOOKUP($A41,Council_Data!$A$3:$AB$840,3,0))</f>
        <v>Baytown</v>
      </c>
      <c r="D41" s="93">
        <f>IF(ISNA(VLOOKUP($A41,Council_Data!$A$3:$AB$840,5,0)),0,VLOOKUP($A41,Council_Data!$A$3:$AB$840,5,0))</f>
        <v>115</v>
      </c>
      <c r="E41" s="93">
        <f>IF(ISNA(VLOOKUP($A41,Council_Data!$A$3:$AB$840,6,0)),0,VLOOKUP($A41,Council_Data!$A$3:$AB$840,6,0))</f>
        <v>6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1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1</v>
      </c>
      <c r="L41" s="94">
        <f>IF(ISNA(VLOOKUP($A41,Council_Data!$A$3:$AB$840,13,0)),0,VLOOKUP($A41,Council_Data!$A$3:$AB$840,13,0))</f>
        <v>16.670000000000002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Rangel</v>
      </c>
    </row>
    <row r="42" spans="1:22">
      <c r="A42" s="50">
        <v>7230</v>
      </c>
      <c r="B42" s="50" t="str">
        <f>IF(ISNA(VLOOKUP($A42,Council_Data!$A$3:$AB$840,2,0)),0,VLOOKUP($A42,Council_Data!$A$3:$AB$840,2,0))</f>
        <v>081</v>
      </c>
      <c r="C42" s="50" t="str">
        <f>IF(ISNA(VLOOKUP($A42,Council_Data!$A$3:$AB$840,3,0)),0,VLOOKUP($A42,Council_Data!$A$3:$AB$840,3,0))</f>
        <v>Houston</v>
      </c>
      <c r="D42" s="93">
        <f>IF(ISNA(VLOOKUP($A42,Council_Data!$A$3:$AB$840,5,0)),0,VLOOKUP($A42,Council_Data!$A$3:$AB$840,5,0))</f>
        <v>79</v>
      </c>
      <c r="E42" s="93">
        <f>IF(ISNA(VLOOKUP($A42,Council_Data!$A$3:$AB$840,6,0)),0,VLOOKUP($A42,Council_Data!$A$3:$AB$840,6,0))</f>
        <v>4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1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1</v>
      </c>
      <c r="L42" s="94">
        <f>IF(ISNA(VLOOKUP($A42,Council_Data!$A$3:$AB$840,13,0)),0,VLOOKUP($A42,Council_Data!$A$3:$AB$840,13,0))</f>
        <v>25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1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2</v>
      </c>
      <c r="V42" s="50" t="str">
        <f>IF(ISNA(VLOOKUP($A42,Council_Data!$A$3:$AB$840,24,0)),0,VLOOKUP($A42,Council_Data!$A$3:$AB$840,24,0))</f>
        <v>Rangel</v>
      </c>
    </row>
    <row r="43" spans="1:22" ht="25.5">
      <c r="A43" s="50">
        <v>7345</v>
      </c>
      <c r="B43" s="50" t="str">
        <f>IF(ISNA(VLOOKUP($A43,Council_Data!$A$3:$AB$840,2,0)),0,VLOOKUP($A43,Council_Data!$A$3:$AB$840,2,0))</f>
        <v>Unassigned</v>
      </c>
      <c r="C43" s="50" t="str">
        <f>IF(ISNA(VLOOKUP($A43,Council_Data!$A$3:$AB$840,3,0)),0,VLOOKUP($A43,Council_Data!$A$3:$AB$840,3,0))</f>
        <v>Texas City</v>
      </c>
      <c r="D43" s="93">
        <f>IF(ISNA(VLOOKUP($A43,Council_Data!$A$3:$AB$840,5,0)),0,VLOOKUP($A43,Council_Data!$A$3:$AB$840,5,0))</f>
        <v>0</v>
      </c>
      <c r="E43" s="93">
        <f>IF(ISNA(VLOOKUP($A43,Council_Data!$A$3:$AB$840,6,0)),0,VLOOKUP($A43,Council_Data!$A$3:$AB$840,6,0))</f>
        <v>0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3</v>
      </c>
      <c r="V43" s="50" t="str">
        <f>IF(ISNA(VLOOKUP($A43,Council_Data!$A$3:$AB$840,24,0)),0,VLOOKUP($A43,Council_Data!$A$3:$AB$840,24,0))</f>
        <v>Rangel</v>
      </c>
    </row>
    <row r="44" spans="1:22">
      <c r="A44" s="50">
        <v>7382</v>
      </c>
      <c r="B44" s="50" t="str">
        <f>IF(ISNA(VLOOKUP($A44,Council_Data!$A$3:$AB$840,2,0)),0,VLOOKUP($A44,Council_Data!$A$3:$AB$840,2,0))</f>
        <v>079</v>
      </c>
      <c r="C44" s="50" t="str">
        <f>IF(ISNA(VLOOKUP($A44,Council_Data!$A$3:$AB$840,3,0)),0,VLOOKUP($A44,Council_Data!$A$3:$AB$840,3,0))</f>
        <v>Houston</v>
      </c>
      <c r="D44" s="93">
        <f>IF(ISNA(VLOOKUP($A44,Council_Data!$A$3:$AB$840,5,0)),0,VLOOKUP($A44,Council_Data!$A$3:$AB$840,5,0))</f>
        <v>259</v>
      </c>
      <c r="E44" s="93">
        <f>IF(ISNA(VLOOKUP($A44,Council_Data!$A$3:$AB$840,6,0)),0,VLOOKUP($A44,Council_Data!$A$3:$AB$840,6,0))</f>
        <v>13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1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1</v>
      </c>
      <c r="L44" s="94">
        <f>IF(ISNA(VLOOKUP($A44,Council_Data!$A$3:$AB$840,13,0)),0,VLOOKUP($A44,Council_Data!$A$3:$AB$840,13,0))</f>
        <v>7.69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4</v>
      </c>
      <c r="P44" s="93">
        <f>IF(ISNA(VLOOKUP($A44,Council_Data!$A$3:$AB$840,17,0)),0,VLOOKUP($A44,Council_Data!$A$3:$AB$840,17,0))</f>
        <v>-4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4</v>
      </c>
      <c r="S44" s="93">
        <f>IF(ISNA(VLOOKUP($A44,Council_Data!$A$3:$AB$840,20,0)),0,VLOOKUP($A44,Council_Data!$A$3:$AB$840,20,0))</f>
        <v>-3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1</v>
      </c>
      <c r="V44" s="50" t="str">
        <f>IF(ISNA(VLOOKUP($A44,Council_Data!$A$3:$AB$840,24,0)),0,VLOOKUP($A44,Council_Data!$A$3:$AB$840,24,0))</f>
        <v>Supak</v>
      </c>
    </row>
    <row r="45" spans="1:22">
      <c r="A45" s="50">
        <v>7445</v>
      </c>
      <c r="B45" s="50" t="str">
        <f>IF(ISNA(VLOOKUP($A45,Council_Data!$A$3:$AB$840,2,0)),0,VLOOKUP($A45,Council_Data!$A$3:$AB$840,2,0))</f>
        <v>075</v>
      </c>
      <c r="C45" s="50" t="str">
        <f>IF(ISNA(VLOOKUP($A45,Council_Data!$A$3:$AB$840,3,0)),0,VLOOKUP($A45,Council_Data!$A$3:$AB$840,3,0))</f>
        <v>Richmond</v>
      </c>
      <c r="D45" s="93">
        <f>IF(ISNA(VLOOKUP($A45,Council_Data!$A$3:$AB$840,5,0)),0,VLOOKUP($A45,Council_Data!$A$3:$AB$840,5,0))</f>
        <v>251</v>
      </c>
      <c r="E45" s="93">
        <f>IF(ISNA(VLOOKUP($A45,Council_Data!$A$3:$AB$840,6,0)),0,VLOOKUP($A45,Council_Data!$A$3:$AB$840,6,0))</f>
        <v>12</v>
      </c>
      <c r="F45" s="93">
        <f>IF(ISNA(VLOOKUP($A45,Council_Data!$A$3:$AB$840,7,0)),0,VLOOKUP($A45,Council_Data!$A$3:$AB$840,7,0))</f>
        <v>1</v>
      </c>
      <c r="G45" s="93">
        <f>IF(ISNA(VLOOKUP($A45,Council_Data!$A$3:$AB$840,8,0)),0,VLOOKUP($A45,Council_Data!$A$3:$AB$840,8,0))</f>
        <v>3</v>
      </c>
      <c r="H45" s="93">
        <f>IF(ISNA(VLOOKUP($A45,Council_Data!$A$3:$AB$840,9,0)),0,VLOOKUP($A45,Council_Data!$A$3:$AB$840,9,0))</f>
        <v>-2</v>
      </c>
      <c r="I45" s="93">
        <f>IF(ISNA(VLOOKUP($A45,Council_Data!$A$3:$AB$840,10,0)),0,VLOOKUP($A45,Council_Data!$A$3:$AB$840,10,0))</f>
        <v>2</v>
      </c>
      <c r="J45" s="93">
        <f>IF(ISNA(VLOOKUP($A45,Council_Data!$A$3:$AB$840,11,0)),0,VLOOKUP($A45,Council_Data!$A$3:$AB$840,11,0))</f>
        <v>3</v>
      </c>
      <c r="K45" s="93">
        <f>IF(ISNA(VLOOKUP($A45,Council_Data!$A$3:$AB$840,12,0)),0,VLOOKUP($A45,Council_Data!$A$3:$AB$840,12,0))</f>
        <v>-1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1</v>
      </c>
      <c r="O45" s="93">
        <f>IF(ISNA(VLOOKUP($A45,Council_Data!$A$3:$AB$840,16,0)),0,VLOOKUP($A45,Council_Data!$A$3:$AB$840,16,0))</f>
        <v>2</v>
      </c>
      <c r="P45" s="93">
        <f>IF(ISNA(VLOOKUP($A45,Council_Data!$A$3:$AB$840,17,0)),0,VLOOKUP($A45,Council_Data!$A$3:$AB$840,17,0))</f>
        <v>-1</v>
      </c>
      <c r="Q45" s="93">
        <f>IF(ISNA(VLOOKUP($A45,Council_Data!$A$3:$AB$840,18,0)),0,VLOOKUP($A45,Council_Data!$A$3:$AB$840,18,0))</f>
        <v>2</v>
      </c>
      <c r="R45" s="93">
        <f>IF(ISNA(VLOOKUP($A45,Council_Data!$A$3:$AB$840,19,0)),0,VLOOKUP($A45,Council_Data!$A$3:$AB$840,19,0))</f>
        <v>4</v>
      </c>
      <c r="S45" s="93">
        <f>IF(ISNA(VLOOKUP($A45,Council_Data!$A$3:$AB$840,20,0)),0,VLOOKUP($A45,Council_Data!$A$3:$AB$840,20,0))</f>
        <v>-2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1</v>
      </c>
      <c r="V45" s="50" t="str">
        <f>IF(ISNA(VLOOKUP($A45,Council_Data!$A$3:$AB$840,24,0)),0,VLOOKUP($A45,Council_Data!$A$3:$AB$840,24,0))</f>
        <v>Supak</v>
      </c>
    </row>
    <row r="46" spans="1:22">
      <c r="A46" s="50">
        <v>7468</v>
      </c>
      <c r="B46" s="50" t="str">
        <f>IF(ISNA(VLOOKUP($A46,Council_Data!$A$3:$AB$840,2,0)),0,VLOOKUP($A46,Council_Data!$A$3:$AB$840,2,0))</f>
        <v>065</v>
      </c>
      <c r="C46" s="50" t="str">
        <f>IF(ISNA(VLOOKUP($A46,Council_Data!$A$3:$AB$840,3,0)),0,VLOOKUP($A46,Council_Data!$A$3:$AB$840,3,0))</f>
        <v>Baytown</v>
      </c>
      <c r="D46" s="93">
        <f>IF(ISNA(VLOOKUP($A46,Council_Data!$A$3:$AB$840,5,0)),0,VLOOKUP($A46,Council_Data!$A$3:$AB$840,5,0))</f>
        <v>37</v>
      </c>
      <c r="E46" s="93">
        <f>IF(ISNA(VLOOKUP($A46,Council_Data!$A$3:$AB$840,6,0)),0,VLOOKUP($A46,Council_Data!$A$3:$AB$840,6,0))</f>
        <v>3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3</v>
      </c>
      <c r="V46" s="50" t="str">
        <f>IF(ISNA(VLOOKUP($A46,Council_Data!$A$3:$AB$840,24,0)),0,VLOOKUP($A46,Council_Data!$A$3:$AB$840,24,0))</f>
        <v>Rangel</v>
      </c>
    </row>
    <row r="47" spans="1:22">
      <c r="A47" s="50">
        <v>7532</v>
      </c>
      <c r="B47" s="50" t="str">
        <f>IF(ISNA(VLOOKUP($A47,Council_Data!$A$3:$AB$840,2,0)),0,VLOOKUP($A47,Council_Data!$A$3:$AB$840,2,0))</f>
        <v>081</v>
      </c>
      <c r="C47" s="50" t="str">
        <f>IF(ISNA(VLOOKUP($A47,Council_Data!$A$3:$AB$840,3,0)),0,VLOOKUP($A47,Council_Data!$A$3:$AB$840,3,0))</f>
        <v>Houston</v>
      </c>
      <c r="D47" s="93">
        <f>IF(ISNA(VLOOKUP($A47,Council_Data!$A$3:$AB$840,5,0)),0,VLOOKUP($A47,Council_Data!$A$3:$AB$840,5,0))</f>
        <v>60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Rangel</v>
      </c>
    </row>
    <row r="48" spans="1:22">
      <c r="A48" s="50">
        <v>7728</v>
      </c>
      <c r="B48" s="50" t="str">
        <f>IF(ISNA(VLOOKUP($A48,Council_Data!$A$3:$AB$840,2,0)),0,VLOOKUP($A48,Council_Data!$A$3:$AB$840,2,0))</f>
        <v>079</v>
      </c>
      <c r="C48" s="50" t="str">
        <f>IF(ISNA(VLOOKUP($A48,Council_Data!$A$3:$AB$840,3,0)),0,VLOOKUP($A48,Council_Data!$A$3:$AB$840,3,0))</f>
        <v>Missouri City</v>
      </c>
      <c r="D48" s="93">
        <f>IF(ISNA(VLOOKUP($A48,Council_Data!$A$3:$AB$840,5,0)),0,VLOOKUP($A48,Council_Data!$A$3:$AB$840,5,0))</f>
        <v>248</v>
      </c>
      <c r="E48" s="93">
        <f>IF(ISNA(VLOOKUP($A48,Council_Data!$A$3:$AB$840,6,0)),0,VLOOKUP($A48,Council_Data!$A$3:$AB$840,6,0))</f>
        <v>12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5</v>
      </c>
      <c r="H48" s="93">
        <f>IF(ISNA(VLOOKUP($A48,Council_Data!$A$3:$AB$840,9,0)),0,VLOOKUP($A48,Council_Data!$A$3:$AB$840,9,0))</f>
        <v>-5</v>
      </c>
      <c r="I48" s="93">
        <f>IF(ISNA(VLOOKUP($A48,Council_Data!$A$3:$AB$840,10,0)),0,VLOOKUP($A48,Council_Data!$A$3:$AB$840,10,0))</f>
        <v>3</v>
      </c>
      <c r="J48" s="93">
        <f>IF(ISNA(VLOOKUP($A48,Council_Data!$A$3:$AB$840,11,0)),0,VLOOKUP($A48,Council_Data!$A$3:$AB$840,11,0))</f>
        <v>5</v>
      </c>
      <c r="K48" s="93">
        <f>IF(ISNA(VLOOKUP($A48,Council_Data!$A$3:$AB$840,12,0)),0,VLOOKUP($A48,Council_Data!$A$3:$AB$840,12,0))</f>
        <v>-2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2</v>
      </c>
      <c r="P48" s="93">
        <f>IF(ISNA(VLOOKUP($A48,Council_Data!$A$3:$AB$840,17,0)),0,VLOOKUP($A48,Council_Data!$A$3:$AB$840,17,0))</f>
        <v>-2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2</v>
      </c>
      <c r="S48" s="93">
        <f>IF(ISNA(VLOOKUP($A48,Council_Data!$A$3:$AB$840,20,0)),0,VLOOKUP($A48,Council_Data!$A$3:$AB$840,20,0))</f>
        <v>-1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Supak</v>
      </c>
    </row>
    <row r="49" spans="1:22">
      <c r="A49" s="50">
        <v>7901</v>
      </c>
      <c r="B49" s="50" t="str">
        <f>IF(ISNA(VLOOKUP($A49,Council_Data!$A$3:$AB$840,2,0)),0,VLOOKUP($A49,Council_Data!$A$3:$AB$840,2,0))</f>
        <v>087</v>
      </c>
      <c r="C49" s="50" t="str">
        <f>IF(ISNA(VLOOKUP($A49,Council_Data!$A$3:$AB$840,3,0)),0,VLOOKUP($A49,Council_Data!$A$3:$AB$840,3,0))</f>
        <v>Houston</v>
      </c>
      <c r="D49" s="93">
        <f>IF(ISNA(VLOOKUP($A49,Council_Data!$A$3:$AB$840,5,0)),0,VLOOKUP($A49,Council_Data!$A$3:$AB$840,5,0))</f>
        <v>287</v>
      </c>
      <c r="E49" s="93">
        <f>IF(ISNA(VLOOKUP($A49,Council_Data!$A$3:$AB$840,6,0)),0,VLOOKUP($A49,Council_Data!$A$3:$AB$840,6,0))</f>
        <v>14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1</v>
      </c>
      <c r="V49" s="50" t="str">
        <f>IF(ISNA(VLOOKUP($A49,Council_Data!$A$3:$AB$840,24,0)),0,VLOOKUP($A49,Council_Data!$A$3:$AB$840,24,0))</f>
        <v>Rangel</v>
      </c>
    </row>
    <row r="50" spans="1:22">
      <c r="A50" s="50">
        <v>8024</v>
      </c>
      <c r="B50" s="50" t="str">
        <f>IF(ISNA(VLOOKUP($A50,Council_Data!$A$3:$AB$840,2,0)),0,VLOOKUP($A50,Council_Data!$A$3:$AB$840,2,0))</f>
        <v>087</v>
      </c>
      <c r="C50" s="50" t="str">
        <f>IF(ISNA(VLOOKUP($A50,Council_Data!$A$3:$AB$840,3,0)),0,VLOOKUP($A50,Council_Data!$A$3:$AB$840,3,0))</f>
        <v>Houston</v>
      </c>
      <c r="D50" s="93">
        <f>IF(ISNA(VLOOKUP($A50,Council_Data!$A$3:$AB$840,5,0)),0,VLOOKUP($A50,Council_Data!$A$3:$AB$840,5,0))</f>
        <v>100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2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2</v>
      </c>
      <c r="I50" s="93">
        <f>IF(ISNA(VLOOKUP($A50,Council_Data!$A$3:$AB$840,10,0)),0,VLOOKUP($A50,Council_Data!$A$3:$AB$840,10,0))</f>
        <v>4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4</v>
      </c>
      <c r="L50" s="94">
        <f>IF(ISNA(VLOOKUP($A50,Council_Data!$A$3:$AB$840,13,0)),0,VLOOKUP($A50,Council_Data!$A$3:$AB$840,13,0))</f>
        <v>80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Supak</v>
      </c>
    </row>
    <row r="51" spans="1:22">
      <c r="A51" s="50">
        <v>8096</v>
      </c>
      <c r="B51" s="50" t="str">
        <f>IF(ISNA(VLOOKUP($A51,Council_Data!$A$3:$AB$840,2,0)),0,VLOOKUP($A51,Council_Data!$A$3:$AB$840,2,0))</f>
        <v>090</v>
      </c>
      <c r="C51" s="50" t="str">
        <f>IF(ISNA(VLOOKUP($A51,Council_Data!$A$3:$AB$840,3,0)),0,VLOOKUP($A51,Council_Data!$A$3:$AB$840,3,0))</f>
        <v>Houston</v>
      </c>
      <c r="D51" s="93">
        <f>IF(ISNA(VLOOKUP($A51,Council_Data!$A$3:$AB$840,5,0)),0,VLOOKUP($A51,Council_Data!$A$3:$AB$840,5,0))</f>
        <v>307</v>
      </c>
      <c r="E51" s="93">
        <f>IF(ISNA(VLOOKUP($A51,Council_Data!$A$3:$AB$840,6,0)),0,VLOOKUP($A51,Council_Data!$A$3:$AB$840,6,0))</f>
        <v>14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1</v>
      </c>
      <c r="H51" s="93">
        <f>IF(ISNA(VLOOKUP($A51,Council_Data!$A$3:$AB$840,9,0)),0,VLOOKUP($A51,Council_Data!$A$3:$AB$840,9,0))</f>
        <v>-1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2</v>
      </c>
      <c r="K51" s="93">
        <f>IF(ISNA(VLOOKUP($A51,Council_Data!$A$3:$AB$840,12,0)),0,VLOOKUP($A51,Council_Data!$A$3:$AB$840,12,0))</f>
        <v>-2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-1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1</v>
      </c>
      <c r="V51" s="50" t="str">
        <f>IF(ISNA(VLOOKUP($A51,Council_Data!$A$3:$AB$840,24,0)),0,VLOOKUP($A51,Council_Data!$A$3:$AB$840,24,0))</f>
        <v>Rangel</v>
      </c>
    </row>
    <row r="52" spans="1:22">
      <c r="A52" s="50">
        <v>8247</v>
      </c>
      <c r="B52" s="50" t="str">
        <f>IF(ISNA(VLOOKUP($A52,Council_Data!$A$3:$AB$840,2,0)),0,VLOOKUP($A52,Council_Data!$A$3:$AB$840,2,0))</f>
        <v>089</v>
      </c>
      <c r="C52" s="50" t="str">
        <f>IF(ISNA(VLOOKUP($A52,Council_Data!$A$3:$AB$840,3,0)),0,VLOOKUP($A52,Council_Data!$A$3:$AB$840,3,0))</f>
        <v>Houston</v>
      </c>
      <c r="D52" s="93">
        <f>IF(ISNA(VLOOKUP($A52,Council_Data!$A$3:$AB$840,5,0)),0,VLOOKUP($A52,Council_Data!$A$3:$AB$840,5,0))</f>
        <v>108</v>
      </c>
      <c r="E52" s="93">
        <f>IF(ISNA(VLOOKUP($A52,Council_Data!$A$3:$AB$840,6,0)),0,VLOOKUP($A52,Council_Data!$A$3:$AB$840,6,0))</f>
        <v>5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1</v>
      </c>
      <c r="L52" s="94">
        <f>IF(ISNA(VLOOKUP($A52,Council_Data!$A$3:$AB$840,13,0)),0,VLOOKUP($A52,Council_Data!$A$3:$AB$840,13,0))</f>
        <v>20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1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1</v>
      </c>
      <c r="Q52" s="93">
        <f>IF(ISNA(VLOOKUP($A52,Council_Data!$A$3:$AB$840,18,0)),0,VLOOKUP($A52,Council_Data!$A$3:$AB$840,18,0))</f>
        <v>2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2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Rangel</v>
      </c>
    </row>
    <row r="53" spans="1:22">
      <c r="A53" s="50">
        <v>8293</v>
      </c>
      <c r="B53" s="50" t="str">
        <f>IF(ISNA(VLOOKUP($A53,Council_Data!$A$3:$AB$840,2,0)),0,VLOOKUP($A53,Council_Data!$A$3:$AB$840,2,0))</f>
        <v>082</v>
      </c>
      <c r="C53" s="50" t="str">
        <f>IF(ISNA(VLOOKUP($A53,Council_Data!$A$3:$AB$840,3,0)),0,VLOOKUP($A53,Council_Data!$A$3:$AB$840,3,0))</f>
        <v>Houston</v>
      </c>
      <c r="D53" s="93">
        <f>IF(ISNA(VLOOKUP($A53,Council_Data!$A$3:$AB$840,5,0)),0,VLOOKUP($A53,Council_Data!$A$3:$AB$840,5,0))</f>
        <v>194</v>
      </c>
      <c r="E53" s="93">
        <f>IF(ISNA(VLOOKUP($A53,Council_Data!$A$3:$AB$840,6,0)),0,VLOOKUP($A53,Council_Data!$A$3:$AB$840,6,0))</f>
        <v>10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4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4</v>
      </c>
      <c r="L53" s="94">
        <f>IF(ISNA(VLOOKUP($A53,Council_Data!$A$3:$AB$840,13,0)),0,VLOOKUP($A53,Council_Data!$A$3:$AB$840,13,0))</f>
        <v>40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3</v>
      </c>
      <c r="R53" s="93">
        <f>IF(ISNA(VLOOKUP($A53,Council_Data!$A$3:$AB$840,19,0)),0,VLOOKUP($A53,Council_Data!$A$3:$AB$840,19,0))</f>
        <v>1</v>
      </c>
      <c r="S53" s="93">
        <f>IF(ISNA(VLOOKUP($A53,Council_Data!$A$3:$AB$840,20,0)),0,VLOOKUP($A53,Council_Data!$A$3:$AB$840,20,0))</f>
        <v>2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1</v>
      </c>
      <c r="V53" s="50" t="str">
        <f>IF(ISNA(VLOOKUP($A53,Council_Data!$A$3:$AB$840,24,0)),0,VLOOKUP($A53,Council_Data!$A$3:$AB$840,24,0))</f>
        <v>Supak</v>
      </c>
    </row>
    <row r="54" spans="1:22">
      <c r="A54" s="50">
        <v>8404</v>
      </c>
      <c r="B54" s="50" t="str">
        <f>IF(ISNA(VLOOKUP($A54,Council_Data!$A$3:$AB$840,2,0)),0,VLOOKUP($A54,Council_Data!$A$3:$AB$840,2,0))</f>
        <v>088</v>
      </c>
      <c r="C54" s="50" t="str">
        <f>IF(ISNA(VLOOKUP($A54,Council_Data!$A$3:$AB$840,3,0)),0,VLOOKUP($A54,Council_Data!$A$3:$AB$840,3,0))</f>
        <v>Houston</v>
      </c>
      <c r="D54" s="93">
        <f>IF(ISNA(VLOOKUP($A54,Council_Data!$A$3:$AB$840,5,0)),0,VLOOKUP($A54,Council_Data!$A$3:$AB$840,5,0))</f>
        <v>173</v>
      </c>
      <c r="E54" s="93">
        <f>IF(ISNA(VLOOKUP($A54,Council_Data!$A$3:$AB$840,6,0)),0,VLOOKUP($A54,Council_Data!$A$3:$AB$840,6,0))</f>
        <v>9</v>
      </c>
      <c r="F54" s="93">
        <f>IF(ISNA(VLOOKUP($A54,Council_Data!$A$3:$AB$840,7,0)),0,VLOOKUP($A54,Council_Data!$A$3:$AB$840,7,0))</f>
        <v>2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2</v>
      </c>
      <c r="I54" s="93">
        <f>IF(ISNA(VLOOKUP($A54,Council_Data!$A$3:$AB$840,10,0)),0,VLOOKUP($A54,Council_Data!$A$3:$AB$840,10,0))</f>
        <v>3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3</v>
      </c>
      <c r="L54" s="94">
        <f>IF(ISNA(VLOOKUP($A54,Council_Data!$A$3:$AB$840,13,0)),0,VLOOKUP($A54,Council_Data!$A$3:$AB$840,13,0))</f>
        <v>33.33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1</v>
      </c>
      <c r="R54" s="93">
        <f>IF(ISNA(VLOOKUP($A54,Council_Data!$A$3:$AB$840,19,0)),0,VLOOKUP($A54,Council_Data!$A$3:$AB$840,19,0))</f>
        <v>1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1</v>
      </c>
      <c r="V54" s="50" t="str">
        <f>IF(ISNA(VLOOKUP($A54,Council_Data!$A$3:$AB$840,24,0)),0,VLOOKUP($A54,Council_Data!$A$3:$AB$840,24,0))</f>
        <v>Rangel</v>
      </c>
    </row>
    <row r="55" spans="1:22">
      <c r="A55" s="50">
        <v>8482</v>
      </c>
      <c r="B55" s="50" t="str">
        <f>IF(ISNA(VLOOKUP($A55,Council_Data!$A$3:$AB$840,2,0)),0,VLOOKUP($A55,Council_Data!$A$3:$AB$840,2,0))</f>
        <v>099</v>
      </c>
      <c r="C55" s="50" t="str">
        <f>IF(ISNA(VLOOKUP($A55,Council_Data!$A$3:$AB$840,3,0)),0,VLOOKUP($A55,Council_Data!$A$3:$AB$840,3,0))</f>
        <v>Houston</v>
      </c>
      <c r="D55" s="93">
        <f>IF(ISNA(VLOOKUP($A55,Council_Data!$A$3:$AB$840,5,0)),0,VLOOKUP($A55,Council_Data!$A$3:$AB$840,5,0))</f>
        <v>475</v>
      </c>
      <c r="E55" s="93">
        <f>IF(ISNA(VLOOKUP($A55,Council_Data!$A$3:$AB$840,6,0)),0,VLOOKUP($A55,Council_Data!$A$3:$AB$840,6,0))</f>
        <v>20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2</v>
      </c>
      <c r="H55" s="93">
        <f>IF(ISNA(VLOOKUP($A55,Council_Data!$A$3:$AB$840,9,0)),0,VLOOKUP($A55,Council_Data!$A$3:$AB$840,9,0))</f>
        <v>-2</v>
      </c>
      <c r="I55" s="93">
        <f>IF(ISNA(VLOOKUP($A55,Council_Data!$A$3:$AB$840,10,0)),0,VLOOKUP($A55,Council_Data!$A$3:$AB$840,10,0))</f>
        <v>2</v>
      </c>
      <c r="J55" s="93">
        <f>IF(ISNA(VLOOKUP($A55,Council_Data!$A$3:$AB$840,11,0)),0,VLOOKUP($A55,Council_Data!$A$3:$AB$840,11,0))</f>
        <v>14</v>
      </c>
      <c r="K55" s="93">
        <f>IF(ISNA(VLOOKUP($A55,Council_Data!$A$3:$AB$840,12,0)),0,VLOOKUP($A55,Council_Data!$A$3:$AB$840,12,0))</f>
        <v>-12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2</v>
      </c>
      <c r="P55" s="93">
        <f>IF(ISNA(VLOOKUP($A55,Council_Data!$A$3:$AB$840,17,0)),0,VLOOKUP($A55,Council_Data!$A$3:$AB$840,17,0))</f>
        <v>-2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5</v>
      </c>
      <c r="S55" s="93">
        <f>IF(ISNA(VLOOKUP($A55,Council_Data!$A$3:$AB$840,20,0)),0,VLOOKUP($A55,Council_Data!$A$3:$AB$840,20,0))</f>
        <v>-5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1</v>
      </c>
      <c r="V55" s="50" t="str">
        <f>IF(ISNA(VLOOKUP($A55,Council_Data!$A$3:$AB$840,24,0)),0,VLOOKUP($A55,Council_Data!$A$3:$AB$840,24,0))</f>
        <v>Rangel</v>
      </c>
    </row>
    <row r="56" spans="1:22">
      <c r="A56" s="50">
        <v>8494</v>
      </c>
      <c r="B56" s="50" t="str">
        <f>IF(ISNA(VLOOKUP($A56,Council_Data!$A$3:$AB$840,2,0)),0,VLOOKUP($A56,Council_Data!$A$3:$AB$840,2,0))</f>
        <v>070</v>
      </c>
      <c r="C56" s="50" t="str">
        <f>IF(ISNA(VLOOKUP($A56,Council_Data!$A$3:$AB$840,3,0)),0,VLOOKUP($A56,Council_Data!$A$3:$AB$840,3,0))</f>
        <v>Friendswood</v>
      </c>
      <c r="D56" s="93">
        <f>IF(ISNA(VLOOKUP($A56,Council_Data!$A$3:$AB$840,5,0)),0,VLOOKUP($A56,Council_Data!$A$3:$AB$840,5,0))</f>
        <v>294</v>
      </c>
      <c r="E56" s="93">
        <f>IF(ISNA(VLOOKUP($A56,Council_Data!$A$3:$AB$840,6,0)),0,VLOOKUP($A56,Council_Data!$A$3:$AB$840,6,0))</f>
        <v>15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11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11</v>
      </c>
      <c r="L56" s="94">
        <f>IF(ISNA(VLOOKUP($A56,Council_Data!$A$3:$AB$840,13,0)),0,VLOOKUP($A56,Council_Data!$A$3:$AB$840,13,0))</f>
        <v>73.33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1</v>
      </c>
      <c r="S56" s="93">
        <f>IF(ISNA(VLOOKUP($A56,Council_Data!$A$3:$AB$840,20,0)),0,VLOOKUP($A56,Council_Data!$A$3:$AB$840,20,0))</f>
        <v>-1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1</v>
      </c>
      <c r="V56" s="50" t="str">
        <f>IF(ISNA(VLOOKUP($A56,Council_Data!$A$3:$AB$840,24,0)),0,VLOOKUP($A56,Council_Data!$A$3:$AB$840,24,0))</f>
        <v>Rangel</v>
      </c>
    </row>
    <row r="57" spans="1:22">
      <c r="A57" s="50">
        <v>8548</v>
      </c>
      <c r="B57" s="50" t="str">
        <f>IF(ISNA(VLOOKUP($A57,Council_Data!$A$3:$AB$840,2,0)),0,VLOOKUP($A57,Council_Data!$A$3:$AB$840,2,0))</f>
        <v>066</v>
      </c>
      <c r="C57" s="50" t="str">
        <f>IF(ISNA(VLOOKUP($A57,Council_Data!$A$3:$AB$840,3,0)),0,VLOOKUP($A57,Council_Data!$A$3:$AB$840,3,0))</f>
        <v>Brazoria</v>
      </c>
      <c r="D57" s="93">
        <f>IF(ISNA(VLOOKUP($A57,Council_Data!$A$3:$AB$840,5,0)),0,VLOOKUP($A57,Council_Data!$A$3:$AB$840,5,0))</f>
        <v>118</v>
      </c>
      <c r="E57" s="93">
        <f>IF(ISNA(VLOOKUP($A57,Council_Data!$A$3:$AB$840,6,0)),0,VLOOKUP($A57,Council_Data!$A$3:$AB$840,6,0))</f>
        <v>6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1</v>
      </c>
      <c r="P57" s="93">
        <f>IF(ISNA(VLOOKUP($A57,Council_Data!$A$3:$AB$840,17,0)),0,VLOOKUP($A57,Council_Data!$A$3:$AB$840,17,0))</f>
        <v>-1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1</v>
      </c>
      <c r="S57" s="93">
        <f>IF(ISNA(VLOOKUP($A57,Council_Data!$A$3:$AB$840,20,0)),0,VLOOKUP($A57,Council_Data!$A$3:$AB$840,20,0))</f>
        <v>-1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2</v>
      </c>
      <c r="V57" s="50" t="str">
        <f>IF(ISNA(VLOOKUP($A57,Council_Data!$A$3:$AB$840,24,0)),0,VLOOKUP($A57,Council_Data!$A$3:$AB$840,24,0))</f>
        <v>Supak</v>
      </c>
    </row>
    <row r="58" spans="1:22">
      <c r="A58" s="50">
        <v>8734</v>
      </c>
      <c r="B58" s="50" t="str">
        <f>IF(ISNA(VLOOKUP($A58,Council_Data!$A$3:$AB$840,2,0)),0,VLOOKUP($A58,Council_Data!$A$3:$AB$840,2,0))</f>
        <v>089</v>
      </c>
      <c r="C58" s="50" t="str">
        <f>IF(ISNA(VLOOKUP($A58,Council_Data!$A$3:$AB$840,3,0)),0,VLOOKUP($A58,Council_Data!$A$3:$AB$840,3,0))</f>
        <v>Houston</v>
      </c>
      <c r="D58" s="93">
        <f>IF(ISNA(VLOOKUP($A58,Council_Data!$A$3:$AB$840,5,0)),0,VLOOKUP($A58,Council_Data!$A$3:$AB$840,5,0))</f>
        <v>49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0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0</v>
      </c>
      <c r="L58" s="94">
        <f>IF(ISNA(VLOOKUP($A58,Council_Data!$A$3:$AB$840,13,0)),0,VLOOKUP($A58,Council_Data!$A$3:$AB$840,13,0))</f>
        <v>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0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0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Rangel</v>
      </c>
    </row>
    <row r="59" spans="1:22">
      <c r="A59" s="50">
        <v>8771</v>
      </c>
      <c r="B59" s="50" t="str">
        <f>IF(ISNA(VLOOKUP($A59,Council_Data!$A$3:$AB$840,2,0)),0,VLOOKUP($A59,Council_Data!$A$3:$AB$840,2,0))</f>
        <v>090</v>
      </c>
      <c r="C59" s="50" t="str">
        <f>IF(ISNA(VLOOKUP($A59,Council_Data!$A$3:$AB$840,3,0)),0,VLOOKUP($A59,Council_Data!$A$3:$AB$840,3,0))</f>
        <v>Houston</v>
      </c>
      <c r="D59" s="93">
        <f>IF(ISNA(VLOOKUP($A59,Council_Data!$A$3:$AB$840,5,0)),0,VLOOKUP($A59,Council_Data!$A$3:$AB$840,5,0))</f>
        <v>717</v>
      </c>
      <c r="E59" s="93">
        <f>IF(ISNA(VLOOKUP($A59,Council_Data!$A$3:$AB$840,6,0)),0,VLOOKUP($A59,Council_Data!$A$3:$AB$840,6,0))</f>
        <v>20</v>
      </c>
      <c r="F59" s="93">
        <f>IF(ISNA(VLOOKUP($A59,Council_Data!$A$3:$AB$840,7,0)),0,VLOOKUP($A59,Council_Data!$A$3:$AB$840,7,0))</f>
        <v>1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1</v>
      </c>
      <c r="I59" s="93">
        <f>IF(ISNA(VLOOKUP($A59,Council_Data!$A$3:$AB$840,10,0)),0,VLOOKUP($A59,Council_Data!$A$3:$AB$840,10,0))</f>
        <v>4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4</v>
      </c>
      <c r="L59" s="94">
        <f>IF(ISNA(VLOOKUP($A59,Council_Data!$A$3:$AB$840,13,0)),0,VLOOKUP($A59,Council_Data!$A$3:$AB$840,13,0))</f>
        <v>20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1</v>
      </c>
      <c r="O59" s="93">
        <f>IF(ISNA(VLOOKUP($A59,Council_Data!$A$3:$AB$840,16,0)),0,VLOOKUP($A59,Council_Data!$A$3:$AB$840,16,0))</f>
        <v>2</v>
      </c>
      <c r="P59" s="93">
        <f>IF(ISNA(VLOOKUP($A59,Council_Data!$A$3:$AB$840,17,0)),0,VLOOKUP($A59,Council_Data!$A$3:$AB$840,17,0))</f>
        <v>-1</v>
      </c>
      <c r="Q59" s="93">
        <f>IF(ISNA(VLOOKUP($A59,Council_Data!$A$3:$AB$840,18,0)),0,VLOOKUP($A59,Council_Data!$A$3:$AB$840,18,0))</f>
        <v>3</v>
      </c>
      <c r="R59" s="93">
        <f>IF(ISNA(VLOOKUP($A59,Council_Data!$A$3:$AB$840,19,0)),0,VLOOKUP($A59,Council_Data!$A$3:$AB$840,19,0))</f>
        <v>4</v>
      </c>
      <c r="S59" s="93">
        <f>IF(ISNA(VLOOKUP($A59,Council_Data!$A$3:$AB$840,20,0)),0,VLOOKUP($A59,Council_Data!$A$3:$AB$840,20,0))</f>
        <v>-1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1</v>
      </c>
      <c r="V59" s="50" t="str">
        <f>IF(ISNA(VLOOKUP($A59,Council_Data!$A$3:$AB$840,24,0)),0,VLOOKUP($A59,Council_Data!$A$3:$AB$840,24,0))</f>
        <v>Rangel</v>
      </c>
    </row>
    <row r="60" spans="1:22">
      <c r="A60" s="50">
        <v>8960</v>
      </c>
      <c r="B60" s="50" t="str">
        <f>IF(ISNA(VLOOKUP($A60,Council_Data!$A$3:$AB$840,2,0)),0,VLOOKUP($A60,Council_Data!$A$3:$AB$840,2,0))</f>
        <v>074</v>
      </c>
      <c r="C60" s="50" t="str">
        <f>IF(ISNA(VLOOKUP($A60,Council_Data!$A$3:$AB$840,3,0)),0,VLOOKUP($A60,Council_Data!$A$3:$AB$840,3,0))</f>
        <v>Pearland</v>
      </c>
      <c r="D60" s="93">
        <f>IF(ISNA(VLOOKUP($A60,Council_Data!$A$3:$AB$840,5,0)),0,VLOOKUP($A60,Council_Data!$A$3:$AB$840,5,0))</f>
        <v>478</v>
      </c>
      <c r="E60" s="93">
        <f>IF(ISNA(VLOOKUP($A60,Council_Data!$A$3:$AB$840,6,0)),0,VLOOKUP($A60,Council_Data!$A$3:$AB$840,6,0))</f>
        <v>20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5</v>
      </c>
      <c r="J60" s="93">
        <f>IF(ISNA(VLOOKUP($A60,Council_Data!$A$3:$AB$840,11,0)),0,VLOOKUP($A60,Council_Data!$A$3:$AB$840,11,0))</f>
        <v>51</v>
      </c>
      <c r="K60" s="93">
        <f>IF(ISNA(VLOOKUP($A60,Council_Data!$A$3:$AB$840,12,0)),0,VLOOKUP($A60,Council_Data!$A$3:$AB$840,12,0))</f>
        <v>-46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1</v>
      </c>
      <c r="P60" s="93">
        <f>IF(ISNA(VLOOKUP($A60,Council_Data!$A$3:$AB$840,17,0)),0,VLOOKUP($A60,Council_Data!$A$3:$AB$840,17,0))</f>
        <v>-1</v>
      </c>
      <c r="Q60" s="93">
        <f>IF(ISNA(VLOOKUP($A60,Council_Data!$A$3:$AB$840,18,0)),0,VLOOKUP($A60,Council_Data!$A$3:$AB$840,18,0))</f>
        <v>1</v>
      </c>
      <c r="R60" s="93">
        <f>IF(ISNA(VLOOKUP($A60,Council_Data!$A$3:$AB$840,19,0)),0,VLOOKUP($A60,Council_Data!$A$3:$AB$840,19,0))</f>
        <v>12</v>
      </c>
      <c r="S60" s="93">
        <f>IF(ISNA(VLOOKUP($A60,Council_Data!$A$3:$AB$840,20,0)),0,VLOOKUP($A60,Council_Data!$A$3:$AB$840,20,0))</f>
        <v>-11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1</v>
      </c>
      <c r="V60" s="50" t="str">
        <f>IF(ISNA(VLOOKUP($A60,Council_Data!$A$3:$AB$840,24,0)),0,VLOOKUP($A60,Council_Data!$A$3:$AB$840,24,0))</f>
        <v>Rangel</v>
      </c>
    </row>
    <row r="61" spans="1:22">
      <c r="A61" s="50">
        <v>9041</v>
      </c>
      <c r="B61" s="50" t="str">
        <f>IF(ISNA(VLOOKUP($A61,Council_Data!$A$3:$AB$840,2,0)),0,VLOOKUP($A61,Council_Data!$A$3:$AB$840,2,0))</f>
        <v>073</v>
      </c>
      <c r="C61" s="50" t="str">
        <f>IF(ISNA(VLOOKUP($A61,Council_Data!$A$3:$AB$840,3,0)),0,VLOOKUP($A61,Council_Data!$A$3:$AB$840,3,0))</f>
        <v>Channelview</v>
      </c>
      <c r="D61" s="93">
        <f>IF(ISNA(VLOOKUP($A61,Council_Data!$A$3:$AB$840,5,0)),0,VLOOKUP($A61,Council_Data!$A$3:$AB$840,5,0))</f>
        <v>103</v>
      </c>
      <c r="E61" s="93">
        <f>IF(ISNA(VLOOKUP($A61,Council_Data!$A$3:$AB$840,6,0)),0,VLOOKUP($A61,Council_Data!$A$3:$AB$840,6,0))</f>
        <v>5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1</v>
      </c>
      <c r="P61" s="93">
        <f>IF(ISNA(VLOOKUP($A61,Council_Data!$A$3:$AB$840,17,0)),0,VLOOKUP($A61,Council_Data!$A$3:$AB$840,17,0))</f>
        <v>-1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1</v>
      </c>
      <c r="S61" s="93">
        <f>IF(ISNA(VLOOKUP($A61,Council_Data!$A$3:$AB$840,20,0)),0,VLOOKUP($A61,Council_Data!$A$3:$AB$840,20,0))</f>
        <v>-1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2</v>
      </c>
      <c r="V61" s="50" t="str">
        <f>IF(ISNA(VLOOKUP($A61,Council_Data!$A$3:$AB$840,24,0)),0,VLOOKUP($A61,Council_Data!$A$3:$AB$840,24,0))</f>
        <v>Rangel</v>
      </c>
    </row>
    <row r="62" spans="1:22">
      <c r="A62" s="50">
        <v>9201</v>
      </c>
      <c r="B62" s="50" t="str">
        <f>IF(ISNA(VLOOKUP($A62,Council_Data!$A$3:$AB$840,2,0)),0,VLOOKUP($A62,Council_Data!$A$3:$AB$840,2,0))</f>
        <v>070</v>
      </c>
      <c r="C62" s="50" t="str">
        <f>IF(ISNA(VLOOKUP($A62,Council_Data!$A$3:$AB$840,3,0)),0,VLOOKUP($A62,Council_Data!$A$3:$AB$840,3,0))</f>
        <v>Houston</v>
      </c>
      <c r="D62" s="93">
        <f>IF(ISNA(VLOOKUP($A62,Council_Data!$A$3:$AB$840,5,0)),0,VLOOKUP($A62,Council_Data!$A$3:$AB$840,5,0))</f>
        <v>216</v>
      </c>
      <c r="E62" s="93">
        <f>IF(ISNA(VLOOKUP($A62,Council_Data!$A$3:$AB$840,6,0)),0,VLOOKUP($A62,Council_Data!$A$3:$AB$840,6,0))</f>
        <v>10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0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1</v>
      </c>
      <c r="P62" s="93">
        <f>IF(ISNA(VLOOKUP($A62,Council_Data!$A$3:$AB$840,17,0)),0,VLOOKUP($A62,Council_Data!$A$3:$AB$840,17,0))</f>
        <v>-1</v>
      </c>
      <c r="Q62" s="93">
        <f>IF(ISNA(VLOOKUP($A62,Council_Data!$A$3:$AB$840,18,0)),0,VLOOKUP($A62,Council_Data!$A$3:$AB$840,18,0))</f>
        <v>1</v>
      </c>
      <c r="R62" s="93">
        <f>IF(ISNA(VLOOKUP($A62,Council_Data!$A$3:$AB$840,19,0)),0,VLOOKUP($A62,Council_Data!$A$3:$AB$840,19,0))</f>
        <v>1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1</v>
      </c>
      <c r="V62" s="50" t="str">
        <f>IF(ISNA(VLOOKUP($A62,Council_Data!$A$3:$AB$840,24,0)),0,VLOOKUP($A62,Council_Data!$A$3:$AB$840,24,0))</f>
        <v>Rangel</v>
      </c>
    </row>
    <row r="63" spans="1:22">
      <c r="A63" s="50">
        <v>9268</v>
      </c>
      <c r="B63" s="50" t="str">
        <f>IF(ISNA(VLOOKUP($A63,Council_Data!$A$3:$AB$840,2,0)),0,VLOOKUP($A63,Council_Data!$A$3:$AB$840,2,0))</f>
        <v>084</v>
      </c>
      <c r="C63" s="50" t="str">
        <f>IF(ISNA(VLOOKUP($A63,Council_Data!$A$3:$AB$840,3,0)),0,VLOOKUP($A63,Council_Data!$A$3:$AB$840,3,0))</f>
        <v>Bellville</v>
      </c>
      <c r="D63" s="93">
        <f>IF(ISNA(VLOOKUP($A63,Council_Data!$A$3:$AB$840,5,0)),0,VLOOKUP($A63,Council_Data!$A$3:$AB$840,5,0))</f>
        <v>86</v>
      </c>
      <c r="E63" s="93">
        <f>IF(ISNA(VLOOKUP($A63,Council_Data!$A$3:$AB$840,6,0)),0,VLOOKUP($A63,Council_Data!$A$3:$AB$840,6,0))</f>
        <v>4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3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3</v>
      </c>
      <c r="L63" s="94">
        <f>IF(ISNA(VLOOKUP($A63,Council_Data!$A$3:$AB$840,13,0)),0,VLOOKUP($A63,Council_Data!$A$3:$AB$840,13,0))</f>
        <v>75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1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1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2</v>
      </c>
      <c r="V63" s="50" t="str">
        <f>IF(ISNA(VLOOKUP($A63,Council_Data!$A$3:$AB$840,24,0)),0,VLOOKUP($A63,Council_Data!$A$3:$AB$840,24,0))</f>
        <v>Supak</v>
      </c>
    </row>
    <row r="64" spans="1:22">
      <c r="A64" s="50">
        <v>9310</v>
      </c>
      <c r="B64" s="50" t="str">
        <f>IF(ISNA(VLOOKUP($A64,Council_Data!$A$3:$AB$840,2,0)),0,VLOOKUP($A64,Council_Data!$A$3:$AB$840,2,0))</f>
        <v>068</v>
      </c>
      <c r="C64" s="50" t="str">
        <f>IF(ISNA(VLOOKUP($A64,Council_Data!$A$3:$AB$840,3,0)),0,VLOOKUP($A64,Council_Data!$A$3:$AB$840,3,0))</f>
        <v>League City</v>
      </c>
      <c r="D64" s="93">
        <f>IF(ISNA(VLOOKUP($A64,Council_Data!$A$3:$AB$840,5,0)),0,VLOOKUP($A64,Council_Data!$A$3:$AB$840,5,0))</f>
        <v>313</v>
      </c>
      <c r="E64" s="93">
        <f>IF(ISNA(VLOOKUP($A64,Council_Data!$A$3:$AB$840,6,0)),0,VLOOKUP($A64,Council_Data!$A$3:$AB$840,6,0))</f>
        <v>15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1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1</v>
      </c>
      <c r="L64" s="94">
        <f>IF(ISNA(VLOOKUP($A64,Council_Data!$A$3:$AB$840,13,0)),0,VLOOKUP($A64,Council_Data!$A$3:$AB$840,13,0))</f>
        <v>6.67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0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0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1</v>
      </c>
      <c r="V64" s="50" t="str">
        <f>IF(ISNA(VLOOKUP($A64,Council_Data!$A$3:$AB$840,24,0)),0,VLOOKUP($A64,Council_Data!$A$3:$AB$840,24,0))</f>
        <v>Rangel</v>
      </c>
    </row>
    <row r="65" spans="1:22">
      <c r="A65" s="50">
        <v>9321</v>
      </c>
      <c r="B65" s="50" t="str">
        <f>IF(ISNA(VLOOKUP($A65,Council_Data!$A$3:$AB$840,2,0)),0,VLOOKUP($A65,Council_Data!$A$3:$AB$840,2,0))</f>
        <v>064</v>
      </c>
      <c r="C65" s="50" t="str">
        <f>IF(ISNA(VLOOKUP($A65,Council_Data!$A$3:$AB$840,3,0)),0,VLOOKUP($A65,Council_Data!$A$3:$AB$840,3,0))</f>
        <v>Houston</v>
      </c>
      <c r="D65" s="93">
        <f>IF(ISNA(VLOOKUP($A65,Council_Data!$A$3:$AB$840,5,0)),0,VLOOKUP($A65,Council_Data!$A$3:$AB$840,5,0))</f>
        <v>64</v>
      </c>
      <c r="E65" s="93">
        <f>IF(ISNA(VLOOKUP($A65,Council_Data!$A$3:$AB$840,6,0)),0,VLOOKUP($A65,Council_Data!$A$3:$AB$840,6,0))</f>
        <v>3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0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0</v>
      </c>
      <c r="L65" s="94">
        <f>IF(ISNA(VLOOKUP($A65,Council_Data!$A$3:$AB$840,13,0)),0,VLOOKUP($A65,Council_Data!$A$3:$AB$840,13,0))</f>
        <v>0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0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0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3</v>
      </c>
      <c r="V65" s="50" t="str">
        <f>IF(ISNA(VLOOKUP($A65,Council_Data!$A$3:$AB$840,24,0)),0,VLOOKUP($A65,Council_Data!$A$3:$AB$840,24,0))</f>
        <v>Rangel</v>
      </c>
    </row>
    <row r="66" spans="1:22">
      <c r="A66" s="50">
        <v>9367</v>
      </c>
      <c r="B66" s="50" t="str">
        <f>IF(ISNA(VLOOKUP($A66,Council_Data!$A$3:$AB$840,2,0)),0,VLOOKUP($A66,Council_Data!$A$3:$AB$840,2,0))</f>
        <v>095</v>
      </c>
      <c r="C66" s="50" t="str">
        <f>IF(ISNA(VLOOKUP($A66,Council_Data!$A$3:$AB$840,3,0)),0,VLOOKUP($A66,Council_Data!$A$3:$AB$840,3,0))</f>
        <v>Navasota</v>
      </c>
      <c r="D66" s="93">
        <f>IF(ISNA(VLOOKUP($A66,Council_Data!$A$3:$AB$840,5,0)),0,VLOOKUP($A66,Council_Data!$A$3:$AB$840,5,0))</f>
        <v>94</v>
      </c>
      <c r="E66" s="93">
        <f>IF(ISNA(VLOOKUP($A66,Council_Data!$A$3:$AB$840,6,0)),0,VLOOKUP($A66,Council_Data!$A$3:$AB$840,6,0))</f>
        <v>5</v>
      </c>
      <c r="F66" s="93">
        <f>IF(ISNA(VLOOKUP($A66,Council_Data!$A$3:$AB$840,7,0)),0,VLOOKUP($A66,Council_Data!$A$3:$AB$840,7,0))</f>
        <v>0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0</v>
      </c>
      <c r="I66" s="93">
        <f>IF(ISNA(VLOOKUP($A66,Council_Data!$A$3:$AB$840,10,0)),0,VLOOKUP($A66,Council_Data!$A$3:$AB$840,10,0))</f>
        <v>1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1</v>
      </c>
      <c r="L66" s="94">
        <f>IF(ISNA(VLOOKUP($A66,Council_Data!$A$3:$AB$840,13,0)),0,VLOOKUP($A66,Council_Data!$A$3:$AB$840,13,0))</f>
        <v>20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0</v>
      </c>
      <c r="R66" s="93">
        <f>IF(ISNA(VLOOKUP($A66,Council_Data!$A$3:$AB$840,19,0)),0,VLOOKUP($A66,Council_Data!$A$3:$AB$840,19,0))</f>
        <v>1</v>
      </c>
      <c r="S66" s="93">
        <f>IF(ISNA(VLOOKUP($A66,Council_Data!$A$3:$AB$840,20,0)),0,VLOOKUP($A66,Council_Data!$A$3:$AB$840,20,0))</f>
        <v>-1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2</v>
      </c>
      <c r="V66" s="50" t="str">
        <f>IF(ISNA(VLOOKUP($A66,Council_Data!$A$3:$AB$840,24,0)),0,VLOOKUP($A66,Council_Data!$A$3:$AB$840,24,0))</f>
        <v>Rangel</v>
      </c>
    </row>
    <row r="67" spans="1:22">
      <c r="A67" s="50">
        <v>9629</v>
      </c>
      <c r="B67" s="50" t="str">
        <f>IF(ISNA(VLOOKUP($A67,Council_Data!$A$3:$AB$840,2,0)),0,VLOOKUP($A67,Council_Data!$A$3:$AB$840,2,0))</f>
        <v>073</v>
      </c>
      <c r="C67" s="50" t="str">
        <f>IF(ISNA(VLOOKUP($A67,Council_Data!$A$3:$AB$840,3,0)),0,VLOOKUP($A67,Council_Data!$A$3:$AB$840,3,0))</f>
        <v>Highlands</v>
      </c>
      <c r="D67" s="93">
        <f>IF(ISNA(VLOOKUP($A67,Council_Data!$A$3:$AB$840,5,0)),0,VLOOKUP($A67,Council_Data!$A$3:$AB$840,5,0))</f>
        <v>42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0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0</v>
      </c>
      <c r="L67" s="94">
        <f>IF(ISNA(VLOOKUP($A67,Council_Data!$A$3:$AB$840,13,0)),0,VLOOKUP($A67,Council_Data!$A$3:$AB$840,13,0))</f>
        <v>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1</v>
      </c>
      <c r="S67" s="93">
        <f>IF(ISNA(VLOOKUP($A67,Council_Data!$A$3:$AB$840,20,0)),0,VLOOKUP($A67,Council_Data!$A$3:$AB$840,20,0))</f>
        <v>-1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Rangel</v>
      </c>
    </row>
    <row r="68" spans="1:22">
      <c r="A68" s="50">
        <v>9686</v>
      </c>
      <c r="B68" s="50" t="str">
        <f>IF(ISNA(VLOOKUP($A68,Council_Data!$A$3:$AB$840,2,0)),0,VLOOKUP($A68,Council_Data!$A$3:$AB$840,2,0))</f>
        <v>066</v>
      </c>
      <c r="C68" s="50" t="str">
        <f>IF(ISNA(VLOOKUP($A68,Council_Data!$A$3:$AB$840,3,0)),0,VLOOKUP($A68,Council_Data!$A$3:$AB$840,3,0))</f>
        <v>Clute</v>
      </c>
      <c r="D68" s="93">
        <f>IF(ISNA(VLOOKUP($A68,Council_Data!$A$3:$AB$840,5,0)),0,VLOOKUP($A68,Council_Data!$A$3:$AB$840,5,0))</f>
        <v>91</v>
      </c>
      <c r="E68" s="93">
        <f>IF(ISNA(VLOOKUP($A68,Council_Data!$A$3:$AB$840,6,0)),0,VLOOKUP($A68,Council_Data!$A$3:$AB$840,6,0))</f>
        <v>4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0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0</v>
      </c>
      <c r="L68" s="94">
        <f>IF(ISNA(VLOOKUP($A68,Council_Data!$A$3:$AB$840,13,0)),0,VLOOKUP($A68,Council_Data!$A$3:$AB$840,13,0))</f>
        <v>0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0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0</v>
      </c>
      <c r="Q68" s="93">
        <f>IF(ISNA(VLOOKUP($A68,Council_Data!$A$3:$AB$840,18,0)),0,VLOOKUP($A68,Council_Data!$A$3:$AB$840,18,0))</f>
        <v>3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3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2</v>
      </c>
      <c r="V68" s="50" t="str">
        <f>IF(ISNA(VLOOKUP($A68,Council_Data!$A$3:$AB$840,24,0)),0,VLOOKUP($A68,Council_Data!$A$3:$AB$840,24,0))</f>
        <v>Supak</v>
      </c>
    </row>
    <row r="69" spans="1:22">
      <c r="A69" s="50">
        <v>9708</v>
      </c>
      <c r="B69" s="50" t="str">
        <f>IF(ISNA(VLOOKUP($A69,Council_Data!$A$3:$AB$840,2,0)),0,VLOOKUP($A69,Council_Data!$A$3:$AB$840,2,0))</f>
        <v>071</v>
      </c>
      <c r="C69" s="50" t="str">
        <f>IF(ISNA(VLOOKUP($A69,Council_Data!$A$3:$AB$840,3,0)),0,VLOOKUP($A69,Council_Data!$A$3:$AB$840,3,0))</f>
        <v>Houston</v>
      </c>
      <c r="D69" s="93">
        <f>IF(ISNA(VLOOKUP($A69,Council_Data!$A$3:$AB$840,5,0)),0,VLOOKUP($A69,Council_Data!$A$3:$AB$840,5,0))</f>
        <v>144</v>
      </c>
      <c r="E69" s="93">
        <f>IF(ISNA(VLOOKUP($A69,Council_Data!$A$3:$AB$840,6,0)),0,VLOOKUP($A69,Council_Data!$A$3:$AB$840,6,0))</f>
        <v>7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5</v>
      </c>
      <c r="J69" s="93">
        <f>IF(ISNA(VLOOKUP($A69,Council_Data!$A$3:$AB$840,11,0)),0,VLOOKUP($A69,Council_Data!$A$3:$AB$840,11,0))</f>
        <v>0</v>
      </c>
      <c r="K69" s="93">
        <f>IF(ISNA(VLOOKUP($A69,Council_Data!$A$3:$AB$840,12,0)),0,VLOOKUP($A69,Council_Data!$A$3:$AB$840,12,0))</f>
        <v>5</v>
      </c>
      <c r="L69" s="94">
        <f>IF(ISNA(VLOOKUP($A69,Council_Data!$A$3:$AB$840,13,0)),0,VLOOKUP($A69,Council_Data!$A$3:$AB$840,13,0))</f>
        <v>71.430000000000007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0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0</v>
      </c>
      <c r="Q69" s="93">
        <f>IF(ISNA(VLOOKUP($A69,Council_Data!$A$3:$AB$840,18,0)),0,VLOOKUP($A69,Council_Data!$A$3:$AB$840,18,0))</f>
        <v>2</v>
      </c>
      <c r="R69" s="93">
        <f>IF(ISNA(VLOOKUP($A69,Council_Data!$A$3:$AB$840,19,0)),0,VLOOKUP($A69,Council_Data!$A$3:$AB$840,19,0))</f>
        <v>1</v>
      </c>
      <c r="S69" s="93">
        <f>IF(ISNA(VLOOKUP($A69,Council_Data!$A$3:$AB$840,20,0)),0,VLOOKUP($A69,Council_Data!$A$3:$AB$840,20,0))</f>
        <v>1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1</v>
      </c>
      <c r="V69" s="50" t="str">
        <f>IF(ISNA(VLOOKUP($A69,Council_Data!$A$3:$AB$840,24,0)),0,VLOOKUP($A69,Council_Data!$A$3:$AB$840,24,0))</f>
        <v>Rangel</v>
      </c>
    </row>
    <row r="70" spans="1:22">
      <c r="A70" s="50">
        <v>9759</v>
      </c>
      <c r="B70" s="50" t="str">
        <f>IF(ISNA(VLOOKUP($A70,Council_Data!$A$3:$AB$840,2,0)),0,VLOOKUP($A70,Council_Data!$A$3:$AB$840,2,0))</f>
        <v>085</v>
      </c>
      <c r="C70" s="50" t="str">
        <f>IF(ISNA(VLOOKUP($A70,Council_Data!$A$3:$AB$840,3,0)),0,VLOOKUP($A70,Council_Data!$A$3:$AB$840,3,0))</f>
        <v>Katy</v>
      </c>
      <c r="D70" s="93">
        <f>IF(ISNA(VLOOKUP($A70,Council_Data!$A$3:$AB$840,5,0)),0,VLOOKUP($A70,Council_Data!$A$3:$AB$840,5,0))</f>
        <v>306</v>
      </c>
      <c r="E70" s="93">
        <f>IF(ISNA(VLOOKUP($A70,Council_Data!$A$3:$AB$840,6,0)),0,VLOOKUP($A70,Council_Data!$A$3:$AB$840,6,0))</f>
        <v>15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1</v>
      </c>
      <c r="H70" s="93">
        <f>IF(ISNA(VLOOKUP($A70,Council_Data!$A$3:$AB$840,9,0)),0,VLOOKUP($A70,Council_Data!$A$3:$AB$840,9,0))</f>
        <v>-1</v>
      </c>
      <c r="I70" s="93">
        <f>IF(ISNA(VLOOKUP($A70,Council_Data!$A$3:$AB$840,10,0)),0,VLOOKUP($A70,Council_Data!$A$3:$AB$840,10,0))</f>
        <v>1</v>
      </c>
      <c r="J70" s="93">
        <f>IF(ISNA(VLOOKUP($A70,Council_Data!$A$3:$AB$840,11,0)),0,VLOOKUP($A70,Council_Data!$A$3:$AB$840,11,0))</f>
        <v>35</v>
      </c>
      <c r="K70" s="93">
        <f>IF(ISNA(VLOOKUP($A70,Council_Data!$A$3:$AB$840,12,0)),0,VLOOKUP($A70,Council_Data!$A$3:$AB$840,12,0))</f>
        <v>-34</v>
      </c>
      <c r="L70" s="94">
        <f>IF(ISNA(VLOOKUP($A70,Council_Data!$A$3:$AB$840,13,0)),0,VLOOKUP($A70,Council_Data!$A$3:$AB$840,13,0))</f>
        <v>0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1</v>
      </c>
      <c r="R70" s="93">
        <f>IF(ISNA(VLOOKUP($A70,Council_Data!$A$3:$AB$840,19,0)),0,VLOOKUP($A70,Council_Data!$A$3:$AB$840,19,0))</f>
        <v>7</v>
      </c>
      <c r="S70" s="93">
        <f>IF(ISNA(VLOOKUP($A70,Council_Data!$A$3:$AB$840,20,0)),0,VLOOKUP($A70,Council_Data!$A$3:$AB$840,20,0))</f>
        <v>-6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1</v>
      </c>
      <c r="V70" s="50" t="str">
        <f>IF(ISNA(VLOOKUP($A70,Council_Data!$A$3:$AB$840,24,0)),0,VLOOKUP($A70,Council_Data!$A$3:$AB$840,24,0))</f>
        <v>Supak</v>
      </c>
    </row>
    <row r="71" spans="1:22">
      <c r="A71" s="50">
        <v>9794</v>
      </c>
      <c r="B71" s="50" t="str">
        <f>IF(ISNA(VLOOKUP($A71,Council_Data!$A$3:$AB$840,2,0)),0,VLOOKUP($A71,Council_Data!$A$3:$AB$840,2,0))</f>
        <v>092</v>
      </c>
      <c r="C71" s="50" t="str">
        <f>IF(ISNA(VLOOKUP($A71,Council_Data!$A$3:$AB$840,3,0)),0,VLOOKUP($A71,Council_Data!$A$3:$AB$840,3,0))</f>
        <v>Huffman</v>
      </c>
      <c r="D71" s="93">
        <f>IF(ISNA(VLOOKUP($A71,Council_Data!$A$3:$AB$840,5,0)),0,VLOOKUP($A71,Council_Data!$A$3:$AB$840,5,0))</f>
        <v>69</v>
      </c>
      <c r="E71" s="93">
        <f>IF(ISNA(VLOOKUP($A71,Council_Data!$A$3:$AB$840,6,0)),0,VLOOKUP($A71,Council_Data!$A$3:$AB$840,6,0))</f>
        <v>3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1</v>
      </c>
      <c r="J71" s="93">
        <f>IF(ISNA(VLOOKUP($A71,Council_Data!$A$3:$AB$840,11,0)),0,VLOOKUP($A71,Council_Data!$A$3:$AB$840,11,0))</f>
        <v>0</v>
      </c>
      <c r="K71" s="93">
        <f>IF(ISNA(VLOOKUP($A71,Council_Data!$A$3:$AB$840,12,0)),0,VLOOKUP($A71,Council_Data!$A$3:$AB$840,12,0))</f>
        <v>1</v>
      </c>
      <c r="L71" s="94">
        <f>IF(ISNA(VLOOKUP($A71,Council_Data!$A$3:$AB$840,13,0)),0,VLOOKUP($A71,Council_Data!$A$3:$AB$840,13,0))</f>
        <v>33.33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0</v>
      </c>
      <c r="R71" s="93">
        <f>IF(ISNA(VLOOKUP($A71,Council_Data!$A$3:$AB$840,19,0)),0,VLOOKUP($A71,Council_Data!$A$3:$AB$840,19,0))</f>
        <v>1</v>
      </c>
      <c r="S71" s="93">
        <f>IF(ISNA(VLOOKUP($A71,Council_Data!$A$3:$AB$840,20,0)),0,VLOOKUP($A71,Council_Data!$A$3:$AB$840,20,0))</f>
        <v>-1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2</v>
      </c>
      <c r="V71" s="50" t="str">
        <f>IF(ISNA(VLOOKUP($A71,Council_Data!$A$3:$AB$840,24,0)),0,VLOOKUP($A71,Council_Data!$A$3:$AB$840,24,0))</f>
        <v>Rangel</v>
      </c>
    </row>
    <row r="72" spans="1:22">
      <c r="A72" s="50">
        <v>9817</v>
      </c>
      <c r="B72" s="50" t="str">
        <f>IF(ISNA(VLOOKUP($A72,Council_Data!$A$3:$AB$840,2,0)),0,VLOOKUP($A72,Council_Data!$A$3:$AB$840,2,0))</f>
        <v>069</v>
      </c>
      <c r="C72" s="50" t="str">
        <f>IF(ISNA(VLOOKUP($A72,Council_Data!$A$3:$AB$840,3,0)),0,VLOOKUP($A72,Council_Data!$A$3:$AB$840,3,0))</f>
        <v>Danbury</v>
      </c>
      <c r="D72" s="93">
        <f>IF(ISNA(VLOOKUP($A72,Council_Data!$A$3:$AB$840,5,0)),0,VLOOKUP($A72,Council_Data!$A$3:$AB$840,5,0))</f>
        <v>50</v>
      </c>
      <c r="E72" s="93">
        <f>IF(ISNA(VLOOKUP($A72,Council_Data!$A$3:$AB$840,6,0)),0,VLOOKUP($A72,Council_Data!$A$3:$AB$840,6,0))</f>
        <v>3</v>
      </c>
      <c r="F72" s="93">
        <f>IF(ISNA(VLOOKUP($A72,Council_Data!$A$3:$AB$840,7,0)),0,VLOOKUP($A72,Council_Data!$A$3:$AB$840,7,0))</f>
        <v>0</v>
      </c>
      <c r="G72" s="93">
        <f>IF(ISNA(VLOOKUP($A72,Council_Data!$A$3:$AB$840,8,0)),0,VLOOKUP($A72,Council_Data!$A$3:$AB$840,8,0))</f>
        <v>0</v>
      </c>
      <c r="H72" s="93">
        <f>IF(ISNA(VLOOKUP($A72,Council_Data!$A$3:$AB$840,9,0)),0,VLOOKUP($A72,Council_Data!$A$3:$AB$840,9,0))</f>
        <v>0</v>
      </c>
      <c r="I72" s="93">
        <f>IF(ISNA(VLOOKUP($A72,Council_Data!$A$3:$AB$840,10,0)),0,VLOOKUP($A72,Council_Data!$A$3:$AB$840,10,0))</f>
        <v>1</v>
      </c>
      <c r="J72" s="93">
        <f>IF(ISNA(VLOOKUP($A72,Council_Data!$A$3:$AB$840,11,0)),0,VLOOKUP($A72,Council_Data!$A$3:$AB$840,11,0))</f>
        <v>0</v>
      </c>
      <c r="K72" s="93">
        <f>IF(ISNA(VLOOKUP($A72,Council_Data!$A$3:$AB$840,12,0)),0,VLOOKUP($A72,Council_Data!$A$3:$AB$840,12,0))</f>
        <v>1</v>
      </c>
      <c r="L72" s="94">
        <f>IF(ISNA(VLOOKUP($A72,Council_Data!$A$3:$AB$840,13,0)),0,VLOOKUP($A72,Council_Data!$A$3:$AB$840,13,0))</f>
        <v>33.33</v>
      </c>
      <c r="M72" s="93">
        <f>IF(ISNA(VLOOKUP($A72,Council_Data!$A$3:$AB$840,14,0)),0,VLOOKUP($A72,Council_Data!$A$3:$AB$840,14,0))</f>
        <v>0</v>
      </c>
      <c r="N72" s="93">
        <f>IF(ISNA(VLOOKUP($A72,Council_Data!$A$3:$AB$840,15,0)),0,VLOOKUP($A72,Council_Data!$A$3:$AB$840,15,0))</f>
        <v>0</v>
      </c>
      <c r="O72" s="93">
        <f>IF(ISNA(VLOOKUP($A72,Council_Data!$A$3:$AB$840,16,0)),0,VLOOKUP($A72,Council_Data!$A$3:$AB$840,16,0))</f>
        <v>0</v>
      </c>
      <c r="P72" s="93">
        <f>IF(ISNA(VLOOKUP($A72,Council_Data!$A$3:$AB$840,17,0)),0,VLOOKUP($A72,Council_Data!$A$3:$AB$840,17,0))</f>
        <v>0</v>
      </c>
      <c r="Q72" s="93">
        <f>IF(ISNA(VLOOKUP($A72,Council_Data!$A$3:$AB$840,18,0)),0,VLOOKUP($A72,Council_Data!$A$3:$AB$840,18,0))</f>
        <v>1</v>
      </c>
      <c r="R72" s="93">
        <f>IF(ISNA(VLOOKUP($A72,Council_Data!$A$3:$AB$840,19,0)),0,VLOOKUP($A72,Council_Data!$A$3:$AB$840,19,0))</f>
        <v>0</v>
      </c>
      <c r="S72" s="93">
        <f>IF(ISNA(VLOOKUP($A72,Council_Data!$A$3:$AB$840,20,0)),0,VLOOKUP($A72,Council_Data!$A$3:$AB$840,20,0))</f>
        <v>1</v>
      </c>
      <c r="T72" s="94">
        <f>IF(ISNA(VLOOKUP($A72,Council_Data!$A$3:$AB$840,21,0)),0,VLOOKUP($A72,Council_Data!$A$3:$AB$840,21,0))</f>
        <v>0</v>
      </c>
      <c r="U72" s="93">
        <f>IF(ISNA(VLOOKUP($A72,Council_Data!$A$3:$AB$840,23,0)),0,VLOOKUP($A72,Council_Data!$A$3:$AB$840,23,0))</f>
        <v>3</v>
      </c>
      <c r="V72" s="50" t="str">
        <f>IF(ISNA(VLOOKUP($A72,Council_Data!$A$3:$AB$840,24,0)),0,VLOOKUP($A72,Council_Data!$A$3:$AB$840,24,0))</f>
        <v>Supak</v>
      </c>
    </row>
    <row r="73" spans="1:22">
      <c r="A73" s="50">
        <v>9978</v>
      </c>
      <c r="B73" s="50" t="str">
        <f>IF(ISNA(VLOOKUP($A73,Council_Data!$A$3:$AB$840,2,0)),0,VLOOKUP($A73,Council_Data!$A$3:$AB$840,2,0))</f>
        <v>067</v>
      </c>
      <c r="C73" s="50" t="str">
        <f>IF(ISNA(VLOOKUP($A73,Council_Data!$A$3:$AB$840,3,0)),0,VLOOKUP($A73,Council_Data!$A$3:$AB$840,3,0))</f>
        <v>Galveston</v>
      </c>
      <c r="D73" s="93">
        <f>IF(ISNA(VLOOKUP($A73,Council_Data!$A$3:$AB$840,5,0)),0,VLOOKUP($A73,Council_Data!$A$3:$AB$840,5,0))</f>
        <v>184</v>
      </c>
      <c r="E73" s="93">
        <f>IF(ISNA(VLOOKUP($A73,Council_Data!$A$3:$AB$840,6,0)),0,VLOOKUP($A73,Council_Data!$A$3:$AB$840,6,0))</f>
        <v>9</v>
      </c>
      <c r="F73" s="93">
        <f>IF(ISNA(VLOOKUP($A73,Council_Data!$A$3:$AB$840,7,0)),0,VLOOKUP($A73,Council_Data!$A$3:$AB$840,7,0))</f>
        <v>0</v>
      </c>
      <c r="G73" s="93">
        <f>IF(ISNA(VLOOKUP($A73,Council_Data!$A$3:$AB$840,8,0)),0,VLOOKUP($A73,Council_Data!$A$3:$AB$840,8,0))</f>
        <v>0</v>
      </c>
      <c r="H73" s="93">
        <f>IF(ISNA(VLOOKUP($A73,Council_Data!$A$3:$AB$840,9,0)),0,VLOOKUP($A73,Council_Data!$A$3:$AB$840,9,0))</f>
        <v>0</v>
      </c>
      <c r="I73" s="93">
        <f>IF(ISNA(VLOOKUP($A73,Council_Data!$A$3:$AB$840,10,0)),0,VLOOKUP($A73,Council_Data!$A$3:$AB$840,10,0))</f>
        <v>0</v>
      </c>
      <c r="J73" s="93">
        <f>IF(ISNA(VLOOKUP($A73,Council_Data!$A$3:$AB$840,11,0)),0,VLOOKUP($A73,Council_Data!$A$3:$AB$840,11,0))</f>
        <v>0</v>
      </c>
      <c r="K73" s="93">
        <f>IF(ISNA(VLOOKUP($A73,Council_Data!$A$3:$AB$840,12,0)),0,VLOOKUP($A73,Council_Data!$A$3:$AB$840,12,0))</f>
        <v>0</v>
      </c>
      <c r="L73" s="94">
        <f>IF(ISNA(VLOOKUP($A73,Council_Data!$A$3:$AB$840,13,0)),0,VLOOKUP($A73,Council_Data!$A$3:$AB$840,13,0))</f>
        <v>0</v>
      </c>
      <c r="M73" s="93">
        <f>IF(ISNA(VLOOKUP($A73,Council_Data!$A$3:$AB$840,14,0)),0,VLOOKUP($A73,Council_Data!$A$3:$AB$840,14,0))</f>
        <v>0</v>
      </c>
      <c r="N73" s="93">
        <f>IF(ISNA(VLOOKUP($A73,Council_Data!$A$3:$AB$840,15,0)),0,VLOOKUP($A73,Council_Data!$A$3:$AB$840,15,0))</f>
        <v>0</v>
      </c>
      <c r="O73" s="93">
        <f>IF(ISNA(VLOOKUP($A73,Council_Data!$A$3:$AB$840,16,0)),0,VLOOKUP($A73,Council_Data!$A$3:$AB$840,16,0))</f>
        <v>0</v>
      </c>
      <c r="P73" s="93">
        <f>IF(ISNA(VLOOKUP($A73,Council_Data!$A$3:$AB$840,17,0)),0,VLOOKUP($A73,Council_Data!$A$3:$AB$840,17,0))</f>
        <v>0</v>
      </c>
      <c r="Q73" s="93">
        <f>IF(ISNA(VLOOKUP($A73,Council_Data!$A$3:$AB$840,18,0)),0,VLOOKUP($A73,Council_Data!$A$3:$AB$840,18,0))</f>
        <v>0</v>
      </c>
      <c r="R73" s="93">
        <f>IF(ISNA(VLOOKUP($A73,Council_Data!$A$3:$AB$840,19,0)),0,VLOOKUP($A73,Council_Data!$A$3:$AB$840,19,0))</f>
        <v>0</v>
      </c>
      <c r="S73" s="93">
        <f>IF(ISNA(VLOOKUP($A73,Council_Data!$A$3:$AB$840,20,0)),0,VLOOKUP($A73,Council_Data!$A$3:$AB$840,20,0))</f>
        <v>0</v>
      </c>
      <c r="T73" s="94">
        <f>IF(ISNA(VLOOKUP($A73,Council_Data!$A$3:$AB$840,21,0)),0,VLOOKUP($A73,Council_Data!$A$3:$AB$840,21,0))</f>
        <v>0</v>
      </c>
      <c r="U73" s="93">
        <f>IF(ISNA(VLOOKUP($A73,Council_Data!$A$3:$AB$840,23,0)),0,VLOOKUP($A73,Council_Data!$A$3:$AB$840,23,0))</f>
        <v>1</v>
      </c>
      <c r="V73" s="50" t="str">
        <f>IF(ISNA(VLOOKUP($A73,Council_Data!$A$3:$AB$840,24,0)),0,VLOOKUP($A73,Council_Data!$A$3:$AB$840,24,0))</f>
        <v>Rangel</v>
      </c>
    </row>
    <row r="74" spans="1:22">
      <c r="A74" s="50">
        <v>10207</v>
      </c>
      <c r="B74" s="50" t="str">
        <f>IF(ISNA(VLOOKUP($A74,Council_Data!$A$3:$AB$840,2,0)),0,VLOOKUP($A74,Council_Data!$A$3:$AB$840,2,0))</f>
        <v>078</v>
      </c>
      <c r="C74" s="50" t="str">
        <f>IF(ISNA(VLOOKUP($A74,Council_Data!$A$3:$AB$840,3,0)),0,VLOOKUP($A74,Council_Data!$A$3:$AB$840,3,0))</f>
        <v>Houston</v>
      </c>
      <c r="D74" s="93">
        <f>IF(ISNA(VLOOKUP($A74,Council_Data!$A$3:$AB$840,5,0)),0,VLOOKUP($A74,Council_Data!$A$3:$AB$840,5,0))</f>
        <v>62</v>
      </c>
      <c r="E74" s="93">
        <f>IF(ISNA(VLOOKUP($A74,Council_Data!$A$3:$AB$840,6,0)),0,VLOOKUP($A74,Council_Data!$A$3:$AB$840,6,0))</f>
        <v>3</v>
      </c>
      <c r="F74" s="93">
        <f>IF(ISNA(VLOOKUP($A74,Council_Data!$A$3:$AB$840,7,0)),0,VLOOKUP($A74,Council_Data!$A$3:$AB$840,7,0))</f>
        <v>0</v>
      </c>
      <c r="G74" s="93">
        <f>IF(ISNA(VLOOKUP($A74,Council_Data!$A$3:$AB$840,8,0)),0,VLOOKUP($A74,Council_Data!$A$3:$AB$840,8,0))</f>
        <v>0</v>
      </c>
      <c r="H74" s="93">
        <f>IF(ISNA(VLOOKUP($A74,Council_Data!$A$3:$AB$840,9,0)),0,VLOOKUP($A74,Council_Data!$A$3:$AB$840,9,0))</f>
        <v>0</v>
      </c>
      <c r="I74" s="93">
        <f>IF(ISNA(VLOOKUP($A74,Council_Data!$A$3:$AB$840,10,0)),0,VLOOKUP($A74,Council_Data!$A$3:$AB$840,10,0))</f>
        <v>0</v>
      </c>
      <c r="J74" s="93">
        <f>IF(ISNA(VLOOKUP($A74,Council_Data!$A$3:$AB$840,11,0)),0,VLOOKUP($A74,Council_Data!$A$3:$AB$840,11,0))</f>
        <v>0</v>
      </c>
      <c r="K74" s="93">
        <f>IF(ISNA(VLOOKUP($A74,Council_Data!$A$3:$AB$840,12,0)),0,VLOOKUP($A74,Council_Data!$A$3:$AB$840,12,0))</f>
        <v>0</v>
      </c>
      <c r="L74" s="94">
        <f>IF(ISNA(VLOOKUP($A74,Council_Data!$A$3:$AB$840,13,0)),0,VLOOKUP($A74,Council_Data!$A$3:$AB$840,13,0))</f>
        <v>0</v>
      </c>
      <c r="M74" s="93">
        <f>IF(ISNA(VLOOKUP($A74,Council_Data!$A$3:$AB$840,14,0)),0,VLOOKUP($A74,Council_Data!$A$3:$AB$840,14,0))</f>
        <v>0</v>
      </c>
      <c r="N74" s="93">
        <f>IF(ISNA(VLOOKUP($A74,Council_Data!$A$3:$AB$840,15,0)),0,VLOOKUP($A74,Council_Data!$A$3:$AB$840,15,0))</f>
        <v>0</v>
      </c>
      <c r="O74" s="93">
        <f>IF(ISNA(VLOOKUP($A74,Council_Data!$A$3:$AB$840,16,0)),0,VLOOKUP($A74,Council_Data!$A$3:$AB$840,16,0))</f>
        <v>0</v>
      </c>
      <c r="P74" s="93">
        <f>IF(ISNA(VLOOKUP($A74,Council_Data!$A$3:$AB$840,17,0)),0,VLOOKUP($A74,Council_Data!$A$3:$AB$840,17,0))</f>
        <v>0</v>
      </c>
      <c r="Q74" s="93">
        <f>IF(ISNA(VLOOKUP($A74,Council_Data!$A$3:$AB$840,18,0)),0,VLOOKUP($A74,Council_Data!$A$3:$AB$840,18,0))</f>
        <v>0</v>
      </c>
      <c r="R74" s="93">
        <f>IF(ISNA(VLOOKUP($A74,Council_Data!$A$3:$AB$840,19,0)),0,VLOOKUP($A74,Council_Data!$A$3:$AB$840,19,0))</f>
        <v>0</v>
      </c>
      <c r="S74" s="93">
        <f>IF(ISNA(VLOOKUP($A74,Council_Data!$A$3:$AB$840,20,0)),0,VLOOKUP($A74,Council_Data!$A$3:$AB$840,20,0))</f>
        <v>0</v>
      </c>
      <c r="T74" s="94">
        <f>IF(ISNA(VLOOKUP($A74,Council_Data!$A$3:$AB$840,21,0)),0,VLOOKUP($A74,Council_Data!$A$3:$AB$840,21,0))</f>
        <v>0</v>
      </c>
      <c r="U74" s="93">
        <f>IF(ISNA(VLOOKUP($A74,Council_Data!$A$3:$AB$840,23,0)),0,VLOOKUP($A74,Council_Data!$A$3:$AB$840,23,0))</f>
        <v>3</v>
      </c>
      <c r="V74" s="50" t="str">
        <f>IF(ISNA(VLOOKUP($A74,Council_Data!$A$3:$AB$840,24,0)),0,VLOOKUP($A74,Council_Data!$A$3:$AB$840,24,0))</f>
        <v>Rangel</v>
      </c>
    </row>
    <row r="75" spans="1:22">
      <c r="A75" s="50">
        <v>10224</v>
      </c>
      <c r="B75" s="50" t="str">
        <f>IF(ISNA(VLOOKUP($A75,Council_Data!$A$3:$AB$840,2,0)),0,VLOOKUP($A75,Council_Data!$A$3:$AB$840,2,0))</f>
        <v>084</v>
      </c>
      <c r="C75" s="50" t="str">
        <f>IF(ISNA(VLOOKUP($A75,Council_Data!$A$3:$AB$840,3,0)),0,VLOOKUP($A75,Council_Data!$A$3:$AB$840,3,0))</f>
        <v>Industry</v>
      </c>
      <c r="D75" s="93">
        <f>IF(ISNA(VLOOKUP($A75,Council_Data!$A$3:$AB$840,5,0)),0,VLOOKUP($A75,Council_Data!$A$3:$AB$840,5,0))</f>
        <v>71</v>
      </c>
      <c r="E75" s="93">
        <f>IF(ISNA(VLOOKUP($A75,Council_Data!$A$3:$AB$840,6,0)),0,VLOOKUP($A75,Council_Data!$A$3:$AB$840,6,0))</f>
        <v>3</v>
      </c>
      <c r="F75" s="93">
        <f>IF(ISNA(VLOOKUP($A75,Council_Data!$A$3:$AB$840,7,0)),0,VLOOKUP($A75,Council_Data!$A$3:$AB$840,7,0))</f>
        <v>0</v>
      </c>
      <c r="G75" s="93">
        <f>IF(ISNA(VLOOKUP($A75,Council_Data!$A$3:$AB$840,8,0)),0,VLOOKUP($A75,Council_Data!$A$3:$AB$840,8,0))</f>
        <v>0</v>
      </c>
      <c r="H75" s="93">
        <f>IF(ISNA(VLOOKUP($A75,Council_Data!$A$3:$AB$840,9,0)),0,VLOOKUP($A75,Council_Data!$A$3:$AB$840,9,0))</f>
        <v>0</v>
      </c>
      <c r="I75" s="93">
        <f>IF(ISNA(VLOOKUP($A75,Council_Data!$A$3:$AB$840,10,0)),0,VLOOKUP($A75,Council_Data!$A$3:$AB$840,10,0))</f>
        <v>0</v>
      </c>
      <c r="J75" s="93">
        <f>IF(ISNA(VLOOKUP($A75,Council_Data!$A$3:$AB$840,11,0)),0,VLOOKUP($A75,Council_Data!$A$3:$AB$840,11,0))</f>
        <v>0</v>
      </c>
      <c r="K75" s="93">
        <f>IF(ISNA(VLOOKUP($A75,Council_Data!$A$3:$AB$840,12,0)),0,VLOOKUP($A75,Council_Data!$A$3:$AB$840,12,0))</f>
        <v>0</v>
      </c>
      <c r="L75" s="94">
        <f>IF(ISNA(VLOOKUP($A75,Council_Data!$A$3:$AB$840,13,0)),0,VLOOKUP($A75,Council_Data!$A$3:$AB$840,13,0))</f>
        <v>0</v>
      </c>
      <c r="M75" s="93">
        <f>IF(ISNA(VLOOKUP($A75,Council_Data!$A$3:$AB$840,14,0)),0,VLOOKUP($A75,Council_Data!$A$3:$AB$840,14,0))</f>
        <v>0</v>
      </c>
      <c r="N75" s="93">
        <f>IF(ISNA(VLOOKUP($A75,Council_Data!$A$3:$AB$840,15,0)),0,VLOOKUP($A75,Council_Data!$A$3:$AB$840,15,0))</f>
        <v>0</v>
      </c>
      <c r="O75" s="93">
        <f>IF(ISNA(VLOOKUP($A75,Council_Data!$A$3:$AB$840,16,0)),0,VLOOKUP($A75,Council_Data!$A$3:$AB$840,16,0))</f>
        <v>0</v>
      </c>
      <c r="P75" s="93">
        <f>IF(ISNA(VLOOKUP($A75,Council_Data!$A$3:$AB$840,17,0)),0,VLOOKUP($A75,Council_Data!$A$3:$AB$840,17,0))</f>
        <v>0</v>
      </c>
      <c r="Q75" s="93">
        <f>IF(ISNA(VLOOKUP($A75,Council_Data!$A$3:$AB$840,18,0)),0,VLOOKUP($A75,Council_Data!$A$3:$AB$840,18,0))</f>
        <v>0</v>
      </c>
      <c r="R75" s="93">
        <f>IF(ISNA(VLOOKUP($A75,Council_Data!$A$3:$AB$840,19,0)),0,VLOOKUP($A75,Council_Data!$A$3:$AB$840,19,0))</f>
        <v>0</v>
      </c>
      <c r="S75" s="93">
        <f>IF(ISNA(VLOOKUP($A75,Council_Data!$A$3:$AB$840,20,0)),0,VLOOKUP($A75,Council_Data!$A$3:$AB$840,20,0))</f>
        <v>0</v>
      </c>
      <c r="T75" s="94">
        <f>IF(ISNA(VLOOKUP($A75,Council_Data!$A$3:$AB$840,21,0)),0,VLOOKUP($A75,Council_Data!$A$3:$AB$840,21,0))</f>
        <v>0</v>
      </c>
      <c r="U75" s="93">
        <f>IF(ISNA(VLOOKUP($A75,Council_Data!$A$3:$AB$840,23,0)),0,VLOOKUP($A75,Council_Data!$A$3:$AB$840,23,0))</f>
        <v>2</v>
      </c>
      <c r="V75" s="50" t="str">
        <f>IF(ISNA(VLOOKUP($A75,Council_Data!$A$3:$AB$840,24,0)),0,VLOOKUP($A75,Council_Data!$A$3:$AB$840,24,0))</f>
        <v>Supak</v>
      </c>
    </row>
    <row r="76" spans="1:22">
      <c r="A76" s="50">
        <v>10390</v>
      </c>
      <c r="B76" s="50" t="str">
        <f>IF(ISNA(VLOOKUP($A76,Council_Data!$A$3:$AB$840,2,0)),0,VLOOKUP($A76,Council_Data!$A$3:$AB$840,2,0))</f>
        <v>074</v>
      </c>
      <c r="C76" s="50" t="str">
        <f>IF(ISNA(VLOOKUP($A76,Council_Data!$A$3:$AB$840,3,0)),0,VLOOKUP($A76,Council_Data!$A$3:$AB$840,3,0))</f>
        <v>Houston</v>
      </c>
      <c r="D76" s="93">
        <f>IF(ISNA(VLOOKUP($A76,Council_Data!$A$3:$AB$840,5,0)),0,VLOOKUP($A76,Council_Data!$A$3:$AB$840,5,0))</f>
        <v>173</v>
      </c>
      <c r="E76" s="93">
        <f>IF(ISNA(VLOOKUP($A76,Council_Data!$A$3:$AB$840,6,0)),0,VLOOKUP($A76,Council_Data!$A$3:$AB$840,6,0))</f>
        <v>9</v>
      </c>
      <c r="F76" s="93">
        <f>IF(ISNA(VLOOKUP($A76,Council_Data!$A$3:$AB$840,7,0)),0,VLOOKUP($A76,Council_Data!$A$3:$AB$840,7,0))</f>
        <v>0</v>
      </c>
      <c r="G76" s="93">
        <f>IF(ISNA(VLOOKUP($A76,Council_Data!$A$3:$AB$840,8,0)),0,VLOOKUP($A76,Council_Data!$A$3:$AB$840,8,0))</f>
        <v>0</v>
      </c>
      <c r="H76" s="93">
        <f>IF(ISNA(VLOOKUP($A76,Council_Data!$A$3:$AB$840,9,0)),0,VLOOKUP($A76,Council_Data!$A$3:$AB$840,9,0))</f>
        <v>0</v>
      </c>
      <c r="I76" s="93">
        <f>IF(ISNA(VLOOKUP($A76,Council_Data!$A$3:$AB$840,10,0)),0,VLOOKUP($A76,Council_Data!$A$3:$AB$840,10,0))</f>
        <v>0</v>
      </c>
      <c r="J76" s="93">
        <f>IF(ISNA(VLOOKUP($A76,Council_Data!$A$3:$AB$840,11,0)),0,VLOOKUP($A76,Council_Data!$A$3:$AB$840,11,0))</f>
        <v>0</v>
      </c>
      <c r="K76" s="93">
        <f>IF(ISNA(VLOOKUP($A76,Council_Data!$A$3:$AB$840,12,0)),0,VLOOKUP($A76,Council_Data!$A$3:$AB$840,12,0))</f>
        <v>0</v>
      </c>
      <c r="L76" s="94">
        <f>IF(ISNA(VLOOKUP($A76,Council_Data!$A$3:$AB$840,13,0)),0,VLOOKUP($A76,Council_Data!$A$3:$AB$840,13,0))</f>
        <v>0</v>
      </c>
      <c r="M76" s="93">
        <f>IF(ISNA(VLOOKUP($A76,Council_Data!$A$3:$AB$840,14,0)),0,VLOOKUP($A76,Council_Data!$A$3:$AB$840,14,0))</f>
        <v>0</v>
      </c>
      <c r="N76" s="93">
        <f>IF(ISNA(VLOOKUP($A76,Council_Data!$A$3:$AB$840,15,0)),0,VLOOKUP($A76,Council_Data!$A$3:$AB$840,15,0))</f>
        <v>0</v>
      </c>
      <c r="O76" s="93">
        <f>IF(ISNA(VLOOKUP($A76,Council_Data!$A$3:$AB$840,16,0)),0,VLOOKUP($A76,Council_Data!$A$3:$AB$840,16,0))</f>
        <v>1</v>
      </c>
      <c r="P76" s="93">
        <f>IF(ISNA(VLOOKUP($A76,Council_Data!$A$3:$AB$840,17,0)),0,VLOOKUP($A76,Council_Data!$A$3:$AB$840,17,0))</f>
        <v>-1</v>
      </c>
      <c r="Q76" s="93">
        <f>IF(ISNA(VLOOKUP($A76,Council_Data!$A$3:$AB$840,18,0)),0,VLOOKUP($A76,Council_Data!$A$3:$AB$840,18,0))</f>
        <v>0</v>
      </c>
      <c r="R76" s="93">
        <f>IF(ISNA(VLOOKUP($A76,Council_Data!$A$3:$AB$840,19,0)),0,VLOOKUP($A76,Council_Data!$A$3:$AB$840,19,0))</f>
        <v>1</v>
      </c>
      <c r="S76" s="93">
        <f>IF(ISNA(VLOOKUP($A76,Council_Data!$A$3:$AB$840,20,0)),0,VLOOKUP($A76,Council_Data!$A$3:$AB$840,20,0))</f>
        <v>-1</v>
      </c>
      <c r="T76" s="94">
        <f>IF(ISNA(VLOOKUP($A76,Council_Data!$A$3:$AB$840,21,0)),0,VLOOKUP($A76,Council_Data!$A$3:$AB$840,21,0))</f>
        <v>0</v>
      </c>
      <c r="U76" s="93">
        <f>IF(ISNA(VLOOKUP($A76,Council_Data!$A$3:$AB$840,23,0)),0,VLOOKUP($A76,Council_Data!$A$3:$AB$840,23,0))</f>
        <v>1</v>
      </c>
      <c r="V76" s="50" t="str">
        <f>IF(ISNA(VLOOKUP($A76,Council_Data!$A$3:$AB$840,24,0)),0,VLOOKUP($A76,Council_Data!$A$3:$AB$840,24,0))</f>
        <v>Rangel</v>
      </c>
    </row>
    <row r="77" spans="1:22">
      <c r="A77" s="50">
        <v>10393</v>
      </c>
      <c r="B77" s="50" t="str">
        <f>IF(ISNA(VLOOKUP($A77,Council_Data!$A$3:$AB$840,2,0)),0,VLOOKUP($A77,Council_Data!$A$3:$AB$840,2,0))</f>
        <v>068</v>
      </c>
      <c r="C77" s="50" t="str">
        <f>IF(ISNA(VLOOKUP($A77,Council_Data!$A$3:$AB$840,3,0)),0,VLOOKUP($A77,Council_Data!$A$3:$AB$840,3,0))</f>
        <v>Hitchcock</v>
      </c>
      <c r="D77" s="93">
        <f>IF(ISNA(VLOOKUP($A77,Council_Data!$A$3:$AB$840,5,0)),0,VLOOKUP($A77,Council_Data!$A$3:$AB$840,5,0))</f>
        <v>191</v>
      </c>
      <c r="E77" s="93">
        <f>IF(ISNA(VLOOKUP($A77,Council_Data!$A$3:$AB$840,6,0)),0,VLOOKUP($A77,Council_Data!$A$3:$AB$840,6,0))</f>
        <v>9</v>
      </c>
      <c r="F77" s="93">
        <f>IF(ISNA(VLOOKUP($A77,Council_Data!$A$3:$AB$840,7,0)),0,VLOOKUP($A77,Council_Data!$A$3:$AB$840,7,0))</f>
        <v>0</v>
      </c>
      <c r="G77" s="93">
        <f>IF(ISNA(VLOOKUP($A77,Council_Data!$A$3:$AB$840,8,0)),0,VLOOKUP($A77,Council_Data!$A$3:$AB$840,8,0))</f>
        <v>2</v>
      </c>
      <c r="H77" s="93">
        <f>IF(ISNA(VLOOKUP($A77,Council_Data!$A$3:$AB$840,9,0)),0,VLOOKUP($A77,Council_Data!$A$3:$AB$840,9,0))</f>
        <v>-2</v>
      </c>
      <c r="I77" s="93">
        <f>IF(ISNA(VLOOKUP($A77,Council_Data!$A$3:$AB$840,10,0)),0,VLOOKUP($A77,Council_Data!$A$3:$AB$840,10,0))</f>
        <v>0</v>
      </c>
      <c r="J77" s="93">
        <f>IF(ISNA(VLOOKUP($A77,Council_Data!$A$3:$AB$840,11,0)),0,VLOOKUP($A77,Council_Data!$A$3:$AB$840,11,0))</f>
        <v>2</v>
      </c>
      <c r="K77" s="93">
        <f>IF(ISNA(VLOOKUP($A77,Council_Data!$A$3:$AB$840,12,0)),0,VLOOKUP($A77,Council_Data!$A$3:$AB$840,12,0))</f>
        <v>-2</v>
      </c>
      <c r="L77" s="94">
        <f>IF(ISNA(VLOOKUP($A77,Council_Data!$A$3:$AB$840,13,0)),0,VLOOKUP($A77,Council_Data!$A$3:$AB$840,13,0))</f>
        <v>0</v>
      </c>
      <c r="M77" s="93">
        <f>IF(ISNA(VLOOKUP($A77,Council_Data!$A$3:$AB$840,14,0)),0,VLOOKUP($A77,Council_Data!$A$3:$AB$840,14,0))</f>
        <v>0</v>
      </c>
      <c r="N77" s="93">
        <f>IF(ISNA(VLOOKUP($A77,Council_Data!$A$3:$AB$840,15,0)),0,VLOOKUP($A77,Council_Data!$A$3:$AB$840,15,0))</f>
        <v>0</v>
      </c>
      <c r="O77" s="93">
        <f>IF(ISNA(VLOOKUP($A77,Council_Data!$A$3:$AB$840,16,0)),0,VLOOKUP($A77,Council_Data!$A$3:$AB$840,16,0))</f>
        <v>0</v>
      </c>
      <c r="P77" s="93">
        <f>IF(ISNA(VLOOKUP($A77,Council_Data!$A$3:$AB$840,17,0)),0,VLOOKUP($A77,Council_Data!$A$3:$AB$840,17,0))</f>
        <v>0</v>
      </c>
      <c r="Q77" s="93">
        <f>IF(ISNA(VLOOKUP($A77,Council_Data!$A$3:$AB$840,18,0)),0,VLOOKUP($A77,Council_Data!$A$3:$AB$840,18,0))</f>
        <v>0</v>
      </c>
      <c r="R77" s="93">
        <f>IF(ISNA(VLOOKUP($A77,Council_Data!$A$3:$AB$840,19,0)),0,VLOOKUP($A77,Council_Data!$A$3:$AB$840,19,0))</f>
        <v>0</v>
      </c>
      <c r="S77" s="93">
        <f>IF(ISNA(VLOOKUP($A77,Council_Data!$A$3:$AB$840,20,0)),0,VLOOKUP($A77,Council_Data!$A$3:$AB$840,20,0))</f>
        <v>0</v>
      </c>
      <c r="T77" s="94">
        <f>IF(ISNA(VLOOKUP($A77,Council_Data!$A$3:$AB$840,21,0)),0,VLOOKUP($A77,Council_Data!$A$3:$AB$840,21,0))</f>
        <v>0</v>
      </c>
      <c r="U77" s="93">
        <f>IF(ISNA(VLOOKUP($A77,Council_Data!$A$3:$AB$840,23,0)),0,VLOOKUP($A77,Council_Data!$A$3:$AB$840,23,0))</f>
        <v>1</v>
      </c>
      <c r="V77" s="50" t="str">
        <f>IF(ISNA(VLOOKUP($A77,Council_Data!$A$3:$AB$840,24,0)),0,VLOOKUP($A77,Council_Data!$A$3:$AB$840,24,0))</f>
        <v>Rangel</v>
      </c>
    </row>
    <row r="78" spans="1:22">
      <c r="A78" s="50">
        <v>10562</v>
      </c>
      <c r="B78" s="50" t="str">
        <f>IF(ISNA(VLOOKUP($A78,Council_Data!$A$3:$AB$840,2,0)),0,VLOOKUP($A78,Council_Data!$A$3:$AB$840,2,0))</f>
        <v>072</v>
      </c>
      <c r="C78" s="50" t="str">
        <f>IF(ISNA(VLOOKUP($A78,Council_Data!$A$3:$AB$840,3,0)),0,VLOOKUP($A78,Council_Data!$A$3:$AB$840,3,0))</f>
        <v>Pasadena</v>
      </c>
      <c r="D78" s="93">
        <f>IF(ISNA(VLOOKUP($A78,Council_Data!$A$3:$AB$840,5,0)),0,VLOOKUP($A78,Council_Data!$A$3:$AB$840,5,0))</f>
        <v>87</v>
      </c>
      <c r="E78" s="93">
        <f>IF(ISNA(VLOOKUP($A78,Council_Data!$A$3:$AB$840,6,0)),0,VLOOKUP($A78,Council_Data!$A$3:$AB$840,6,0))</f>
        <v>4</v>
      </c>
      <c r="F78" s="93">
        <f>IF(ISNA(VLOOKUP($A78,Council_Data!$A$3:$AB$840,7,0)),0,VLOOKUP($A78,Council_Data!$A$3:$AB$840,7,0))</f>
        <v>0</v>
      </c>
      <c r="G78" s="93">
        <f>IF(ISNA(VLOOKUP($A78,Council_Data!$A$3:$AB$840,8,0)),0,VLOOKUP($A78,Council_Data!$A$3:$AB$840,8,0))</f>
        <v>0</v>
      </c>
      <c r="H78" s="93">
        <f>IF(ISNA(VLOOKUP($A78,Council_Data!$A$3:$AB$840,9,0)),0,VLOOKUP($A78,Council_Data!$A$3:$AB$840,9,0))</f>
        <v>0</v>
      </c>
      <c r="I78" s="93">
        <f>IF(ISNA(VLOOKUP($A78,Council_Data!$A$3:$AB$840,10,0)),0,VLOOKUP($A78,Council_Data!$A$3:$AB$840,10,0))</f>
        <v>0</v>
      </c>
      <c r="J78" s="93">
        <f>IF(ISNA(VLOOKUP($A78,Council_Data!$A$3:$AB$840,11,0)),0,VLOOKUP($A78,Council_Data!$A$3:$AB$840,11,0))</f>
        <v>0</v>
      </c>
      <c r="K78" s="93">
        <f>IF(ISNA(VLOOKUP($A78,Council_Data!$A$3:$AB$840,12,0)),0,VLOOKUP($A78,Council_Data!$A$3:$AB$840,12,0))</f>
        <v>0</v>
      </c>
      <c r="L78" s="94">
        <f>IF(ISNA(VLOOKUP($A78,Council_Data!$A$3:$AB$840,13,0)),0,VLOOKUP($A78,Council_Data!$A$3:$AB$840,13,0))</f>
        <v>0</v>
      </c>
      <c r="M78" s="93">
        <f>IF(ISNA(VLOOKUP($A78,Council_Data!$A$3:$AB$840,14,0)),0,VLOOKUP($A78,Council_Data!$A$3:$AB$840,14,0))</f>
        <v>0</v>
      </c>
      <c r="N78" s="93">
        <f>IF(ISNA(VLOOKUP($A78,Council_Data!$A$3:$AB$840,15,0)),0,VLOOKUP($A78,Council_Data!$A$3:$AB$840,15,0))</f>
        <v>0</v>
      </c>
      <c r="O78" s="93">
        <f>IF(ISNA(VLOOKUP($A78,Council_Data!$A$3:$AB$840,16,0)),0,VLOOKUP($A78,Council_Data!$A$3:$AB$840,16,0))</f>
        <v>1</v>
      </c>
      <c r="P78" s="93">
        <f>IF(ISNA(VLOOKUP($A78,Council_Data!$A$3:$AB$840,17,0)),0,VLOOKUP($A78,Council_Data!$A$3:$AB$840,17,0))</f>
        <v>-1</v>
      </c>
      <c r="Q78" s="93">
        <f>IF(ISNA(VLOOKUP($A78,Council_Data!$A$3:$AB$840,18,0)),0,VLOOKUP($A78,Council_Data!$A$3:$AB$840,18,0))</f>
        <v>0</v>
      </c>
      <c r="R78" s="93">
        <f>IF(ISNA(VLOOKUP($A78,Council_Data!$A$3:$AB$840,19,0)),0,VLOOKUP($A78,Council_Data!$A$3:$AB$840,19,0))</f>
        <v>1</v>
      </c>
      <c r="S78" s="93">
        <f>IF(ISNA(VLOOKUP($A78,Council_Data!$A$3:$AB$840,20,0)),0,VLOOKUP($A78,Council_Data!$A$3:$AB$840,20,0))</f>
        <v>-1</v>
      </c>
      <c r="T78" s="94">
        <f>IF(ISNA(VLOOKUP($A78,Council_Data!$A$3:$AB$840,21,0)),0,VLOOKUP($A78,Council_Data!$A$3:$AB$840,21,0))</f>
        <v>0</v>
      </c>
      <c r="U78" s="93">
        <f>IF(ISNA(VLOOKUP($A78,Council_Data!$A$3:$AB$840,23,0)),0,VLOOKUP($A78,Council_Data!$A$3:$AB$840,23,0))</f>
        <v>2</v>
      </c>
      <c r="V78" s="50" t="str">
        <f>IF(ISNA(VLOOKUP($A78,Council_Data!$A$3:$AB$840,24,0)),0,VLOOKUP($A78,Council_Data!$A$3:$AB$840,24,0))</f>
        <v>Rangel</v>
      </c>
    </row>
    <row r="79" spans="1:22">
      <c r="A79" s="50">
        <v>10574</v>
      </c>
      <c r="B79" s="50" t="str">
        <f>IF(ISNA(VLOOKUP($A79,Council_Data!$A$3:$AB$840,2,0)),0,VLOOKUP($A79,Council_Data!$A$3:$AB$840,2,0))</f>
        <v>072</v>
      </c>
      <c r="C79" s="50" t="str">
        <f>IF(ISNA(VLOOKUP($A79,Council_Data!$A$3:$AB$840,3,0)),0,VLOOKUP($A79,Council_Data!$A$3:$AB$840,3,0))</f>
        <v>Deer Park</v>
      </c>
      <c r="D79" s="93">
        <f>IF(ISNA(VLOOKUP($A79,Council_Data!$A$3:$AB$840,5,0)),0,VLOOKUP($A79,Council_Data!$A$3:$AB$840,5,0))</f>
        <v>168</v>
      </c>
      <c r="E79" s="93">
        <f>IF(ISNA(VLOOKUP($A79,Council_Data!$A$3:$AB$840,6,0)),0,VLOOKUP($A79,Council_Data!$A$3:$AB$840,6,0))</f>
        <v>8</v>
      </c>
      <c r="F79" s="93">
        <f>IF(ISNA(VLOOKUP($A79,Council_Data!$A$3:$AB$840,7,0)),0,VLOOKUP($A79,Council_Data!$A$3:$AB$840,7,0))</f>
        <v>0</v>
      </c>
      <c r="G79" s="93">
        <f>IF(ISNA(VLOOKUP($A79,Council_Data!$A$3:$AB$840,8,0)),0,VLOOKUP($A79,Council_Data!$A$3:$AB$840,8,0))</f>
        <v>0</v>
      </c>
      <c r="H79" s="93">
        <f>IF(ISNA(VLOOKUP($A79,Council_Data!$A$3:$AB$840,9,0)),0,VLOOKUP($A79,Council_Data!$A$3:$AB$840,9,0))</f>
        <v>0</v>
      </c>
      <c r="I79" s="93">
        <f>IF(ISNA(VLOOKUP($A79,Council_Data!$A$3:$AB$840,10,0)),0,VLOOKUP($A79,Council_Data!$A$3:$AB$840,10,0))</f>
        <v>0</v>
      </c>
      <c r="J79" s="93">
        <f>IF(ISNA(VLOOKUP($A79,Council_Data!$A$3:$AB$840,11,0)),0,VLOOKUP($A79,Council_Data!$A$3:$AB$840,11,0))</f>
        <v>0</v>
      </c>
      <c r="K79" s="93">
        <f>IF(ISNA(VLOOKUP($A79,Council_Data!$A$3:$AB$840,12,0)),0,VLOOKUP($A79,Council_Data!$A$3:$AB$840,12,0))</f>
        <v>0</v>
      </c>
      <c r="L79" s="94">
        <f>IF(ISNA(VLOOKUP($A79,Council_Data!$A$3:$AB$840,13,0)),0,VLOOKUP($A79,Council_Data!$A$3:$AB$840,13,0))</f>
        <v>0</v>
      </c>
      <c r="M79" s="93">
        <f>IF(ISNA(VLOOKUP($A79,Council_Data!$A$3:$AB$840,14,0)),0,VLOOKUP($A79,Council_Data!$A$3:$AB$840,14,0))</f>
        <v>0</v>
      </c>
      <c r="N79" s="93">
        <f>IF(ISNA(VLOOKUP($A79,Council_Data!$A$3:$AB$840,15,0)),0,VLOOKUP($A79,Council_Data!$A$3:$AB$840,15,0))</f>
        <v>0</v>
      </c>
      <c r="O79" s="93">
        <f>IF(ISNA(VLOOKUP($A79,Council_Data!$A$3:$AB$840,16,0)),0,VLOOKUP($A79,Council_Data!$A$3:$AB$840,16,0))</f>
        <v>0</v>
      </c>
      <c r="P79" s="93">
        <f>IF(ISNA(VLOOKUP($A79,Council_Data!$A$3:$AB$840,17,0)),0,VLOOKUP($A79,Council_Data!$A$3:$AB$840,17,0))</f>
        <v>0</v>
      </c>
      <c r="Q79" s="93">
        <f>IF(ISNA(VLOOKUP($A79,Council_Data!$A$3:$AB$840,18,0)),0,VLOOKUP($A79,Council_Data!$A$3:$AB$840,18,0))</f>
        <v>0</v>
      </c>
      <c r="R79" s="93">
        <f>IF(ISNA(VLOOKUP($A79,Council_Data!$A$3:$AB$840,19,0)),0,VLOOKUP($A79,Council_Data!$A$3:$AB$840,19,0))</f>
        <v>0</v>
      </c>
      <c r="S79" s="93">
        <f>IF(ISNA(VLOOKUP($A79,Council_Data!$A$3:$AB$840,20,0)),0,VLOOKUP($A79,Council_Data!$A$3:$AB$840,20,0))</f>
        <v>0</v>
      </c>
      <c r="T79" s="94">
        <f>IF(ISNA(VLOOKUP($A79,Council_Data!$A$3:$AB$840,21,0)),0,VLOOKUP($A79,Council_Data!$A$3:$AB$840,21,0))</f>
        <v>0</v>
      </c>
      <c r="U79" s="93">
        <f>IF(ISNA(VLOOKUP($A79,Council_Data!$A$3:$AB$840,23,0)),0,VLOOKUP($A79,Council_Data!$A$3:$AB$840,23,0))</f>
        <v>1</v>
      </c>
      <c r="V79" s="50" t="str">
        <f>IF(ISNA(VLOOKUP($A79,Council_Data!$A$3:$AB$840,24,0)),0,VLOOKUP($A79,Council_Data!$A$3:$AB$840,24,0))</f>
        <v>Rangel</v>
      </c>
    </row>
    <row r="80" spans="1:22">
      <c r="A80" s="50">
        <v>10591</v>
      </c>
      <c r="B80" s="50" t="str">
        <f>IF(ISNA(VLOOKUP($A80,Council_Data!$A$3:$AB$840,2,0)),0,VLOOKUP($A80,Council_Data!$A$3:$AB$840,2,0))</f>
        <v>078</v>
      </c>
      <c r="C80" s="50" t="str">
        <f>IF(ISNA(VLOOKUP($A80,Council_Data!$A$3:$AB$840,3,0)),0,VLOOKUP($A80,Council_Data!$A$3:$AB$840,3,0))</f>
        <v>Houston</v>
      </c>
      <c r="D80" s="93">
        <f>IF(ISNA(VLOOKUP($A80,Council_Data!$A$3:$AB$840,5,0)),0,VLOOKUP($A80,Council_Data!$A$3:$AB$840,5,0))</f>
        <v>56</v>
      </c>
      <c r="E80" s="93">
        <f>IF(ISNA(VLOOKUP($A80,Council_Data!$A$3:$AB$840,6,0)),0,VLOOKUP($A80,Council_Data!$A$3:$AB$840,6,0))</f>
        <v>3</v>
      </c>
      <c r="F80" s="93">
        <f>IF(ISNA(VLOOKUP($A80,Council_Data!$A$3:$AB$840,7,0)),0,VLOOKUP($A80,Council_Data!$A$3:$AB$840,7,0))</f>
        <v>0</v>
      </c>
      <c r="G80" s="93">
        <f>IF(ISNA(VLOOKUP($A80,Council_Data!$A$3:$AB$840,8,0)),0,VLOOKUP($A80,Council_Data!$A$3:$AB$840,8,0))</f>
        <v>0</v>
      </c>
      <c r="H80" s="93">
        <f>IF(ISNA(VLOOKUP($A80,Council_Data!$A$3:$AB$840,9,0)),0,VLOOKUP($A80,Council_Data!$A$3:$AB$840,9,0))</f>
        <v>0</v>
      </c>
      <c r="I80" s="93">
        <f>IF(ISNA(VLOOKUP($A80,Council_Data!$A$3:$AB$840,10,0)),0,VLOOKUP($A80,Council_Data!$A$3:$AB$840,10,0))</f>
        <v>0</v>
      </c>
      <c r="J80" s="93">
        <f>IF(ISNA(VLOOKUP($A80,Council_Data!$A$3:$AB$840,11,0)),0,VLOOKUP($A80,Council_Data!$A$3:$AB$840,11,0))</f>
        <v>0</v>
      </c>
      <c r="K80" s="93">
        <f>IF(ISNA(VLOOKUP($A80,Council_Data!$A$3:$AB$840,12,0)),0,VLOOKUP($A80,Council_Data!$A$3:$AB$840,12,0))</f>
        <v>0</v>
      </c>
      <c r="L80" s="94">
        <f>IF(ISNA(VLOOKUP($A80,Council_Data!$A$3:$AB$840,13,0)),0,VLOOKUP($A80,Council_Data!$A$3:$AB$840,13,0))</f>
        <v>0</v>
      </c>
      <c r="M80" s="93">
        <f>IF(ISNA(VLOOKUP($A80,Council_Data!$A$3:$AB$840,14,0)),0,VLOOKUP($A80,Council_Data!$A$3:$AB$840,14,0))</f>
        <v>0</v>
      </c>
      <c r="N80" s="93">
        <f>IF(ISNA(VLOOKUP($A80,Council_Data!$A$3:$AB$840,15,0)),0,VLOOKUP($A80,Council_Data!$A$3:$AB$840,15,0))</f>
        <v>0</v>
      </c>
      <c r="O80" s="93">
        <f>IF(ISNA(VLOOKUP($A80,Council_Data!$A$3:$AB$840,16,0)),0,VLOOKUP($A80,Council_Data!$A$3:$AB$840,16,0))</f>
        <v>0</v>
      </c>
      <c r="P80" s="93">
        <f>IF(ISNA(VLOOKUP($A80,Council_Data!$A$3:$AB$840,17,0)),0,VLOOKUP($A80,Council_Data!$A$3:$AB$840,17,0))</f>
        <v>0</v>
      </c>
      <c r="Q80" s="93">
        <f>IF(ISNA(VLOOKUP($A80,Council_Data!$A$3:$AB$840,18,0)),0,VLOOKUP($A80,Council_Data!$A$3:$AB$840,18,0))</f>
        <v>0</v>
      </c>
      <c r="R80" s="93">
        <f>IF(ISNA(VLOOKUP($A80,Council_Data!$A$3:$AB$840,19,0)),0,VLOOKUP($A80,Council_Data!$A$3:$AB$840,19,0))</f>
        <v>0</v>
      </c>
      <c r="S80" s="93">
        <f>IF(ISNA(VLOOKUP($A80,Council_Data!$A$3:$AB$840,20,0)),0,VLOOKUP($A80,Council_Data!$A$3:$AB$840,20,0))</f>
        <v>0</v>
      </c>
      <c r="T80" s="94">
        <f>IF(ISNA(VLOOKUP($A80,Council_Data!$A$3:$AB$840,21,0)),0,VLOOKUP($A80,Council_Data!$A$3:$AB$840,21,0))</f>
        <v>0</v>
      </c>
      <c r="U80" s="93">
        <f>IF(ISNA(VLOOKUP($A80,Council_Data!$A$3:$AB$840,23,0)),0,VLOOKUP($A80,Council_Data!$A$3:$AB$840,23,0))</f>
        <v>3</v>
      </c>
      <c r="V80" s="50" t="str">
        <f>IF(ISNA(VLOOKUP($A80,Council_Data!$A$3:$AB$840,24,0)),0,VLOOKUP($A80,Council_Data!$A$3:$AB$840,24,0))</f>
        <v>Rangel</v>
      </c>
    </row>
    <row r="81" spans="1:22">
      <c r="A81" s="50">
        <v>10656</v>
      </c>
      <c r="B81" s="50" t="str">
        <f>IF(ISNA(VLOOKUP($A81,Council_Data!$A$3:$AB$840,2,0)),0,VLOOKUP($A81,Council_Data!$A$3:$AB$840,2,0))</f>
        <v>065</v>
      </c>
      <c r="C81" s="50" t="str">
        <f>IF(ISNA(VLOOKUP($A81,Council_Data!$A$3:$AB$840,3,0)),0,VLOOKUP($A81,Council_Data!$A$3:$AB$840,3,0))</f>
        <v>Houston</v>
      </c>
      <c r="D81" s="93">
        <f>IF(ISNA(VLOOKUP($A81,Council_Data!$A$3:$AB$840,5,0)),0,VLOOKUP($A81,Council_Data!$A$3:$AB$840,5,0))</f>
        <v>44</v>
      </c>
      <c r="E81" s="93">
        <f>IF(ISNA(VLOOKUP($A81,Council_Data!$A$3:$AB$840,6,0)),0,VLOOKUP($A81,Council_Data!$A$3:$AB$840,6,0))</f>
        <v>3</v>
      </c>
      <c r="F81" s="93">
        <f>IF(ISNA(VLOOKUP($A81,Council_Data!$A$3:$AB$840,7,0)),0,VLOOKUP($A81,Council_Data!$A$3:$AB$840,7,0))</f>
        <v>0</v>
      </c>
      <c r="G81" s="93">
        <f>IF(ISNA(VLOOKUP($A81,Council_Data!$A$3:$AB$840,8,0)),0,VLOOKUP($A81,Council_Data!$A$3:$AB$840,8,0))</f>
        <v>0</v>
      </c>
      <c r="H81" s="93">
        <f>IF(ISNA(VLOOKUP($A81,Council_Data!$A$3:$AB$840,9,0)),0,VLOOKUP($A81,Council_Data!$A$3:$AB$840,9,0))</f>
        <v>0</v>
      </c>
      <c r="I81" s="93">
        <f>IF(ISNA(VLOOKUP($A81,Council_Data!$A$3:$AB$840,10,0)),0,VLOOKUP($A81,Council_Data!$A$3:$AB$840,10,0))</f>
        <v>0</v>
      </c>
      <c r="J81" s="93">
        <f>IF(ISNA(VLOOKUP($A81,Council_Data!$A$3:$AB$840,11,0)),0,VLOOKUP($A81,Council_Data!$A$3:$AB$840,11,0))</f>
        <v>0</v>
      </c>
      <c r="K81" s="93">
        <f>IF(ISNA(VLOOKUP($A81,Council_Data!$A$3:$AB$840,12,0)),0,VLOOKUP($A81,Council_Data!$A$3:$AB$840,12,0))</f>
        <v>0</v>
      </c>
      <c r="L81" s="94">
        <f>IF(ISNA(VLOOKUP($A81,Council_Data!$A$3:$AB$840,13,0)),0,VLOOKUP($A81,Council_Data!$A$3:$AB$840,13,0))</f>
        <v>0</v>
      </c>
      <c r="M81" s="93">
        <f>IF(ISNA(VLOOKUP($A81,Council_Data!$A$3:$AB$840,14,0)),0,VLOOKUP($A81,Council_Data!$A$3:$AB$840,14,0))</f>
        <v>0</v>
      </c>
      <c r="N81" s="93">
        <f>IF(ISNA(VLOOKUP($A81,Council_Data!$A$3:$AB$840,15,0)),0,VLOOKUP($A81,Council_Data!$A$3:$AB$840,15,0))</f>
        <v>0</v>
      </c>
      <c r="O81" s="93">
        <f>IF(ISNA(VLOOKUP($A81,Council_Data!$A$3:$AB$840,16,0)),0,VLOOKUP($A81,Council_Data!$A$3:$AB$840,16,0))</f>
        <v>0</v>
      </c>
      <c r="P81" s="93">
        <f>IF(ISNA(VLOOKUP($A81,Council_Data!$A$3:$AB$840,17,0)),0,VLOOKUP($A81,Council_Data!$A$3:$AB$840,17,0))</f>
        <v>0</v>
      </c>
      <c r="Q81" s="93">
        <f>IF(ISNA(VLOOKUP($A81,Council_Data!$A$3:$AB$840,18,0)),0,VLOOKUP($A81,Council_Data!$A$3:$AB$840,18,0))</f>
        <v>0</v>
      </c>
      <c r="R81" s="93">
        <f>IF(ISNA(VLOOKUP($A81,Council_Data!$A$3:$AB$840,19,0)),0,VLOOKUP($A81,Council_Data!$A$3:$AB$840,19,0))</f>
        <v>0</v>
      </c>
      <c r="S81" s="93">
        <f>IF(ISNA(VLOOKUP($A81,Council_Data!$A$3:$AB$840,20,0)),0,VLOOKUP($A81,Council_Data!$A$3:$AB$840,20,0))</f>
        <v>0</v>
      </c>
      <c r="T81" s="94">
        <f>IF(ISNA(VLOOKUP($A81,Council_Data!$A$3:$AB$840,21,0)),0,VLOOKUP($A81,Council_Data!$A$3:$AB$840,21,0))</f>
        <v>0</v>
      </c>
      <c r="U81" s="93">
        <f>IF(ISNA(VLOOKUP($A81,Council_Data!$A$3:$AB$840,23,0)),0,VLOOKUP($A81,Council_Data!$A$3:$AB$840,23,0))</f>
        <v>3</v>
      </c>
      <c r="V81" s="50" t="str">
        <f>IF(ISNA(VLOOKUP($A81,Council_Data!$A$3:$AB$840,24,0)),0,VLOOKUP($A81,Council_Data!$A$3:$AB$840,24,0))</f>
        <v>Rangel</v>
      </c>
    </row>
    <row r="82" spans="1:22">
      <c r="A82" s="50">
        <v>10720</v>
      </c>
      <c r="B82" s="50" t="str">
        <f>IF(ISNA(VLOOKUP($A82,Council_Data!$A$3:$AB$840,2,0)),0,VLOOKUP($A82,Council_Data!$A$3:$AB$840,2,0))</f>
        <v>090</v>
      </c>
      <c r="C82" s="50" t="str">
        <f>IF(ISNA(VLOOKUP($A82,Council_Data!$A$3:$AB$840,3,0)),0,VLOOKUP($A82,Council_Data!$A$3:$AB$840,3,0))</f>
        <v>Houston</v>
      </c>
      <c r="D82" s="93">
        <f>IF(ISNA(VLOOKUP($A82,Council_Data!$A$3:$AB$840,5,0)),0,VLOOKUP($A82,Council_Data!$A$3:$AB$840,5,0))</f>
        <v>212</v>
      </c>
      <c r="E82" s="93">
        <f>IF(ISNA(VLOOKUP($A82,Council_Data!$A$3:$AB$840,6,0)),0,VLOOKUP($A82,Council_Data!$A$3:$AB$840,6,0))</f>
        <v>10</v>
      </c>
      <c r="F82" s="93">
        <f>IF(ISNA(VLOOKUP($A82,Council_Data!$A$3:$AB$840,7,0)),0,VLOOKUP($A82,Council_Data!$A$3:$AB$840,7,0))</f>
        <v>0</v>
      </c>
      <c r="G82" s="93">
        <f>IF(ISNA(VLOOKUP($A82,Council_Data!$A$3:$AB$840,8,0)),0,VLOOKUP($A82,Council_Data!$A$3:$AB$840,8,0))</f>
        <v>0</v>
      </c>
      <c r="H82" s="93">
        <f>IF(ISNA(VLOOKUP($A82,Council_Data!$A$3:$AB$840,9,0)),0,VLOOKUP($A82,Council_Data!$A$3:$AB$840,9,0))</f>
        <v>0</v>
      </c>
      <c r="I82" s="93">
        <f>IF(ISNA(VLOOKUP($A82,Council_Data!$A$3:$AB$840,10,0)),0,VLOOKUP($A82,Council_Data!$A$3:$AB$840,10,0))</f>
        <v>0</v>
      </c>
      <c r="J82" s="93">
        <f>IF(ISNA(VLOOKUP($A82,Council_Data!$A$3:$AB$840,11,0)),0,VLOOKUP($A82,Council_Data!$A$3:$AB$840,11,0))</f>
        <v>0</v>
      </c>
      <c r="K82" s="93">
        <f>IF(ISNA(VLOOKUP($A82,Council_Data!$A$3:$AB$840,12,0)),0,VLOOKUP($A82,Council_Data!$A$3:$AB$840,12,0))</f>
        <v>0</v>
      </c>
      <c r="L82" s="94">
        <f>IF(ISNA(VLOOKUP($A82,Council_Data!$A$3:$AB$840,13,0)),0,VLOOKUP($A82,Council_Data!$A$3:$AB$840,13,0))</f>
        <v>0</v>
      </c>
      <c r="M82" s="93">
        <f>IF(ISNA(VLOOKUP($A82,Council_Data!$A$3:$AB$840,14,0)),0,VLOOKUP($A82,Council_Data!$A$3:$AB$840,14,0))</f>
        <v>0</v>
      </c>
      <c r="N82" s="93">
        <f>IF(ISNA(VLOOKUP($A82,Council_Data!$A$3:$AB$840,15,0)),0,VLOOKUP($A82,Council_Data!$A$3:$AB$840,15,0))</f>
        <v>0</v>
      </c>
      <c r="O82" s="93">
        <f>IF(ISNA(VLOOKUP($A82,Council_Data!$A$3:$AB$840,16,0)),0,VLOOKUP($A82,Council_Data!$A$3:$AB$840,16,0))</f>
        <v>0</v>
      </c>
      <c r="P82" s="93">
        <f>IF(ISNA(VLOOKUP($A82,Council_Data!$A$3:$AB$840,17,0)),0,VLOOKUP($A82,Council_Data!$A$3:$AB$840,17,0))</f>
        <v>0</v>
      </c>
      <c r="Q82" s="93">
        <f>IF(ISNA(VLOOKUP($A82,Council_Data!$A$3:$AB$840,18,0)),0,VLOOKUP($A82,Council_Data!$A$3:$AB$840,18,0))</f>
        <v>0</v>
      </c>
      <c r="R82" s="93">
        <f>IF(ISNA(VLOOKUP($A82,Council_Data!$A$3:$AB$840,19,0)),0,VLOOKUP($A82,Council_Data!$A$3:$AB$840,19,0))</f>
        <v>2</v>
      </c>
      <c r="S82" s="93">
        <f>IF(ISNA(VLOOKUP($A82,Council_Data!$A$3:$AB$840,20,0)),0,VLOOKUP($A82,Council_Data!$A$3:$AB$840,20,0))</f>
        <v>-2</v>
      </c>
      <c r="T82" s="94">
        <f>IF(ISNA(VLOOKUP($A82,Council_Data!$A$3:$AB$840,21,0)),0,VLOOKUP($A82,Council_Data!$A$3:$AB$840,21,0))</f>
        <v>0</v>
      </c>
      <c r="U82" s="93">
        <f>IF(ISNA(VLOOKUP($A82,Council_Data!$A$3:$AB$840,23,0)),0,VLOOKUP($A82,Council_Data!$A$3:$AB$840,23,0))</f>
        <v>1</v>
      </c>
      <c r="V82" s="50" t="str">
        <f>IF(ISNA(VLOOKUP($A82,Council_Data!$A$3:$AB$840,24,0)),0,VLOOKUP($A82,Council_Data!$A$3:$AB$840,24,0))</f>
        <v>Rangel</v>
      </c>
    </row>
    <row r="83" spans="1:22">
      <c r="A83" s="50">
        <v>10779</v>
      </c>
      <c r="B83" s="50" t="str">
        <f>IF(ISNA(VLOOKUP($A83,Council_Data!$A$3:$AB$840,2,0)),0,VLOOKUP($A83,Council_Data!$A$3:$AB$840,2,0))</f>
        <v>073</v>
      </c>
      <c r="C83" s="50" t="str">
        <f>IF(ISNA(VLOOKUP($A83,Council_Data!$A$3:$AB$840,3,0)),0,VLOOKUP($A83,Council_Data!$A$3:$AB$840,3,0))</f>
        <v>Houston</v>
      </c>
      <c r="D83" s="93">
        <f>IF(ISNA(VLOOKUP($A83,Council_Data!$A$3:$AB$840,5,0)),0,VLOOKUP($A83,Council_Data!$A$3:$AB$840,5,0))</f>
        <v>88</v>
      </c>
      <c r="E83" s="93">
        <f>IF(ISNA(VLOOKUP($A83,Council_Data!$A$3:$AB$840,6,0)),0,VLOOKUP($A83,Council_Data!$A$3:$AB$840,6,0))</f>
        <v>4</v>
      </c>
      <c r="F83" s="93">
        <f>IF(ISNA(VLOOKUP($A83,Council_Data!$A$3:$AB$840,7,0)),0,VLOOKUP($A83,Council_Data!$A$3:$AB$840,7,0))</f>
        <v>0</v>
      </c>
      <c r="G83" s="93">
        <f>IF(ISNA(VLOOKUP($A83,Council_Data!$A$3:$AB$840,8,0)),0,VLOOKUP($A83,Council_Data!$A$3:$AB$840,8,0))</f>
        <v>0</v>
      </c>
      <c r="H83" s="93">
        <f>IF(ISNA(VLOOKUP($A83,Council_Data!$A$3:$AB$840,9,0)),0,VLOOKUP($A83,Council_Data!$A$3:$AB$840,9,0))</f>
        <v>0</v>
      </c>
      <c r="I83" s="93">
        <f>IF(ISNA(VLOOKUP($A83,Council_Data!$A$3:$AB$840,10,0)),0,VLOOKUP($A83,Council_Data!$A$3:$AB$840,10,0))</f>
        <v>0</v>
      </c>
      <c r="J83" s="93">
        <f>IF(ISNA(VLOOKUP($A83,Council_Data!$A$3:$AB$840,11,0)),0,VLOOKUP($A83,Council_Data!$A$3:$AB$840,11,0))</f>
        <v>0</v>
      </c>
      <c r="K83" s="93">
        <f>IF(ISNA(VLOOKUP($A83,Council_Data!$A$3:$AB$840,12,0)),0,VLOOKUP($A83,Council_Data!$A$3:$AB$840,12,0))</f>
        <v>0</v>
      </c>
      <c r="L83" s="94">
        <f>IF(ISNA(VLOOKUP($A83,Council_Data!$A$3:$AB$840,13,0)),0,VLOOKUP($A83,Council_Data!$A$3:$AB$840,13,0))</f>
        <v>0</v>
      </c>
      <c r="M83" s="93">
        <f>IF(ISNA(VLOOKUP($A83,Council_Data!$A$3:$AB$840,14,0)),0,VLOOKUP($A83,Council_Data!$A$3:$AB$840,14,0))</f>
        <v>0</v>
      </c>
      <c r="N83" s="93">
        <f>IF(ISNA(VLOOKUP($A83,Council_Data!$A$3:$AB$840,15,0)),0,VLOOKUP($A83,Council_Data!$A$3:$AB$840,15,0))</f>
        <v>0</v>
      </c>
      <c r="O83" s="93">
        <f>IF(ISNA(VLOOKUP($A83,Council_Data!$A$3:$AB$840,16,0)),0,VLOOKUP($A83,Council_Data!$A$3:$AB$840,16,0))</f>
        <v>1</v>
      </c>
      <c r="P83" s="93">
        <f>IF(ISNA(VLOOKUP($A83,Council_Data!$A$3:$AB$840,17,0)),0,VLOOKUP($A83,Council_Data!$A$3:$AB$840,17,0))</f>
        <v>-1</v>
      </c>
      <c r="Q83" s="93">
        <f>IF(ISNA(VLOOKUP($A83,Council_Data!$A$3:$AB$840,18,0)),0,VLOOKUP($A83,Council_Data!$A$3:$AB$840,18,0))</f>
        <v>0</v>
      </c>
      <c r="R83" s="93">
        <f>IF(ISNA(VLOOKUP($A83,Council_Data!$A$3:$AB$840,19,0)),0,VLOOKUP($A83,Council_Data!$A$3:$AB$840,19,0))</f>
        <v>1</v>
      </c>
      <c r="S83" s="93">
        <f>IF(ISNA(VLOOKUP($A83,Council_Data!$A$3:$AB$840,20,0)),0,VLOOKUP($A83,Council_Data!$A$3:$AB$840,20,0))</f>
        <v>-1</v>
      </c>
      <c r="T83" s="94">
        <f>IF(ISNA(VLOOKUP($A83,Council_Data!$A$3:$AB$840,21,0)),0,VLOOKUP($A83,Council_Data!$A$3:$AB$840,21,0))</f>
        <v>0</v>
      </c>
      <c r="U83" s="93">
        <f>IF(ISNA(VLOOKUP($A83,Council_Data!$A$3:$AB$840,23,0)),0,VLOOKUP($A83,Council_Data!$A$3:$AB$840,23,0))</f>
        <v>2</v>
      </c>
      <c r="V83" s="50" t="str">
        <f>IF(ISNA(VLOOKUP($A83,Council_Data!$A$3:$AB$840,24,0)),0,VLOOKUP($A83,Council_Data!$A$3:$AB$840,24,0))</f>
        <v>Rangel</v>
      </c>
    </row>
    <row r="84" spans="1:22">
      <c r="A84" s="50">
        <v>10861</v>
      </c>
      <c r="B84" s="50" t="str">
        <f>IF(ISNA(VLOOKUP($A84,Council_Data!$A$3:$AB$840,2,0)),0,VLOOKUP($A84,Council_Data!$A$3:$AB$840,2,0))</f>
        <v>091</v>
      </c>
      <c r="C84" s="50" t="str">
        <f>IF(ISNA(VLOOKUP($A84,Council_Data!$A$3:$AB$840,3,0)),0,VLOOKUP($A84,Council_Data!$A$3:$AB$840,3,0))</f>
        <v>Spring</v>
      </c>
      <c r="D84" s="93">
        <f>IF(ISNA(VLOOKUP($A84,Council_Data!$A$3:$AB$840,5,0)),0,VLOOKUP($A84,Council_Data!$A$3:$AB$840,5,0))</f>
        <v>527</v>
      </c>
      <c r="E84" s="93">
        <f>IF(ISNA(VLOOKUP($A84,Council_Data!$A$3:$AB$840,6,0)),0,VLOOKUP($A84,Council_Data!$A$3:$AB$840,6,0))</f>
        <v>20</v>
      </c>
      <c r="F84" s="93">
        <f>IF(ISNA(VLOOKUP($A84,Council_Data!$A$3:$AB$840,7,0)),0,VLOOKUP($A84,Council_Data!$A$3:$AB$840,7,0))</f>
        <v>0</v>
      </c>
      <c r="G84" s="93">
        <f>IF(ISNA(VLOOKUP($A84,Council_Data!$A$3:$AB$840,8,0)),0,VLOOKUP($A84,Council_Data!$A$3:$AB$840,8,0))</f>
        <v>1</v>
      </c>
      <c r="H84" s="93">
        <f>IF(ISNA(VLOOKUP($A84,Council_Data!$A$3:$AB$840,9,0)),0,VLOOKUP($A84,Council_Data!$A$3:$AB$840,9,0))</f>
        <v>-1</v>
      </c>
      <c r="I84" s="93">
        <f>IF(ISNA(VLOOKUP($A84,Council_Data!$A$3:$AB$840,10,0)),0,VLOOKUP($A84,Council_Data!$A$3:$AB$840,10,0))</f>
        <v>4</v>
      </c>
      <c r="J84" s="93">
        <f>IF(ISNA(VLOOKUP($A84,Council_Data!$A$3:$AB$840,11,0)),0,VLOOKUP($A84,Council_Data!$A$3:$AB$840,11,0))</f>
        <v>2</v>
      </c>
      <c r="K84" s="93">
        <f>IF(ISNA(VLOOKUP($A84,Council_Data!$A$3:$AB$840,12,0)),0,VLOOKUP($A84,Council_Data!$A$3:$AB$840,12,0))</f>
        <v>2</v>
      </c>
      <c r="L84" s="94">
        <f>IF(ISNA(VLOOKUP($A84,Council_Data!$A$3:$AB$840,13,0)),0,VLOOKUP($A84,Council_Data!$A$3:$AB$840,13,0))</f>
        <v>10</v>
      </c>
      <c r="M84" s="93">
        <f>IF(ISNA(VLOOKUP($A84,Council_Data!$A$3:$AB$840,14,0)),0,VLOOKUP($A84,Council_Data!$A$3:$AB$840,14,0))</f>
        <v>0</v>
      </c>
      <c r="N84" s="93">
        <f>IF(ISNA(VLOOKUP($A84,Council_Data!$A$3:$AB$840,15,0)),0,VLOOKUP($A84,Council_Data!$A$3:$AB$840,15,0))</f>
        <v>1</v>
      </c>
      <c r="O84" s="93">
        <f>IF(ISNA(VLOOKUP($A84,Council_Data!$A$3:$AB$840,16,0)),0,VLOOKUP($A84,Council_Data!$A$3:$AB$840,16,0))</f>
        <v>2</v>
      </c>
      <c r="P84" s="93">
        <f>IF(ISNA(VLOOKUP($A84,Council_Data!$A$3:$AB$840,17,0)),0,VLOOKUP($A84,Council_Data!$A$3:$AB$840,17,0))</f>
        <v>-1</v>
      </c>
      <c r="Q84" s="93">
        <f>IF(ISNA(VLOOKUP($A84,Council_Data!$A$3:$AB$840,18,0)),0,VLOOKUP($A84,Council_Data!$A$3:$AB$840,18,0))</f>
        <v>4</v>
      </c>
      <c r="R84" s="93">
        <f>IF(ISNA(VLOOKUP($A84,Council_Data!$A$3:$AB$840,19,0)),0,VLOOKUP($A84,Council_Data!$A$3:$AB$840,19,0))</f>
        <v>9</v>
      </c>
      <c r="S84" s="93">
        <f>IF(ISNA(VLOOKUP($A84,Council_Data!$A$3:$AB$840,20,0)),0,VLOOKUP($A84,Council_Data!$A$3:$AB$840,20,0))</f>
        <v>-5</v>
      </c>
      <c r="T84" s="94">
        <f>IF(ISNA(VLOOKUP($A84,Council_Data!$A$3:$AB$840,21,0)),0,VLOOKUP($A84,Council_Data!$A$3:$AB$840,21,0))</f>
        <v>0</v>
      </c>
      <c r="U84" s="93">
        <f>IF(ISNA(VLOOKUP($A84,Council_Data!$A$3:$AB$840,23,0)),0,VLOOKUP($A84,Council_Data!$A$3:$AB$840,23,0))</f>
        <v>1</v>
      </c>
      <c r="V84" s="50" t="str">
        <f>IF(ISNA(VLOOKUP($A84,Council_Data!$A$3:$AB$840,24,0)),0,VLOOKUP($A84,Council_Data!$A$3:$AB$840,24,0))</f>
        <v>Rangel</v>
      </c>
    </row>
    <row r="85" spans="1:22">
      <c r="A85" s="50">
        <v>10872</v>
      </c>
      <c r="B85" s="50" t="str">
        <f>IF(ISNA(VLOOKUP($A85,Council_Data!$A$3:$AB$840,2,0)),0,VLOOKUP($A85,Council_Data!$A$3:$AB$840,2,0))</f>
        <v>093</v>
      </c>
      <c r="C85" s="50" t="str">
        <f>IF(ISNA(VLOOKUP($A85,Council_Data!$A$3:$AB$840,3,0)),0,VLOOKUP($A85,Council_Data!$A$3:$AB$840,3,0))</f>
        <v>Spring</v>
      </c>
      <c r="D85" s="93">
        <f>IF(ISNA(VLOOKUP($A85,Council_Data!$A$3:$AB$840,5,0)),0,VLOOKUP($A85,Council_Data!$A$3:$AB$840,5,0))</f>
        <v>303</v>
      </c>
      <c r="E85" s="93">
        <f>IF(ISNA(VLOOKUP($A85,Council_Data!$A$3:$AB$840,6,0)),0,VLOOKUP($A85,Council_Data!$A$3:$AB$840,6,0))</f>
        <v>14</v>
      </c>
      <c r="F85" s="93">
        <f>IF(ISNA(VLOOKUP($A85,Council_Data!$A$3:$AB$840,7,0)),0,VLOOKUP($A85,Council_Data!$A$3:$AB$840,7,0))</f>
        <v>1</v>
      </c>
      <c r="G85" s="93">
        <f>IF(ISNA(VLOOKUP($A85,Council_Data!$A$3:$AB$840,8,0)),0,VLOOKUP($A85,Council_Data!$A$3:$AB$840,8,0))</f>
        <v>0</v>
      </c>
      <c r="H85" s="93">
        <f>IF(ISNA(VLOOKUP($A85,Council_Data!$A$3:$AB$840,9,0)),0,VLOOKUP($A85,Council_Data!$A$3:$AB$840,9,0))</f>
        <v>1</v>
      </c>
      <c r="I85" s="93">
        <f>IF(ISNA(VLOOKUP($A85,Council_Data!$A$3:$AB$840,10,0)),0,VLOOKUP($A85,Council_Data!$A$3:$AB$840,10,0))</f>
        <v>2</v>
      </c>
      <c r="J85" s="93">
        <f>IF(ISNA(VLOOKUP($A85,Council_Data!$A$3:$AB$840,11,0)),0,VLOOKUP($A85,Council_Data!$A$3:$AB$840,11,0))</f>
        <v>0</v>
      </c>
      <c r="K85" s="93">
        <f>IF(ISNA(VLOOKUP($A85,Council_Data!$A$3:$AB$840,12,0)),0,VLOOKUP($A85,Council_Data!$A$3:$AB$840,12,0))</f>
        <v>2</v>
      </c>
      <c r="L85" s="94">
        <f>IF(ISNA(VLOOKUP($A85,Council_Data!$A$3:$AB$840,13,0)),0,VLOOKUP($A85,Council_Data!$A$3:$AB$840,13,0))</f>
        <v>14.29</v>
      </c>
      <c r="M85" s="93">
        <f>IF(ISNA(VLOOKUP($A85,Council_Data!$A$3:$AB$840,14,0)),0,VLOOKUP($A85,Council_Data!$A$3:$AB$840,14,0))</f>
        <v>0</v>
      </c>
      <c r="N85" s="93">
        <f>IF(ISNA(VLOOKUP($A85,Council_Data!$A$3:$AB$840,15,0)),0,VLOOKUP($A85,Council_Data!$A$3:$AB$840,15,0))</f>
        <v>0</v>
      </c>
      <c r="O85" s="93">
        <f>IF(ISNA(VLOOKUP($A85,Council_Data!$A$3:$AB$840,16,0)),0,VLOOKUP($A85,Council_Data!$A$3:$AB$840,16,0))</f>
        <v>1</v>
      </c>
      <c r="P85" s="93">
        <f>IF(ISNA(VLOOKUP($A85,Council_Data!$A$3:$AB$840,17,0)),0,VLOOKUP($A85,Council_Data!$A$3:$AB$840,17,0))</f>
        <v>-1</v>
      </c>
      <c r="Q85" s="93">
        <f>IF(ISNA(VLOOKUP($A85,Council_Data!$A$3:$AB$840,18,0)),0,VLOOKUP($A85,Council_Data!$A$3:$AB$840,18,0))</f>
        <v>2</v>
      </c>
      <c r="R85" s="93">
        <f>IF(ISNA(VLOOKUP($A85,Council_Data!$A$3:$AB$840,19,0)),0,VLOOKUP($A85,Council_Data!$A$3:$AB$840,19,0))</f>
        <v>2</v>
      </c>
      <c r="S85" s="93">
        <f>IF(ISNA(VLOOKUP($A85,Council_Data!$A$3:$AB$840,20,0)),0,VLOOKUP($A85,Council_Data!$A$3:$AB$840,20,0))</f>
        <v>0</v>
      </c>
      <c r="T85" s="94">
        <f>IF(ISNA(VLOOKUP($A85,Council_Data!$A$3:$AB$840,21,0)),0,VLOOKUP($A85,Council_Data!$A$3:$AB$840,21,0))</f>
        <v>0</v>
      </c>
      <c r="U85" s="93">
        <f>IF(ISNA(VLOOKUP($A85,Council_Data!$A$3:$AB$840,23,0)),0,VLOOKUP($A85,Council_Data!$A$3:$AB$840,23,0))</f>
        <v>1</v>
      </c>
      <c r="V85" s="50" t="str">
        <f>IF(ISNA(VLOOKUP($A85,Council_Data!$A$3:$AB$840,24,0)),0,VLOOKUP($A85,Council_Data!$A$3:$AB$840,24,0))</f>
        <v>Rangel</v>
      </c>
    </row>
    <row r="86" spans="1:22">
      <c r="A86" s="50">
        <v>10959</v>
      </c>
      <c r="B86" s="50" t="str">
        <f>IF(ISNA(VLOOKUP($A86,Council_Data!$A$3:$AB$840,2,0)),0,VLOOKUP($A86,Council_Data!$A$3:$AB$840,2,0))</f>
        <v>070</v>
      </c>
      <c r="C86" s="50" t="str">
        <f>IF(ISNA(VLOOKUP($A86,Council_Data!$A$3:$AB$840,3,0)),0,VLOOKUP($A86,Council_Data!$A$3:$AB$840,3,0))</f>
        <v>Houston</v>
      </c>
      <c r="D86" s="93">
        <f>IF(ISNA(VLOOKUP($A86,Council_Data!$A$3:$AB$840,5,0)),0,VLOOKUP($A86,Council_Data!$A$3:$AB$840,5,0))</f>
        <v>133</v>
      </c>
      <c r="E86" s="93">
        <f>IF(ISNA(VLOOKUP($A86,Council_Data!$A$3:$AB$840,6,0)),0,VLOOKUP($A86,Council_Data!$A$3:$AB$840,6,0))</f>
        <v>6</v>
      </c>
      <c r="F86" s="93">
        <f>IF(ISNA(VLOOKUP($A86,Council_Data!$A$3:$AB$840,7,0)),0,VLOOKUP($A86,Council_Data!$A$3:$AB$840,7,0))</f>
        <v>0</v>
      </c>
      <c r="G86" s="93">
        <f>IF(ISNA(VLOOKUP($A86,Council_Data!$A$3:$AB$840,8,0)),0,VLOOKUP($A86,Council_Data!$A$3:$AB$840,8,0))</f>
        <v>0</v>
      </c>
      <c r="H86" s="93">
        <f>IF(ISNA(VLOOKUP($A86,Council_Data!$A$3:$AB$840,9,0)),0,VLOOKUP($A86,Council_Data!$A$3:$AB$840,9,0))</f>
        <v>0</v>
      </c>
      <c r="I86" s="93">
        <f>IF(ISNA(VLOOKUP($A86,Council_Data!$A$3:$AB$840,10,0)),0,VLOOKUP($A86,Council_Data!$A$3:$AB$840,10,0))</f>
        <v>0</v>
      </c>
      <c r="J86" s="93">
        <f>IF(ISNA(VLOOKUP($A86,Council_Data!$A$3:$AB$840,11,0)),0,VLOOKUP($A86,Council_Data!$A$3:$AB$840,11,0))</f>
        <v>0</v>
      </c>
      <c r="K86" s="93">
        <f>IF(ISNA(VLOOKUP($A86,Council_Data!$A$3:$AB$840,12,0)),0,VLOOKUP($A86,Council_Data!$A$3:$AB$840,12,0))</f>
        <v>0</v>
      </c>
      <c r="L86" s="94">
        <f>IF(ISNA(VLOOKUP($A86,Council_Data!$A$3:$AB$840,13,0)),0,VLOOKUP($A86,Council_Data!$A$3:$AB$840,13,0))</f>
        <v>0</v>
      </c>
      <c r="M86" s="93">
        <f>IF(ISNA(VLOOKUP($A86,Council_Data!$A$3:$AB$840,14,0)),0,VLOOKUP($A86,Council_Data!$A$3:$AB$840,14,0))</f>
        <v>0</v>
      </c>
      <c r="N86" s="93">
        <f>IF(ISNA(VLOOKUP($A86,Council_Data!$A$3:$AB$840,15,0)),0,VLOOKUP($A86,Council_Data!$A$3:$AB$840,15,0))</f>
        <v>0</v>
      </c>
      <c r="O86" s="93">
        <f>IF(ISNA(VLOOKUP($A86,Council_Data!$A$3:$AB$840,16,0)),0,VLOOKUP($A86,Council_Data!$A$3:$AB$840,16,0))</f>
        <v>0</v>
      </c>
      <c r="P86" s="93">
        <f>IF(ISNA(VLOOKUP($A86,Council_Data!$A$3:$AB$840,17,0)),0,VLOOKUP($A86,Council_Data!$A$3:$AB$840,17,0))</f>
        <v>0</v>
      </c>
      <c r="Q86" s="93">
        <f>IF(ISNA(VLOOKUP($A86,Council_Data!$A$3:$AB$840,18,0)),0,VLOOKUP($A86,Council_Data!$A$3:$AB$840,18,0))</f>
        <v>0</v>
      </c>
      <c r="R86" s="93">
        <f>IF(ISNA(VLOOKUP($A86,Council_Data!$A$3:$AB$840,19,0)),0,VLOOKUP($A86,Council_Data!$A$3:$AB$840,19,0))</f>
        <v>1</v>
      </c>
      <c r="S86" s="93">
        <f>IF(ISNA(VLOOKUP($A86,Council_Data!$A$3:$AB$840,20,0)),0,VLOOKUP($A86,Council_Data!$A$3:$AB$840,20,0))</f>
        <v>-1</v>
      </c>
      <c r="T86" s="94">
        <f>IF(ISNA(VLOOKUP($A86,Council_Data!$A$3:$AB$840,21,0)),0,VLOOKUP($A86,Council_Data!$A$3:$AB$840,21,0))</f>
        <v>0</v>
      </c>
      <c r="U86" s="93">
        <f>IF(ISNA(VLOOKUP($A86,Council_Data!$A$3:$AB$840,23,0)),0,VLOOKUP($A86,Council_Data!$A$3:$AB$840,23,0))</f>
        <v>2</v>
      </c>
      <c r="V86" s="50" t="str">
        <f>IF(ISNA(VLOOKUP($A86,Council_Data!$A$3:$AB$840,24,0)),0,VLOOKUP($A86,Council_Data!$A$3:$AB$840,24,0))</f>
        <v>Rangel</v>
      </c>
    </row>
    <row r="87" spans="1:22">
      <c r="A87" s="50">
        <v>10995</v>
      </c>
      <c r="B87" s="50" t="str">
        <f>IF(ISNA(VLOOKUP($A87,Council_Data!$A$3:$AB$840,2,0)),0,VLOOKUP($A87,Council_Data!$A$3:$AB$840,2,0))</f>
        <v>080</v>
      </c>
      <c r="C87" s="50" t="str">
        <f>IF(ISNA(VLOOKUP($A87,Council_Data!$A$3:$AB$840,3,0)),0,VLOOKUP($A87,Council_Data!$A$3:$AB$840,3,0))</f>
        <v>Houston</v>
      </c>
      <c r="D87" s="93">
        <f>IF(ISNA(VLOOKUP($A87,Council_Data!$A$3:$AB$840,5,0)),0,VLOOKUP($A87,Council_Data!$A$3:$AB$840,5,0))</f>
        <v>148</v>
      </c>
      <c r="E87" s="93">
        <f>IF(ISNA(VLOOKUP($A87,Council_Data!$A$3:$AB$840,6,0)),0,VLOOKUP($A87,Council_Data!$A$3:$AB$840,6,0))</f>
        <v>7</v>
      </c>
      <c r="F87" s="93">
        <f>IF(ISNA(VLOOKUP($A87,Council_Data!$A$3:$AB$840,7,0)),0,VLOOKUP($A87,Council_Data!$A$3:$AB$840,7,0))</f>
        <v>0</v>
      </c>
      <c r="G87" s="93">
        <f>IF(ISNA(VLOOKUP($A87,Council_Data!$A$3:$AB$840,8,0)),0,VLOOKUP($A87,Council_Data!$A$3:$AB$840,8,0))</f>
        <v>0</v>
      </c>
      <c r="H87" s="93">
        <f>IF(ISNA(VLOOKUP($A87,Council_Data!$A$3:$AB$840,9,0)),0,VLOOKUP($A87,Council_Data!$A$3:$AB$840,9,0))</f>
        <v>0</v>
      </c>
      <c r="I87" s="93">
        <f>IF(ISNA(VLOOKUP($A87,Council_Data!$A$3:$AB$840,10,0)),0,VLOOKUP($A87,Council_Data!$A$3:$AB$840,10,0))</f>
        <v>0</v>
      </c>
      <c r="J87" s="93">
        <f>IF(ISNA(VLOOKUP($A87,Council_Data!$A$3:$AB$840,11,0)),0,VLOOKUP($A87,Council_Data!$A$3:$AB$840,11,0))</f>
        <v>0</v>
      </c>
      <c r="K87" s="93">
        <f>IF(ISNA(VLOOKUP($A87,Council_Data!$A$3:$AB$840,12,0)),0,VLOOKUP($A87,Council_Data!$A$3:$AB$840,12,0))</f>
        <v>0</v>
      </c>
      <c r="L87" s="94">
        <f>IF(ISNA(VLOOKUP($A87,Council_Data!$A$3:$AB$840,13,0)),0,VLOOKUP($A87,Council_Data!$A$3:$AB$840,13,0))</f>
        <v>0</v>
      </c>
      <c r="M87" s="93">
        <f>IF(ISNA(VLOOKUP($A87,Council_Data!$A$3:$AB$840,14,0)),0,VLOOKUP($A87,Council_Data!$A$3:$AB$840,14,0))</f>
        <v>0</v>
      </c>
      <c r="N87" s="93">
        <f>IF(ISNA(VLOOKUP($A87,Council_Data!$A$3:$AB$840,15,0)),0,VLOOKUP($A87,Council_Data!$A$3:$AB$840,15,0))</f>
        <v>0</v>
      </c>
      <c r="O87" s="93">
        <f>IF(ISNA(VLOOKUP($A87,Council_Data!$A$3:$AB$840,16,0)),0,VLOOKUP($A87,Council_Data!$A$3:$AB$840,16,0))</f>
        <v>0</v>
      </c>
      <c r="P87" s="93">
        <f>IF(ISNA(VLOOKUP($A87,Council_Data!$A$3:$AB$840,17,0)),0,VLOOKUP($A87,Council_Data!$A$3:$AB$840,17,0))</f>
        <v>0</v>
      </c>
      <c r="Q87" s="93">
        <f>IF(ISNA(VLOOKUP($A87,Council_Data!$A$3:$AB$840,18,0)),0,VLOOKUP($A87,Council_Data!$A$3:$AB$840,18,0))</f>
        <v>0</v>
      </c>
      <c r="R87" s="93">
        <f>IF(ISNA(VLOOKUP($A87,Council_Data!$A$3:$AB$840,19,0)),0,VLOOKUP($A87,Council_Data!$A$3:$AB$840,19,0))</f>
        <v>0</v>
      </c>
      <c r="S87" s="93">
        <f>IF(ISNA(VLOOKUP($A87,Council_Data!$A$3:$AB$840,20,0)),0,VLOOKUP($A87,Council_Data!$A$3:$AB$840,20,0))</f>
        <v>0</v>
      </c>
      <c r="T87" s="94">
        <f>IF(ISNA(VLOOKUP($A87,Council_Data!$A$3:$AB$840,21,0)),0,VLOOKUP($A87,Council_Data!$A$3:$AB$840,21,0))</f>
        <v>0</v>
      </c>
      <c r="U87" s="93">
        <f>IF(ISNA(VLOOKUP($A87,Council_Data!$A$3:$AB$840,23,0)),0,VLOOKUP($A87,Council_Data!$A$3:$AB$840,23,0))</f>
        <v>1</v>
      </c>
      <c r="V87" s="50" t="str">
        <f>IF(ISNA(VLOOKUP($A87,Council_Data!$A$3:$AB$840,24,0)),0,VLOOKUP($A87,Council_Data!$A$3:$AB$840,24,0))</f>
        <v>Supak</v>
      </c>
    </row>
    <row r="88" spans="1:22">
      <c r="A88" s="50">
        <v>11023</v>
      </c>
      <c r="B88" s="50" t="str">
        <f>IF(ISNA(VLOOKUP($A88,Council_Data!$A$3:$AB$840,2,0)),0,VLOOKUP($A88,Council_Data!$A$3:$AB$840,2,0))</f>
        <v>083</v>
      </c>
      <c r="C88" s="50" t="str">
        <f>IF(ISNA(VLOOKUP($A88,Council_Data!$A$3:$AB$840,3,0)),0,VLOOKUP($A88,Council_Data!$A$3:$AB$840,3,0))</f>
        <v>Houston</v>
      </c>
      <c r="D88" s="93">
        <f>IF(ISNA(VLOOKUP($A88,Council_Data!$A$3:$AB$840,5,0)),0,VLOOKUP($A88,Council_Data!$A$3:$AB$840,5,0))</f>
        <v>89</v>
      </c>
      <c r="E88" s="93">
        <f>IF(ISNA(VLOOKUP($A88,Council_Data!$A$3:$AB$840,6,0)),0,VLOOKUP($A88,Council_Data!$A$3:$AB$840,6,0))</f>
        <v>4</v>
      </c>
      <c r="F88" s="93">
        <f>IF(ISNA(VLOOKUP($A88,Council_Data!$A$3:$AB$840,7,0)),0,VLOOKUP($A88,Council_Data!$A$3:$AB$840,7,0))</f>
        <v>0</v>
      </c>
      <c r="G88" s="93">
        <f>IF(ISNA(VLOOKUP($A88,Council_Data!$A$3:$AB$840,8,0)),0,VLOOKUP($A88,Council_Data!$A$3:$AB$840,8,0))</f>
        <v>0</v>
      </c>
      <c r="H88" s="93">
        <f>IF(ISNA(VLOOKUP($A88,Council_Data!$A$3:$AB$840,9,0)),0,VLOOKUP($A88,Council_Data!$A$3:$AB$840,9,0))</f>
        <v>0</v>
      </c>
      <c r="I88" s="93">
        <f>IF(ISNA(VLOOKUP($A88,Council_Data!$A$3:$AB$840,10,0)),0,VLOOKUP($A88,Council_Data!$A$3:$AB$840,10,0))</f>
        <v>0</v>
      </c>
      <c r="J88" s="93">
        <f>IF(ISNA(VLOOKUP($A88,Council_Data!$A$3:$AB$840,11,0)),0,VLOOKUP($A88,Council_Data!$A$3:$AB$840,11,0))</f>
        <v>0</v>
      </c>
      <c r="K88" s="93">
        <f>IF(ISNA(VLOOKUP($A88,Council_Data!$A$3:$AB$840,12,0)),0,VLOOKUP($A88,Council_Data!$A$3:$AB$840,12,0))</f>
        <v>0</v>
      </c>
      <c r="L88" s="94">
        <f>IF(ISNA(VLOOKUP($A88,Council_Data!$A$3:$AB$840,13,0)),0,VLOOKUP($A88,Council_Data!$A$3:$AB$840,13,0))</f>
        <v>0</v>
      </c>
      <c r="M88" s="93">
        <f>IF(ISNA(VLOOKUP($A88,Council_Data!$A$3:$AB$840,14,0)),0,VLOOKUP($A88,Council_Data!$A$3:$AB$840,14,0))</f>
        <v>0</v>
      </c>
      <c r="N88" s="93">
        <f>IF(ISNA(VLOOKUP($A88,Council_Data!$A$3:$AB$840,15,0)),0,VLOOKUP($A88,Council_Data!$A$3:$AB$840,15,0))</f>
        <v>0</v>
      </c>
      <c r="O88" s="93">
        <f>IF(ISNA(VLOOKUP($A88,Council_Data!$A$3:$AB$840,16,0)),0,VLOOKUP($A88,Council_Data!$A$3:$AB$840,16,0))</f>
        <v>1</v>
      </c>
      <c r="P88" s="93">
        <f>IF(ISNA(VLOOKUP($A88,Council_Data!$A$3:$AB$840,17,0)),0,VLOOKUP($A88,Council_Data!$A$3:$AB$840,17,0))</f>
        <v>-1</v>
      </c>
      <c r="Q88" s="93">
        <f>IF(ISNA(VLOOKUP($A88,Council_Data!$A$3:$AB$840,18,0)),0,VLOOKUP($A88,Council_Data!$A$3:$AB$840,18,0))</f>
        <v>0</v>
      </c>
      <c r="R88" s="93">
        <f>IF(ISNA(VLOOKUP($A88,Council_Data!$A$3:$AB$840,19,0)),0,VLOOKUP($A88,Council_Data!$A$3:$AB$840,19,0))</f>
        <v>1</v>
      </c>
      <c r="S88" s="93">
        <f>IF(ISNA(VLOOKUP($A88,Council_Data!$A$3:$AB$840,20,0)),0,VLOOKUP($A88,Council_Data!$A$3:$AB$840,20,0))</f>
        <v>-1</v>
      </c>
      <c r="T88" s="94">
        <f>IF(ISNA(VLOOKUP($A88,Council_Data!$A$3:$AB$840,21,0)),0,VLOOKUP($A88,Council_Data!$A$3:$AB$840,21,0))</f>
        <v>0</v>
      </c>
      <c r="U88" s="93">
        <f>IF(ISNA(VLOOKUP($A88,Council_Data!$A$3:$AB$840,23,0)),0,VLOOKUP($A88,Council_Data!$A$3:$AB$840,23,0))</f>
        <v>2</v>
      </c>
      <c r="V88" s="50" t="str">
        <f>IF(ISNA(VLOOKUP($A88,Council_Data!$A$3:$AB$840,24,0)),0,VLOOKUP($A88,Council_Data!$A$3:$AB$840,24,0))</f>
        <v>Rangel</v>
      </c>
    </row>
    <row r="89" spans="1:22">
      <c r="A89" s="50">
        <v>11343</v>
      </c>
      <c r="B89" s="50" t="str">
        <f>IF(ISNA(VLOOKUP($A89,Council_Data!$A$3:$AB$840,2,0)),0,VLOOKUP($A89,Council_Data!$A$3:$AB$840,2,0))</f>
        <v>079</v>
      </c>
      <c r="C89" s="50" t="str">
        <f>IF(ISNA(VLOOKUP($A89,Council_Data!$A$3:$AB$840,3,0)),0,VLOOKUP($A89,Council_Data!$A$3:$AB$840,3,0))</f>
        <v>Sugar Land</v>
      </c>
      <c r="D89" s="93">
        <f>IF(ISNA(VLOOKUP($A89,Council_Data!$A$3:$AB$840,5,0)),0,VLOOKUP($A89,Council_Data!$A$3:$AB$840,5,0))</f>
        <v>434</v>
      </c>
      <c r="E89" s="93">
        <f>IF(ISNA(VLOOKUP($A89,Council_Data!$A$3:$AB$840,6,0)),0,VLOOKUP($A89,Council_Data!$A$3:$AB$840,6,0))</f>
        <v>20</v>
      </c>
      <c r="F89" s="93">
        <f>IF(ISNA(VLOOKUP($A89,Council_Data!$A$3:$AB$840,7,0)),0,VLOOKUP($A89,Council_Data!$A$3:$AB$840,7,0))</f>
        <v>0</v>
      </c>
      <c r="G89" s="93">
        <f>IF(ISNA(VLOOKUP($A89,Council_Data!$A$3:$AB$840,8,0)),0,VLOOKUP($A89,Council_Data!$A$3:$AB$840,8,0))</f>
        <v>1</v>
      </c>
      <c r="H89" s="93">
        <f>IF(ISNA(VLOOKUP($A89,Council_Data!$A$3:$AB$840,9,0)),0,VLOOKUP($A89,Council_Data!$A$3:$AB$840,9,0))</f>
        <v>-1</v>
      </c>
      <c r="I89" s="93">
        <f>IF(ISNA(VLOOKUP($A89,Council_Data!$A$3:$AB$840,10,0)),0,VLOOKUP($A89,Council_Data!$A$3:$AB$840,10,0))</f>
        <v>6</v>
      </c>
      <c r="J89" s="93">
        <f>IF(ISNA(VLOOKUP($A89,Council_Data!$A$3:$AB$840,11,0)),0,VLOOKUP($A89,Council_Data!$A$3:$AB$840,11,0))</f>
        <v>17</v>
      </c>
      <c r="K89" s="93">
        <f>IF(ISNA(VLOOKUP($A89,Council_Data!$A$3:$AB$840,12,0)),0,VLOOKUP($A89,Council_Data!$A$3:$AB$840,12,0))</f>
        <v>-11</v>
      </c>
      <c r="L89" s="94">
        <f>IF(ISNA(VLOOKUP($A89,Council_Data!$A$3:$AB$840,13,0)),0,VLOOKUP($A89,Council_Data!$A$3:$AB$840,13,0))</f>
        <v>0</v>
      </c>
      <c r="M89" s="93">
        <f>IF(ISNA(VLOOKUP($A89,Council_Data!$A$3:$AB$840,14,0)),0,VLOOKUP($A89,Council_Data!$A$3:$AB$840,14,0))</f>
        <v>0</v>
      </c>
      <c r="N89" s="93">
        <f>IF(ISNA(VLOOKUP($A89,Council_Data!$A$3:$AB$840,15,0)),0,VLOOKUP($A89,Council_Data!$A$3:$AB$840,15,0))</f>
        <v>0</v>
      </c>
      <c r="O89" s="93">
        <f>IF(ISNA(VLOOKUP($A89,Council_Data!$A$3:$AB$840,16,0)),0,VLOOKUP($A89,Council_Data!$A$3:$AB$840,16,0))</f>
        <v>0</v>
      </c>
      <c r="P89" s="93">
        <f>IF(ISNA(VLOOKUP($A89,Council_Data!$A$3:$AB$840,17,0)),0,VLOOKUP($A89,Council_Data!$A$3:$AB$840,17,0))</f>
        <v>0</v>
      </c>
      <c r="Q89" s="93">
        <f>IF(ISNA(VLOOKUP($A89,Council_Data!$A$3:$AB$840,18,0)),0,VLOOKUP($A89,Council_Data!$A$3:$AB$840,18,0))</f>
        <v>6</v>
      </c>
      <c r="R89" s="93">
        <f>IF(ISNA(VLOOKUP($A89,Council_Data!$A$3:$AB$840,19,0)),0,VLOOKUP($A89,Council_Data!$A$3:$AB$840,19,0))</f>
        <v>1</v>
      </c>
      <c r="S89" s="93">
        <f>IF(ISNA(VLOOKUP($A89,Council_Data!$A$3:$AB$840,20,0)),0,VLOOKUP($A89,Council_Data!$A$3:$AB$840,20,0))</f>
        <v>5</v>
      </c>
      <c r="T89" s="94">
        <f>IF(ISNA(VLOOKUP($A89,Council_Data!$A$3:$AB$840,21,0)),0,VLOOKUP($A89,Council_Data!$A$3:$AB$840,21,0))</f>
        <v>0</v>
      </c>
      <c r="U89" s="93">
        <f>IF(ISNA(VLOOKUP($A89,Council_Data!$A$3:$AB$840,23,0)),0,VLOOKUP($A89,Council_Data!$A$3:$AB$840,23,0))</f>
        <v>1</v>
      </c>
      <c r="V89" s="50" t="str">
        <f>IF(ISNA(VLOOKUP($A89,Council_Data!$A$3:$AB$840,24,0)),0,VLOOKUP($A89,Council_Data!$A$3:$AB$840,24,0))</f>
        <v>Supak</v>
      </c>
    </row>
    <row r="90" spans="1:22">
      <c r="A90" s="50">
        <v>11438</v>
      </c>
      <c r="B90" s="50" t="str">
        <f>IF(ISNA(VLOOKUP($A90,Council_Data!$A$3:$AB$840,2,0)),0,VLOOKUP($A90,Council_Data!$A$3:$AB$840,2,0))</f>
        <v>077</v>
      </c>
      <c r="C90" s="50" t="str">
        <f>IF(ISNA(VLOOKUP($A90,Council_Data!$A$3:$AB$840,3,0)),0,VLOOKUP($A90,Council_Data!$A$3:$AB$840,3,0))</f>
        <v>Houston</v>
      </c>
      <c r="D90" s="93">
        <f>IF(ISNA(VLOOKUP($A90,Council_Data!$A$3:$AB$840,5,0)),0,VLOOKUP($A90,Council_Data!$A$3:$AB$840,5,0))</f>
        <v>88</v>
      </c>
      <c r="E90" s="93">
        <f>IF(ISNA(VLOOKUP($A90,Council_Data!$A$3:$AB$840,6,0)),0,VLOOKUP($A90,Council_Data!$A$3:$AB$840,6,0))</f>
        <v>4</v>
      </c>
      <c r="F90" s="93">
        <f>IF(ISNA(VLOOKUP($A90,Council_Data!$A$3:$AB$840,7,0)),0,VLOOKUP($A90,Council_Data!$A$3:$AB$840,7,0))</f>
        <v>0</v>
      </c>
      <c r="G90" s="93">
        <f>IF(ISNA(VLOOKUP($A90,Council_Data!$A$3:$AB$840,8,0)),0,VLOOKUP($A90,Council_Data!$A$3:$AB$840,8,0))</f>
        <v>0</v>
      </c>
      <c r="H90" s="93">
        <f>IF(ISNA(VLOOKUP($A90,Council_Data!$A$3:$AB$840,9,0)),0,VLOOKUP($A90,Council_Data!$A$3:$AB$840,9,0))</f>
        <v>0</v>
      </c>
      <c r="I90" s="93">
        <f>IF(ISNA(VLOOKUP($A90,Council_Data!$A$3:$AB$840,10,0)),0,VLOOKUP($A90,Council_Data!$A$3:$AB$840,10,0))</f>
        <v>1</v>
      </c>
      <c r="J90" s="93">
        <f>IF(ISNA(VLOOKUP($A90,Council_Data!$A$3:$AB$840,11,0)),0,VLOOKUP($A90,Council_Data!$A$3:$AB$840,11,0))</f>
        <v>0</v>
      </c>
      <c r="K90" s="93">
        <f>IF(ISNA(VLOOKUP($A90,Council_Data!$A$3:$AB$840,12,0)),0,VLOOKUP($A90,Council_Data!$A$3:$AB$840,12,0))</f>
        <v>1</v>
      </c>
      <c r="L90" s="94">
        <f>IF(ISNA(VLOOKUP($A90,Council_Data!$A$3:$AB$840,13,0)),0,VLOOKUP($A90,Council_Data!$A$3:$AB$840,13,0))</f>
        <v>25</v>
      </c>
      <c r="M90" s="93">
        <f>IF(ISNA(VLOOKUP($A90,Council_Data!$A$3:$AB$840,14,0)),0,VLOOKUP($A90,Council_Data!$A$3:$AB$840,14,0))</f>
        <v>0</v>
      </c>
      <c r="N90" s="93">
        <f>IF(ISNA(VLOOKUP($A90,Council_Data!$A$3:$AB$840,15,0)),0,VLOOKUP($A90,Council_Data!$A$3:$AB$840,15,0))</f>
        <v>0</v>
      </c>
      <c r="O90" s="93">
        <f>IF(ISNA(VLOOKUP($A90,Council_Data!$A$3:$AB$840,16,0)),0,VLOOKUP($A90,Council_Data!$A$3:$AB$840,16,0))</f>
        <v>0</v>
      </c>
      <c r="P90" s="93">
        <f>IF(ISNA(VLOOKUP($A90,Council_Data!$A$3:$AB$840,17,0)),0,VLOOKUP($A90,Council_Data!$A$3:$AB$840,17,0))</f>
        <v>0</v>
      </c>
      <c r="Q90" s="93">
        <f>IF(ISNA(VLOOKUP($A90,Council_Data!$A$3:$AB$840,18,0)),0,VLOOKUP($A90,Council_Data!$A$3:$AB$840,18,0))</f>
        <v>2</v>
      </c>
      <c r="R90" s="93">
        <f>IF(ISNA(VLOOKUP($A90,Council_Data!$A$3:$AB$840,19,0)),0,VLOOKUP($A90,Council_Data!$A$3:$AB$840,19,0))</f>
        <v>1</v>
      </c>
      <c r="S90" s="93">
        <f>IF(ISNA(VLOOKUP($A90,Council_Data!$A$3:$AB$840,20,0)),0,VLOOKUP($A90,Council_Data!$A$3:$AB$840,20,0))</f>
        <v>1</v>
      </c>
      <c r="T90" s="94">
        <f>IF(ISNA(VLOOKUP($A90,Council_Data!$A$3:$AB$840,21,0)),0,VLOOKUP($A90,Council_Data!$A$3:$AB$840,21,0))</f>
        <v>0</v>
      </c>
      <c r="U90" s="93">
        <f>IF(ISNA(VLOOKUP($A90,Council_Data!$A$3:$AB$840,23,0)),0,VLOOKUP($A90,Council_Data!$A$3:$AB$840,23,0))</f>
        <v>2</v>
      </c>
      <c r="V90" s="50" t="str">
        <f>IF(ISNA(VLOOKUP($A90,Council_Data!$A$3:$AB$840,24,0)),0,VLOOKUP($A90,Council_Data!$A$3:$AB$840,24,0))</f>
        <v>Rangel</v>
      </c>
    </row>
    <row r="91" spans="1:22">
      <c r="A91" s="50">
        <v>11472</v>
      </c>
      <c r="B91" s="50" t="str">
        <f>IF(ISNA(VLOOKUP($A91,Council_Data!$A$3:$AB$840,2,0)),0,VLOOKUP($A91,Council_Data!$A$3:$AB$840,2,0))</f>
        <v>093</v>
      </c>
      <c r="C91" s="50" t="str">
        <f>IF(ISNA(VLOOKUP($A91,Council_Data!$A$3:$AB$840,3,0)),0,VLOOKUP($A91,Council_Data!$A$3:$AB$840,3,0))</f>
        <v>Tomball</v>
      </c>
      <c r="D91" s="93">
        <f>IF(ISNA(VLOOKUP($A91,Council_Data!$A$3:$AB$840,5,0)),0,VLOOKUP($A91,Council_Data!$A$3:$AB$840,5,0))</f>
        <v>222</v>
      </c>
      <c r="E91" s="93">
        <f>IF(ISNA(VLOOKUP($A91,Council_Data!$A$3:$AB$840,6,0)),0,VLOOKUP($A91,Council_Data!$A$3:$AB$840,6,0))</f>
        <v>11</v>
      </c>
      <c r="F91" s="93">
        <f>IF(ISNA(VLOOKUP($A91,Council_Data!$A$3:$AB$840,7,0)),0,VLOOKUP($A91,Council_Data!$A$3:$AB$840,7,0))</f>
        <v>0</v>
      </c>
      <c r="G91" s="93">
        <f>IF(ISNA(VLOOKUP($A91,Council_Data!$A$3:$AB$840,8,0)),0,VLOOKUP($A91,Council_Data!$A$3:$AB$840,8,0))</f>
        <v>1</v>
      </c>
      <c r="H91" s="93">
        <f>IF(ISNA(VLOOKUP($A91,Council_Data!$A$3:$AB$840,9,0)),0,VLOOKUP($A91,Council_Data!$A$3:$AB$840,9,0))</f>
        <v>-1</v>
      </c>
      <c r="I91" s="93">
        <f>IF(ISNA(VLOOKUP($A91,Council_Data!$A$3:$AB$840,10,0)),0,VLOOKUP($A91,Council_Data!$A$3:$AB$840,10,0))</f>
        <v>0</v>
      </c>
      <c r="J91" s="93">
        <f>IF(ISNA(VLOOKUP($A91,Council_Data!$A$3:$AB$840,11,0)),0,VLOOKUP($A91,Council_Data!$A$3:$AB$840,11,0))</f>
        <v>1</v>
      </c>
      <c r="K91" s="93">
        <f>IF(ISNA(VLOOKUP($A91,Council_Data!$A$3:$AB$840,12,0)),0,VLOOKUP($A91,Council_Data!$A$3:$AB$840,12,0))</f>
        <v>-1</v>
      </c>
      <c r="L91" s="94">
        <f>IF(ISNA(VLOOKUP($A91,Council_Data!$A$3:$AB$840,13,0)),0,VLOOKUP($A91,Council_Data!$A$3:$AB$840,13,0))</f>
        <v>0</v>
      </c>
      <c r="M91" s="93">
        <f>IF(ISNA(VLOOKUP($A91,Council_Data!$A$3:$AB$840,14,0)),0,VLOOKUP($A91,Council_Data!$A$3:$AB$840,14,0))</f>
        <v>0</v>
      </c>
      <c r="N91" s="93">
        <f>IF(ISNA(VLOOKUP($A91,Council_Data!$A$3:$AB$840,15,0)),0,VLOOKUP($A91,Council_Data!$A$3:$AB$840,15,0))</f>
        <v>1</v>
      </c>
      <c r="O91" s="93">
        <f>IF(ISNA(VLOOKUP($A91,Council_Data!$A$3:$AB$840,16,0)),0,VLOOKUP($A91,Council_Data!$A$3:$AB$840,16,0))</f>
        <v>0</v>
      </c>
      <c r="P91" s="93">
        <f>IF(ISNA(VLOOKUP($A91,Council_Data!$A$3:$AB$840,17,0)),0,VLOOKUP($A91,Council_Data!$A$3:$AB$840,17,0))</f>
        <v>1</v>
      </c>
      <c r="Q91" s="93">
        <f>IF(ISNA(VLOOKUP($A91,Council_Data!$A$3:$AB$840,18,0)),0,VLOOKUP($A91,Council_Data!$A$3:$AB$840,18,0))</f>
        <v>2</v>
      </c>
      <c r="R91" s="93">
        <f>IF(ISNA(VLOOKUP($A91,Council_Data!$A$3:$AB$840,19,0)),0,VLOOKUP($A91,Council_Data!$A$3:$AB$840,19,0))</f>
        <v>0</v>
      </c>
      <c r="S91" s="93">
        <f>IF(ISNA(VLOOKUP($A91,Council_Data!$A$3:$AB$840,20,0)),0,VLOOKUP($A91,Council_Data!$A$3:$AB$840,20,0))</f>
        <v>2</v>
      </c>
      <c r="T91" s="94">
        <f>IF(ISNA(VLOOKUP($A91,Council_Data!$A$3:$AB$840,21,0)),0,VLOOKUP($A91,Council_Data!$A$3:$AB$840,21,0))</f>
        <v>0</v>
      </c>
      <c r="U91" s="93">
        <f>IF(ISNA(VLOOKUP($A91,Council_Data!$A$3:$AB$840,23,0)),0,VLOOKUP($A91,Council_Data!$A$3:$AB$840,23,0))</f>
        <v>1</v>
      </c>
      <c r="V91" s="50" t="str">
        <f>IF(ISNA(VLOOKUP($A91,Council_Data!$A$3:$AB$840,24,0)),0,VLOOKUP($A91,Council_Data!$A$3:$AB$840,24,0))</f>
        <v>Rangel</v>
      </c>
    </row>
    <row r="92" spans="1:22">
      <c r="A92" s="50">
        <v>11662</v>
      </c>
      <c r="B92" s="50" t="str">
        <f>IF(ISNA(VLOOKUP($A92,Council_Data!$A$3:$AB$840,2,0)),0,VLOOKUP($A92,Council_Data!$A$3:$AB$840,2,0))</f>
        <v>065</v>
      </c>
      <c r="C92" s="50" t="str">
        <f>IF(ISNA(VLOOKUP($A92,Council_Data!$A$3:$AB$840,3,0)),0,VLOOKUP($A92,Council_Data!$A$3:$AB$840,3,0))</f>
        <v>Galena Park</v>
      </c>
      <c r="D92" s="93">
        <f>IF(ISNA(VLOOKUP($A92,Council_Data!$A$3:$AB$840,5,0)),0,VLOOKUP($A92,Council_Data!$A$3:$AB$840,5,0))</f>
        <v>47</v>
      </c>
      <c r="E92" s="93">
        <f>IF(ISNA(VLOOKUP($A92,Council_Data!$A$3:$AB$840,6,0)),0,VLOOKUP($A92,Council_Data!$A$3:$AB$840,6,0))</f>
        <v>3</v>
      </c>
      <c r="F92" s="93">
        <f>IF(ISNA(VLOOKUP($A92,Council_Data!$A$3:$AB$840,7,0)),0,VLOOKUP($A92,Council_Data!$A$3:$AB$840,7,0))</f>
        <v>0</v>
      </c>
      <c r="G92" s="93">
        <f>IF(ISNA(VLOOKUP($A92,Council_Data!$A$3:$AB$840,8,0)),0,VLOOKUP($A92,Council_Data!$A$3:$AB$840,8,0))</f>
        <v>0</v>
      </c>
      <c r="H92" s="93">
        <f>IF(ISNA(VLOOKUP($A92,Council_Data!$A$3:$AB$840,9,0)),0,VLOOKUP($A92,Council_Data!$A$3:$AB$840,9,0))</f>
        <v>0</v>
      </c>
      <c r="I92" s="93">
        <f>IF(ISNA(VLOOKUP($A92,Council_Data!$A$3:$AB$840,10,0)),0,VLOOKUP($A92,Council_Data!$A$3:$AB$840,10,0))</f>
        <v>0</v>
      </c>
      <c r="J92" s="93">
        <f>IF(ISNA(VLOOKUP($A92,Council_Data!$A$3:$AB$840,11,0)),0,VLOOKUP($A92,Council_Data!$A$3:$AB$840,11,0))</f>
        <v>0</v>
      </c>
      <c r="K92" s="93">
        <f>IF(ISNA(VLOOKUP($A92,Council_Data!$A$3:$AB$840,12,0)),0,VLOOKUP($A92,Council_Data!$A$3:$AB$840,12,0))</f>
        <v>0</v>
      </c>
      <c r="L92" s="94">
        <f>IF(ISNA(VLOOKUP($A92,Council_Data!$A$3:$AB$840,13,0)),0,VLOOKUP($A92,Council_Data!$A$3:$AB$840,13,0))</f>
        <v>0</v>
      </c>
      <c r="M92" s="93">
        <f>IF(ISNA(VLOOKUP($A92,Council_Data!$A$3:$AB$840,14,0)),0,VLOOKUP($A92,Council_Data!$A$3:$AB$840,14,0))</f>
        <v>0</v>
      </c>
      <c r="N92" s="93">
        <f>IF(ISNA(VLOOKUP($A92,Council_Data!$A$3:$AB$840,15,0)),0,VLOOKUP($A92,Council_Data!$A$3:$AB$840,15,0))</f>
        <v>0</v>
      </c>
      <c r="O92" s="93">
        <f>IF(ISNA(VLOOKUP($A92,Council_Data!$A$3:$AB$840,16,0)),0,VLOOKUP($A92,Council_Data!$A$3:$AB$840,16,0))</f>
        <v>1</v>
      </c>
      <c r="P92" s="93">
        <f>IF(ISNA(VLOOKUP($A92,Council_Data!$A$3:$AB$840,17,0)),0,VLOOKUP($A92,Council_Data!$A$3:$AB$840,17,0))</f>
        <v>-1</v>
      </c>
      <c r="Q92" s="93">
        <f>IF(ISNA(VLOOKUP($A92,Council_Data!$A$3:$AB$840,18,0)),0,VLOOKUP($A92,Council_Data!$A$3:$AB$840,18,0))</f>
        <v>0</v>
      </c>
      <c r="R92" s="93">
        <f>IF(ISNA(VLOOKUP($A92,Council_Data!$A$3:$AB$840,19,0)),0,VLOOKUP($A92,Council_Data!$A$3:$AB$840,19,0))</f>
        <v>1</v>
      </c>
      <c r="S92" s="93">
        <f>IF(ISNA(VLOOKUP($A92,Council_Data!$A$3:$AB$840,20,0)),0,VLOOKUP($A92,Council_Data!$A$3:$AB$840,20,0))</f>
        <v>-1</v>
      </c>
      <c r="T92" s="94">
        <f>IF(ISNA(VLOOKUP($A92,Council_Data!$A$3:$AB$840,21,0)),0,VLOOKUP($A92,Council_Data!$A$3:$AB$840,21,0))</f>
        <v>0</v>
      </c>
      <c r="U92" s="93">
        <f>IF(ISNA(VLOOKUP($A92,Council_Data!$A$3:$AB$840,23,0)),0,VLOOKUP($A92,Council_Data!$A$3:$AB$840,23,0))</f>
        <v>3</v>
      </c>
      <c r="V92" s="50" t="str">
        <f>IF(ISNA(VLOOKUP($A92,Council_Data!$A$3:$AB$840,24,0)),0,VLOOKUP($A92,Council_Data!$A$3:$AB$840,24,0))</f>
        <v>Rangel</v>
      </c>
    </row>
    <row r="93" spans="1:22">
      <c r="A93" s="50">
        <v>11866</v>
      </c>
      <c r="B93" s="50" t="str">
        <f>IF(ISNA(VLOOKUP($A93,Council_Data!$A$3:$AB$840,2,0)),0,VLOOKUP($A93,Council_Data!$A$3:$AB$840,2,0))</f>
        <v>095</v>
      </c>
      <c r="C93" s="50" t="str">
        <f>IF(ISNA(VLOOKUP($A93,Council_Data!$A$3:$AB$840,3,0)),0,VLOOKUP($A93,Council_Data!$A$3:$AB$840,3,0))</f>
        <v>Magnolia</v>
      </c>
      <c r="D93" s="93">
        <f>IF(ISNA(VLOOKUP($A93,Council_Data!$A$3:$AB$840,5,0)),0,VLOOKUP($A93,Council_Data!$A$3:$AB$840,5,0))</f>
        <v>157</v>
      </c>
      <c r="E93" s="93">
        <f>IF(ISNA(VLOOKUP($A93,Council_Data!$A$3:$AB$840,6,0)),0,VLOOKUP($A93,Council_Data!$A$3:$AB$840,6,0))</f>
        <v>8</v>
      </c>
      <c r="F93" s="93">
        <f>IF(ISNA(VLOOKUP($A93,Council_Data!$A$3:$AB$840,7,0)),0,VLOOKUP($A93,Council_Data!$A$3:$AB$840,7,0))</f>
        <v>0</v>
      </c>
      <c r="G93" s="93">
        <f>IF(ISNA(VLOOKUP($A93,Council_Data!$A$3:$AB$840,8,0)),0,VLOOKUP($A93,Council_Data!$A$3:$AB$840,8,0))</f>
        <v>0</v>
      </c>
      <c r="H93" s="93">
        <f>IF(ISNA(VLOOKUP($A93,Council_Data!$A$3:$AB$840,9,0)),0,VLOOKUP($A93,Council_Data!$A$3:$AB$840,9,0))</f>
        <v>0</v>
      </c>
      <c r="I93" s="93">
        <f>IF(ISNA(VLOOKUP($A93,Council_Data!$A$3:$AB$840,10,0)),0,VLOOKUP($A93,Council_Data!$A$3:$AB$840,10,0))</f>
        <v>0</v>
      </c>
      <c r="J93" s="93">
        <f>IF(ISNA(VLOOKUP($A93,Council_Data!$A$3:$AB$840,11,0)),0,VLOOKUP($A93,Council_Data!$A$3:$AB$840,11,0))</f>
        <v>0</v>
      </c>
      <c r="K93" s="93">
        <f>IF(ISNA(VLOOKUP($A93,Council_Data!$A$3:$AB$840,12,0)),0,VLOOKUP($A93,Council_Data!$A$3:$AB$840,12,0))</f>
        <v>0</v>
      </c>
      <c r="L93" s="94">
        <f>IF(ISNA(VLOOKUP($A93,Council_Data!$A$3:$AB$840,13,0)),0,VLOOKUP($A93,Council_Data!$A$3:$AB$840,13,0))</f>
        <v>0</v>
      </c>
      <c r="M93" s="93">
        <f>IF(ISNA(VLOOKUP($A93,Council_Data!$A$3:$AB$840,14,0)),0,VLOOKUP($A93,Council_Data!$A$3:$AB$840,14,0))</f>
        <v>0</v>
      </c>
      <c r="N93" s="93">
        <f>IF(ISNA(VLOOKUP($A93,Council_Data!$A$3:$AB$840,15,0)),0,VLOOKUP($A93,Council_Data!$A$3:$AB$840,15,0))</f>
        <v>0</v>
      </c>
      <c r="O93" s="93">
        <f>IF(ISNA(VLOOKUP($A93,Council_Data!$A$3:$AB$840,16,0)),0,VLOOKUP($A93,Council_Data!$A$3:$AB$840,16,0))</f>
        <v>0</v>
      </c>
      <c r="P93" s="93">
        <f>IF(ISNA(VLOOKUP($A93,Council_Data!$A$3:$AB$840,17,0)),0,VLOOKUP($A93,Council_Data!$A$3:$AB$840,17,0))</f>
        <v>0</v>
      </c>
      <c r="Q93" s="93">
        <f>IF(ISNA(VLOOKUP($A93,Council_Data!$A$3:$AB$840,18,0)),0,VLOOKUP($A93,Council_Data!$A$3:$AB$840,18,0))</f>
        <v>1</v>
      </c>
      <c r="R93" s="93">
        <f>IF(ISNA(VLOOKUP($A93,Council_Data!$A$3:$AB$840,19,0)),0,VLOOKUP($A93,Council_Data!$A$3:$AB$840,19,0))</f>
        <v>0</v>
      </c>
      <c r="S93" s="93">
        <f>IF(ISNA(VLOOKUP($A93,Council_Data!$A$3:$AB$840,20,0)),0,VLOOKUP($A93,Council_Data!$A$3:$AB$840,20,0))</f>
        <v>1</v>
      </c>
      <c r="T93" s="94">
        <f>IF(ISNA(VLOOKUP($A93,Council_Data!$A$3:$AB$840,21,0)),0,VLOOKUP($A93,Council_Data!$A$3:$AB$840,21,0))</f>
        <v>0</v>
      </c>
      <c r="U93" s="93">
        <f>IF(ISNA(VLOOKUP($A93,Council_Data!$A$3:$AB$840,23,0)),0,VLOOKUP($A93,Council_Data!$A$3:$AB$840,23,0))</f>
        <v>1</v>
      </c>
      <c r="V93" s="50" t="str">
        <f>IF(ISNA(VLOOKUP($A93,Council_Data!$A$3:$AB$840,24,0)),0,VLOOKUP($A93,Council_Data!$A$3:$AB$840,24,0))</f>
        <v>Rangel</v>
      </c>
    </row>
    <row r="94" spans="1:22">
      <c r="A94" s="50">
        <v>12320</v>
      </c>
      <c r="B94" s="50" t="str">
        <f>IF(ISNA(VLOOKUP($A94,Council_Data!$A$3:$AB$840,2,0)),0,VLOOKUP($A94,Council_Data!$A$3:$AB$840,2,0))</f>
        <v>092</v>
      </c>
      <c r="C94" s="50" t="str">
        <f>IF(ISNA(VLOOKUP($A94,Council_Data!$A$3:$AB$840,3,0)),0,VLOOKUP($A94,Council_Data!$A$3:$AB$840,3,0))</f>
        <v>Kingwood</v>
      </c>
      <c r="D94" s="93">
        <f>IF(ISNA(VLOOKUP($A94,Council_Data!$A$3:$AB$840,5,0)),0,VLOOKUP($A94,Council_Data!$A$3:$AB$840,5,0))</f>
        <v>331</v>
      </c>
      <c r="E94" s="93">
        <f>IF(ISNA(VLOOKUP($A94,Council_Data!$A$3:$AB$840,6,0)),0,VLOOKUP($A94,Council_Data!$A$3:$AB$840,6,0))</f>
        <v>16</v>
      </c>
      <c r="F94" s="93">
        <f>IF(ISNA(VLOOKUP($A94,Council_Data!$A$3:$AB$840,7,0)),0,VLOOKUP($A94,Council_Data!$A$3:$AB$840,7,0))</f>
        <v>1</v>
      </c>
      <c r="G94" s="93">
        <f>IF(ISNA(VLOOKUP($A94,Council_Data!$A$3:$AB$840,8,0)),0,VLOOKUP($A94,Council_Data!$A$3:$AB$840,8,0))</f>
        <v>0</v>
      </c>
      <c r="H94" s="93">
        <f>IF(ISNA(VLOOKUP($A94,Council_Data!$A$3:$AB$840,9,0)),0,VLOOKUP($A94,Council_Data!$A$3:$AB$840,9,0))</f>
        <v>1</v>
      </c>
      <c r="I94" s="93">
        <f>IF(ISNA(VLOOKUP($A94,Council_Data!$A$3:$AB$840,10,0)),0,VLOOKUP($A94,Council_Data!$A$3:$AB$840,10,0))</f>
        <v>8</v>
      </c>
      <c r="J94" s="93">
        <f>IF(ISNA(VLOOKUP($A94,Council_Data!$A$3:$AB$840,11,0)),0,VLOOKUP($A94,Council_Data!$A$3:$AB$840,11,0))</f>
        <v>0</v>
      </c>
      <c r="K94" s="93">
        <f>IF(ISNA(VLOOKUP($A94,Council_Data!$A$3:$AB$840,12,0)),0,VLOOKUP($A94,Council_Data!$A$3:$AB$840,12,0))</f>
        <v>8</v>
      </c>
      <c r="L94" s="94">
        <f>IF(ISNA(VLOOKUP($A94,Council_Data!$A$3:$AB$840,13,0)),0,VLOOKUP($A94,Council_Data!$A$3:$AB$840,13,0))</f>
        <v>50</v>
      </c>
      <c r="M94" s="93">
        <f>IF(ISNA(VLOOKUP($A94,Council_Data!$A$3:$AB$840,14,0)),0,VLOOKUP($A94,Council_Data!$A$3:$AB$840,14,0))</f>
        <v>0</v>
      </c>
      <c r="N94" s="93">
        <f>IF(ISNA(VLOOKUP($A94,Council_Data!$A$3:$AB$840,15,0)),0,VLOOKUP($A94,Council_Data!$A$3:$AB$840,15,0))</f>
        <v>0</v>
      </c>
      <c r="O94" s="93">
        <f>IF(ISNA(VLOOKUP($A94,Council_Data!$A$3:$AB$840,16,0)),0,VLOOKUP($A94,Council_Data!$A$3:$AB$840,16,0))</f>
        <v>0</v>
      </c>
      <c r="P94" s="93">
        <f>IF(ISNA(VLOOKUP($A94,Council_Data!$A$3:$AB$840,17,0)),0,VLOOKUP($A94,Council_Data!$A$3:$AB$840,17,0))</f>
        <v>0</v>
      </c>
      <c r="Q94" s="93">
        <f>IF(ISNA(VLOOKUP($A94,Council_Data!$A$3:$AB$840,18,0)),0,VLOOKUP($A94,Council_Data!$A$3:$AB$840,18,0))</f>
        <v>0</v>
      </c>
      <c r="R94" s="93">
        <f>IF(ISNA(VLOOKUP($A94,Council_Data!$A$3:$AB$840,19,0)),0,VLOOKUP($A94,Council_Data!$A$3:$AB$840,19,0))</f>
        <v>0</v>
      </c>
      <c r="S94" s="93">
        <f>IF(ISNA(VLOOKUP($A94,Council_Data!$A$3:$AB$840,20,0)),0,VLOOKUP($A94,Council_Data!$A$3:$AB$840,20,0))</f>
        <v>0</v>
      </c>
      <c r="T94" s="94">
        <f>IF(ISNA(VLOOKUP($A94,Council_Data!$A$3:$AB$840,21,0)),0,VLOOKUP($A94,Council_Data!$A$3:$AB$840,21,0))</f>
        <v>0</v>
      </c>
      <c r="U94" s="93">
        <f>IF(ISNA(VLOOKUP($A94,Council_Data!$A$3:$AB$840,23,0)),0,VLOOKUP($A94,Council_Data!$A$3:$AB$840,23,0))</f>
        <v>1</v>
      </c>
      <c r="V94" s="50" t="str">
        <f>IF(ISNA(VLOOKUP($A94,Council_Data!$A$3:$AB$840,24,0)),0,VLOOKUP($A94,Council_Data!$A$3:$AB$840,24,0))</f>
        <v>Rangel</v>
      </c>
    </row>
    <row r="95" spans="1:22">
      <c r="A95" s="50">
        <v>12327</v>
      </c>
      <c r="B95" s="50" t="str">
        <f>IF(ISNA(VLOOKUP($A95,Council_Data!$A$3:$AB$840,2,0)),0,VLOOKUP($A95,Council_Data!$A$3:$AB$840,2,0))</f>
        <v>094</v>
      </c>
      <c r="C95" s="50" t="str">
        <f>IF(ISNA(VLOOKUP($A95,Council_Data!$A$3:$AB$840,3,0)),0,VLOOKUP($A95,Council_Data!$A$3:$AB$840,3,0))</f>
        <v>The Woodlands</v>
      </c>
      <c r="D95" s="93">
        <f>IF(ISNA(VLOOKUP($A95,Council_Data!$A$3:$AB$840,5,0)),0,VLOOKUP($A95,Council_Data!$A$3:$AB$840,5,0))</f>
        <v>331</v>
      </c>
      <c r="E95" s="93">
        <f>IF(ISNA(VLOOKUP($A95,Council_Data!$A$3:$AB$840,6,0)),0,VLOOKUP($A95,Council_Data!$A$3:$AB$840,6,0))</f>
        <v>15</v>
      </c>
      <c r="F95" s="93">
        <f>IF(ISNA(VLOOKUP($A95,Council_Data!$A$3:$AB$840,7,0)),0,VLOOKUP($A95,Council_Data!$A$3:$AB$840,7,0))</f>
        <v>0</v>
      </c>
      <c r="G95" s="93">
        <f>IF(ISNA(VLOOKUP($A95,Council_Data!$A$3:$AB$840,8,0)),0,VLOOKUP($A95,Council_Data!$A$3:$AB$840,8,0))</f>
        <v>0</v>
      </c>
      <c r="H95" s="93">
        <f>IF(ISNA(VLOOKUP($A95,Council_Data!$A$3:$AB$840,9,0)),0,VLOOKUP($A95,Council_Data!$A$3:$AB$840,9,0))</f>
        <v>0</v>
      </c>
      <c r="I95" s="93">
        <f>IF(ISNA(VLOOKUP($A95,Council_Data!$A$3:$AB$840,10,0)),0,VLOOKUP($A95,Council_Data!$A$3:$AB$840,10,0))</f>
        <v>3</v>
      </c>
      <c r="J95" s="93">
        <f>IF(ISNA(VLOOKUP($A95,Council_Data!$A$3:$AB$840,11,0)),0,VLOOKUP($A95,Council_Data!$A$3:$AB$840,11,0))</f>
        <v>0</v>
      </c>
      <c r="K95" s="93">
        <f>IF(ISNA(VLOOKUP($A95,Council_Data!$A$3:$AB$840,12,0)),0,VLOOKUP($A95,Council_Data!$A$3:$AB$840,12,0))</f>
        <v>3</v>
      </c>
      <c r="L95" s="94">
        <f>IF(ISNA(VLOOKUP($A95,Council_Data!$A$3:$AB$840,13,0)),0,VLOOKUP($A95,Council_Data!$A$3:$AB$840,13,0))</f>
        <v>20</v>
      </c>
      <c r="M95" s="93">
        <f>IF(ISNA(VLOOKUP($A95,Council_Data!$A$3:$AB$840,14,0)),0,VLOOKUP($A95,Council_Data!$A$3:$AB$840,14,0))</f>
        <v>0</v>
      </c>
      <c r="N95" s="93">
        <f>IF(ISNA(VLOOKUP($A95,Council_Data!$A$3:$AB$840,15,0)),0,VLOOKUP($A95,Council_Data!$A$3:$AB$840,15,0))</f>
        <v>0</v>
      </c>
      <c r="O95" s="93">
        <f>IF(ISNA(VLOOKUP($A95,Council_Data!$A$3:$AB$840,16,0)),0,VLOOKUP($A95,Council_Data!$A$3:$AB$840,16,0))</f>
        <v>2</v>
      </c>
      <c r="P95" s="93">
        <f>IF(ISNA(VLOOKUP($A95,Council_Data!$A$3:$AB$840,17,0)),0,VLOOKUP($A95,Council_Data!$A$3:$AB$840,17,0))</f>
        <v>-2</v>
      </c>
      <c r="Q95" s="93">
        <f>IF(ISNA(VLOOKUP($A95,Council_Data!$A$3:$AB$840,18,0)),0,VLOOKUP($A95,Council_Data!$A$3:$AB$840,18,0))</f>
        <v>2</v>
      </c>
      <c r="R95" s="93">
        <f>IF(ISNA(VLOOKUP($A95,Council_Data!$A$3:$AB$840,19,0)),0,VLOOKUP($A95,Council_Data!$A$3:$AB$840,19,0))</f>
        <v>3</v>
      </c>
      <c r="S95" s="93">
        <f>IF(ISNA(VLOOKUP($A95,Council_Data!$A$3:$AB$840,20,0)),0,VLOOKUP($A95,Council_Data!$A$3:$AB$840,20,0))</f>
        <v>-1</v>
      </c>
      <c r="T95" s="94">
        <f>IF(ISNA(VLOOKUP($A95,Council_Data!$A$3:$AB$840,21,0)),0,VLOOKUP($A95,Council_Data!$A$3:$AB$840,21,0))</f>
        <v>0</v>
      </c>
      <c r="U95" s="93">
        <f>IF(ISNA(VLOOKUP($A95,Council_Data!$A$3:$AB$840,23,0)),0,VLOOKUP($A95,Council_Data!$A$3:$AB$840,23,0))</f>
        <v>1</v>
      </c>
      <c r="V95" s="50" t="str">
        <f>IF(ISNA(VLOOKUP($A95,Council_Data!$A$3:$AB$840,24,0)),0,VLOOKUP($A95,Council_Data!$A$3:$AB$840,24,0))</f>
        <v>Rangel</v>
      </c>
    </row>
    <row r="96" spans="1:22">
      <c r="A96" s="50">
        <v>12385</v>
      </c>
      <c r="B96" s="50" t="str">
        <f>IF(ISNA(VLOOKUP($A96,Council_Data!$A$3:$AB$840,2,0)),0,VLOOKUP($A96,Council_Data!$A$3:$AB$840,2,0))</f>
        <v>074</v>
      </c>
      <c r="C96" s="50" t="str">
        <f>IF(ISNA(VLOOKUP($A96,Council_Data!$A$3:$AB$840,3,0)),0,VLOOKUP($A96,Council_Data!$A$3:$AB$840,3,0))</f>
        <v>Houston</v>
      </c>
      <c r="D96" s="93">
        <f>IF(ISNA(VLOOKUP($A96,Council_Data!$A$3:$AB$840,5,0)),0,VLOOKUP($A96,Council_Data!$A$3:$AB$840,5,0))</f>
        <v>175</v>
      </c>
      <c r="E96" s="93">
        <f>IF(ISNA(VLOOKUP($A96,Council_Data!$A$3:$AB$840,6,0)),0,VLOOKUP($A96,Council_Data!$A$3:$AB$840,6,0))</f>
        <v>9</v>
      </c>
      <c r="F96" s="93">
        <f>IF(ISNA(VLOOKUP($A96,Council_Data!$A$3:$AB$840,7,0)),0,VLOOKUP($A96,Council_Data!$A$3:$AB$840,7,0))</f>
        <v>0</v>
      </c>
      <c r="G96" s="93">
        <f>IF(ISNA(VLOOKUP($A96,Council_Data!$A$3:$AB$840,8,0)),0,VLOOKUP($A96,Council_Data!$A$3:$AB$840,8,0))</f>
        <v>0</v>
      </c>
      <c r="H96" s="93">
        <f>IF(ISNA(VLOOKUP($A96,Council_Data!$A$3:$AB$840,9,0)),0,VLOOKUP($A96,Council_Data!$A$3:$AB$840,9,0))</f>
        <v>0</v>
      </c>
      <c r="I96" s="93">
        <f>IF(ISNA(VLOOKUP($A96,Council_Data!$A$3:$AB$840,10,0)),0,VLOOKUP($A96,Council_Data!$A$3:$AB$840,10,0))</f>
        <v>2</v>
      </c>
      <c r="J96" s="93">
        <f>IF(ISNA(VLOOKUP($A96,Council_Data!$A$3:$AB$840,11,0)),0,VLOOKUP($A96,Council_Data!$A$3:$AB$840,11,0))</f>
        <v>0</v>
      </c>
      <c r="K96" s="93">
        <f>IF(ISNA(VLOOKUP($A96,Council_Data!$A$3:$AB$840,12,0)),0,VLOOKUP($A96,Council_Data!$A$3:$AB$840,12,0))</f>
        <v>2</v>
      </c>
      <c r="L96" s="94">
        <f>IF(ISNA(VLOOKUP($A96,Council_Data!$A$3:$AB$840,13,0)),0,VLOOKUP($A96,Council_Data!$A$3:$AB$840,13,0))</f>
        <v>22.22</v>
      </c>
      <c r="M96" s="93">
        <f>IF(ISNA(VLOOKUP($A96,Council_Data!$A$3:$AB$840,14,0)),0,VLOOKUP($A96,Council_Data!$A$3:$AB$840,14,0))</f>
        <v>0</v>
      </c>
      <c r="N96" s="93">
        <f>IF(ISNA(VLOOKUP($A96,Council_Data!$A$3:$AB$840,15,0)),0,VLOOKUP($A96,Council_Data!$A$3:$AB$840,15,0))</f>
        <v>0</v>
      </c>
      <c r="O96" s="93">
        <f>IF(ISNA(VLOOKUP($A96,Council_Data!$A$3:$AB$840,16,0)),0,VLOOKUP($A96,Council_Data!$A$3:$AB$840,16,0))</f>
        <v>1</v>
      </c>
      <c r="P96" s="93">
        <f>IF(ISNA(VLOOKUP($A96,Council_Data!$A$3:$AB$840,17,0)),0,VLOOKUP($A96,Council_Data!$A$3:$AB$840,17,0))</f>
        <v>-1</v>
      </c>
      <c r="Q96" s="93">
        <f>IF(ISNA(VLOOKUP($A96,Council_Data!$A$3:$AB$840,18,0)),0,VLOOKUP($A96,Council_Data!$A$3:$AB$840,18,0))</f>
        <v>0</v>
      </c>
      <c r="R96" s="93">
        <f>IF(ISNA(VLOOKUP($A96,Council_Data!$A$3:$AB$840,19,0)),0,VLOOKUP($A96,Council_Data!$A$3:$AB$840,19,0))</f>
        <v>1</v>
      </c>
      <c r="S96" s="93">
        <f>IF(ISNA(VLOOKUP($A96,Council_Data!$A$3:$AB$840,20,0)),0,VLOOKUP($A96,Council_Data!$A$3:$AB$840,20,0))</f>
        <v>-1</v>
      </c>
      <c r="T96" s="94">
        <f>IF(ISNA(VLOOKUP($A96,Council_Data!$A$3:$AB$840,21,0)),0,VLOOKUP($A96,Council_Data!$A$3:$AB$840,21,0))</f>
        <v>0</v>
      </c>
      <c r="U96" s="93">
        <f>IF(ISNA(VLOOKUP($A96,Council_Data!$A$3:$AB$840,23,0)),0,VLOOKUP($A96,Council_Data!$A$3:$AB$840,23,0))</f>
        <v>1</v>
      </c>
      <c r="V96" s="50" t="str">
        <f>IF(ISNA(VLOOKUP($A96,Council_Data!$A$3:$AB$840,24,0)),0,VLOOKUP($A96,Council_Data!$A$3:$AB$840,24,0))</f>
        <v>Supak</v>
      </c>
    </row>
    <row r="97" spans="1:22">
      <c r="A97" s="50">
        <v>12474</v>
      </c>
      <c r="B97" s="50" t="str">
        <f>IF(ISNA(VLOOKUP($A97,Council_Data!$A$3:$AB$840,2,0)),0,VLOOKUP($A97,Council_Data!$A$3:$AB$840,2,0))</f>
        <v>097</v>
      </c>
      <c r="C97" s="50" t="str">
        <f>IF(ISNA(VLOOKUP($A97,Council_Data!$A$3:$AB$840,3,0)),0,VLOOKUP($A97,Council_Data!$A$3:$AB$840,3,0))</f>
        <v>Houston</v>
      </c>
      <c r="D97" s="93">
        <f>IF(ISNA(VLOOKUP($A97,Council_Data!$A$3:$AB$840,5,0)),0,VLOOKUP($A97,Council_Data!$A$3:$AB$840,5,0))</f>
        <v>39</v>
      </c>
      <c r="E97" s="93">
        <f>IF(ISNA(VLOOKUP($A97,Council_Data!$A$3:$AB$840,6,0)),0,VLOOKUP($A97,Council_Data!$A$3:$AB$840,6,0))</f>
        <v>3</v>
      </c>
      <c r="F97" s="93">
        <f>IF(ISNA(VLOOKUP($A97,Council_Data!$A$3:$AB$840,7,0)),0,VLOOKUP($A97,Council_Data!$A$3:$AB$840,7,0))</f>
        <v>0</v>
      </c>
      <c r="G97" s="93">
        <f>IF(ISNA(VLOOKUP($A97,Council_Data!$A$3:$AB$840,8,0)),0,VLOOKUP($A97,Council_Data!$A$3:$AB$840,8,0))</f>
        <v>0</v>
      </c>
      <c r="H97" s="93">
        <f>IF(ISNA(VLOOKUP($A97,Council_Data!$A$3:$AB$840,9,0)),0,VLOOKUP($A97,Council_Data!$A$3:$AB$840,9,0))</f>
        <v>0</v>
      </c>
      <c r="I97" s="93">
        <f>IF(ISNA(VLOOKUP($A97,Council_Data!$A$3:$AB$840,10,0)),0,VLOOKUP($A97,Council_Data!$A$3:$AB$840,10,0))</f>
        <v>0</v>
      </c>
      <c r="J97" s="93">
        <f>IF(ISNA(VLOOKUP($A97,Council_Data!$A$3:$AB$840,11,0)),0,VLOOKUP($A97,Council_Data!$A$3:$AB$840,11,0))</f>
        <v>0</v>
      </c>
      <c r="K97" s="93">
        <f>IF(ISNA(VLOOKUP($A97,Council_Data!$A$3:$AB$840,12,0)),0,VLOOKUP($A97,Council_Data!$A$3:$AB$840,12,0))</f>
        <v>0</v>
      </c>
      <c r="L97" s="94">
        <f>IF(ISNA(VLOOKUP($A97,Council_Data!$A$3:$AB$840,13,0)),0,VLOOKUP($A97,Council_Data!$A$3:$AB$840,13,0))</f>
        <v>0</v>
      </c>
      <c r="M97" s="93">
        <f>IF(ISNA(VLOOKUP($A97,Council_Data!$A$3:$AB$840,14,0)),0,VLOOKUP($A97,Council_Data!$A$3:$AB$840,14,0))</f>
        <v>0</v>
      </c>
      <c r="N97" s="93">
        <f>IF(ISNA(VLOOKUP($A97,Council_Data!$A$3:$AB$840,15,0)),0,VLOOKUP($A97,Council_Data!$A$3:$AB$840,15,0))</f>
        <v>0</v>
      </c>
      <c r="O97" s="93">
        <f>IF(ISNA(VLOOKUP($A97,Council_Data!$A$3:$AB$840,16,0)),0,VLOOKUP($A97,Council_Data!$A$3:$AB$840,16,0))</f>
        <v>0</v>
      </c>
      <c r="P97" s="93">
        <f>IF(ISNA(VLOOKUP($A97,Council_Data!$A$3:$AB$840,17,0)),0,VLOOKUP($A97,Council_Data!$A$3:$AB$840,17,0))</f>
        <v>0</v>
      </c>
      <c r="Q97" s="93">
        <f>IF(ISNA(VLOOKUP($A97,Council_Data!$A$3:$AB$840,18,0)),0,VLOOKUP($A97,Council_Data!$A$3:$AB$840,18,0))</f>
        <v>0</v>
      </c>
      <c r="R97" s="93">
        <f>IF(ISNA(VLOOKUP($A97,Council_Data!$A$3:$AB$840,19,0)),0,VLOOKUP($A97,Council_Data!$A$3:$AB$840,19,0))</f>
        <v>0</v>
      </c>
      <c r="S97" s="93">
        <f>IF(ISNA(VLOOKUP($A97,Council_Data!$A$3:$AB$840,20,0)),0,VLOOKUP($A97,Council_Data!$A$3:$AB$840,20,0))</f>
        <v>0</v>
      </c>
      <c r="T97" s="94">
        <f>IF(ISNA(VLOOKUP($A97,Council_Data!$A$3:$AB$840,21,0)),0,VLOOKUP($A97,Council_Data!$A$3:$AB$840,21,0))</f>
        <v>0</v>
      </c>
      <c r="U97" s="93">
        <f>IF(ISNA(VLOOKUP($A97,Council_Data!$A$3:$AB$840,23,0)),0,VLOOKUP($A97,Council_Data!$A$3:$AB$840,23,0))</f>
        <v>3</v>
      </c>
      <c r="V97" s="50" t="str">
        <f>IF(ISNA(VLOOKUP($A97,Council_Data!$A$3:$AB$840,24,0)),0,VLOOKUP($A97,Council_Data!$A$3:$AB$840,24,0))</f>
        <v>Rangel</v>
      </c>
    </row>
    <row r="98" spans="1:22">
      <c r="A98" s="50">
        <v>12475</v>
      </c>
      <c r="B98" s="50" t="str">
        <f>IF(ISNA(VLOOKUP($A98,Council_Data!$A$3:$AB$840,2,0)),0,VLOOKUP($A98,Council_Data!$A$3:$AB$840,2,0))</f>
        <v>088</v>
      </c>
      <c r="C98" s="50" t="str">
        <f>IF(ISNA(VLOOKUP($A98,Council_Data!$A$3:$AB$840,3,0)),0,VLOOKUP($A98,Council_Data!$A$3:$AB$840,3,0))</f>
        <v>Houston</v>
      </c>
      <c r="D98" s="93">
        <f>IF(ISNA(VLOOKUP($A98,Council_Data!$A$3:$AB$840,5,0)),0,VLOOKUP($A98,Council_Data!$A$3:$AB$840,5,0))</f>
        <v>77</v>
      </c>
      <c r="E98" s="93">
        <f>IF(ISNA(VLOOKUP($A98,Council_Data!$A$3:$AB$840,6,0)),0,VLOOKUP($A98,Council_Data!$A$3:$AB$840,6,0))</f>
        <v>4</v>
      </c>
      <c r="F98" s="93">
        <f>IF(ISNA(VLOOKUP($A98,Council_Data!$A$3:$AB$840,7,0)),0,VLOOKUP($A98,Council_Data!$A$3:$AB$840,7,0))</f>
        <v>0</v>
      </c>
      <c r="G98" s="93">
        <f>IF(ISNA(VLOOKUP($A98,Council_Data!$A$3:$AB$840,8,0)),0,VLOOKUP($A98,Council_Data!$A$3:$AB$840,8,0))</f>
        <v>0</v>
      </c>
      <c r="H98" s="93">
        <f>IF(ISNA(VLOOKUP($A98,Council_Data!$A$3:$AB$840,9,0)),0,VLOOKUP($A98,Council_Data!$A$3:$AB$840,9,0))</f>
        <v>0</v>
      </c>
      <c r="I98" s="93">
        <f>IF(ISNA(VLOOKUP($A98,Council_Data!$A$3:$AB$840,10,0)),0,VLOOKUP($A98,Council_Data!$A$3:$AB$840,10,0))</f>
        <v>0</v>
      </c>
      <c r="J98" s="93">
        <f>IF(ISNA(VLOOKUP($A98,Council_Data!$A$3:$AB$840,11,0)),0,VLOOKUP($A98,Council_Data!$A$3:$AB$840,11,0))</f>
        <v>0</v>
      </c>
      <c r="K98" s="93">
        <f>IF(ISNA(VLOOKUP($A98,Council_Data!$A$3:$AB$840,12,0)),0,VLOOKUP($A98,Council_Data!$A$3:$AB$840,12,0))</f>
        <v>0</v>
      </c>
      <c r="L98" s="94">
        <f>IF(ISNA(VLOOKUP($A98,Council_Data!$A$3:$AB$840,13,0)),0,VLOOKUP($A98,Council_Data!$A$3:$AB$840,13,0))</f>
        <v>0</v>
      </c>
      <c r="M98" s="93">
        <f>IF(ISNA(VLOOKUP($A98,Council_Data!$A$3:$AB$840,14,0)),0,VLOOKUP($A98,Council_Data!$A$3:$AB$840,14,0))</f>
        <v>0</v>
      </c>
      <c r="N98" s="93">
        <f>IF(ISNA(VLOOKUP($A98,Council_Data!$A$3:$AB$840,15,0)),0,VLOOKUP($A98,Council_Data!$A$3:$AB$840,15,0))</f>
        <v>0</v>
      </c>
      <c r="O98" s="93">
        <f>IF(ISNA(VLOOKUP($A98,Council_Data!$A$3:$AB$840,16,0)),0,VLOOKUP($A98,Council_Data!$A$3:$AB$840,16,0))</f>
        <v>2</v>
      </c>
      <c r="P98" s="93">
        <f>IF(ISNA(VLOOKUP($A98,Council_Data!$A$3:$AB$840,17,0)),0,VLOOKUP($A98,Council_Data!$A$3:$AB$840,17,0))</f>
        <v>-2</v>
      </c>
      <c r="Q98" s="93">
        <f>IF(ISNA(VLOOKUP($A98,Council_Data!$A$3:$AB$840,18,0)),0,VLOOKUP($A98,Council_Data!$A$3:$AB$840,18,0))</f>
        <v>0</v>
      </c>
      <c r="R98" s="93">
        <f>IF(ISNA(VLOOKUP($A98,Council_Data!$A$3:$AB$840,19,0)),0,VLOOKUP($A98,Council_Data!$A$3:$AB$840,19,0))</f>
        <v>2</v>
      </c>
      <c r="S98" s="93">
        <f>IF(ISNA(VLOOKUP($A98,Council_Data!$A$3:$AB$840,20,0)),0,VLOOKUP($A98,Council_Data!$A$3:$AB$840,20,0))</f>
        <v>-2</v>
      </c>
      <c r="T98" s="94">
        <f>IF(ISNA(VLOOKUP($A98,Council_Data!$A$3:$AB$840,21,0)),0,VLOOKUP($A98,Council_Data!$A$3:$AB$840,21,0))</f>
        <v>0</v>
      </c>
      <c r="U98" s="93">
        <f>IF(ISNA(VLOOKUP($A98,Council_Data!$A$3:$AB$840,23,0)),0,VLOOKUP($A98,Council_Data!$A$3:$AB$840,23,0))</f>
        <v>2</v>
      </c>
      <c r="V98" s="50" t="str">
        <f>IF(ISNA(VLOOKUP($A98,Council_Data!$A$3:$AB$840,24,0)),0,VLOOKUP($A98,Council_Data!$A$3:$AB$840,24,0))</f>
        <v>Rangel</v>
      </c>
    </row>
    <row r="99" spans="1:22">
      <c r="A99" s="50">
        <v>12500</v>
      </c>
      <c r="B99" s="50" t="str">
        <f>IF(ISNA(VLOOKUP($A99,Council_Data!$A$3:$AB$840,2,0)),0,VLOOKUP($A99,Council_Data!$A$3:$AB$840,2,0))</f>
        <v>099</v>
      </c>
      <c r="C99" s="50" t="str">
        <f>IF(ISNA(VLOOKUP($A99,Council_Data!$A$3:$AB$840,3,0)),0,VLOOKUP($A99,Council_Data!$A$3:$AB$840,3,0))</f>
        <v>Galveston</v>
      </c>
      <c r="D99" s="93">
        <f>IF(ISNA(VLOOKUP($A99,Council_Data!$A$3:$AB$840,5,0)),0,VLOOKUP($A99,Council_Data!$A$3:$AB$840,5,0))</f>
        <v>51</v>
      </c>
      <c r="E99" s="93">
        <f>IF(ISNA(VLOOKUP($A99,Council_Data!$A$3:$AB$840,6,0)),0,VLOOKUP($A99,Council_Data!$A$3:$AB$840,6,0))</f>
        <v>3</v>
      </c>
      <c r="F99" s="93">
        <f>IF(ISNA(VLOOKUP($A99,Council_Data!$A$3:$AB$840,7,0)),0,VLOOKUP($A99,Council_Data!$A$3:$AB$840,7,0))</f>
        <v>0</v>
      </c>
      <c r="G99" s="93">
        <f>IF(ISNA(VLOOKUP($A99,Council_Data!$A$3:$AB$840,8,0)),0,VLOOKUP($A99,Council_Data!$A$3:$AB$840,8,0))</f>
        <v>0</v>
      </c>
      <c r="H99" s="93">
        <f>IF(ISNA(VLOOKUP($A99,Council_Data!$A$3:$AB$840,9,0)),0,VLOOKUP($A99,Council_Data!$A$3:$AB$840,9,0))</f>
        <v>0</v>
      </c>
      <c r="I99" s="93">
        <f>IF(ISNA(VLOOKUP($A99,Council_Data!$A$3:$AB$840,10,0)),0,VLOOKUP($A99,Council_Data!$A$3:$AB$840,10,0))</f>
        <v>0</v>
      </c>
      <c r="J99" s="93">
        <f>IF(ISNA(VLOOKUP($A99,Council_Data!$A$3:$AB$840,11,0)),0,VLOOKUP($A99,Council_Data!$A$3:$AB$840,11,0))</f>
        <v>0</v>
      </c>
      <c r="K99" s="93">
        <f>IF(ISNA(VLOOKUP($A99,Council_Data!$A$3:$AB$840,12,0)),0,VLOOKUP($A99,Council_Data!$A$3:$AB$840,12,0))</f>
        <v>0</v>
      </c>
      <c r="L99" s="94">
        <f>IF(ISNA(VLOOKUP($A99,Council_Data!$A$3:$AB$840,13,0)),0,VLOOKUP($A99,Council_Data!$A$3:$AB$840,13,0))</f>
        <v>0</v>
      </c>
      <c r="M99" s="93">
        <f>IF(ISNA(VLOOKUP($A99,Council_Data!$A$3:$AB$840,14,0)),0,VLOOKUP($A99,Council_Data!$A$3:$AB$840,14,0))</f>
        <v>0</v>
      </c>
      <c r="N99" s="93">
        <f>IF(ISNA(VLOOKUP($A99,Council_Data!$A$3:$AB$840,15,0)),0,VLOOKUP($A99,Council_Data!$A$3:$AB$840,15,0))</f>
        <v>0</v>
      </c>
      <c r="O99" s="93">
        <f>IF(ISNA(VLOOKUP($A99,Council_Data!$A$3:$AB$840,16,0)),0,VLOOKUP($A99,Council_Data!$A$3:$AB$840,16,0))</f>
        <v>0</v>
      </c>
      <c r="P99" s="93">
        <f>IF(ISNA(VLOOKUP($A99,Council_Data!$A$3:$AB$840,17,0)),0,VLOOKUP($A99,Council_Data!$A$3:$AB$840,17,0))</f>
        <v>0</v>
      </c>
      <c r="Q99" s="93">
        <f>IF(ISNA(VLOOKUP($A99,Council_Data!$A$3:$AB$840,18,0)),0,VLOOKUP($A99,Council_Data!$A$3:$AB$840,18,0))</f>
        <v>0</v>
      </c>
      <c r="R99" s="93">
        <f>IF(ISNA(VLOOKUP($A99,Council_Data!$A$3:$AB$840,19,0)),0,VLOOKUP($A99,Council_Data!$A$3:$AB$840,19,0))</f>
        <v>0</v>
      </c>
      <c r="S99" s="93">
        <f>IF(ISNA(VLOOKUP($A99,Council_Data!$A$3:$AB$840,20,0)),0,VLOOKUP($A99,Council_Data!$A$3:$AB$840,20,0))</f>
        <v>0</v>
      </c>
      <c r="T99" s="94">
        <f>IF(ISNA(VLOOKUP($A99,Council_Data!$A$3:$AB$840,21,0)),0,VLOOKUP($A99,Council_Data!$A$3:$AB$840,21,0))</f>
        <v>0</v>
      </c>
      <c r="U99" s="93">
        <f>IF(ISNA(VLOOKUP($A99,Council_Data!$A$3:$AB$840,23,0)),0,VLOOKUP($A99,Council_Data!$A$3:$AB$840,23,0))</f>
        <v>3</v>
      </c>
      <c r="V99" s="50" t="str">
        <f>IF(ISNA(VLOOKUP($A99,Council_Data!$A$3:$AB$840,24,0)),0,VLOOKUP($A99,Council_Data!$A$3:$AB$840,24,0))</f>
        <v>Rangel</v>
      </c>
    </row>
    <row r="100" spans="1:22">
      <c r="A100" s="50">
        <v>12558</v>
      </c>
      <c r="B100" s="50" t="str">
        <f>IF(ISNA(VLOOKUP($A100,Council_Data!$A$3:$AB$840,2,0)),0,VLOOKUP($A100,Council_Data!$A$3:$AB$840,2,0))</f>
        <v>086</v>
      </c>
      <c r="C100" s="50" t="str">
        <f>IF(ISNA(VLOOKUP($A100,Council_Data!$A$3:$AB$840,3,0)),0,VLOOKUP($A100,Council_Data!$A$3:$AB$840,3,0))</f>
        <v>Frydek</v>
      </c>
      <c r="D100" s="93">
        <f>IF(ISNA(VLOOKUP($A100,Council_Data!$A$3:$AB$840,5,0)),0,VLOOKUP($A100,Council_Data!$A$3:$AB$840,5,0))</f>
        <v>181</v>
      </c>
      <c r="E100" s="93">
        <f>IF(ISNA(VLOOKUP($A100,Council_Data!$A$3:$AB$840,6,0)),0,VLOOKUP($A100,Council_Data!$A$3:$AB$840,6,0))</f>
        <v>9</v>
      </c>
      <c r="F100" s="93">
        <f>IF(ISNA(VLOOKUP($A100,Council_Data!$A$3:$AB$840,7,0)),0,VLOOKUP($A100,Council_Data!$A$3:$AB$840,7,0))</f>
        <v>0</v>
      </c>
      <c r="G100" s="93">
        <f>IF(ISNA(VLOOKUP($A100,Council_Data!$A$3:$AB$840,8,0)),0,VLOOKUP($A100,Council_Data!$A$3:$AB$840,8,0))</f>
        <v>0</v>
      </c>
      <c r="H100" s="93">
        <f>IF(ISNA(VLOOKUP($A100,Council_Data!$A$3:$AB$840,9,0)),0,VLOOKUP($A100,Council_Data!$A$3:$AB$840,9,0))</f>
        <v>0</v>
      </c>
      <c r="I100" s="93">
        <f>IF(ISNA(VLOOKUP($A100,Council_Data!$A$3:$AB$840,10,0)),0,VLOOKUP($A100,Council_Data!$A$3:$AB$840,10,0))</f>
        <v>0</v>
      </c>
      <c r="J100" s="93">
        <f>IF(ISNA(VLOOKUP($A100,Council_Data!$A$3:$AB$840,11,0)),0,VLOOKUP($A100,Council_Data!$A$3:$AB$840,11,0))</f>
        <v>0</v>
      </c>
      <c r="K100" s="93">
        <f>IF(ISNA(VLOOKUP($A100,Council_Data!$A$3:$AB$840,12,0)),0,VLOOKUP($A100,Council_Data!$A$3:$AB$840,12,0))</f>
        <v>0</v>
      </c>
      <c r="L100" s="94">
        <f>IF(ISNA(VLOOKUP($A100,Council_Data!$A$3:$AB$840,13,0)),0,VLOOKUP($A100,Council_Data!$A$3:$AB$840,13,0))</f>
        <v>0</v>
      </c>
      <c r="M100" s="93">
        <f>IF(ISNA(VLOOKUP($A100,Council_Data!$A$3:$AB$840,14,0)),0,VLOOKUP($A100,Council_Data!$A$3:$AB$840,14,0))</f>
        <v>0</v>
      </c>
      <c r="N100" s="93">
        <f>IF(ISNA(VLOOKUP($A100,Council_Data!$A$3:$AB$840,15,0)),0,VLOOKUP($A100,Council_Data!$A$3:$AB$840,15,0))</f>
        <v>0</v>
      </c>
      <c r="O100" s="93">
        <f>IF(ISNA(VLOOKUP($A100,Council_Data!$A$3:$AB$840,16,0)),0,VLOOKUP($A100,Council_Data!$A$3:$AB$840,16,0))</f>
        <v>1</v>
      </c>
      <c r="P100" s="93">
        <f>IF(ISNA(VLOOKUP($A100,Council_Data!$A$3:$AB$840,17,0)),0,VLOOKUP($A100,Council_Data!$A$3:$AB$840,17,0))</f>
        <v>-1</v>
      </c>
      <c r="Q100" s="93">
        <f>IF(ISNA(VLOOKUP($A100,Council_Data!$A$3:$AB$840,18,0)),0,VLOOKUP($A100,Council_Data!$A$3:$AB$840,18,0))</f>
        <v>1</v>
      </c>
      <c r="R100" s="93">
        <f>IF(ISNA(VLOOKUP($A100,Council_Data!$A$3:$AB$840,19,0)),0,VLOOKUP($A100,Council_Data!$A$3:$AB$840,19,0))</f>
        <v>1</v>
      </c>
      <c r="S100" s="93">
        <f>IF(ISNA(VLOOKUP($A100,Council_Data!$A$3:$AB$840,20,0)),0,VLOOKUP($A100,Council_Data!$A$3:$AB$840,20,0))</f>
        <v>0</v>
      </c>
      <c r="T100" s="94">
        <f>IF(ISNA(VLOOKUP($A100,Council_Data!$A$3:$AB$840,21,0)),0,VLOOKUP($A100,Council_Data!$A$3:$AB$840,21,0))</f>
        <v>0</v>
      </c>
      <c r="U100" s="93">
        <f>IF(ISNA(VLOOKUP($A100,Council_Data!$A$3:$AB$840,23,0)),0,VLOOKUP($A100,Council_Data!$A$3:$AB$840,23,0))</f>
        <v>1</v>
      </c>
      <c r="V100" s="50" t="str">
        <f>IF(ISNA(VLOOKUP($A100,Council_Data!$A$3:$AB$840,24,0)),0,VLOOKUP($A100,Council_Data!$A$3:$AB$840,24,0))</f>
        <v>Supak</v>
      </c>
    </row>
    <row r="101" spans="1:22" ht="25.5">
      <c r="A101" s="50">
        <v>12564</v>
      </c>
      <c r="B101" s="50" t="str">
        <f>IF(ISNA(VLOOKUP($A101,Council_Data!$A$3:$AB$840,2,0)),0,VLOOKUP($A101,Council_Data!$A$3:$AB$840,2,0))</f>
        <v>085</v>
      </c>
      <c r="C101" s="50" t="str">
        <f>IF(ISNA(VLOOKUP($A101,Council_Data!$A$3:$AB$840,3,0)),0,VLOOKUP($A101,Council_Data!$A$3:$AB$840,3,0))</f>
        <v>Brookshire/Pattison</v>
      </c>
      <c r="D101" s="93">
        <f>IF(ISNA(VLOOKUP($A101,Council_Data!$A$3:$AB$840,5,0)),0,VLOOKUP($A101,Council_Data!$A$3:$AB$840,5,0))</f>
        <v>60</v>
      </c>
      <c r="E101" s="93">
        <f>IF(ISNA(VLOOKUP($A101,Council_Data!$A$3:$AB$840,6,0)),0,VLOOKUP($A101,Council_Data!$A$3:$AB$840,6,0))</f>
        <v>3</v>
      </c>
      <c r="F101" s="93">
        <f>IF(ISNA(VLOOKUP($A101,Council_Data!$A$3:$AB$840,7,0)),0,VLOOKUP($A101,Council_Data!$A$3:$AB$840,7,0))</f>
        <v>0</v>
      </c>
      <c r="G101" s="93">
        <f>IF(ISNA(VLOOKUP($A101,Council_Data!$A$3:$AB$840,8,0)),0,VLOOKUP($A101,Council_Data!$A$3:$AB$840,8,0))</f>
        <v>0</v>
      </c>
      <c r="H101" s="93">
        <f>IF(ISNA(VLOOKUP($A101,Council_Data!$A$3:$AB$840,9,0)),0,VLOOKUP($A101,Council_Data!$A$3:$AB$840,9,0))</f>
        <v>0</v>
      </c>
      <c r="I101" s="93">
        <f>IF(ISNA(VLOOKUP($A101,Council_Data!$A$3:$AB$840,10,0)),0,VLOOKUP($A101,Council_Data!$A$3:$AB$840,10,0))</f>
        <v>0</v>
      </c>
      <c r="J101" s="93">
        <f>IF(ISNA(VLOOKUP($A101,Council_Data!$A$3:$AB$840,11,0)),0,VLOOKUP($A101,Council_Data!$A$3:$AB$840,11,0))</f>
        <v>0</v>
      </c>
      <c r="K101" s="93">
        <f>IF(ISNA(VLOOKUP($A101,Council_Data!$A$3:$AB$840,12,0)),0,VLOOKUP($A101,Council_Data!$A$3:$AB$840,12,0))</f>
        <v>0</v>
      </c>
      <c r="L101" s="94">
        <f>IF(ISNA(VLOOKUP($A101,Council_Data!$A$3:$AB$840,13,0)),0,VLOOKUP($A101,Council_Data!$A$3:$AB$840,13,0))</f>
        <v>0</v>
      </c>
      <c r="M101" s="93">
        <f>IF(ISNA(VLOOKUP($A101,Council_Data!$A$3:$AB$840,14,0)),0,VLOOKUP($A101,Council_Data!$A$3:$AB$840,14,0))</f>
        <v>0</v>
      </c>
      <c r="N101" s="93">
        <f>IF(ISNA(VLOOKUP($A101,Council_Data!$A$3:$AB$840,15,0)),0,VLOOKUP($A101,Council_Data!$A$3:$AB$840,15,0))</f>
        <v>0</v>
      </c>
      <c r="O101" s="93">
        <f>IF(ISNA(VLOOKUP($A101,Council_Data!$A$3:$AB$840,16,0)),0,VLOOKUP($A101,Council_Data!$A$3:$AB$840,16,0))</f>
        <v>0</v>
      </c>
      <c r="P101" s="93">
        <f>IF(ISNA(VLOOKUP($A101,Council_Data!$A$3:$AB$840,17,0)),0,VLOOKUP($A101,Council_Data!$A$3:$AB$840,17,0))</f>
        <v>0</v>
      </c>
      <c r="Q101" s="93">
        <f>IF(ISNA(VLOOKUP($A101,Council_Data!$A$3:$AB$840,18,0)),0,VLOOKUP($A101,Council_Data!$A$3:$AB$840,18,0))</f>
        <v>1</v>
      </c>
      <c r="R101" s="93">
        <f>IF(ISNA(VLOOKUP($A101,Council_Data!$A$3:$AB$840,19,0)),0,VLOOKUP($A101,Council_Data!$A$3:$AB$840,19,0))</f>
        <v>0</v>
      </c>
      <c r="S101" s="93">
        <f>IF(ISNA(VLOOKUP($A101,Council_Data!$A$3:$AB$840,20,0)),0,VLOOKUP($A101,Council_Data!$A$3:$AB$840,20,0))</f>
        <v>1</v>
      </c>
      <c r="T101" s="94">
        <f>IF(ISNA(VLOOKUP($A101,Council_Data!$A$3:$AB$840,21,0)),0,VLOOKUP($A101,Council_Data!$A$3:$AB$840,21,0))</f>
        <v>0</v>
      </c>
      <c r="U101" s="93">
        <f>IF(ISNA(VLOOKUP($A101,Council_Data!$A$3:$AB$840,23,0)),0,VLOOKUP($A101,Council_Data!$A$3:$AB$840,23,0))</f>
        <v>3</v>
      </c>
      <c r="V101" s="50" t="str">
        <f>IF(ISNA(VLOOKUP($A101,Council_Data!$A$3:$AB$840,24,0)),0,VLOOKUP($A101,Council_Data!$A$3:$AB$840,24,0))</f>
        <v>Supak</v>
      </c>
    </row>
    <row r="102" spans="1:22">
      <c r="A102" s="50">
        <v>12602</v>
      </c>
      <c r="B102" s="50" t="str">
        <f>IF(ISNA(VLOOKUP($A102,Council_Data!$A$3:$AB$840,2,0)),0,VLOOKUP($A102,Council_Data!$A$3:$AB$840,2,0))</f>
        <v>098</v>
      </c>
      <c r="C102" s="50" t="str">
        <f>IF(ISNA(VLOOKUP($A102,Council_Data!$A$3:$AB$840,3,0)),0,VLOOKUP($A102,Council_Data!$A$3:$AB$840,3,0))</f>
        <v>Houston</v>
      </c>
      <c r="D102" s="93">
        <f>IF(ISNA(VLOOKUP($A102,Council_Data!$A$3:$AB$840,5,0)),0,VLOOKUP($A102,Council_Data!$A$3:$AB$840,5,0))</f>
        <v>32</v>
      </c>
      <c r="E102" s="93">
        <f>IF(ISNA(VLOOKUP($A102,Council_Data!$A$3:$AB$840,6,0)),0,VLOOKUP($A102,Council_Data!$A$3:$AB$840,6,0))</f>
        <v>3</v>
      </c>
      <c r="F102" s="93">
        <f>IF(ISNA(VLOOKUP($A102,Council_Data!$A$3:$AB$840,7,0)),0,VLOOKUP($A102,Council_Data!$A$3:$AB$840,7,0))</f>
        <v>0</v>
      </c>
      <c r="G102" s="93">
        <f>IF(ISNA(VLOOKUP($A102,Council_Data!$A$3:$AB$840,8,0)),0,VLOOKUP($A102,Council_Data!$A$3:$AB$840,8,0))</f>
        <v>0</v>
      </c>
      <c r="H102" s="93">
        <f>IF(ISNA(VLOOKUP($A102,Council_Data!$A$3:$AB$840,9,0)),0,VLOOKUP($A102,Council_Data!$A$3:$AB$840,9,0))</f>
        <v>0</v>
      </c>
      <c r="I102" s="93">
        <f>IF(ISNA(VLOOKUP($A102,Council_Data!$A$3:$AB$840,10,0)),0,VLOOKUP($A102,Council_Data!$A$3:$AB$840,10,0))</f>
        <v>0</v>
      </c>
      <c r="J102" s="93">
        <f>IF(ISNA(VLOOKUP($A102,Council_Data!$A$3:$AB$840,11,0)),0,VLOOKUP($A102,Council_Data!$A$3:$AB$840,11,0))</f>
        <v>0</v>
      </c>
      <c r="K102" s="93">
        <f>IF(ISNA(VLOOKUP($A102,Council_Data!$A$3:$AB$840,12,0)),0,VLOOKUP($A102,Council_Data!$A$3:$AB$840,12,0))</f>
        <v>0</v>
      </c>
      <c r="L102" s="94">
        <f>IF(ISNA(VLOOKUP($A102,Council_Data!$A$3:$AB$840,13,0)),0,VLOOKUP($A102,Council_Data!$A$3:$AB$840,13,0))</f>
        <v>0</v>
      </c>
      <c r="M102" s="93">
        <f>IF(ISNA(VLOOKUP($A102,Council_Data!$A$3:$AB$840,14,0)),0,VLOOKUP($A102,Council_Data!$A$3:$AB$840,14,0))</f>
        <v>0</v>
      </c>
      <c r="N102" s="93">
        <f>IF(ISNA(VLOOKUP($A102,Council_Data!$A$3:$AB$840,15,0)),0,VLOOKUP($A102,Council_Data!$A$3:$AB$840,15,0))</f>
        <v>0</v>
      </c>
      <c r="O102" s="93">
        <f>IF(ISNA(VLOOKUP($A102,Council_Data!$A$3:$AB$840,16,0)),0,VLOOKUP($A102,Council_Data!$A$3:$AB$840,16,0))</f>
        <v>0</v>
      </c>
      <c r="P102" s="93">
        <f>IF(ISNA(VLOOKUP($A102,Council_Data!$A$3:$AB$840,17,0)),0,VLOOKUP($A102,Council_Data!$A$3:$AB$840,17,0))</f>
        <v>0</v>
      </c>
      <c r="Q102" s="93">
        <f>IF(ISNA(VLOOKUP($A102,Council_Data!$A$3:$AB$840,18,0)),0,VLOOKUP($A102,Council_Data!$A$3:$AB$840,18,0))</f>
        <v>0</v>
      </c>
      <c r="R102" s="93">
        <f>IF(ISNA(VLOOKUP($A102,Council_Data!$A$3:$AB$840,19,0)),0,VLOOKUP($A102,Council_Data!$A$3:$AB$840,19,0))</f>
        <v>0</v>
      </c>
      <c r="S102" s="93">
        <f>IF(ISNA(VLOOKUP($A102,Council_Data!$A$3:$AB$840,20,0)),0,VLOOKUP($A102,Council_Data!$A$3:$AB$840,20,0))</f>
        <v>0</v>
      </c>
      <c r="T102" s="94">
        <f>IF(ISNA(VLOOKUP($A102,Council_Data!$A$3:$AB$840,21,0)),0,VLOOKUP($A102,Council_Data!$A$3:$AB$840,21,0))</f>
        <v>0</v>
      </c>
      <c r="U102" s="93">
        <f>IF(ISNA(VLOOKUP($A102,Council_Data!$A$3:$AB$840,23,0)),0,VLOOKUP($A102,Council_Data!$A$3:$AB$840,23,0))</f>
        <v>3</v>
      </c>
      <c r="V102" s="50" t="str">
        <f>IF(ISNA(VLOOKUP($A102,Council_Data!$A$3:$AB$840,24,0)),0,VLOOKUP($A102,Council_Data!$A$3:$AB$840,24,0))</f>
        <v>Rangel</v>
      </c>
    </row>
    <row r="103" spans="1:22">
      <c r="A103" s="50">
        <v>12632</v>
      </c>
      <c r="B103" s="50" t="str">
        <f>IF(ISNA(VLOOKUP($A103,Council_Data!$A$3:$AB$840,2,0)),0,VLOOKUP($A103,Council_Data!$A$3:$AB$840,2,0))</f>
        <v>075</v>
      </c>
      <c r="C103" s="50" t="str">
        <f>IF(ISNA(VLOOKUP($A103,Council_Data!$A$3:$AB$840,3,0)),0,VLOOKUP($A103,Council_Data!$A$3:$AB$840,3,0))</f>
        <v>Richmond</v>
      </c>
      <c r="D103" s="93">
        <f>IF(ISNA(VLOOKUP($A103,Council_Data!$A$3:$AB$840,5,0)),0,VLOOKUP($A103,Council_Data!$A$3:$AB$840,5,0))</f>
        <v>91</v>
      </c>
      <c r="E103" s="93">
        <f>IF(ISNA(VLOOKUP($A103,Council_Data!$A$3:$AB$840,6,0)),0,VLOOKUP($A103,Council_Data!$A$3:$AB$840,6,0))</f>
        <v>5</v>
      </c>
      <c r="F103" s="93">
        <f>IF(ISNA(VLOOKUP($A103,Council_Data!$A$3:$AB$840,7,0)),0,VLOOKUP($A103,Council_Data!$A$3:$AB$840,7,0))</f>
        <v>0</v>
      </c>
      <c r="G103" s="93">
        <f>IF(ISNA(VLOOKUP($A103,Council_Data!$A$3:$AB$840,8,0)),0,VLOOKUP($A103,Council_Data!$A$3:$AB$840,8,0))</f>
        <v>0</v>
      </c>
      <c r="H103" s="93">
        <f>IF(ISNA(VLOOKUP($A103,Council_Data!$A$3:$AB$840,9,0)),0,VLOOKUP($A103,Council_Data!$A$3:$AB$840,9,0))</f>
        <v>0</v>
      </c>
      <c r="I103" s="93">
        <f>IF(ISNA(VLOOKUP($A103,Council_Data!$A$3:$AB$840,10,0)),0,VLOOKUP($A103,Council_Data!$A$3:$AB$840,10,0))</f>
        <v>0</v>
      </c>
      <c r="J103" s="93">
        <f>IF(ISNA(VLOOKUP($A103,Council_Data!$A$3:$AB$840,11,0)),0,VLOOKUP($A103,Council_Data!$A$3:$AB$840,11,0))</f>
        <v>1</v>
      </c>
      <c r="K103" s="93">
        <f>IF(ISNA(VLOOKUP($A103,Council_Data!$A$3:$AB$840,12,0)),0,VLOOKUP($A103,Council_Data!$A$3:$AB$840,12,0))</f>
        <v>-1</v>
      </c>
      <c r="L103" s="94">
        <f>IF(ISNA(VLOOKUP($A103,Council_Data!$A$3:$AB$840,13,0)),0,VLOOKUP($A103,Council_Data!$A$3:$AB$840,13,0))</f>
        <v>0</v>
      </c>
      <c r="M103" s="93">
        <f>IF(ISNA(VLOOKUP($A103,Council_Data!$A$3:$AB$840,14,0)),0,VLOOKUP($A103,Council_Data!$A$3:$AB$840,14,0))</f>
        <v>0</v>
      </c>
      <c r="N103" s="93">
        <f>IF(ISNA(VLOOKUP($A103,Council_Data!$A$3:$AB$840,15,0)),0,VLOOKUP($A103,Council_Data!$A$3:$AB$840,15,0))</f>
        <v>0</v>
      </c>
      <c r="O103" s="93">
        <f>IF(ISNA(VLOOKUP($A103,Council_Data!$A$3:$AB$840,16,0)),0,VLOOKUP($A103,Council_Data!$A$3:$AB$840,16,0))</f>
        <v>0</v>
      </c>
      <c r="P103" s="93">
        <f>IF(ISNA(VLOOKUP($A103,Council_Data!$A$3:$AB$840,17,0)),0,VLOOKUP($A103,Council_Data!$A$3:$AB$840,17,0))</f>
        <v>0</v>
      </c>
      <c r="Q103" s="93">
        <f>IF(ISNA(VLOOKUP($A103,Council_Data!$A$3:$AB$840,18,0)),0,VLOOKUP($A103,Council_Data!$A$3:$AB$840,18,0))</f>
        <v>0</v>
      </c>
      <c r="R103" s="93">
        <f>IF(ISNA(VLOOKUP($A103,Council_Data!$A$3:$AB$840,19,0)),0,VLOOKUP($A103,Council_Data!$A$3:$AB$840,19,0))</f>
        <v>0</v>
      </c>
      <c r="S103" s="93">
        <f>IF(ISNA(VLOOKUP($A103,Council_Data!$A$3:$AB$840,20,0)),0,VLOOKUP($A103,Council_Data!$A$3:$AB$840,20,0))</f>
        <v>0</v>
      </c>
      <c r="T103" s="94">
        <f>IF(ISNA(VLOOKUP($A103,Council_Data!$A$3:$AB$840,21,0)),0,VLOOKUP($A103,Council_Data!$A$3:$AB$840,21,0))</f>
        <v>0</v>
      </c>
      <c r="U103" s="93">
        <f>IF(ISNA(VLOOKUP($A103,Council_Data!$A$3:$AB$840,23,0)),0,VLOOKUP($A103,Council_Data!$A$3:$AB$840,23,0))</f>
        <v>2</v>
      </c>
      <c r="V103" s="50" t="str">
        <f>IF(ISNA(VLOOKUP($A103,Council_Data!$A$3:$AB$840,24,0)),0,VLOOKUP($A103,Council_Data!$A$3:$AB$840,24,0))</f>
        <v>Supak</v>
      </c>
    </row>
    <row r="104" spans="1:22">
      <c r="A104" s="50">
        <v>12672</v>
      </c>
      <c r="B104" s="50" t="str">
        <f>IF(ISNA(VLOOKUP($A104,Council_Data!$A$3:$AB$840,2,0)),0,VLOOKUP($A104,Council_Data!$A$3:$AB$840,2,0))</f>
        <v>084</v>
      </c>
      <c r="C104" s="50" t="str">
        <f>IF(ISNA(VLOOKUP($A104,Council_Data!$A$3:$AB$840,3,0)),0,VLOOKUP($A104,Council_Data!$A$3:$AB$840,3,0))</f>
        <v>Hempstead</v>
      </c>
      <c r="D104" s="93">
        <f>IF(ISNA(VLOOKUP($A104,Council_Data!$A$3:$AB$840,5,0)),0,VLOOKUP($A104,Council_Data!$A$3:$AB$840,5,0))</f>
        <v>131</v>
      </c>
      <c r="E104" s="93">
        <f>IF(ISNA(VLOOKUP($A104,Council_Data!$A$3:$AB$840,6,0)),0,VLOOKUP($A104,Council_Data!$A$3:$AB$840,6,0))</f>
        <v>7</v>
      </c>
      <c r="F104" s="93">
        <f>IF(ISNA(VLOOKUP($A104,Council_Data!$A$3:$AB$840,7,0)),0,VLOOKUP($A104,Council_Data!$A$3:$AB$840,7,0))</f>
        <v>0</v>
      </c>
      <c r="G104" s="93">
        <f>IF(ISNA(VLOOKUP($A104,Council_Data!$A$3:$AB$840,8,0)),0,VLOOKUP($A104,Council_Data!$A$3:$AB$840,8,0))</f>
        <v>0</v>
      </c>
      <c r="H104" s="93">
        <f>IF(ISNA(VLOOKUP($A104,Council_Data!$A$3:$AB$840,9,0)),0,VLOOKUP($A104,Council_Data!$A$3:$AB$840,9,0))</f>
        <v>0</v>
      </c>
      <c r="I104" s="93">
        <f>IF(ISNA(VLOOKUP($A104,Council_Data!$A$3:$AB$840,10,0)),0,VLOOKUP($A104,Council_Data!$A$3:$AB$840,10,0))</f>
        <v>2</v>
      </c>
      <c r="J104" s="93">
        <f>IF(ISNA(VLOOKUP($A104,Council_Data!$A$3:$AB$840,11,0)),0,VLOOKUP($A104,Council_Data!$A$3:$AB$840,11,0))</f>
        <v>0</v>
      </c>
      <c r="K104" s="93">
        <f>IF(ISNA(VLOOKUP($A104,Council_Data!$A$3:$AB$840,12,0)),0,VLOOKUP($A104,Council_Data!$A$3:$AB$840,12,0))</f>
        <v>2</v>
      </c>
      <c r="L104" s="94">
        <f>IF(ISNA(VLOOKUP($A104,Council_Data!$A$3:$AB$840,13,0)),0,VLOOKUP($A104,Council_Data!$A$3:$AB$840,13,0))</f>
        <v>28.57</v>
      </c>
      <c r="M104" s="93">
        <f>IF(ISNA(VLOOKUP($A104,Council_Data!$A$3:$AB$840,14,0)),0,VLOOKUP($A104,Council_Data!$A$3:$AB$840,14,0))</f>
        <v>0</v>
      </c>
      <c r="N104" s="93">
        <f>IF(ISNA(VLOOKUP($A104,Council_Data!$A$3:$AB$840,15,0)),0,VLOOKUP($A104,Council_Data!$A$3:$AB$840,15,0))</f>
        <v>0</v>
      </c>
      <c r="O104" s="93">
        <f>IF(ISNA(VLOOKUP($A104,Council_Data!$A$3:$AB$840,16,0)),0,VLOOKUP($A104,Council_Data!$A$3:$AB$840,16,0))</f>
        <v>1</v>
      </c>
      <c r="P104" s="93">
        <f>IF(ISNA(VLOOKUP($A104,Council_Data!$A$3:$AB$840,17,0)),0,VLOOKUP($A104,Council_Data!$A$3:$AB$840,17,0))</f>
        <v>-1</v>
      </c>
      <c r="Q104" s="93">
        <f>IF(ISNA(VLOOKUP($A104,Council_Data!$A$3:$AB$840,18,0)),0,VLOOKUP($A104,Council_Data!$A$3:$AB$840,18,0))</f>
        <v>1</v>
      </c>
      <c r="R104" s="93">
        <f>IF(ISNA(VLOOKUP($A104,Council_Data!$A$3:$AB$840,19,0)),0,VLOOKUP($A104,Council_Data!$A$3:$AB$840,19,0))</f>
        <v>1</v>
      </c>
      <c r="S104" s="93">
        <f>IF(ISNA(VLOOKUP($A104,Council_Data!$A$3:$AB$840,20,0)),0,VLOOKUP($A104,Council_Data!$A$3:$AB$840,20,0))</f>
        <v>0</v>
      </c>
      <c r="T104" s="94">
        <f>IF(ISNA(VLOOKUP($A104,Council_Data!$A$3:$AB$840,21,0)),0,VLOOKUP($A104,Council_Data!$A$3:$AB$840,21,0))</f>
        <v>0</v>
      </c>
      <c r="U104" s="93">
        <f>IF(ISNA(VLOOKUP($A104,Council_Data!$A$3:$AB$840,23,0)),0,VLOOKUP($A104,Council_Data!$A$3:$AB$840,23,0))</f>
        <v>2</v>
      </c>
      <c r="V104" s="50" t="str">
        <f>IF(ISNA(VLOOKUP($A104,Council_Data!$A$3:$AB$840,24,0)),0,VLOOKUP($A104,Council_Data!$A$3:$AB$840,24,0))</f>
        <v>Rangel</v>
      </c>
    </row>
    <row r="105" spans="1:22">
      <c r="A105" s="50">
        <v>12748</v>
      </c>
      <c r="B105" s="50" t="str">
        <f>IF(ISNA(VLOOKUP($A105,Council_Data!$A$3:$AB$840,2,0)),0,VLOOKUP($A105,Council_Data!$A$3:$AB$840,2,0))</f>
        <v>088</v>
      </c>
      <c r="C105" s="50" t="str">
        <f>IF(ISNA(VLOOKUP($A105,Council_Data!$A$3:$AB$840,3,0)),0,VLOOKUP($A105,Council_Data!$A$3:$AB$840,3,0))</f>
        <v>Houston</v>
      </c>
      <c r="D105" s="93">
        <f>IF(ISNA(VLOOKUP($A105,Council_Data!$A$3:$AB$840,5,0)),0,VLOOKUP($A105,Council_Data!$A$3:$AB$840,5,0))</f>
        <v>148</v>
      </c>
      <c r="E105" s="93">
        <f>IF(ISNA(VLOOKUP($A105,Council_Data!$A$3:$AB$840,6,0)),0,VLOOKUP($A105,Council_Data!$A$3:$AB$840,6,0))</f>
        <v>7</v>
      </c>
      <c r="F105" s="93">
        <f>IF(ISNA(VLOOKUP($A105,Council_Data!$A$3:$AB$840,7,0)),0,VLOOKUP($A105,Council_Data!$A$3:$AB$840,7,0))</f>
        <v>0</v>
      </c>
      <c r="G105" s="93">
        <f>IF(ISNA(VLOOKUP($A105,Council_Data!$A$3:$AB$840,8,0)),0,VLOOKUP($A105,Council_Data!$A$3:$AB$840,8,0))</f>
        <v>0</v>
      </c>
      <c r="H105" s="93">
        <f>IF(ISNA(VLOOKUP($A105,Council_Data!$A$3:$AB$840,9,0)),0,VLOOKUP($A105,Council_Data!$A$3:$AB$840,9,0))</f>
        <v>0</v>
      </c>
      <c r="I105" s="93">
        <f>IF(ISNA(VLOOKUP($A105,Council_Data!$A$3:$AB$840,10,0)),0,VLOOKUP($A105,Council_Data!$A$3:$AB$840,10,0))</f>
        <v>0</v>
      </c>
      <c r="J105" s="93">
        <f>IF(ISNA(VLOOKUP($A105,Council_Data!$A$3:$AB$840,11,0)),0,VLOOKUP($A105,Council_Data!$A$3:$AB$840,11,0))</f>
        <v>0</v>
      </c>
      <c r="K105" s="93">
        <f>IF(ISNA(VLOOKUP($A105,Council_Data!$A$3:$AB$840,12,0)),0,VLOOKUP($A105,Council_Data!$A$3:$AB$840,12,0))</f>
        <v>0</v>
      </c>
      <c r="L105" s="94">
        <f>IF(ISNA(VLOOKUP($A105,Council_Data!$A$3:$AB$840,13,0)),0,VLOOKUP($A105,Council_Data!$A$3:$AB$840,13,0))</f>
        <v>0</v>
      </c>
      <c r="M105" s="93">
        <f>IF(ISNA(VLOOKUP($A105,Council_Data!$A$3:$AB$840,14,0)),0,VLOOKUP($A105,Council_Data!$A$3:$AB$840,14,0))</f>
        <v>0</v>
      </c>
      <c r="N105" s="93">
        <f>IF(ISNA(VLOOKUP($A105,Council_Data!$A$3:$AB$840,15,0)),0,VLOOKUP($A105,Council_Data!$A$3:$AB$840,15,0))</f>
        <v>0</v>
      </c>
      <c r="O105" s="93">
        <f>IF(ISNA(VLOOKUP($A105,Council_Data!$A$3:$AB$840,16,0)),0,VLOOKUP($A105,Council_Data!$A$3:$AB$840,16,0))</f>
        <v>1</v>
      </c>
      <c r="P105" s="93">
        <f>IF(ISNA(VLOOKUP($A105,Council_Data!$A$3:$AB$840,17,0)),0,VLOOKUP($A105,Council_Data!$A$3:$AB$840,17,0))</f>
        <v>-1</v>
      </c>
      <c r="Q105" s="93">
        <f>IF(ISNA(VLOOKUP($A105,Council_Data!$A$3:$AB$840,18,0)),0,VLOOKUP($A105,Council_Data!$A$3:$AB$840,18,0))</f>
        <v>0</v>
      </c>
      <c r="R105" s="93">
        <f>IF(ISNA(VLOOKUP($A105,Council_Data!$A$3:$AB$840,19,0)),0,VLOOKUP($A105,Council_Data!$A$3:$AB$840,19,0))</f>
        <v>1</v>
      </c>
      <c r="S105" s="93">
        <f>IF(ISNA(VLOOKUP($A105,Council_Data!$A$3:$AB$840,20,0)),0,VLOOKUP($A105,Council_Data!$A$3:$AB$840,20,0))</f>
        <v>-1</v>
      </c>
      <c r="T105" s="94">
        <f>IF(ISNA(VLOOKUP($A105,Council_Data!$A$3:$AB$840,21,0)),0,VLOOKUP($A105,Council_Data!$A$3:$AB$840,21,0))</f>
        <v>0</v>
      </c>
      <c r="U105" s="93">
        <f>IF(ISNA(VLOOKUP($A105,Council_Data!$A$3:$AB$840,23,0)),0,VLOOKUP($A105,Council_Data!$A$3:$AB$840,23,0))</f>
        <v>1</v>
      </c>
      <c r="V105" s="50" t="str">
        <f>IF(ISNA(VLOOKUP($A105,Council_Data!$A$3:$AB$840,24,0)),0,VLOOKUP($A105,Council_Data!$A$3:$AB$840,24,0))</f>
        <v>Rangel</v>
      </c>
    </row>
    <row r="106" spans="1:22">
      <c r="A106" s="50">
        <v>12818</v>
      </c>
      <c r="B106" s="50" t="str">
        <f>IF(ISNA(VLOOKUP($A106,Council_Data!$A$3:$AB$840,2,0)),0,VLOOKUP($A106,Council_Data!$A$3:$AB$840,2,0))</f>
        <v>077</v>
      </c>
      <c r="C106" s="50" t="str">
        <f>IF(ISNA(VLOOKUP($A106,Council_Data!$A$3:$AB$840,3,0)),0,VLOOKUP($A106,Council_Data!$A$3:$AB$840,3,0))</f>
        <v>Houston</v>
      </c>
      <c r="D106" s="93">
        <f>IF(ISNA(VLOOKUP($A106,Council_Data!$A$3:$AB$840,5,0)),0,VLOOKUP($A106,Council_Data!$A$3:$AB$840,5,0))</f>
        <v>195</v>
      </c>
      <c r="E106" s="93">
        <f>IF(ISNA(VLOOKUP($A106,Council_Data!$A$3:$AB$840,6,0)),0,VLOOKUP($A106,Council_Data!$A$3:$AB$840,6,0))</f>
        <v>10</v>
      </c>
      <c r="F106" s="93">
        <f>IF(ISNA(VLOOKUP($A106,Council_Data!$A$3:$AB$840,7,0)),0,VLOOKUP($A106,Council_Data!$A$3:$AB$840,7,0))</f>
        <v>4</v>
      </c>
      <c r="G106" s="93">
        <f>IF(ISNA(VLOOKUP($A106,Council_Data!$A$3:$AB$840,8,0)),0,VLOOKUP($A106,Council_Data!$A$3:$AB$840,8,0))</f>
        <v>0</v>
      </c>
      <c r="H106" s="93">
        <f>IF(ISNA(VLOOKUP($A106,Council_Data!$A$3:$AB$840,9,0)),0,VLOOKUP($A106,Council_Data!$A$3:$AB$840,9,0))</f>
        <v>4</v>
      </c>
      <c r="I106" s="93">
        <f>IF(ISNA(VLOOKUP($A106,Council_Data!$A$3:$AB$840,10,0)),0,VLOOKUP($A106,Council_Data!$A$3:$AB$840,10,0))</f>
        <v>20</v>
      </c>
      <c r="J106" s="93">
        <f>IF(ISNA(VLOOKUP($A106,Council_Data!$A$3:$AB$840,11,0)),0,VLOOKUP($A106,Council_Data!$A$3:$AB$840,11,0))</f>
        <v>0</v>
      </c>
      <c r="K106" s="93">
        <f>IF(ISNA(VLOOKUP($A106,Council_Data!$A$3:$AB$840,12,0)),0,VLOOKUP($A106,Council_Data!$A$3:$AB$840,12,0))</f>
        <v>20</v>
      </c>
      <c r="L106" s="94">
        <f>IF(ISNA(VLOOKUP($A106,Council_Data!$A$3:$AB$840,13,0)),0,VLOOKUP($A106,Council_Data!$A$3:$AB$840,13,0))</f>
        <v>200</v>
      </c>
      <c r="M106" s="93">
        <f>IF(ISNA(VLOOKUP($A106,Council_Data!$A$3:$AB$840,14,0)),0,VLOOKUP($A106,Council_Data!$A$3:$AB$840,14,0))</f>
        <v>0</v>
      </c>
      <c r="N106" s="93">
        <f>IF(ISNA(VLOOKUP($A106,Council_Data!$A$3:$AB$840,15,0)),0,VLOOKUP($A106,Council_Data!$A$3:$AB$840,15,0))</f>
        <v>3</v>
      </c>
      <c r="O106" s="93">
        <f>IF(ISNA(VLOOKUP($A106,Council_Data!$A$3:$AB$840,16,0)),0,VLOOKUP($A106,Council_Data!$A$3:$AB$840,16,0))</f>
        <v>0</v>
      </c>
      <c r="P106" s="93">
        <f>IF(ISNA(VLOOKUP($A106,Council_Data!$A$3:$AB$840,17,0)),0,VLOOKUP($A106,Council_Data!$A$3:$AB$840,17,0))</f>
        <v>3</v>
      </c>
      <c r="Q106" s="93">
        <f>IF(ISNA(VLOOKUP($A106,Council_Data!$A$3:$AB$840,18,0)),0,VLOOKUP($A106,Council_Data!$A$3:$AB$840,18,0))</f>
        <v>10</v>
      </c>
      <c r="R106" s="93">
        <f>IF(ISNA(VLOOKUP($A106,Council_Data!$A$3:$AB$840,19,0)),0,VLOOKUP($A106,Council_Data!$A$3:$AB$840,19,0))</f>
        <v>3</v>
      </c>
      <c r="S106" s="93">
        <f>IF(ISNA(VLOOKUP($A106,Council_Data!$A$3:$AB$840,20,0)),0,VLOOKUP($A106,Council_Data!$A$3:$AB$840,20,0))</f>
        <v>7</v>
      </c>
      <c r="T106" s="94">
        <f>IF(ISNA(VLOOKUP($A106,Council_Data!$A$3:$AB$840,21,0)),0,VLOOKUP($A106,Council_Data!$A$3:$AB$840,21,0))</f>
        <v>0</v>
      </c>
      <c r="U106" s="93">
        <f>IF(ISNA(VLOOKUP($A106,Council_Data!$A$3:$AB$840,23,0)),0,VLOOKUP($A106,Council_Data!$A$3:$AB$840,23,0))</f>
        <v>1</v>
      </c>
      <c r="V106" s="50" t="str">
        <f>IF(ISNA(VLOOKUP($A106,Council_Data!$A$3:$AB$840,24,0)),0,VLOOKUP($A106,Council_Data!$A$3:$AB$840,24,0))</f>
        <v>Rangel</v>
      </c>
    </row>
    <row r="107" spans="1:22">
      <c r="A107" s="50">
        <v>12837</v>
      </c>
      <c r="B107" s="50" t="str">
        <f>IF(ISNA(VLOOKUP($A107,Council_Data!$A$3:$AB$840,2,0)),0,VLOOKUP($A107,Council_Data!$A$3:$AB$840,2,0))</f>
        <v>098</v>
      </c>
      <c r="C107" s="50" t="str">
        <f>IF(ISNA(VLOOKUP($A107,Council_Data!$A$3:$AB$840,3,0)),0,VLOOKUP($A107,Council_Data!$A$3:$AB$840,3,0))</f>
        <v>Houston</v>
      </c>
      <c r="D107" s="93">
        <f>IF(ISNA(VLOOKUP($A107,Council_Data!$A$3:$AB$840,5,0)),0,VLOOKUP($A107,Council_Data!$A$3:$AB$840,5,0))</f>
        <v>21</v>
      </c>
      <c r="E107" s="93">
        <f>IF(ISNA(VLOOKUP($A107,Council_Data!$A$3:$AB$840,6,0)),0,VLOOKUP($A107,Council_Data!$A$3:$AB$840,6,0))</f>
        <v>3</v>
      </c>
      <c r="F107" s="93">
        <f>IF(ISNA(VLOOKUP($A107,Council_Data!$A$3:$AB$840,7,0)),0,VLOOKUP($A107,Council_Data!$A$3:$AB$840,7,0))</f>
        <v>0</v>
      </c>
      <c r="G107" s="93">
        <f>IF(ISNA(VLOOKUP($A107,Council_Data!$A$3:$AB$840,8,0)),0,VLOOKUP($A107,Council_Data!$A$3:$AB$840,8,0))</f>
        <v>0</v>
      </c>
      <c r="H107" s="93">
        <f>IF(ISNA(VLOOKUP($A107,Council_Data!$A$3:$AB$840,9,0)),0,VLOOKUP($A107,Council_Data!$A$3:$AB$840,9,0))</f>
        <v>0</v>
      </c>
      <c r="I107" s="93">
        <f>IF(ISNA(VLOOKUP($A107,Council_Data!$A$3:$AB$840,10,0)),0,VLOOKUP($A107,Council_Data!$A$3:$AB$840,10,0))</f>
        <v>0</v>
      </c>
      <c r="J107" s="93">
        <f>IF(ISNA(VLOOKUP($A107,Council_Data!$A$3:$AB$840,11,0)),0,VLOOKUP($A107,Council_Data!$A$3:$AB$840,11,0))</f>
        <v>0</v>
      </c>
      <c r="K107" s="93">
        <f>IF(ISNA(VLOOKUP($A107,Council_Data!$A$3:$AB$840,12,0)),0,VLOOKUP($A107,Council_Data!$A$3:$AB$840,12,0))</f>
        <v>0</v>
      </c>
      <c r="L107" s="94">
        <f>IF(ISNA(VLOOKUP($A107,Council_Data!$A$3:$AB$840,13,0)),0,VLOOKUP($A107,Council_Data!$A$3:$AB$840,13,0))</f>
        <v>0</v>
      </c>
      <c r="M107" s="93">
        <f>IF(ISNA(VLOOKUP($A107,Council_Data!$A$3:$AB$840,14,0)),0,VLOOKUP($A107,Council_Data!$A$3:$AB$840,14,0))</f>
        <v>0</v>
      </c>
      <c r="N107" s="93">
        <f>IF(ISNA(VLOOKUP($A107,Council_Data!$A$3:$AB$840,15,0)),0,VLOOKUP($A107,Council_Data!$A$3:$AB$840,15,0))</f>
        <v>0</v>
      </c>
      <c r="O107" s="93">
        <f>IF(ISNA(VLOOKUP($A107,Council_Data!$A$3:$AB$840,16,0)),0,VLOOKUP($A107,Council_Data!$A$3:$AB$840,16,0))</f>
        <v>0</v>
      </c>
      <c r="P107" s="93">
        <f>IF(ISNA(VLOOKUP($A107,Council_Data!$A$3:$AB$840,17,0)),0,VLOOKUP($A107,Council_Data!$A$3:$AB$840,17,0))</f>
        <v>0</v>
      </c>
      <c r="Q107" s="93">
        <f>IF(ISNA(VLOOKUP($A107,Council_Data!$A$3:$AB$840,18,0)),0,VLOOKUP($A107,Council_Data!$A$3:$AB$840,18,0))</f>
        <v>0</v>
      </c>
      <c r="R107" s="93">
        <f>IF(ISNA(VLOOKUP($A107,Council_Data!$A$3:$AB$840,19,0)),0,VLOOKUP($A107,Council_Data!$A$3:$AB$840,19,0))</f>
        <v>1</v>
      </c>
      <c r="S107" s="93">
        <f>IF(ISNA(VLOOKUP($A107,Council_Data!$A$3:$AB$840,20,0)),0,VLOOKUP($A107,Council_Data!$A$3:$AB$840,20,0))</f>
        <v>-1</v>
      </c>
      <c r="T107" s="94">
        <f>IF(ISNA(VLOOKUP($A107,Council_Data!$A$3:$AB$840,21,0)),0,VLOOKUP($A107,Council_Data!$A$3:$AB$840,21,0))</f>
        <v>0</v>
      </c>
      <c r="U107" s="93">
        <f>IF(ISNA(VLOOKUP($A107,Council_Data!$A$3:$AB$840,23,0)),0,VLOOKUP($A107,Council_Data!$A$3:$AB$840,23,0))</f>
        <v>3</v>
      </c>
      <c r="V107" s="50" t="str">
        <f>IF(ISNA(VLOOKUP($A107,Council_Data!$A$3:$AB$840,24,0)),0,VLOOKUP($A107,Council_Data!$A$3:$AB$840,24,0))</f>
        <v>Rangel</v>
      </c>
    </row>
    <row r="108" spans="1:22">
      <c r="A108" s="50">
        <v>12866</v>
      </c>
      <c r="B108" s="50" t="str">
        <f>IF(ISNA(VLOOKUP($A108,Council_Data!$A$3:$AB$840,2,0)),0,VLOOKUP($A108,Council_Data!$A$3:$AB$840,2,0))</f>
        <v>064</v>
      </c>
      <c r="C108" s="50" t="str">
        <f>IF(ISNA(VLOOKUP($A108,Council_Data!$A$3:$AB$840,3,0)),0,VLOOKUP($A108,Council_Data!$A$3:$AB$840,3,0))</f>
        <v>Houston</v>
      </c>
      <c r="D108" s="93">
        <f>IF(ISNA(VLOOKUP($A108,Council_Data!$A$3:$AB$840,5,0)),0,VLOOKUP($A108,Council_Data!$A$3:$AB$840,5,0))</f>
        <v>59</v>
      </c>
      <c r="E108" s="93">
        <f>IF(ISNA(VLOOKUP($A108,Council_Data!$A$3:$AB$840,6,0)),0,VLOOKUP($A108,Council_Data!$A$3:$AB$840,6,0))</f>
        <v>3</v>
      </c>
      <c r="F108" s="93">
        <f>IF(ISNA(VLOOKUP($A108,Council_Data!$A$3:$AB$840,7,0)),0,VLOOKUP($A108,Council_Data!$A$3:$AB$840,7,0))</f>
        <v>0</v>
      </c>
      <c r="G108" s="93">
        <f>IF(ISNA(VLOOKUP($A108,Council_Data!$A$3:$AB$840,8,0)),0,VLOOKUP($A108,Council_Data!$A$3:$AB$840,8,0))</f>
        <v>0</v>
      </c>
      <c r="H108" s="93">
        <f>IF(ISNA(VLOOKUP($A108,Council_Data!$A$3:$AB$840,9,0)),0,VLOOKUP($A108,Council_Data!$A$3:$AB$840,9,0))</f>
        <v>0</v>
      </c>
      <c r="I108" s="93">
        <f>IF(ISNA(VLOOKUP($A108,Council_Data!$A$3:$AB$840,10,0)),0,VLOOKUP($A108,Council_Data!$A$3:$AB$840,10,0))</f>
        <v>0</v>
      </c>
      <c r="J108" s="93">
        <f>IF(ISNA(VLOOKUP($A108,Council_Data!$A$3:$AB$840,11,0)),0,VLOOKUP($A108,Council_Data!$A$3:$AB$840,11,0))</f>
        <v>0</v>
      </c>
      <c r="K108" s="93">
        <f>IF(ISNA(VLOOKUP($A108,Council_Data!$A$3:$AB$840,12,0)),0,VLOOKUP($A108,Council_Data!$A$3:$AB$840,12,0))</f>
        <v>0</v>
      </c>
      <c r="L108" s="94">
        <f>IF(ISNA(VLOOKUP($A108,Council_Data!$A$3:$AB$840,13,0)),0,VLOOKUP($A108,Council_Data!$A$3:$AB$840,13,0))</f>
        <v>0</v>
      </c>
      <c r="M108" s="93">
        <f>IF(ISNA(VLOOKUP($A108,Council_Data!$A$3:$AB$840,14,0)),0,VLOOKUP($A108,Council_Data!$A$3:$AB$840,14,0))</f>
        <v>0</v>
      </c>
      <c r="N108" s="93">
        <f>IF(ISNA(VLOOKUP($A108,Council_Data!$A$3:$AB$840,15,0)),0,VLOOKUP($A108,Council_Data!$A$3:$AB$840,15,0))</f>
        <v>0</v>
      </c>
      <c r="O108" s="93">
        <f>IF(ISNA(VLOOKUP($A108,Council_Data!$A$3:$AB$840,16,0)),0,VLOOKUP($A108,Council_Data!$A$3:$AB$840,16,0))</f>
        <v>0</v>
      </c>
      <c r="P108" s="93">
        <f>IF(ISNA(VLOOKUP($A108,Council_Data!$A$3:$AB$840,17,0)),0,VLOOKUP($A108,Council_Data!$A$3:$AB$840,17,0))</f>
        <v>0</v>
      </c>
      <c r="Q108" s="93">
        <f>IF(ISNA(VLOOKUP($A108,Council_Data!$A$3:$AB$840,18,0)),0,VLOOKUP($A108,Council_Data!$A$3:$AB$840,18,0))</f>
        <v>0</v>
      </c>
      <c r="R108" s="93">
        <f>IF(ISNA(VLOOKUP($A108,Council_Data!$A$3:$AB$840,19,0)),0,VLOOKUP($A108,Council_Data!$A$3:$AB$840,19,0))</f>
        <v>0</v>
      </c>
      <c r="S108" s="93">
        <f>IF(ISNA(VLOOKUP($A108,Council_Data!$A$3:$AB$840,20,0)),0,VLOOKUP($A108,Council_Data!$A$3:$AB$840,20,0))</f>
        <v>0</v>
      </c>
      <c r="T108" s="94">
        <f>IF(ISNA(VLOOKUP($A108,Council_Data!$A$3:$AB$840,21,0)),0,VLOOKUP($A108,Council_Data!$A$3:$AB$840,21,0))</f>
        <v>0</v>
      </c>
      <c r="U108" s="93">
        <f>IF(ISNA(VLOOKUP($A108,Council_Data!$A$3:$AB$840,23,0)),0,VLOOKUP($A108,Council_Data!$A$3:$AB$840,23,0))</f>
        <v>3</v>
      </c>
      <c r="V108" s="50" t="str">
        <f>IF(ISNA(VLOOKUP($A108,Council_Data!$A$3:$AB$840,24,0)),0,VLOOKUP($A108,Council_Data!$A$3:$AB$840,24,0))</f>
        <v>Rangel</v>
      </c>
    </row>
    <row r="109" spans="1:22">
      <c r="A109" s="50">
        <v>12955</v>
      </c>
      <c r="B109" s="50" t="str">
        <f>IF(ISNA(VLOOKUP($A109,Council_Data!$A$3:$AB$840,2,0)),0,VLOOKUP($A109,Council_Data!$A$3:$AB$840,2,0))</f>
        <v>085</v>
      </c>
      <c r="C109" s="50" t="str">
        <f>IF(ISNA(VLOOKUP($A109,Council_Data!$A$3:$AB$840,3,0)),0,VLOOKUP($A109,Council_Data!$A$3:$AB$840,3,0))</f>
        <v>Katy</v>
      </c>
      <c r="D109" s="93">
        <f>IF(ISNA(VLOOKUP($A109,Council_Data!$A$3:$AB$840,5,0)),0,VLOOKUP($A109,Council_Data!$A$3:$AB$840,5,0))</f>
        <v>242</v>
      </c>
      <c r="E109" s="93">
        <f>IF(ISNA(VLOOKUP($A109,Council_Data!$A$3:$AB$840,6,0)),0,VLOOKUP($A109,Council_Data!$A$3:$AB$840,6,0))</f>
        <v>12</v>
      </c>
      <c r="F109" s="93">
        <f>IF(ISNA(VLOOKUP($A109,Council_Data!$A$3:$AB$840,7,0)),0,VLOOKUP($A109,Council_Data!$A$3:$AB$840,7,0))</f>
        <v>0</v>
      </c>
      <c r="G109" s="93">
        <f>IF(ISNA(VLOOKUP($A109,Council_Data!$A$3:$AB$840,8,0)),0,VLOOKUP($A109,Council_Data!$A$3:$AB$840,8,0))</f>
        <v>0</v>
      </c>
      <c r="H109" s="93">
        <f>IF(ISNA(VLOOKUP($A109,Council_Data!$A$3:$AB$840,9,0)),0,VLOOKUP($A109,Council_Data!$A$3:$AB$840,9,0))</f>
        <v>0</v>
      </c>
      <c r="I109" s="93">
        <f>IF(ISNA(VLOOKUP($A109,Council_Data!$A$3:$AB$840,10,0)),0,VLOOKUP($A109,Council_Data!$A$3:$AB$840,10,0))</f>
        <v>0</v>
      </c>
      <c r="J109" s="93">
        <f>IF(ISNA(VLOOKUP($A109,Council_Data!$A$3:$AB$840,11,0)),0,VLOOKUP($A109,Council_Data!$A$3:$AB$840,11,0))</f>
        <v>0</v>
      </c>
      <c r="K109" s="93">
        <f>IF(ISNA(VLOOKUP($A109,Council_Data!$A$3:$AB$840,12,0)),0,VLOOKUP($A109,Council_Data!$A$3:$AB$840,12,0))</f>
        <v>0</v>
      </c>
      <c r="L109" s="94">
        <f>IF(ISNA(VLOOKUP($A109,Council_Data!$A$3:$AB$840,13,0)),0,VLOOKUP($A109,Council_Data!$A$3:$AB$840,13,0))</f>
        <v>0</v>
      </c>
      <c r="M109" s="93">
        <f>IF(ISNA(VLOOKUP($A109,Council_Data!$A$3:$AB$840,14,0)),0,VLOOKUP($A109,Council_Data!$A$3:$AB$840,14,0))</f>
        <v>0</v>
      </c>
      <c r="N109" s="93">
        <f>IF(ISNA(VLOOKUP($A109,Council_Data!$A$3:$AB$840,15,0)),0,VLOOKUP($A109,Council_Data!$A$3:$AB$840,15,0))</f>
        <v>0</v>
      </c>
      <c r="O109" s="93">
        <f>IF(ISNA(VLOOKUP($A109,Council_Data!$A$3:$AB$840,16,0)),0,VLOOKUP($A109,Council_Data!$A$3:$AB$840,16,0))</f>
        <v>0</v>
      </c>
      <c r="P109" s="93">
        <f>IF(ISNA(VLOOKUP($A109,Council_Data!$A$3:$AB$840,17,0)),0,VLOOKUP($A109,Council_Data!$A$3:$AB$840,17,0))</f>
        <v>0</v>
      </c>
      <c r="Q109" s="93">
        <f>IF(ISNA(VLOOKUP($A109,Council_Data!$A$3:$AB$840,18,0)),0,VLOOKUP($A109,Council_Data!$A$3:$AB$840,18,0))</f>
        <v>1</v>
      </c>
      <c r="R109" s="93">
        <f>IF(ISNA(VLOOKUP($A109,Council_Data!$A$3:$AB$840,19,0)),0,VLOOKUP($A109,Council_Data!$A$3:$AB$840,19,0))</f>
        <v>1</v>
      </c>
      <c r="S109" s="93">
        <f>IF(ISNA(VLOOKUP($A109,Council_Data!$A$3:$AB$840,20,0)),0,VLOOKUP($A109,Council_Data!$A$3:$AB$840,20,0))</f>
        <v>0</v>
      </c>
      <c r="T109" s="94">
        <f>IF(ISNA(VLOOKUP($A109,Council_Data!$A$3:$AB$840,21,0)),0,VLOOKUP($A109,Council_Data!$A$3:$AB$840,21,0))</f>
        <v>0</v>
      </c>
      <c r="U109" s="93">
        <f>IF(ISNA(VLOOKUP($A109,Council_Data!$A$3:$AB$840,23,0)),0,VLOOKUP($A109,Council_Data!$A$3:$AB$840,23,0))</f>
        <v>1</v>
      </c>
      <c r="V109" s="50" t="str">
        <f>IF(ISNA(VLOOKUP($A109,Council_Data!$A$3:$AB$840,24,0)),0,VLOOKUP($A109,Council_Data!$A$3:$AB$840,24,0))</f>
        <v>Rangel</v>
      </c>
    </row>
    <row r="110" spans="1:22">
      <c r="A110" s="50">
        <v>13151</v>
      </c>
      <c r="B110" s="50" t="str">
        <f>IF(ISNA(VLOOKUP($A110,Council_Data!$A$3:$AB$840,2,0)),0,VLOOKUP($A110,Council_Data!$A$3:$AB$840,2,0))</f>
        <v>075</v>
      </c>
      <c r="C110" s="50" t="str">
        <f>IF(ISNA(VLOOKUP($A110,Council_Data!$A$3:$AB$840,3,0)),0,VLOOKUP($A110,Council_Data!$A$3:$AB$840,3,0))</f>
        <v>Rosenberg</v>
      </c>
      <c r="D110" s="93">
        <f>IF(ISNA(VLOOKUP($A110,Council_Data!$A$3:$AB$840,5,0)),0,VLOOKUP($A110,Council_Data!$A$3:$AB$840,5,0))</f>
        <v>138</v>
      </c>
      <c r="E110" s="93">
        <f>IF(ISNA(VLOOKUP($A110,Council_Data!$A$3:$AB$840,6,0)),0,VLOOKUP($A110,Council_Data!$A$3:$AB$840,6,0))</f>
        <v>7</v>
      </c>
      <c r="F110" s="93">
        <f>IF(ISNA(VLOOKUP($A110,Council_Data!$A$3:$AB$840,7,0)),0,VLOOKUP($A110,Council_Data!$A$3:$AB$840,7,0))</f>
        <v>0</v>
      </c>
      <c r="G110" s="93">
        <f>IF(ISNA(VLOOKUP($A110,Council_Data!$A$3:$AB$840,8,0)),0,VLOOKUP($A110,Council_Data!$A$3:$AB$840,8,0))</f>
        <v>0</v>
      </c>
      <c r="H110" s="93">
        <f>IF(ISNA(VLOOKUP($A110,Council_Data!$A$3:$AB$840,9,0)),0,VLOOKUP($A110,Council_Data!$A$3:$AB$840,9,0))</f>
        <v>0</v>
      </c>
      <c r="I110" s="93">
        <f>IF(ISNA(VLOOKUP($A110,Council_Data!$A$3:$AB$840,10,0)),0,VLOOKUP($A110,Council_Data!$A$3:$AB$840,10,0))</f>
        <v>0</v>
      </c>
      <c r="J110" s="93">
        <f>IF(ISNA(VLOOKUP($A110,Council_Data!$A$3:$AB$840,11,0)),0,VLOOKUP($A110,Council_Data!$A$3:$AB$840,11,0))</f>
        <v>0</v>
      </c>
      <c r="K110" s="93">
        <f>IF(ISNA(VLOOKUP($A110,Council_Data!$A$3:$AB$840,12,0)),0,VLOOKUP($A110,Council_Data!$A$3:$AB$840,12,0))</f>
        <v>0</v>
      </c>
      <c r="L110" s="94">
        <f>IF(ISNA(VLOOKUP($A110,Council_Data!$A$3:$AB$840,13,0)),0,VLOOKUP($A110,Council_Data!$A$3:$AB$840,13,0))</f>
        <v>0</v>
      </c>
      <c r="M110" s="93">
        <f>IF(ISNA(VLOOKUP($A110,Council_Data!$A$3:$AB$840,14,0)),0,VLOOKUP($A110,Council_Data!$A$3:$AB$840,14,0))</f>
        <v>0</v>
      </c>
      <c r="N110" s="93">
        <f>IF(ISNA(VLOOKUP($A110,Council_Data!$A$3:$AB$840,15,0)),0,VLOOKUP($A110,Council_Data!$A$3:$AB$840,15,0))</f>
        <v>0</v>
      </c>
      <c r="O110" s="93">
        <f>IF(ISNA(VLOOKUP($A110,Council_Data!$A$3:$AB$840,16,0)),0,VLOOKUP($A110,Council_Data!$A$3:$AB$840,16,0))</f>
        <v>0</v>
      </c>
      <c r="P110" s="93">
        <f>IF(ISNA(VLOOKUP($A110,Council_Data!$A$3:$AB$840,17,0)),0,VLOOKUP($A110,Council_Data!$A$3:$AB$840,17,0))</f>
        <v>0</v>
      </c>
      <c r="Q110" s="93">
        <f>IF(ISNA(VLOOKUP($A110,Council_Data!$A$3:$AB$840,18,0)),0,VLOOKUP($A110,Council_Data!$A$3:$AB$840,18,0))</f>
        <v>1</v>
      </c>
      <c r="R110" s="93">
        <f>IF(ISNA(VLOOKUP($A110,Council_Data!$A$3:$AB$840,19,0)),0,VLOOKUP($A110,Council_Data!$A$3:$AB$840,19,0))</f>
        <v>1</v>
      </c>
      <c r="S110" s="93">
        <f>IF(ISNA(VLOOKUP($A110,Council_Data!$A$3:$AB$840,20,0)),0,VLOOKUP($A110,Council_Data!$A$3:$AB$840,20,0))</f>
        <v>0</v>
      </c>
      <c r="T110" s="94">
        <f>IF(ISNA(VLOOKUP($A110,Council_Data!$A$3:$AB$840,21,0)),0,VLOOKUP($A110,Council_Data!$A$3:$AB$840,21,0))</f>
        <v>0</v>
      </c>
      <c r="U110" s="93">
        <f>IF(ISNA(VLOOKUP($A110,Council_Data!$A$3:$AB$840,23,0)),0,VLOOKUP($A110,Council_Data!$A$3:$AB$840,23,0))</f>
        <v>2</v>
      </c>
      <c r="V110" s="50" t="str">
        <f>IF(ISNA(VLOOKUP($A110,Council_Data!$A$3:$AB$840,24,0)),0,VLOOKUP($A110,Council_Data!$A$3:$AB$840,24,0))</f>
        <v>Supak</v>
      </c>
    </row>
    <row r="111" spans="1:22">
      <c r="A111" s="50">
        <v>13165</v>
      </c>
      <c r="B111" s="50" t="str">
        <f>IF(ISNA(VLOOKUP($A111,Council_Data!$A$3:$AB$840,2,0)),0,VLOOKUP($A111,Council_Data!$A$3:$AB$840,2,0))</f>
        <v>076</v>
      </c>
      <c r="C111" s="50" t="str">
        <f>IF(ISNA(VLOOKUP($A111,Council_Data!$A$3:$AB$840,3,0)),0,VLOOKUP($A111,Council_Data!$A$3:$AB$840,3,0))</f>
        <v>Houston</v>
      </c>
      <c r="D111" s="93">
        <f>IF(ISNA(VLOOKUP($A111,Council_Data!$A$3:$AB$840,5,0)),0,VLOOKUP($A111,Council_Data!$A$3:$AB$840,5,0))</f>
        <v>68</v>
      </c>
      <c r="E111" s="93">
        <f>IF(ISNA(VLOOKUP($A111,Council_Data!$A$3:$AB$840,6,0)),0,VLOOKUP($A111,Council_Data!$A$3:$AB$840,6,0))</f>
        <v>3</v>
      </c>
      <c r="F111" s="93">
        <f>IF(ISNA(VLOOKUP($A111,Council_Data!$A$3:$AB$840,7,0)),0,VLOOKUP($A111,Council_Data!$A$3:$AB$840,7,0))</f>
        <v>0</v>
      </c>
      <c r="G111" s="93">
        <f>IF(ISNA(VLOOKUP($A111,Council_Data!$A$3:$AB$840,8,0)),0,VLOOKUP($A111,Council_Data!$A$3:$AB$840,8,0))</f>
        <v>0</v>
      </c>
      <c r="H111" s="93">
        <f>IF(ISNA(VLOOKUP($A111,Council_Data!$A$3:$AB$840,9,0)),0,VLOOKUP($A111,Council_Data!$A$3:$AB$840,9,0))</f>
        <v>0</v>
      </c>
      <c r="I111" s="93">
        <f>IF(ISNA(VLOOKUP($A111,Council_Data!$A$3:$AB$840,10,0)),0,VLOOKUP($A111,Council_Data!$A$3:$AB$840,10,0))</f>
        <v>0</v>
      </c>
      <c r="J111" s="93">
        <f>IF(ISNA(VLOOKUP($A111,Council_Data!$A$3:$AB$840,11,0)),0,VLOOKUP($A111,Council_Data!$A$3:$AB$840,11,0))</f>
        <v>0</v>
      </c>
      <c r="K111" s="93">
        <f>IF(ISNA(VLOOKUP($A111,Council_Data!$A$3:$AB$840,12,0)),0,VLOOKUP($A111,Council_Data!$A$3:$AB$840,12,0))</f>
        <v>0</v>
      </c>
      <c r="L111" s="94">
        <f>IF(ISNA(VLOOKUP($A111,Council_Data!$A$3:$AB$840,13,0)),0,VLOOKUP($A111,Council_Data!$A$3:$AB$840,13,0))</f>
        <v>0</v>
      </c>
      <c r="M111" s="93">
        <f>IF(ISNA(VLOOKUP($A111,Council_Data!$A$3:$AB$840,14,0)),0,VLOOKUP($A111,Council_Data!$A$3:$AB$840,14,0))</f>
        <v>0</v>
      </c>
      <c r="N111" s="93">
        <f>IF(ISNA(VLOOKUP($A111,Council_Data!$A$3:$AB$840,15,0)),0,VLOOKUP($A111,Council_Data!$A$3:$AB$840,15,0))</f>
        <v>0</v>
      </c>
      <c r="O111" s="93">
        <f>IF(ISNA(VLOOKUP($A111,Council_Data!$A$3:$AB$840,16,0)),0,VLOOKUP($A111,Council_Data!$A$3:$AB$840,16,0))</f>
        <v>0</v>
      </c>
      <c r="P111" s="93">
        <f>IF(ISNA(VLOOKUP($A111,Council_Data!$A$3:$AB$840,17,0)),0,VLOOKUP($A111,Council_Data!$A$3:$AB$840,17,0))</f>
        <v>0</v>
      </c>
      <c r="Q111" s="93">
        <f>IF(ISNA(VLOOKUP($A111,Council_Data!$A$3:$AB$840,18,0)),0,VLOOKUP($A111,Council_Data!$A$3:$AB$840,18,0))</f>
        <v>2</v>
      </c>
      <c r="R111" s="93">
        <f>IF(ISNA(VLOOKUP($A111,Council_Data!$A$3:$AB$840,19,0)),0,VLOOKUP($A111,Council_Data!$A$3:$AB$840,19,0))</f>
        <v>1</v>
      </c>
      <c r="S111" s="93">
        <f>IF(ISNA(VLOOKUP($A111,Council_Data!$A$3:$AB$840,20,0)),0,VLOOKUP($A111,Council_Data!$A$3:$AB$840,20,0))</f>
        <v>1</v>
      </c>
      <c r="T111" s="94">
        <f>IF(ISNA(VLOOKUP($A111,Council_Data!$A$3:$AB$840,21,0)),0,VLOOKUP($A111,Council_Data!$A$3:$AB$840,21,0))</f>
        <v>0</v>
      </c>
      <c r="U111" s="93">
        <f>IF(ISNA(VLOOKUP($A111,Council_Data!$A$3:$AB$840,23,0)),0,VLOOKUP($A111,Council_Data!$A$3:$AB$840,23,0))</f>
        <v>2</v>
      </c>
      <c r="V111" s="50" t="str">
        <f>IF(ISNA(VLOOKUP($A111,Council_Data!$A$3:$AB$840,24,0)),0,VLOOKUP($A111,Council_Data!$A$3:$AB$840,24,0))</f>
        <v>Supak</v>
      </c>
    </row>
    <row r="112" spans="1:22">
      <c r="A112" s="50">
        <v>13166</v>
      </c>
      <c r="B112" s="50" t="str">
        <f>IF(ISNA(VLOOKUP($A112,Council_Data!$A$3:$AB$840,2,0)),0,VLOOKUP($A112,Council_Data!$A$3:$AB$840,2,0))</f>
        <v>092</v>
      </c>
      <c r="C112" s="50" t="str">
        <f>IF(ISNA(VLOOKUP($A112,Council_Data!$A$3:$AB$840,3,0)),0,VLOOKUP($A112,Council_Data!$A$3:$AB$840,3,0))</f>
        <v>New Caney</v>
      </c>
      <c r="D112" s="93">
        <f>IF(ISNA(VLOOKUP($A112,Council_Data!$A$3:$AB$840,5,0)),0,VLOOKUP($A112,Council_Data!$A$3:$AB$840,5,0))</f>
        <v>79</v>
      </c>
      <c r="E112" s="93">
        <f>IF(ISNA(VLOOKUP($A112,Council_Data!$A$3:$AB$840,6,0)),0,VLOOKUP($A112,Council_Data!$A$3:$AB$840,6,0))</f>
        <v>4</v>
      </c>
      <c r="F112" s="93">
        <f>IF(ISNA(VLOOKUP($A112,Council_Data!$A$3:$AB$840,7,0)),0,VLOOKUP($A112,Council_Data!$A$3:$AB$840,7,0))</f>
        <v>0</v>
      </c>
      <c r="G112" s="93">
        <f>IF(ISNA(VLOOKUP($A112,Council_Data!$A$3:$AB$840,8,0)),0,VLOOKUP($A112,Council_Data!$A$3:$AB$840,8,0))</f>
        <v>0</v>
      </c>
      <c r="H112" s="93">
        <f>IF(ISNA(VLOOKUP($A112,Council_Data!$A$3:$AB$840,9,0)),0,VLOOKUP($A112,Council_Data!$A$3:$AB$840,9,0))</f>
        <v>0</v>
      </c>
      <c r="I112" s="93">
        <f>IF(ISNA(VLOOKUP($A112,Council_Data!$A$3:$AB$840,10,0)),0,VLOOKUP($A112,Council_Data!$A$3:$AB$840,10,0))</f>
        <v>3</v>
      </c>
      <c r="J112" s="93">
        <f>IF(ISNA(VLOOKUP($A112,Council_Data!$A$3:$AB$840,11,0)),0,VLOOKUP($A112,Council_Data!$A$3:$AB$840,11,0))</f>
        <v>0</v>
      </c>
      <c r="K112" s="93">
        <f>IF(ISNA(VLOOKUP($A112,Council_Data!$A$3:$AB$840,12,0)),0,VLOOKUP($A112,Council_Data!$A$3:$AB$840,12,0))</f>
        <v>3</v>
      </c>
      <c r="L112" s="94">
        <f>IF(ISNA(VLOOKUP($A112,Council_Data!$A$3:$AB$840,13,0)),0,VLOOKUP($A112,Council_Data!$A$3:$AB$840,13,0))</f>
        <v>75</v>
      </c>
      <c r="M112" s="93">
        <f>IF(ISNA(VLOOKUP($A112,Council_Data!$A$3:$AB$840,14,0)),0,VLOOKUP($A112,Council_Data!$A$3:$AB$840,14,0))</f>
        <v>0</v>
      </c>
      <c r="N112" s="93">
        <f>IF(ISNA(VLOOKUP($A112,Council_Data!$A$3:$AB$840,15,0)),0,VLOOKUP($A112,Council_Data!$A$3:$AB$840,15,0))</f>
        <v>0</v>
      </c>
      <c r="O112" s="93">
        <f>IF(ISNA(VLOOKUP($A112,Council_Data!$A$3:$AB$840,16,0)),0,VLOOKUP($A112,Council_Data!$A$3:$AB$840,16,0))</f>
        <v>0</v>
      </c>
      <c r="P112" s="93">
        <f>IF(ISNA(VLOOKUP($A112,Council_Data!$A$3:$AB$840,17,0)),0,VLOOKUP($A112,Council_Data!$A$3:$AB$840,17,0))</f>
        <v>0</v>
      </c>
      <c r="Q112" s="93">
        <f>IF(ISNA(VLOOKUP($A112,Council_Data!$A$3:$AB$840,18,0)),0,VLOOKUP($A112,Council_Data!$A$3:$AB$840,18,0))</f>
        <v>0</v>
      </c>
      <c r="R112" s="93">
        <f>IF(ISNA(VLOOKUP($A112,Council_Data!$A$3:$AB$840,19,0)),0,VLOOKUP($A112,Council_Data!$A$3:$AB$840,19,0))</f>
        <v>0</v>
      </c>
      <c r="S112" s="93">
        <f>IF(ISNA(VLOOKUP($A112,Council_Data!$A$3:$AB$840,20,0)),0,VLOOKUP($A112,Council_Data!$A$3:$AB$840,20,0))</f>
        <v>0</v>
      </c>
      <c r="T112" s="94">
        <f>IF(ISNA(VLOOKUP($A112,Council_Data!$A$3:$AB$840,21,0)),0,VLOOKUP($A112,Council_Data!$A$3:$AB$840,21,0))</f>
        <v>0</v>
      </c>
      <c r="U112" s="93">
        <f>IF(ISNA(VLOOKUP($A112,Council_Data!$A$3:$AB$840,23,0)),0,VLOOKUP($A112,Council_Data!$A$3:$AB$840,23,0))</f>
        <v>2</v>
      </c>
      <c r="V112" s="50" t="str">
        <f>IF(ISNA(VLOOKUP($A112,Council_Data!$A$3:$AB$840,24,0)),0,VLOOKUP($A112,Council_Data!$A$3:$AB$840,24,0))</f>
        <v>Rangel</v>
      </c>
    </row>
    <row r="113" spans="1:22">
      <c r="A113" s="50">
        <v>13357</v>
      </c>
      <c r="B113" s="50" t="str">
        <f>IF(ISNA(VLOOKUP($A113,Council_Data!$A$3:$AB$840,2,0)),0,VLOOKUP($A113,Council_Data!$A$3:$AB$840,2,0))</f>
        <v>087</v>
      </c>
      <c r="C113" s="50" t="str">
        <f>IF(ISNA(VLOOKUP($A113,Council_Data!$A$3:$AB$840,3,0)),0,VLOOKUP($A113,Council_Data!$A$3:$AB$840,3,0))</f>
        <v>Houston</v>
      </c>
      <c r="D113" s="93">
        <f>IF(ISNA(VLOOKUP($A113,Council_Data!$A$3:$AB$840,5,0)),0,VLOOKUP($A113,Council_Data!$A$3:$AB$840,5,0))</f>
        <v>117</v>
      </c>
      <c r="E113" s="93">
        <f>IF(ISNA(VLOOKUP($A113,Council_Data!$A$3:$AB$840,6,0)),0,VLOOKUP($A113,Council_Data!$A$3:$AB$840,6,0))</f>
        <v>6</v>
      </c>
      <c r="F113" s="93">
        <f>IF(ISNA(VLOOKUP($A113,Council_Data!$A$3:$AB$840,7,0)),0,VLOOKUP($A113,Council_Data!$A$3:$AB$840,7,0))</f>
        <v>1</v>
      </c>
      <c r="G113" s="93">
        <f>IF(ISNA(VLOOKUP($A113,Council_Data!$A$3:$AB$840,8,0)),0,VLOOKUP($A113,Council_Data!$A$3:$AB$840,8,0))</f>
        <v>0</v>
      </c>
      <c r="H113" s="93">
        <f>IF(ISNA(VLOOKUP($A113,Council_Data!$A$3:$AB$840,9,0)),0,VLOOKUP($A113,Council_Data!$A$3:$AB$840,9,0))</f>
        <v>1</v>
      </c>
      <c r="I113" s="93">
        <f>IF(ISNA(VLOOKUP($A113,Council_Data!$A$3:$AB$840,10,0)),0,VLOOKUP($A113,Council_Data!$A$3:$AB$840,10,0))</f>
        <v>7</v>
      </c>
      <c r="J113" s="93">
        <f>IF(ISNA(VLOOKUP($A113,Council_Data!$A$3:$AB$840,11,0)),0,VLOOKUP($A113,Council_Data!$A$3:$AB$840,11,0))</f>
        <v>0</v>
      </c>
      <c r="K113" s="93">
        <f>IF(ISNA(VLOOKUP($A113,Council_Data!$A$3:$AB$840,12,0)),0,VLOOKUP($A113,Council_Data!$A$3:$AB$840,12,0))</f>
        <v>7</v>
      </c>
      <c r="L113" s="94">
        <f>IF(ISNA(VLOOKUP($A113,Council_Data!$A$3:$AB$840,13,0)),0,VLOOKUP($A113,Council_Data!$A$3:$AB$840,13,0))</f>
        <v>116.67</v>
      </c>
      <c r="M113" s="93">
        <f>IF(ISNA(VLOOKUP($A113,Council_Data!$A$3:$AB$840,14,0)),0,VLOOKUP($A113,Council_Data!$A$3:$AB$840,14,0))</f>
        <v>0</v>
      </c>
      <c r="N113" s="93">
        <f>IF(ISNA(VLOOKUP($A113,Council_Data!$A$3:$AB$840,15,0)),0,VLOOKUP($A113,Council_Data!$A$3:$AB$840,15,0))</f>
        <v>0</v>
      </c>
      <c r="O113" s="93">
        <f>IF(ISNA(VLOOKUP($A113,Council_Data!$A$3:$AB$840,16,0)),0,VLOOKUP($A113,Council_Data!$A$3:$AB$840,16,0))</f>
        <v>0</v>
      </c>
      <c r="P113" s="93">
        <f>IF(ISNA(VLOOKUP($A113,Council_Data!$A$3:$AB$840,17,0)),0,VLOOKUP($A113,Council_Data!$A$3:$AB$840,17,0))</f>
        <v>0</v>
      </c>
      <c r="Q113" s="93">
        <f>IF(ISNA(VLOOKUP($A113,Council_Data!$A$3:$AB$840,18,0)),0,VLOOKUP($A113,Council_Data!$A$3:$AB$840,18,0))</f>
        <v>1</v>
      </c>
      <c r="R113" s="93">
        <f>IF(ISNA(VLOOKUP($A113,Council_Data!$A$3:$AB$840,19,0)),0,VLOOKUP($A113,Council_Data!$A$3:$AB$840,19,0))</f>
        <v>0</v>
      </c>
      <c r="S113" s="93">
        <f>IF(ISNA(VLOOKUP($A113,Council_Data!$A$3:$AB$840,20,0)),0,VLOOKUP($A113,Council_Data!$A$3:$AB$840,20,0))</f>
        <v>1</v>
      </c>
      <c r="T113" s="94">
        <f>IF(ISNA(VLOOKUP($A113,Council_Data!$A$3:$AB$840,21,0)),0,VLOOKUP($A113,Council_Data!$A$3:$AB$840,21,0))</f>
        <v>0</v>
      </c>
      <c r="U113" s="93">
        <f>IF(ISNA(VLOOKUP($A113,Council_Data!$A$3:$AB$840,23,0)),0,VLOOKUP($A113,Council_Data!$A$3:$AB$840,23,0))</f>
        <v>2</v>
      </c>
      <c r="V113" s="50" t="str">
        <f>IF(ISNA(VLOOKUP($A113,Council_Data!$A$3:$AB$840,24,0)),0,VLOOKUP($A113,Council_Data!$A$3:$AB$840,24,0))</f>
        <v>Supak</v>
      </c>
    </row>
    <row r="114" spans="1:22">
      <c r="A114" s="50">
        <v>13615</v>
      </c>
      <c r="B114" s="50" t="str">
        <f>IF(ISNA(VLOOKUP($A114,Council_Data!$A$3:$AB$840,2,0)),0,VLOOKUP($A114,Council_Data!$A$3:$AB$840,2,0))</f>
        <v>087</v>
      </c>
      <c r="C114" s="50" t="str">
        <f>IF(ISNA(VLOOKUP($A114,Council_Data!$A$3:$AB$840,3,0)),0,VLOOKUP($A114,Council_Data!$A$3:$AB$840,3,0))</f>
        <v>Houston</v>
      </c>
      <c r="D114" s="93">
        <f>IF(ISNA(VLOOKUP($A114,Council_Data!$A$3:$AB$840,5,0)),0,VLOOKUP($A114,Council_Data!$A$3:$AB$840,5,0))</f>
        <v>79</v>
      </c>
      <c r="E114" s="93">
        <f>IF(ISNA(VLOOKUP($A114,Council_Data!$A$3:$AB$840,6,0)),0,VLOOKUP($A114,Council_Data!$A$3:$AB$840,6,0))</f>
        <v>4</v>
      </c>
      <c r="F114" s="93">
        <f>IF(ISNA(VLOOKUP($A114,Council_Data!$A$3:$AB$840,7,0)),0,VLOOKUP($A114,Council_Data!$A$3:$AB$840,7,0))</f>
        <v>0</v>
      </c>
      <c r="G114" s="93">
        <f>IF(ISNA(VLOOKUP($A114,Council_Data!$A$3:$AB$840,8,0)),0,VLOOKUP($A114,Council_Data!$A$3:$AB$840,8,0))</f>
        <v>0</v>
      </c>
      <c r="H114" s="93">
        <f>IF(ISNA(VLOOKUP($A114,Council_Data!$A$3:$AB$840,9,0)),0,VLOOKUP($A114,Council_Data!$A$3:$AB$840,9,0))</f>
        <v>0</v>
      </c>
      <c r="I114" s="93">
        <f>IF(ISNA(VLOOKUP($A114,Council_Data!$A$3:$AB$840,10,0)),0,VLOOKUP($A114,Council_Data!$A$3:$AB$840,10,0))</f>
        <v>2</v>
      </c>
      <c r="J114" s="93">
        <f>IF(ISNA(VLOOKUP($A114,Council_Data!$A$3:$AB$840,11,0)),0,VLOOKUP($A114,Council_Data!$A$3:$AB$840,11,0))</f>
        <v>0</v>
      </c>
      <c r="K114" s="93">
        <f>IF(ISNA(VLOOKUP($A114,Council_Data!$A$3:$AB$840,12,0)),0,VLOOKUP($A114,Council_Data!$A$3:$AB$840,12,0))</f>
        <v>2</v>
      </c>
      <c r="L114" s="94">
        <f>IF(ISNA(VLOOKUP($A114,Council_Data!$A$3:$AB$840,13,0)),0,VLOOKUP($A114,Council_Data!$A$3:$AB$840,13,0))</f>
        <v>50</v>
      </c>
      <c r="M114" s="93">
        <f>IF(ISNA(VLOOKUP($A114,Council_Data!$A$3:$AB$840,14,0)),0,VLOOKUP($A114,Council_Data!$A$3:$AB$840,14,0))</f>
        <v>0</v>
      </c>
      <c r="N114" s="93">
        <f>IF(ISNA(VLOOKUP($A114,Council_Data!$A$3:$AB$840,15,0)),0,VLOOKUP($A114,Council_Data!$A$3:$AB$840,15,0))</f>
        <v>0</v>
      </c>
      <c r="O114" s="93">
        <f>IF(ISNA(VLOOKUP($A114,Council_Data!$A$3:$AB$840,16,0)),0,VLOOKUP($A114,Council_Data!$A$3:$AB$840,16,0))</f>
        <v>0</v>
      </c>
      <c r="P114" s="93">
        <f>IF(ISNA(VLOOKUP($A114,Council_Data!$A$3:$AB$840,17,0)),0,VLOOKUP($A114,Council_Data!$A$3:$AB$840,17,0))</f>
        <v>0</v>
      </c>
      <c r="Q114" s="93">
        <f>IF(ISNA(VLOOKUP($A114,Council_Data!$A$3:$AB$840,18,0)),0,VLOOKUP($A114,Council_Data!$A$3:$AB$840,18,0))</f>
        <v>0</v>
      </c>
      <c r="R114" s="93">
        <f>IF(ISNA(VLOOKUP($A114,Council_Data!$A$3:$AB$840,19,0)),0,VLOOKUP($A114,Council_Data!$A$3:$AB$840,19,0))</f>
        <v>1</v>
      </c>
      <c r="S114" s="93">
        <f>IF(ISNA(VLOOKUP($A114,Council_Data!$A$3:$AB$840,20,0)),0,VLOOKUP($A114,Council_Data!$A$3:$AB$840,20,0))</f>
        <v>-1</v>
      </c>
      <c r="T114" s="94">
        <f>IF(ISNA(VLOOKUP($A114,Council_Data!$A$3:$AB$840,21,0)),0,VLOOKUP($A114,Council_Data!$A$3:$AB$840,21,0))</f>
        <v>0</v>
      </c>
      <c r="U114" s="93">
        <f>IF(ISNA(VLOOKUP($A114,Council_Data!$A$3:$AB$840,23,0)),0,VLOOKUP($A114,Council_Data!$A$3:$AB$840,23,0))</f>
        <v>2</v>
      </c>
      <c r="V114" s="50" t="str">
        <f>IF(ISNA(VLOOKUP($A114,Council_Data!$A$3:$AB$840,24,0)),0,VLOOKUP($A114,Council_Data!$A$3:$AB$840,24,0))</f>
        <v>Rangel</v>
      </c>
    </row>
    <row r="115" spans="1:22">
      <c r="A115" s="50">
        <v>13629</v>
      </c>
      <c r="B115" s="50" t="str">
        <f>IF(ISNA(VLOOKUP($A115,Council_Data!$A$3:$AB$840,2,0)),0,VLOOKUP($A115,Council_Data!$A$3:$AB$840,2,0))</f>
        <v>091</v>
      </c>
      <c r="C115" s="50" t="str">
        <f>IF(ISNA(VLOOKUP($A115,Council_Data!$A$3:$AB$840,3,0)),0,VLOOKUP($A115,Council_Data!$A$3:$AB$840,3,0))</f>
        <v>Houston</v>
      </c>
      <c r="D115" s="93">
        <f>IF(ISNA(VLOOKUP($A115,Council_Data!$A$3:$AB$840,5,0)),0,VLOOKUP($A115,Council_Data!$A$3:$AB$840,5,0))</f>
        <v>47</v>
      </c>
      <c r="E115" s="93">
        <f>IF(ISNA(VLOOKUP($A115,Council_Data!$A$3:$AB$840,6,0)),0,VLOOKUP($A115,Council_Data!$A$3:$AB$840,6,0))</f>
        <v>3</v>
      </c>
      <c r="F115" s="93">
        <f>IF(ISNA(VLOOKUP($A115,Council_Data!$A$3:$AB$840,7,0)),0,VLOOKUP($A115,Council_Data!$A$3:$AB$840,7,0))</f>
        <v>0</v>
      </c>
      <c r="G115" s="93">
        <f>IF(ISNA(VLOOKUP($A115,Council_Data!$A$3:$AB$840,8,0)),0,VLOOKUP($A115,Council_Data!$A$3:$AB$840,8,0))</f>
        <v>0</v>
      </c>
      <c r="H115" s="93">
        <f>IF(ISNA(VLOOKUP($A115,Council_Data!$A$3:$AB$840,9,0)),0,VLOOKUP($A115,Council_Data!$A$3:$AB$840,9,0))</f>
        <v>0</v>
      </c>
      <c r="I115" s="93">
        <f>IF(ISNA(VLOOKUP($A115,Council_Data!$A$3:$AB$840,10,0)),0,VLOOKUP($A115,Council_Data!$A$3:$AB$840,10,0))</f>
        <v>0</v>
      </c>
      <c r="J115" s="93">
        <f>IF(ISNA(VLOOKUP($A115,Council_Data!$A$3:$AB$840,11,0)),0,VLOOKUP($A115,Council_Data!$A$3:$AB$840,11,0))</f>
        <v>0</v>
      </c>
      <c r="K115" s="93">
        <f>IF(ISNA(VLOOKUP($A115,Council_Data!$A$3:$AB$840,12,0)),0,VLOOKUP($A115,Council_Data!$A$3:$AB$840,12,0))</f>
        <v>0</v>
      </c>
      <c r="L115" s="94">
        <f>IF(ISNA(VLOOKUP($A115,Council_Data!$A$3:$AB$840,13,0)),0,VLOOKUP($A115,Council_Data!$A$3:$AB$840,13,0))</f>
        <v>0</v>
      </c>
      <c r="M115" s="93">
        <f>IF(ISNA(VLOOKUP($A115,Council_Data!$A$3:$AB$840,14,0)),0,VLOOKUP($A115,Council_Data!$A$3:$AB$840,14,0))</f>
        <v>0</v>
      </c>
      <c r="N115" s="93">
        <f>IF(ISNA(VLOOKUP($A115,Council_Data!$A$3:$AB$840,15,0)),0,VLOOKUP($A115,Council_Data!$A$3:$AB$840,15,0))</f>
        <v>0</v>
      </c>
      <c r="O115" s="93">
        <f>IF(ISNA(VLOOKUP($A115,Council_Data!$A$3:$AB$840,16,0)),0,VLOOKUP($A115,Council_Data!$A$3:$AB$840,16,0))</f>
        <v>2</v>
      </c>
      <c r="P115" s="93">
        <f>IF(ISNA(VLOOKUP($A115,Council_Data!$A$3:$AB$840,17,0)),0,VLOOKUP($A115,Council_Data!$A$3:$AB$840,17,0))</f>
        <v>-2</v>
      </c>
      <c r="Q115" s="93">
        <f>IF(ISNA(VLOOKUP($A115,Council_Data!$A$3:$AB$840,18,0)),0,VLOOKUP($A115,Council_Data!$A$3:$AB$840,18,0))</f>
        <v>0</v>
      </c>
      <c r="R115" s="93">
        <f>IF(ISNA(VLOOKUP($A115,Council_Data!$A$3:$AB$840,19,0)),0,VLOOKUP($A115,Council_Data!$A$3:$AB$840,19,0))</f>
        <v>2</v>
      </c>
      <c r="S115" s="93">
        <f>IF(ISNA(VLOOKUP($A115,Council_Data!$A$3:$AB$840,20,0)),0,VLOOKUP($A115,Council_Data!$A$3:$AB$840,20,0))</f>
        <v>-2</v>
      </c>
      <c r="T115" s="94">
        <f>IF(ISNA(VLOOKUP($A115,Council_Data!$A$3:$AB$840,21,0)),0,VLOOKUP($A115,Council_Data!$A$3:$AB$840,21,0))</f>
        <v>0</v>
      </c>
      <c r="U115" s="93">
        <f>IF(ISNA(VLOOKUP($A115,Council_Data!$A$3:$AB$840,23,0)),0,VLOOKUP($A115,Council_Data!$A$3:$AB$840,23,0))</f>
        <v>3</v>
      </c>
      <c r="V115" s="50" t="str">
        <f>IF(ISNA(VLOOKUP($A115,Council_Data!$A$3:$AB$840,24,0)),0,VLOOKUP($A115,Council_Data!$A$3:$AB$840,24,0))</f>
        <v>Rangel</v>
      </c>
    </row>
    <row r="116" spans="1:22">
      <c r="A116" s="50">
        <v>13940</v>
      </c>
      <c r="B116" s="50" t="str">
        <f>IF(ISNA(VLOOKUP($A116,Council_Data!$A$3:$AB$840,2,0)),0,VLOOKUP($A116,Council_Data!$A$3:$AB$840,2,0))</f>
        <v>096</v>
      </c>
      <c r="C116" s="50" t="str">
        <f>IF(ISNA(VLOOKUP($A116,Council_Data!$A$3:$AB$840,3,0)),0,VLOOKUP($A116,Council_Data!$A$3:$AB$840,3,0))</f>
        <v>Houston</v>
      </c>
      <c r="D116" s="93">
        <f>IF(ISNA(VLOOKUP($A116,Council_Data!$A$3:$AB$840,5,0)),0,VLOOKUP($A116,Council_Data!$A$3:$AB$840,5,0))</f>
        <v>172</v>
      </c>
      <c r="E116" s="93">
        <f>IF(ISNA(VLOOKUP($A116,Council_Data!$A$3:$AB$840,6,0)),0,VLOOKUP($A116,Council_Data!$A$3:$AB$840,6,0))</f>
        <v>9</v>
      </c>
      <c r="F116" s="93">
        <f>IF(ISNA(VLOOKUP($A116,Council_Data!$A$3:$AB$840,7,0)),0,VLOOKUP($A116,Council_Data!$A$3:$AB$840,7,0))</f>
        <v>0</v>
      </c>
      <c r="G116" s="93">
        <f>IF(ISNA(VLOOKUP($A116,Council_Data!$A$3:$AB$840,8,0)),0,VLOOKUP($A116,Council_Data!$A$3:$AB$840,8,0))</f>
        <v>0</v>
      </c>
      <c r="H116" s="93">
        <f>IF(ISNA(VLOOKUP($A116,Council_Data!$A$3:$AB$840,9,0)),0,VLOOKUP($A116,Council_Data!$A$3:$AB$840,9,0))</f>
        <v>0</v>
      </c>
      <c r="I116" s="93">
        <f>IF(ISNA(VLOOKUP($A116,Council_Data!$A$3:$AB$840,10,0)),0,VLOOKUP($A116,Council_Data!$A$3:$AB$840,10,0))</f>
        <v>0</v>
      </c>
      <c r="J116" s="93">
        <f>IF(ISNA(VLOOKUP($A116,Council_Data!$A$3:$AB$840,11,0)),0,VLOOKUP($A116,Council_Data!$A$3:$AB$840,11,0))</f>
        <v>0</v>
      </c>
      <c r="K116" s="93">
        <f>IF(ISNA(VLOOKUP($A116,Council_Data!$A$3:$AB$840,12,0)),0,VLOOKUP($A116,Council_Data!$A$3:$AB$840,12,0))</f>
        <v>0</v>
      </c>
      <c r="L116" s="94">
        <f>IF(ISNA(VLOOKUP($A116,Council_Data!$A$3:$AB$840,13,0)),0,VLOOKUP($A116,Council_Data!$A$3:$AB$840,13,0))</f>
        <v>0</v>
      </c>
      <c r="M116" s="93">
        <f>IF(ISNA(VLOOKUP($A116,Council_Data!$A$3:$AB$840,14,0)),0,VLOOKUP($A116,Council_Data!$A$3:$AB$840,14,0))</f>
        <v>0</v>
      </c>
      <c r="N116" s="93">
        <f>IF(ISNA(VLOOKUP($A116,Council_Data!$A$3:$AB$840,15,0)),0,VLOOKUP($A116,Council_Data!$A$3:$AB$840,15,0))</f>
        <v>0</v>
      </c>
      <c r="O116" s="93">
        <f>IF(ISNA(VLOOKUP($A116,Council_Data!$A$3:$AB$840,16,0)),0,VLOOKUP($A116,Council_Data!$A$3:$AB$840,16,0))</f>
        <v>0</v>
      </c>
      <c r="P116" s="93">
        <f>IF(ISNA(VLOOKUP($A116,Council_Data!$A$3:$AB$840,17,0)),0,VLOOKUP($A116,Council_Data!$A$3:$AB$840,17,0))</f>
        <v>0</v>
      </c>
      <c r="Q116" s="93">
        <f>IF(ISNA(VLOOKUP($A116,Council_Data!$A$3:$AB$840,18,0)),0,VLOOKUP($A116,Council_Data!$A$3:$AB$840,18,0))</f>
        <v>0</v>
      </c>
      <c r="R116" s="93">
        <f>IF(ISNA(VLOOKUP($A116,Council_Data!$A$3:$AB$840,19,0)),0,VLOOKUP($A116,Council_Data!$A$3:$AB$840,19,0))</f>
        <v>0</v>
      </c>
      <c r="S116" s="93">
        <f>IF(ISNA(VLOOKUP($A116,Council_Data!$A$3:$AB$840,20,0)),0,VLOOKUP($A116,Council_Data!$A$3:$AB$840,20,0))</f>
        <v>0</v>
      </c>
      <c r="T116" s="94">
        <f>IF(ISNA(VLOOKUP($A116,Council_Data!$A$3:$AB$840,21,0)),0,VLOOKUP($A116,Council_Data!$A$3:$AB$840,21,0))</f>
        <v>0</v>
      </c>
      <c r="U116" s="93">
        <f>IF(ISNA(VLOOKUP($A116,Council_Data!$A$3:$AB$840,23,0)),0,VLOOKUP($A116,Council_Data!$A$3:$AB$840,23,0))</f>
        <v>1</v>
      </c>
      <c r="V116" s="50" t="str">
        <f>IF(ISNA(VLOOKUP($A116,Council_Data!$A$3:$AB$840,24,0)),0,VLOOKUP($A116,Council_Data!$A$3:$AB$840,24,0))</f>
        <v>Rangel</v>
      </c>
    </row>
    <row r="117" spans="1:22">
      <c r="A117" s="50">
        <v>14058</v>
      </c>
      <c r="B117" s="50" t="str">
        <f>IF(ISNA(VLOOKUP($A117,Council_Data!$A$3:$AB$840,2,0)),0,VLOOKUP($A117,Council_Data!$A$3:$AB$840,2,0))</f>
        <v>098</v>
      </c>
      <c r="C117" s="50" t="str">
        <f>IF(ISNA(VLOOKUP($A117,Council_Data!$A$3:$AB$840,3,0)),0,VLOOKUP($A117,Council_Data!$A$3:$AB$840,3,0))</f>
        <v>Houston</v>
      </c>
      <c r="D117" s="93">
        <f>IF(ISNA(VLOOKUP($A117,Council_Data!$A$3:$AB$840,5,0)),0,VLOOKUP($A117,Council_Data!$A$3:$AB$840,5,0))</f>
        <v>106</v>
      </c>
      <c r="E117" s="93">
        <f>IF(ISNA(VLOOKUP($A117,Council_Data!$A$3:$AB$840,6,0)),0,VLOOKUP($A117,Council_Data!$A$3:$AB$840,6,0))</f>
        <v>5</v>
      </c>
      <c r="F117" s="93">
        <f>IF(ISNA(VLOOKUP($A117,Council_Data!$A$3:$AB$840,7,0)),0,VLOOKUP($A117,Council_Data!$A$3:$AB$840,7,0))</f>
        <v>0</v>
      </c>
      <c r="G117" s="93">
        <f>IF(ISNA(VLOOKUP($A117,Council_Data!$A$3:$AB$840,8,0)),0,VLOOKUP($A117,Council_Data!$A$3:$AB$840,8,0))</f>
        <v>0</v>
      </c>
      <c r="H117" s="93">
        <f>IF(ISNA(VLOOKUP($A117,Council_Data!$A$3:$AB$840,9,0)),0,VLOOKUP($A117,Council_Data!$A$3:$AB$840,9,0))</f>
        <v>0</v>
      </c>
      <c r="I117" s="93">
        <f>IF(ISNA(VLOOKUP($A117,Council_Data!$A$3:$AB$840,10,0)),0,VLOOKUP($A117,Council_Data!$A$3:$AB$840,10,0))</f>
        <v>0</v>
      </c>
      <c r="J117" s="93">
        <f>IF(ISNA(VLOOKUP($A117,Council_Data!$A$3:$AB$840,11,0)),0,VLOOKUP($A117,Council_Data!$A$3:$AB$840,11,0))</f>
        <v>0</v>
      </c>
      <c r="K117" s="93">
        <f>IF(ISNA(VLOOKUP($A117,Council_Data!$A$3:$AB$840,12,0)),0,VLOOKUP($A117,Council_Data!$A$3:$AB$840,12,0))</f>
        <v>0</v>
      </c>
      <c r="L117" s="94">
        <f>IF(ISNA(VLOOKUP($A117,Council_Data!$A$3:$AB$840,13,0)),0,VLOOKUP($A117,Council_Data!$A$3:$AB$840,13,0))</f>
        <v>0</v>
      </c>
      <c r="M117" s="93">
        <f>IF(ISNA(VLOOKUP($A117,Council_Data!$A$3:$AB$840,14,0)),0,VLOOKUP($A117,Council_Data!$A$3:$AB$840,14,0))</f>
        <v>0</v>
      </c>
      <c r="N117" s="93">
        <f>IF(ISNA(VLOOKUP($A117,Council_Data!$A$3:$AB$840,15,0)),0,VLOOKUP($A117,Council_Data!$A$3:$AB$840,15,0))</f>
        <v>0</v>
      </c>
      <c r="O117" s="93">
        <f>IF(ISNA(VLOOKUP($A117,Council_Data!$A$3:$AB$840,16,0)),0,VLOOKUP($A117,Council_Data!$A$3:$AB$840,16,0))</f>
        <v>1</v>
      </c>
      <c r="P117" s="93">
        <f>IF(ISNA(VLOOKUP($A117,Council_Data!$A$3:$AB$840,17,0)),0,VLOOKUP($A117,Council_Data!$A$3:$AB$840,17,0))</f>
        <v>-1</v>
      </c>
      <c r="Q117" s="93">
        <f>IF(ISNA(VLOOKUP($A117,Council_Data!$A$3:$AB$840,18,0)),0,VLOOKUP($A117,Council_Data!$A$3:$AB$840,18,0))</f>
        <v>0</v>
      </c>
      <c r="R117" s="93">
        <f>IF(ISNA(VLOOKUP($A117,Council_Data!$A$3:$AB$840,19,0)),0,VLOOKUP($A117,Council_Data!$A$3:$AB$840,19,0))</f>
        <v>1</v>
      </c>
      <c r="S117" s="93">
        <f>IF(ISNA(VLOOKUP($A117,Council_Data!$A$3:$AB$840,20,0)),0,VLOOKUP($A117,Council_Data!$A$3:$AB$840,20,0))</f>
        <v>-1</v>
      </c>
      <c r="T117" s="94">
        <f>IF(ISNA(VLOOKUP($A117,Council_Data!$A$3:$AB$840,21,0)),0,VLOOKUP($A117,Council_Data!$A$3:$AB$840,21,0))</f>
        <v>0</v>
      </c>
      <c r="U117" s="93">
        <f>IF(ISNA(VLOOKUP($A117,Council_Data!$A$3:$AB$840,23,0)),0,VLOOKUP($A117,Council_Data!$A$3:$AB$840,23,0))</f>
        <v>2</v>
      </c>
      <c r="V117" s="50" t="str">
        <f>IF(ISNA(VLOOKUP($A117,Council_Data!$A$3:$AB$840,24,0)),0,VLOOKUP($A117,Council_Data!$A$3:$AB$840,24,0))</f>
        <v>Supak</v>
      </c>
    </row>
    <row r="118" spans="1:22">
      <c r="A118" s="50">
        <v>14512</v>
      </c>
      <c r="B118" s="50" t="str">
        <f>IF(ISNA(VLOOKUP($A118,Council_Data!$A$3:$AB$840,2,0)),0,VLOOKUP($A118,Council_Data!$A$3:$AB$840,2,0))</f>
        <v>093</v>
      </c>
      <c r="C118" s="50" t="str">
        <f>IF(ISNA(VLOOKUP($A118,Council_Data!$A$3:$AB$840,3,0)),0,VLOOKUP($A118,Council_Data!$A$3:$AB$840,3,0))</f>
        <v>Spring</v>
      </c>
      <c r="D118" s="93">
        <f>IF(ISNA(VLOOKUP($A118,Council_Data!$A$3:$AB$840,5,0)),0,VLOOKUP($A118,Council_Data!$A$3:$AB$840,5,0))</f>
        <v>228</v>
      </c>
      <c r="E118" s="93">
        <f>IF(ISNA(VLOOKUP($A118,Council_Data!$A$3:$AB$840,6,0)),0,VLOOKUP($A118,Council_Data!$A$3:$AB$840,6,0))</f>
        <v>11</v>
      </c>
      <c r="F118" s="93">
        <f>IF(ISNA(VLOOKUP($A118,Council_Data!$A$3:$AB$840,7,0)),0,VLOOKUP($A118,Council_Data!$A$3:$AB$840,7,0))</f>
        <v>1</v>
      </c>
      <c r="G118" s="93">
        <f>IF(ISNA(VLOOKUP($A118,Council_Data!$A$3:$AB$840,8,0)),0,VLOOKUP($A118,Council_Data!$A$3:$AB$840,8,0))</f>
        <v>1</v>
      </c>
      <c r="H118" s="93">
        <f>IF(ISNA(VLOOKUP($A118,Council_Data!$A$3:$AB$840,9,0)),0,VLOOKUP($A118,Council_Data!$A$3:$AB$840,9,0))</f>
        <v>0</v>
      </c>
      <c r="I118" s="93">
        <f>IF(ISNA(VLOOKUP($A118,Council_Data!$A$3:$AB$840,10,0)),0,VLOOKUP($A118,Council_Data!$A$3:$AB$840,10,0))</f>
        <v>8</v>
      </c>
      <c r="J118" s="93">
        <f>IF(ISNA(VLOOKUP($A118,Council_Data!$A$3:$AB$840,11,0)),0,VLOOKUP($A118,Council_Data!$A$3:$AB$840,11,0))</f>
        <v>1</v>
      </c>
      <c r="K118" s="93">
        <f>IF(ISNA(VLOOKUP($A118,Council_Data!$A$3:$AB$840,12,0)),0,VLOOKUP($A118,Council_Data!$A$3:$AB$840,12,0))</f>
        <v>7</v>
      </c>
      <c r="L118" s="94">
        <f>IF(ISNA(VLOOKUP($A118,Council_Data!$A$3:$AB$840,13,0)),0,VLOOKUP($A118,Council_Data!$A$3:$AB$840,13,0))</f>
        <v>63.64</v>
      </c>
      <c r="M118" s="93">
        <f>IF(ISNA(VLOOKUP($A118,Council_Data!$A$3:$AB$840,14,0)),0,VLOOKUP($A118,Council_Data!$A$3:$AB$840,14,0))</f>
        <v>0</v>
      </c>
      <c r="N118" s="93">
        <f>IF(ISNA(VLOOKUP($A118,Council_Data!$A$3:$AB$840,15,0)),0,VLOOKUP($A118,Council_Data!$A$3:$AB$840,15,0))</f>
        <v>0</v>
      </c>
      <c r="O118" s="93">
        <f>IF(ISNA(VLOOKUP($A118,Council_Data!$A$3:$AB$840,16,0)),0,VLOOKUP($A118,Council_Data!$A$3:$AB$840,16,0))</f>
        <v>0</v>
      </c>
      <c r="P118" s="93">
        <f>IF(ISNA(VLOOKUP($A118,Council_Data!$A$3:$AB$840,17,0)),0,VLOOKUP($A118,Council_Data!$A$3:$AB$840,17,0))</f>
        <v>0</v>
      </c>
      <c r="Q118" s="93">
        <f>IF(ISNA(VLOOKUP($A118,Council_Data!$A$3:$AB$840,18,0)),0,VLOOKUP($A118,Council_Data!$A$3:$AB$840,18,0))</f>
        <v>0</v>
      </c>
      <c r="R118" s="93">
        <f>IF(ISNA(VLOOKUP($A118,Council_Data!$A$3:$AB$840,19,0)),0,VLOOKUP($A118,Council_Data!$A$3:$AB$840,19,0))</f>
        <v>1</v>
      </c>
      <c r="S118" s="93">
        <f>IF(ISNA(VLOOKUP($A118,Council_Data!$A$3:$AB$840,20,0)),0,VLOOKUP($A118,Council_Data!$A$3:$AB$840,20,0))</f>
        <v>-1</v>
      </c>
      <c r="T118" s="94">
        <f>IF(ISNA(VLOOKUP($A118,Council_Data!$A$3:$AB$840,21,0)),0,VLOOKUP($A118,Council_Data!$A$3:$AB$840,21,0))</f>
        <v>0</v>
      </c>
      <c r="U118" s="93">
        <f>IF(ISNA(VLOOKUP($A118,Council_Data!$A$3:$AB$840,23,0)),0,VLOOKUP($A118,Council_Data!$A$3:$AB$840,23,0))</f>
        <v>1</v>
      </c>
      <c r="V118" s="50" t="str">
        <f>IF(ISNA(VLOOKUP($A118,Council_Data!$A$3:$AB$840,24,0)),0,VLOOKUP($A118,Council_Data!$A$3:$AB$840,24,0))</f>
        <v>Rangel</v>
      </c>
    </row>
    <row r="119" spans="1:22">
      <c r="A119" s="50">
        <v>14617</v>
      </c>
      <c r="B119" s="50" t="str">
        <f>IF(ISNA(VLOOKUP($A119,Council_Data!$A$3:$AB$840,2,0)),0,VLOOKUP($A119,Council_Data!$A$3:$AB$840,2,0))</f>
        <v>079</v>
      </c>
      <c r="C119" s="50" t="str">
        <f>IF(ISNA(VLOOKUP($A119,Council_Data!$A$3:$AB$840,3,0)),0,VLOOKUP($A119,Council_Data!$A$3:$AB$840,3,0))</f>
        <v>Missouri City</v>
      </c>
      <c r="D119" s="93">
        <f>IF(ISNA(VLOOKUP($A119,Council_Data!$A$3:$AB$840,5,0)),0,VLOOKUP($A119,Council_Data!$A$3:$AB$840,5,0))</f>
        <v>193</v>
      </c>
      <c r="E119" s="93">
        <f>IF(ISNA(VLOOKUP($A119,Council_Data!$A$3:$AB$840,6,0)),0,VLOOKUP($A119,Council_Data!$A$3:$AB$840,6,0))</f>
        <v>10</v>
      </c>
      <c r="F119" s="93">
        <f>IF(ISNA(VLOOKUP($A119,Council_Data!$A$3:$AB$840,7,0)),0,VLOOKUP($A119,Council_Data!$A$3:$AB$840,7,0))</f>
        <v>0</v>
      </c>
      <c r="G119" s="93">
        <f>IF(ISNA(VLOOKUP($A119,Council_Data!$A$3:$AB$840,8,0)),0,VLOOKUP($A119,Council_Data!$A$3:$AB$840,8,0))</f>
        <v>0</v>
      </c>
      <c r="H119" s="93">
        <f>IF(ISNA(VLOOKUP($A119,Council_Data!$A$3:$AB$840,9,0)),0,VLOOKUP($A119,Council_Data!$A$3:$AB$840,9,0))</f>
        <v>0</v>
      </c>
      <c r="I119" s="93">
        <f>IF(ISNA(VLOOKUP($A119,Council_Data!$A$3:$AB$840,10,0)),0,VLOOKUP($A119,Council_Data!$A$3:$AB$840,10,0))</f>
        <v>2</v>
      </c>
      <c r="J119" s="93">
        <f>IF(ISNA(VLOOKUP($A119,Council_Data!$A$3:$AB$840,11,0)),0,VLOOKUP($A119,Council_Data!$A$3:$AB$840,11,0))</f>
        <v>0</v>
      </c>
      <c r="K119" s="93">
        <f>IF(ISNA(VLOOKUP($A119,Council_Data!$A$3:$AB$840,12,0)),0,VLOOKUP($A119,Council_Data!$A$3:$AB$840,12,0))</f>
        <v>2</v>
      </c>
      <c r="L119" s="94">
        <f>IF(ISNA(VLOOKUP($A119,Council_Data!$A$3:$AB$840,13,0)),0,VLOOKUP($A119,Council_Data!$A$3:$AB$840,13,0))</f>
        <v>20</v>
      </c>
      <c r="M119" s="93">
        <f>IF(ISNA(VLOOKUP($A119,Council_Data!$A$3:$AB$840,14,0)),0,VLOOKUP($A119,Council_Data!$A$3:$AB$840,14,0))</f>
        <v>0</v>
      </c>
      <c r="N119" s="93">
        <f>IF(ISNA(VLOOKUP($A119,Council_Data!$A$3:$AB$840,15,0)),0,VLOOKUP($A119,Council_Data!$A$3:$AB$840,15,0))</f>
        <v>0</v>
      </c>
      <c r="O119" s="93">
        <f>IF(ISNA(VLOOKUP($A119,Council_Data!$A$3:$AB$840,16,0)),0,VLOOKUP($A119,Council_Data!$A$3:$AB$840,16,0))</f>
        <v>0</v>
      </c>
      <c r="P119" s="93">
        <f>IF(ISNA(VLOOKUP($A119,Council_Data!$A$3:$AB$840,17,0)),0,VLOOKUP($A119,Council_Data!$A$3:$AB$840,17,0))</f>
        <v>0</v>
      </c>
      <c r="Q119" s="93">
        <f>IF(ISNA(VLOOKUP($A119,Council_Data!$A$3:$AB$840,18,0)),0,VLOOKUP($A119,Council_Data!$A$3:$AB$840,18,0))</f>
        <v>0</v>
      </c>
      <c r="R119" s="93">
        <f>IF(ISNA(VLOOKUP($A119,Council_Data!$A$3:$AB$840,19,0)),0,VLOOKUP($A119,Council_Data!$A$3:$AB$840,19,0))</f>
        <v>0</v>
      </c>
      <c r="S119" s="93">
        <f>IF(ISNA(VLOOKUP($A119,Council_Data!$A$3:$AB$840,20,0)),0,VLOOKUP($A119,Council_Data!$A$3:$AB$840,20,0))</f>
        <v>0</v>
      </c>
      <c r="T119" s="94">
        <f>IF(ISNA(VLOOKUP($A119,Council_Data!$A$3:$AB$840,21,0)),0,VLOOKUP($A119,Council_Data!$A$3:$AB$840,21,0))</f>
        <v>0</v>
      </c>
      <c r="U119" s="93">
        <f>IF(ISNA(VLOOKUP($A119,Council_Data!$A$3:$AB$840,23,0)),0,VLOOKUP($A119,Council_Data!$A$3:$AB$840,23,0))</f>
        <v>1</v>
      </c>
      <c r="V119" s="50" t="str">
        <f>IF(ISNA(VLOOKUP($A119,Council_Data!$A$3:$AB$840,24,0)),0,VLOOKUP($A119,Council_Data!$A$3:$AB$840,24,0))</f>
        <v>Supak</v>
      </c>
    </row>
    <row r="120" spans="1:22">
      <c r="A120" s="50">
        <v>14700</v>
      </c>
      <c r="B120" s="50" t="str">
        <f>IF(ISNA(VLOOKUP($A120,Council_Data!$A$3:$AB$840,2,0)),0,VLOOKUP($A120,Council_Data!$A$3:$AB$840,2,0))</f>
        <v>083</v>
      </c>
      <c r="C120" s="50" t="str">
        <f>IF(ISNA(VLOOKUP($A120,Council_Data!$A$3:$AB$840,3,0)),0,VLOOKUP($A120,Council_Data!$A$3:$AB$840,3,0))</f>
        <v>Houston</v>
      </c>
      <c r="D120" s="93">
        <f>IF(ISNA(VLOOKUP($A120,Council_Data!$A$3:$AB$840,5,0)),0,VLOOKUP($A120,Council_Data!$A$3:$AB$840,5,0))</f>
        <v>197</v>
      </c>
      <c r="E120" s="93">
        <f>IF(ISNA(VLOOKUP($A120,Council_Data!$A$3:$AB$840,6,0)),0,VLOOKUP($A120,Council_Data!$A$3:$AB$840,6,0))</f>
        <v>10</v>
      </c>
      <c r="F120" s="93">
        <f>IF(ISNA(VLOOKUP($A120,Council_Data!$A$3:$AB$840,7,0)),0,VLOOKUP($A120,Council_Data!$A$3:$AB$840,7,0))</f>
        <v>0</v>
      </c>
      <c r="G120" s="93">
        <f>IF(ISNA(VLOOKUP($A120,Council_Data!$A$3:$AB$840,8,0)),0,VLOOKUP($A120,Council_Data!$A$3:$AB$840,8,0))</f>
        <v>3</v>
      </c>
      <c r="H120" s="93">
        <f>IF(ISNA(VLOOKUP($A120,Council_Data!$A$3:$AB$840,9,0)),0,VLOOKUP($A120,Council_Data!$A$3:$AB$840,9,0))</f>
        <v>-3</v>
      </c>
      <c r="I120" s="93">
        <f>IF(ISNA(VLOOKUP($A120,Council_Data!$A$3:$AB$840,10,0)),0,VLOOKUP($A120,Council_Data!$A$3:$AB$840,10,0))</f>
        <v>0</v>
      </c>
      <c r="J120" s="93">
        <f>IF(ISNA(VLOOKUP($A120,Council_Data!$A$3:$AB$840,11,0)),0,VLOOKUP($A120,Council_Data!$A$3:$AB$840,11,0))</f>
        <v>4</v>
      </c>
      <c r="K120" s="93">
        <f>IF(ISNA(VLOOKUP($A120,Council_Data!$A$3:$AB$840,12,0)),0,VLOOKUP($A120,Council_Data!$A$3:$AB$840,12,0))</f>
        <v>-4</v>
      </c>
      <c r="L120" s="94">
        <f>IF(ISNA(VLOOKUP($A120,Council_Data!$A$3:$AB$840,13,0)),0,VLOOKUP($A120,Council_Data!$A$3:$AB$840,13,0))</f>
        <v>0</v>
      </c>
      <c r="M120" s="93">
        <f>IF(ISNA(VLOOKUP($A120,Council_Data!$A$3:$AB$840,14,0)),0,VLOOKUP($A120,Council_Data!$A$3:$AB$840,14,0))</f>
        <v>0</v>
      </c>
      <c r="N120" s="93">
        <f>IF(ISNA(VLOOKUP($A120,Council_Data!$A$3:$AB$840,15,0)),0,VLOOKUP($A120,Council_Data!$A$3:$AB$840,15,0))</f>
        <v>1</v>
      </c>
      <c r="O120" s="93">
        <f>IF(ISNA(VLOOKUP($A120,Council_Data!$A$3:$AB$840,16,0)),0,VLOOKUP($A120,Council_Data!$A$3:$AB$840,16,0))</f>
        <v>0</v>
      </c>
      <c r="P120" s="93">
        <f>IF(ISNA(VLOOKUP($A120,Council_Data!$A$3:$AB$840,17,0)),0,VLOOKUP($A120,Council_Data!$A$3:$AB$840,17,0))</f>
        <v>1</v>
      </c>
      <c r="Q120" s="93">
        <f>IF(ISNA(VLOOKUP($A120,Council_Data!$A$3:$AB$840,18,0)),0,VLOOKUP($A120,Council_Data!$A$3:$AB$840,18,0))</f>
        <v>1</v>
      </c>
      <c r="R120" s="93">
        <f>IF(ISNA(VLOOKUP($A120,Council_Data!$A$3:$AB$840,19,0)),0,VLOOKUP($A120,Council_Data!$A$3:$AB$840,19,0))</f>
        <v>3</v>
      </c>
      <c r="S120" s="93">
        <f>IF(ISNA(VLOOKUP($A120,Council_Data!$A$3:$AB$840,20,0)),0,VLOOKUP($A120,Council_Data!$A$3:$AB$840,20,0))</f>
        <v>-2</v>
      </c>
      <c r="T120" s="94">
        <f>IF(ISNA(VLOOKUP($A120,Council_Data!$A$3:$AB$840,21,0)),0,VLOOKUP($A120,Council_Data!$A$3:$AB$840,21,0))</f>
        <v>0</v>
      </c>
      <c r="U120" s="93">
        <f>IF(ISNA(VLOOKUP($A120,Council_Data!$A$3:$AB$840,23,0)),0,VLOOKUP($A120,Council_Data!$A$3:$AB$840,23,0))</f>
        <v>1</v>
      </c>
      <c r="V120" s="50" t="str">
        <f>IF(ISNA(VLOOKUP($A120,Council_Data!$A$3:$AB$840,24,0)),0,VLOOKUP($A120,Council_Data!$A$3:$AB$840,24,0))</f>
        <v>Supak</v>
      </c>
    </row>
    <row r="121" spans="1:22">
      <c r="A121" s="50">
        <v>15059</v>
      </c>
      <c r="B121" s="50" t="str">
        <f>IF(ISNA(VLOOKUP($A121,Council_Data!$A$3:$AB$840,2,0)),0,VLOOKUP($A121,Council_Data!$A$3:$AB$840,2,0))</f>
        <v>077</v>
      </c>
      <c r="C121" s="50" t="str">
        <f>IF(ISNA(VLOOKUP($A121,Council_Data!$A$3:$AB$840,3,0)),0,VLOOKUP($A121,Council_Data!$A$3:$AB$840,3,0))</f>
        <v>Channelview</v>
      </c>
      <c r="D121" s="93">
        <f>IF(ISNA(VLOOKUP($A121,Council_Data!$A$3:$AB$840,5,0)),0,VLOOKUP($A121,Council_Data!$A$3:$AB$840,5,0))</f>
        <v>85</v>
      </c>
      <c r="E121" s="93">
        <f>IF(ISNA(VLOOKUP($A121,Council_Data!$A$3:$AB$840,6,0)),0,VLOOKUP($A121,Council_Data!$A$3:$AB$840,6,0))</f>
        <v>4</v>
      </c>
      <c r="F121" s="93">
        <f>IF(ISNA(VLOOKUP($A121,Council_Data!$A$3:$AB$840,7,0)),0,VLOOKUP($A121,Council_Data!$A$3:$AB$840,7,0))</f>
        <v>0</v>
      </c>
      <c r="G121" s="93">
        <f>IF(ISNA(VLOOKUP($A121,Council_Data!$A$3:$AB$840,8,0)),0,VLOOKUP($A121,Council_Data!$A$3:$AB$840,8,0))</f>
        <v>0</v>
      </c>
      <c r="H121" s="93">
        <f>IF(ISNA(VLOOKUP($A121,Council_Data!$A$3:$AB$840,9,0)),0,VLOOKUP($A121,Council_Data!$A$3:$AB$840,9,0))</f>
        <v>0</v>
      </c>
      <c r="I121" s="93">
        <f>IF(ISNA(VLOOKUP($A121,Council_Data!$A$3:$AB$840,10,0)),0,VLOOKUP($A121,Council_Data!$A$3:$AB$840,10,0))</f>
        <v>0</v>
      </c>
      <c r="J121" s="93">
        <f>IF(ISNA(VLOOKUP($A121,Council_Data!$A$3:$AB$840,11,0)),0,VLOOKUP($A121,Council_Data!$A$3:$AB$840,11,0))</f>
        <v>0</v>
      </c>
      <c r="K121" s="93">
        <f>IF(ISNA(VLOOKUP($A121,Council_Data!$A$3:$AB$840,12,0)),0,VLOOKUP($A121,Council_Data!$A$3:$AB$840,12,0))</f>
        <v>0</v>
      </c>
      <c r="L121" s="94">
        <f>IF(ISNA(VLOOKUP($A121,Council_Data!$A$3:$AB$840,13,0)),0,VLOOKUP($A121,Council_Data!$A$3:$AB$840,13,0))</f>
        <v>0</v>
      </c>
      <c r="M121" s="93">
        <f>IF(ISNA(VLOOKUP($A121,Council_Data!$A$3:$AB$840,14,0)),0,VLOOKUP($A121,Council_Data!$A$3:$AB$840,14,0))</f>
        <v>0</v>
      </c>
      <c r="N121" s="93">
        <f>IF(ISNA(VLOOKUP($A121,Council_Data!$A$3:$AB$840,15,0)),0,VLOOKUP($A121,Council_Data!$A$3:$AB$840,15,0))</f>
        <v>0</v>
      </c>
      <c r="O121" s="93">
        <f>IF(ISNA(VLOOKUP($A121,Council_Data!$A$3:$AB$840,16,0)),0,VLOOKUP($A121,Council_Data!$A$3:$AB$840,16,0))</f>
        <v>0</v>
      </c>
      <c r="P121" s="93">
        <f>IF(ISNA(VLOOKUP($A121,Council_Data!$A$3:$AB$840,17,0)),0,VLOOKUP($A121,Council_Data!$A$3:$AB$840,17,0))</f>
        <v>0</v>
      </c>
      <c r="Q121" s="93">
        <f>IF(ISNA(VLOOKUP($A121,Council_Data!$A$3:$AB$840,18,0)),0,VLOOKUP($A121,Council_Data!$A$3:$AB$840,18,0))</f>
        <v>0</v>
      </c>
      <c r="R121" s="93">
        <f>IF(ISNA(VLOOKUP($A121,Council_Data!$A$3:$AB$840,19,0)),0,VLOOKUP($A121,Council_Data!$A$3:$AB$840,19,0))</f>
        <v>0</v>
      </c>
      <c r="S121" s="93">
        <f>IF(ISNA(VLOOKUP($A121,Council_Data!$A$3:$AB$840,20,0)),0,VLOOKUP($A121,Council_Data!$A$3:$AB$840,20,0))</f>
        <v>0</v>
      </c>
      <c r="T121" s="94">
        <f>IF(ISNA(VLOOKUP($A121,Council_Data!$A$3:$AB$840,21,0)),0,VLOOKUP($A121,Council_Data!$A$3:$AB$840,21,0))</f>
        <v>0</v>
      </c>
      <c r="U121" s="93">
        <f>IF(ISNA(VLOOKUP($A121,Council_Data!$A$3:$AB$840,23,0)),0,VLOOKUP($A121,Council_Data!$A$3:$AB$840,23,0))</f>
        <v>2</v>
      </c>
      <c r="V121" s="50" t="str">
        <f>IF(ISNA(VLOOKUP($A121,Council_Data!$A$3:$AB$840,24,0)),0,VLOOKUP($A121,Council_Data!$A$3:$AB$840,24,0))</f>
        <v>Rangel</v>
      </c>
    </row>
    <row r="122" spans="1:22">
      <c r="A122" s="50">
        <v>15105</v>
      </c>
      <c r="B122" s="50" t="str">
        <f>IF(ISNA(VLOOKUP($A122,Council_Data!$A$3:$AB$840,2,0)),0,VLOOKUP($A122,Council_Data!$A$3:$AB$840,2,0))</f>
        <v>081</v>
      </c>
      <c r="C122" s="50" t="str">
        <f>IF(ISNA(VLOOKUP($A122,Council_Data!$A$3:$AB$840,3,0)),0,VLOOKUP($A122,Council_Data!$A$3:$AB$840,3,0))</f>
        <v>Houston</v>
      </c>
      <c r="D122" s="93">
        <f>IF(ISNA(VLOOKUP($A122,Council_Data!$A$3:$AB$840,5,0)),0,VLOOKUP($A122,Council_Data!$A$3:$AB$840,5,0))</f>
        <v>59</v>
      </c>
      <c r="E122" s="93">
        <f>IF(ISNA(VLOOKUP($A122,Council_Data!$A$3:$AB$840,6,0)),0,VLOOKUP($A122,Council_Data!$A$3:$AB$840,6,0))</f>
        <v>3</v>
      </c>
      <c r="F122" s="93">
        <f>IF(ISNA(VLOOKUP($A122,Council_Data!$A$3:$AB$840,7,0)),0,VLOOKUP($A122,Council_Data!$A$3:$AB$840,7,0))</f>
        <v>0</v>
      </c>
      <c r="G122" s="93">
        <f>IF(ISNA(VLOOKUP($A122,Council_Data!$A$3:$AB$840,8,0)),0,VLOOKUP($A122,Council_Data!$A$3:$AB$840,8,0))</f>
        <v>0</v>
      </c>
      <c r="H122" s="93">
        <f>IF(ISNA(VLOOKUP($A122,Council_Data!$A$3:$AB$840,9,0)),0,VLOOKUP($A122,Council_Data!$A$3:$AB$840,9,0))</f>
        <v>0</v>
      </c>
      <c r="I122" s="93">
        <f>IF(ISNA(VLOOKUP($A122,Council_Data!$A$3:$AB$840,10,0)),0,VLOOKUP($A122,Council_Data!$A$3:$AB$840,10,0))</f>
        <v>0</v>
      </c>
      <c r="J122" s="93">
        <f>IF(ISNA(VLOOKUP($A122,Council_Data!$A$3:$AB$840,11,0)),0,VLOOKUP($A122,Council_Data!$A$3:$AB$840,11,0))</f>
        <v>0</v>
      </c>
      <c r="K122" s="93">
        <f>IF(ISNA(VLOOKUP($A122,Council_Data!$A$3:$AB$840,12,0)),0,VLOOKUP($A122,Council_Data!$A$3:$AB$840,12,0))</f>
        <v>0</v>
      </c>
      <c r="L122" s="94">
        <f>IF(ISNA(VLOOKUP($A122,Council_Data!$A$3:$AB$840,13,0)),0,VLOOKUP($A122,Council_Data!$A$3:$AB$840,13,0))</f>
        <v>0</v>
      </c>
      <c r="M122" s="93">
        <f>IF(ISNA(VLOOKUP($A122,Council_Data!$A$3:$AB$840,14,0)),0,VLOOKUP($A122,Council_Data!$A$3:$AB$840,14,0))</f>
        <v>0</v>
      </c>
      <c r="N122" s="93">
        <f>IF(ISNA(VLOOKUP($A122,Council_Data!$A$3:$AB$840,15,0)),0,VLOOKUP($A122,Council_Data!$A$3:$AB$840,15,0))</f>
        <v>0</v>
      </c>
      <c r="O122" s="93">
        <f>IF(ISNA(VLOOKUP($A122,Council_Data!$A$3:$AB$840,16,0)),0,VLOOKUP($A122,Council_Data!$A$3:$AB$840,16,0))</f>
        <v>0</v>
      </c>
      <c r="P122" s="93">
        <f>IF(ISNA(VLOOKUP($A122,Council_Data!$A$3:$AB$840,17,0)),0,VLOOKUP($A122,Council_Data!$A$3:$AB$840,17,0))</f>
        <v>0</v>
      </c>
      <c r="Q122" s="93">
        <f>IF(ISNA(VLOOKUP($A122,Council_Data!$A$3:$AB$840,18,0)),0,VLOOKUP($A122,Council_Data!$A$3:$AB$840,18,0))</f>
        <v>0</v>
      </c>
      <c r="R122" s="93">
        <f>IF(ISNA(VLOOKUP($A122,Council_Data!$A$3:$AB$840,19,0)),0,VLOOKUP($A122,Council_Data!$A$3:$AB$840,19,0))</f>
        <v>0</v>
      </c>
      <c r="S122" s="93">
        <f>IF(ISNA(VLOOKUP($A122,Council_Data!$A$3:$AB$840,20,0)),0,VLOOKUP($A122,Council_Data!$A$3:$AB$840,20,0))</f>
        <v>0</v>
      </c>
      <c r="T122" s="94">
        <f>IF(ISNA(VLOOKUP($A122,Council_Data!$A$3:$AB$840,21,0)),0,VLOOKUP($A122,Council_Data!$A$3:$AB$840,21,0))</f>
        <v>0</v>
      </c>
      <c r="U122" s="93">
        <f>IF(ISNA(VLOOKUP($A122,Council_Data!$A$3:$AB$840,23,0)),0,VLOOKUP($A122,Council_Data!$A$3:$AB$840,23,0))</f>
        <v>3</v>
      </c>
      <c r="V122" s="50" t="str">
        <f>IF(ISNA(VLOOKUP($A122,Council_Data!$A$3:$AB$840,24,0)),0,VLOOKUP($A122,Council_Data!$A$3:$AB$840,24,0))</f>
        <v>Rangel</v>
      </c>
    </row>
    <row r="123" spans="1:22">
      <c r="A123" s="50">
        <v>15321</v>
      </c>
      <c r="B123" s="50" t="str">
        <f>IF(ISNA(VLOOKUP($A123,Council_Data!$A$3:$AB$840,2,0)),0,VLOOKUP($A123,Council_Data!$A$3:$AB$840,2,0))</f>
        <v>076</v>
      </c>
      <c r="C123" s="50" t="str">
        <f>IF(ISNA(VLOOKUP($A123,Council_Data!$A$3:$AB$840,3,0)),0,VLOOKUP($A123,Council_Data!$A$3:$AB$840,3,0))</f>
        <v>Houston</v>
      </c>
      <c r="D123" s="93">
        <f>IF(ISNA(VLOOKUP($A123,Council_Data!$A$3:$AB$840,5,0)),0,VLOOKUP($A123,Council_Data!$A$3:$AB$840,5,0))</f>
        <v>81</v>
      </c>
      <c r="E123" s="93">
        <f>IF(ISNA(VLOOKUP($A123,Council_Data!$A$3:$AB$840,6,0)),0,VLOOKUP($A123,Council_Data!$A$3:$AB$840,6,0))</f>
        <v>4</v>
      </c>
      <c r="F123" s="93">
        <f>IF(ISNA(VLOOKUP($A123,Council_Data!$A$3:$AB$840,7,0)),0,VLOOKUP($A123,Council_Data!$A$3:$AB$840,7,0))</f>
        <v>0</v>
      </c>
      <c r="G123" s="93">
        <f>IF(ISNA(VLOOKUP($A123,Council_Data!$A$3:$AB$840,8,0)),0,VLOOKUP($A123,Council_Data!$A$3:$AB$840,8,0))</f>
        <v>0</v>
      </c>
      <c r="H123" s="93">
        <f>IF(ISNA(VLOOKUP($A123,Council_Data!$A$3:$AB$840,9,0)),0,VLOOKUP($A123,Council_Data!$A$3:$AB$840,9,0))</f>
        <v>0</v>
      </c>
      <c r="I123" s="93">
        <f>IF(ISNA(VLOOKUP($A123,Council_Data!$A$3:$AB$840,10,0)),0,VLOOKUP($A123,Council_Data!$A$3:$AB$840,10,0))</f>
        <v>0</v>
      </c>
      <c r="J123" s="93">
        <f>IF(ISNA(VLOOKUP($A123,Council_Data!$A$3:$AB$840,11,0)),0,VLOOKUP($A123,Council_Data!$A$3:$AB$840,11,0))</f>
        <v>0</v>
      </c>
      <c r="K123" s="93">
        <f>IF(ISNA(VLOOKUP($A123,Council_Data!$A$3:$AB$840,12,0)),0,VLOOKUP($A123,Council_Data!$A$3:$AB$840,12,0))</f>
        <v>0</v>
      </c>
      <c r="L123" s="94">
        <f>IF(ISNA(VLOOKUP($A123,Council_Data!$A$3:$AB$840,13,0)),0,VLOOKUP($A123,Council_Data!$A$3:$AB$840,13,0))</f>
        <v>0</v>
      </c>
      <c r="M123" s="93">
        <f>IF(ISNA(VLOOKUP($A123,Council_Data!$A$3:$AB$840,14,0)),0,VLOOKUP($A123,Council_Data!$A$3:$AB$840,14,0))</f>
        <v>0</v>
      </c>
      <c r="N123" s="93">
        <f>IF(ISNA(VLOOKUP($A123,Council_Data!$A$3:$AB$840,15,0)),0,VLOOKUP($A123,Council_Data!$A$3:$AB$840,15,0))</f>
        <v>0</v>
      </c>
      <c r="O123" s="93">
        <f>IF(ISNA(VLOOKUP($A123,Council_Data!$A$3:$AB$840,16,0)),0,VLOOKUP($A123,Council_Data!$A$3:$AB$840,16,0))</f>
        <v>1</v>
      </c>
      <c r="P123" s="93">
        <f>IF(ISNA(VLOOKUP($A123,Council_Data!$A$3:$AB$840,17,0)),0,VLOOKUP($A123,Council_Data!$A$3:$AB$840,17,0))</f>
        <v>-1</v>
      </c>
      <c r="Q123" s="93">
        <f>IF(ISNA(VLOOKUP($A123,Council_Data!$A$3:$AB$840,18,0)),0,VLOOKUP($A123,Council_Data!$A$3:$AB$840,18,0))</f>
        <v>1</v>
      </c>
      <c r="R123" s="93">
        <f>IF(ISNA(VLOOKUP($A123,Council_Data!$A$3:$AB$840,19,0)),0,VLOOKUP($A123,Council_Data!$A$3:$AB$840,19,0))</f>
        <v>1</v>
      </c>
      <c r="S123" s="93">
        <f>IF(ISNA(VLOOKUP($A123,Council_Data!$A$3:$AB$840,20,0)),0,VLOOKUP($A123,Council_Data!$A$3:$AB$840,20,0))</f>
        <v>0</v>
      </c>
      <c r="T123" s="94">
        <f>IF(ISNA(VLOOKUP($A123,Council_Data!$A$3:$AB$840,21,0)),0,VLOOKUP($A123,Council_Data!$A$3:$AB$840,21,0))</f>
        <v>0</v>
      </c>
      <c r="U123" s="93">
        <f>IF(ISNA(VLOOKUP($A123,Council_Data!$A$3:$AB$840,23,0)),0,VLOOKUP($A123,Council_Data!$A$3:$AB$840,23,0))</f>
        <v>2</v>
      </c>
      <c r="V123" s="50" t="str">
        <f>IF(ISNA(VLOOKUP($A123,Council_Data!$A$3:$AB$840,24,0)),0,VLOOKUP($A123,Council_Data!$A$3:$AB$840,24,0))</f>
        <v>Rangel</v>
      </c>
    </row>
    <row r="124" spans="1:22">
      <c r="A124" s="50">
        <v>15322</v>
      </c>
      <c r="B124" s="50" t="str">
        <f>IF(ISNA(VLOOKUP($A124,Council_Data!$A$3:$AB$840,2,0)),0,VLOOKUP($A124,Council_Data!$A$3:$AB$840,2,0))</f>
        <v>076</v>
      </c>
      <c r="C124" s="50" t="str">
        <f>IF(ISNA(VLOOKUP($A124,Council_Data!$A$3:$AB$840,3,0)),0,VLOOKUP($A124,Council_Data!$A$3:$AB$840,3,0))</f>
        <v>South Houston</v>
      </c>
      <c r="D124" s="93">
        <f>IF(ISNA(VLOOKUP($A124,Council_Data!$A$3:$AB$840,5,0)),0,VLOOKUP($A124,Council_Data!$A$3:$AB$840,5,0))</f>
        <v>51</v>
      </c>
      <c r="E124" s="93">
        <f>IF(ISNA(VLOOKUP($A124,Council_Data!$A$3:$AB$840,6,0)),0,VLOOKUP($A124,Council_Data!$A$3:$AB$840,6,0))</f>
        <v>3</v>
      </c>
      <c r="F124" s="93">
        <f>IF(ISNA(VLOOKUP($A124,Council_Data!$A$3:$AB$840,7,0)),0,VLOOKUP($A124,Council_Data!$A$3:$AB$840,7,0))</f>
        <v>0</v>
      </c>
      <c r="G124" s="93">
        <f>IF(ISNA(VLOOKUP($A124,Council_Data!$A$3:$AB$840,8,0)),0,VLOOKUP($A124,Council_Data!$A$3:$AB$840,8,0))</f>
        <v>0</v>
      </c>
      <c r="H124" s="93">
        <f>IF(ISNA(VLOOKUP($A124,Council_Data!$A$3:$AB$840,9,0)),0,VLOOKUP($A124,Council_Data!$A$3:$AB$840,9,0))</f>
        <v>0</v>
      </c>
      <c r="I124" s="93">
        <f>IF(ISNA(VLOOKUP($A124,Council_Data!$A$3:$AB$840,10,0)),0,VLOOKUP($A124,Council_Data!$A$3:$AB$840,10,0))</f>
        <v>0</v>
      </c>
      <c r="J124" s="93">
        <f>IF(ISNA(VLOOKUP($A124,Council_Data!$A$3:$AB$840,11,0)),0,VLOOKUP($A124,Council_Data!$A$3:$AB$840,11,0))</f>
        <v>0</v>
      </c>
      <c r="K124" s="93">
        <f>IF(ISNA(VLOOKUP($A124,Council_Data!$A$3:$AB$840,12,0)),0,VLOOKUP($A124,Council_Data!$A$3:$AB$840,12,0))</f>
        <v>0</v>
      </c>
      <c r="L124" s="94">
        <f>IF(ISNA(VLOOKUP($A124,Council_Data!$A$3:$AB$840,13,0)),0,VLOOKUP($A124,Council_Data!$A$3:$AB$840,13,0))</f>
        <v>0</v>
      </c>
      <c r="M124" s="93">
        <f>IF(ISNA(VLOOKUP($A124,Council_Data!$A$3:$AB$840,14,0)),0,VLOOKUP($A124,Council_Data!$A$3:$AB$840,14,0))</f>
        <v>0</v>
      </c>
      <c r="N124" s="93">
        <f>IF(ISNA(VLOOKUP($A124,Council_Data!$A$3:$AB$840,15,0)),0,VLOOKUP($A124,Council_Data!$A$3:$AB$840,15,0))</f>
        <v>0</v>
      </c>
      <c r="O124" s="93">
        <f>IF(ISNA(VLOOKUP($A124,Council_Data!$A$3:$AB$840,16,0)),0,VLOOKUP($A124,Council_Data!$A$3:$AB$840,16,0))</f>
        <v>0</v>
      </c>
      <c r="P124" s="93">
        <f>IF(ISNA(VLOOKUP($A124,Council_Data!$A$3:$AB$840,17,0)),0,VLOOKUP($A124,Council_Data!$A$3:$AB$840,17,0))</f>
        <v>0</v>
      </c>
      <c r="Q124" s="93">
        <f>IF(ISNA(VLOOKUP($A124,Council_Data!$A$3:$AB$840,18,0)),0,VLOOKUP($A124,Council_Data!$A$3:$AB$840,18,0))</f>
        <v>0</v>
      </c>
      <c r="R124" s="93">
        <f>IF(ISNA(VLOOKUP($A124,Council_Data!$A$3:$AB$840,19,0)),0,VLOOKUP($A124,Council_Data!$A$3:$AB$840,19,0))</f>
        <v>1</v>
      </c>
      <c r="S124" s="93">
        <f>IF(ISNA(VLOOKUP($A124,Council_Data!$A$3:$AB$840,20,0)),0,VLOOKUP($A124,Council_Data!$A$3:$AB$840,20,0))</f>
        <v>-1</v>
      </c>
      <c r="T124" s="94">
        <f>IF(ISNA(VLOOKUP($A124,Council_Data!$A$3:$AB$840,21,0)),0,VLOOKUP($A124,Council_Data!$A$3:$AB$840,21,0))</f>
        <v>0</v>
      </c>
      <c r="U124" s="93">
        <f>IF(ISNA(VLOOKUP($A124,Council_Data!$A$3:$AB$840,23,0)),0,VLOOKUP($A124,Council_Data!$A$3:$AB$840,23,0))</f>
        <v>3</v>
      </c>
      <c r="V124" s="50" t="str">
        <f>IF(ISNA(VLOOKUP($A124,Council_Data!$A$3:$AB$840,24,0)),0,VLOOKUP($A124,Council_Data!$A$3:$AB$840,24,0))</f>
        <v>Rangel</v>
      </c>
    </row>
    <row r="125" spans="1:22">
      <c r="A125" s="50">
        <v>15796</v>
      </c>
      <c r="B125" s="50" t="str">
        <f>IF(ISNA(VLOOKUP($A125,Council_Data!$A$3:$AB$840,2,0)),0,VLOOKUP($A125,Council_Data!$A$3:$AB$840,2,0))</f>
        <v>078</v>
      </c>
      <c r="C125" s="50" t="str">
        <f>IF(ISNA(VLOOKUP($A125,Council_Data!$A$3:$AB$840,3,0)),0,VLOOKUP($A125,Council_Data!$A$3:$AB$840,3,0))</f>
        <v>Houston</v>
      </c>
      <c r="D125" s="93">
        <f>IF(ISNA(VLOOKUP($A125,Council_Data!$A$3:$AB$840,5,0)),0,VLOOKUP($A125,Council_Data!$A$3:$AB$840,5,0))</f>
        <v>60</v>
      </c>
      <c r="E125" s="93">
        <f>IF(ISNA(VLOOKUP($A125,Council_Data!$A$3:$AB$840,6,0)),0,VLOOKUP($A125,Council_Data!$A$3:$AB$840,6,0))</f>
        <v>3</v>
      </c>
      <c r="F125" s="93">
        <f>IF(ISNA(VLOOKUP($A125,Council_Data!$A$3:$AB$840,7,0)),0,VLOOKUP($A125,Council_Data!$A$3:$AB$840,7,0))</f>
        <v>0</v>
      </c>
      <c r="G125" s="93">
        <f>IF(ISNA(VLOOKUP($A125,Council_Data!$A$3:$AB$840,8,0)),0,VLOOKUP($A125,Council_Data!$A$3:$AB$840,8,0))</f>
        <v>0</v>
      </c>
      <c r="H125" s="93">
        <f>IF(ISNA(VLOOKUP($A125,Council_Data!$A$3:$AB$840,9,0)),0,VLOOKUP($A125,Council_Data!$A$3:$AB$840,9,0))</f>
        <v>0</v>
      </c>
      <c r="I125" s="93">
        <f>IF(ISNA(VLOOKUP($A125,Council_Data!$A$3:$AB$840,10,0)),0,VLOOKUP($A125,Council_Data!$A$3:$AB$840,10,0))</f>
        <v>0</v>
      </c>
      <c r="J125" s="93">
        <f>IF(ISNA(VLOOKUP($A125,Council_Data!$A$3:$AB$840,11,0)),0,VLOOKUP($A125,Council_Data!$A$3:$AB$840,11,0))</f>
        <v>0</v>
      </c>
      <c r="K125" s="93">
        <f>IF(ISNA(VLOOKUP($A125,Council_Data!$A$3:$AB$840,12,0)),0,VLOOKUP($A125,Council_Data!$A$3:$AB$840,12,0))</f>
        <v>0</v>
      </c>
      <c r="L125" s="94">
        <f>IF(ISNA(VLOOKUP($A125,Council_Data!$A$3:$AB$840,13,0)),0,VLOOKUP($A125,Council_Data!$A$3:$AB$840,13,0))</f>
        <v>0</v>
      </c>
      <c r="M125" s="93">
        <f>IF(ISNA(VLOOKUP($A125,Council_Data!$A$3:$AB$840,14,0)),0,VLOOKUP($A125,Council_Data!$A$3:$AB$840,14,0))</f>
        <v>0</v>
      </c>
      <c r="N125" s="93">
        <f>IF(ISNA(VLOOKUP($A125,Council_Data!$A$3:$AB$840,15,0)),0,VLOOKUP($A125,Council_Data!$A$3:$AB$840,15,0))</f>
        <v>0</v>
      </c>
      <c r="O125" s="93">
        <f>IF(ISNA(VLOOKUP($A125,Council_Data!$A$3:$AB$840,16,0)),0,VLOOKUP($A125,Council_Data!$A$3:$AB$840,16,0))</f>
        <v>0</v>
      </c>
      <c r="P125" s="93">
        <f>IF(ISNA(VLOOKUP($A125,Council_Data!$A$3:$AB$840,17,0)),0,VLOOKUP($A125,Council_Data!$A$3:$AB$840,17,0))</f>
        <v>0</v>
      </c>
      <c r="Q125" s="93">
        <f>IF(ISNA(VLOOKUP($A125,Council_Data!$A$3:$AB$840,18,0)),0,VLOOKUP($A125,Council_Data!$A$3:$AB$840,18,0))</f>
        <v>1</v>
      </c>
      <c r="R125" s="93">
        <f>IF(ISNA(VLOOKUP($A125,Council_Data!$A$3:$AB$840,19,0)),0,VLOOKUP($A125,Council_Data!$A$3:$AB$840,19,0))</f>
        <v>0</v>
      </c>
      <c r="S125" s="93">
        <f>IF(ISNA(VLOOKUP($A125,Council_Data!$A$3:$AB$840,20,0)),0,VLOOKUP($A125,Council_Data!$A$3:$AB$840,20,0))</f>
        <v>1</v>
      </c>
      <c r="T125" s="94">
        <f>IF(ISNA(VLOOKUP($A125,Council_Data!$A$3:$AB$840,21,0)),0,VLOOKUP($A125,Council_Data!$A$3:$AB$840,21,0))</f>
        <v>0</v>
      </c>
      <c r="U125" s="93">
        <f>IF(ISNA(VLOOKUP($A125,Council_Data!$A$3:$AB$840,23,0)),0,VLOOKUP($A125,Council_Data!$A$3:$AB$840,23,0))</f>
        <v>3</v>
      </c>
      <c r="V125" s="50" t="str">
        <f>IF(ISNA(VLOOKUP($A125,Council_Data!$A$3:$AB$840,24,0)),0,VLOOKUP($A125,Council_Data!$A$3:$AB$840,24,0))</f>
        <v>Rangel</v>
      </c>
    </row>
    <row r="126" spans="1:22">
      <c r="A126" s="50">
        <v>15949</v>
      </c>
      <c r="B126" s="50" t="str">
        <f>IF(ISNA(VLOOKUP($A126,Council_Data!$A$3:$AB$840,2,0)),0,VLOOKUP($A126,Council_Data!$A$3:$AB$840,2,0))</f>
        <v>078</v>
      </c>
      <c r="C126" s="50" t="str">
        <f>IF(ISNA(VLOOKUP($A126,Council_Data!$A$3:$AB$840,3,0)),0,VLOOKUP($A126,Council_Data!$A$3:$AB$840,3,0))</f>
        <v>Houston</v>
      </c>
      <c r="D126" s="93">
        <f>IF(ISNA(VLOOKUP($A126,Council_Data!$A$3:$AB$840,5,0)),0,VLOOKUP($A126,Council_Data!$A$3:$AB$840,5,0))</f>
        <v>45</v>
      </c>
      <c r="E126" s="93">
        <f>IF(ISNA(VLOOKUP($A126,Council_Data!$A$3:$AB$840,6,0)),0,VLOOKUP($A126,Council_Data!$A$3:$AB$840,6,0))</f>
        <v>3</v>
      </c>
      <c r="F126" s="93">
        <f>IF(ISNA(VLOOKUP($A126,Council_Data!$A$3:$AB$840,7,0)),0,VLOOKUP($A126,Council_Data!$A$3:$AB$840,7,0))</f>
        <v>0</v>
      </c>
      <c r="G126" s="93">
        <f>IF(ISNA(VLOOKUP($A126,Council_Data!$A$3:$AB$840,8,0)),0,VLOOKUP($A126,Council_Data!$A$3:$AB$840,8,0))</f>
        <v>0</v>
      </c>
      <c r="H126" s="93">
        <f>IF(ISNA(VLOOKUP($A126,Council_Data!$A$3:$AB$840,9,0)),0,VLOOKUP($A126,Council_Data!$A$3:$AB$840,9,0))</f>
        <v>0</v>
      </c>
      <c r="I126" s="93">
        <f>IF(ISNA(VLOOKUP($A126,Council_Data!$A$3:$AB$840,10,0)),0,VLOOKUP($A126,Council_Data!$A$3:$AB$840,10,0))</f>
        <v>2</v>
      </c>
      <c r="J126" s="93">
        <f>IF(ISNA(VLOOKUP($A126,Council_Data!$A$3:$AB$840,11,0)),0,VLOOKUP($A126,Council_Data!$A$3:$AB$840,11,0))</f>
        <v>0</v>
      </c>
      <c r="K126" s="93">
        <f>IF(ISNA(VLOOKUP($A126,Council_Data!$A$3:$AB$840,12,0)),0,VLOOKUP($A126,Council_Data!$A$3:$AB$840,12,0))</f>
        <v>2</v>
      </c>
      <c r="L126" s="94">
        <f>IF(ISNA(VLOOKUP($A126,Council_Data!$A$3:$AB$840,13,0)),0,VLOOKUP($A126,Council_Data!$A$3:$AB$840,13,0))</f>
        <v>66.67</v>
      </c>
      <c r="M126" s="93">
        <f>IF(ISNA(VLOOKUP($A126,Council_Data!$A$3:$AB$840,14,0)),0,VLOOKUP($A126,Council_Data!$A$3:$AB$840,14,0))</f>
        <v>0</v>
      </c>
      <c r="N126" s="93">
        <f>IF(ISNA(VLOOKUP($A126,Council_Data!$A$3:$AB$840,15,0)),0,VLOOKUP($A126,Council_Data!$A$3:$AB$840,15,0))</f>
        <v>0</v>
      </c>
      <c r="O126" s="93">
        <f>IF(ISNA(VLOOKUP($A126,Council_Data!$A$3:$AB$840,16,0)),0,VLOOKUP($A126,Council_Data!$A$3:$AB$840,16,0))</f>
        <v>0</v>
      </c>
      <c r="P126" s="93">
        <f>IF(ISNA(VLOOKUP($A126,Council_Data!$A$3:$AB$840,17,0)),0,VLOOKUP($A126,Council_Data!$A$3:$AB$840,17,0))</f>
        <v>0</v>
      </c>
      <c r="Q126" s="93">
        <f>IF(ISNA(VLOOKUP($A126,Council_Data!$A$3:$AB$840,18,0)),0,VLOOKUP($A126,Council_Data!$A$3:$AB$840,18,0))</f>
        <v>0</v>
      </c>
      <c r="R126" s="93">
        <f>IF(ISNA(VLOOKUP($A126,Council_Data!$A$3:$AB$840,19,0)),0,VLOOKUP($A126,Council_Data!$A$3:$AB$840,19,0))</f>
        <v>0</v>
      </c>
      <c r="S126" s="93">
        <f>IF(ISNA(VLOOKUP($A126,Council_Data!$A$3:$AB$840,20,0)),0,VLOOKUP($A126,Council_Data!$A$3:$AB$840,20,0))</f>
        <v>0</v>
      </c>
      <c r="T126" s="94">
        <f>IF(ISNA(VLOOKUP($A126,Council_Data!$A$3:$AB$840,21,0)),0,VLOOKUP($A126,Council_Data!$A$3:$AB$840,21,0))</f>
        <v>0</v>
      </c>
      <c r="U126" s="93">
        <f>IF(ISNA(VLOOKUP($A126,Council_Data!$A$3:$AB$840,23,0)),0,VLOOKUP($A126,Council_Data!$A$3:$AB$840,23,0))</f>
        <v>3</v>
      </c>
      <c r="V126" s="50" t="str">
        <f>IF(ISNA(VLOOKUP($A126,Council_Data!$A$3:$AB$840,24,0)),0,VLOOKUP($A126,Council_Data!$A$3:$AB$840,24,0))</f>
        <v>Rangel</v>
      </c>
    </row>
    <row r="127" spans="1:22">
      <c r="A127" s="50">
        <v>16103</v>
      </c>
      <c r="B127" s="50" t="str">
        <f>IF(ISNA(VLOOKUP($A127,Council_Data!$A$3:$AB$840,2,0)),0,VLOOKUP($A127,Council_Data!$A$3:$AB$840,2,0))</f>
        <v>085</v>
      </c>
      <c r="C127" s="50" t="str">
        <f>IF(ISNA(VLOOKUP($A127,Council_Data!$A$3:$AB$840,3,0)),0,VLOOKUP($A127,Council_Data!$A$3:$AB$840,3,0))</f>
        <v>Fulshear</v>
      </c>
      <c r="D127" s="93">
        <f>IF(ISNA(VLOOKUP($A127,Council_Data!$A$3:$AB$840,5,0)),0,VLOOKUP($A127,Council_Data!$A$3:$AB$840,5,0))</f>
        <v>262</v>
      </c>
      <c r="E127" s="93">
        <f>IF(ISNA(VLOOKUP($A127,Council_Data!$A$3:$AB$840,6,0)),0,VLOOKUP($A127,Council_Data!$A$3:$AB$840,6,0))</f>
        <v>13</v>
      </c>
      <c r="F127" s="93">
        <f>IF(ISNA(VLOOKUP($A127,Council_Data!$A$3:$AB$840,7,0)),0,VLOOKUP($A127,Council_Data!$A$3:$AB$840,7,0))</f>
        <v>0</v>
      </c>
      <c r="G127" s="93">
        <f>IF(ISNA(VLOOKUP($A127,Council_Data!$A$3:$AB$840,8,0)),0,VLOOKUP($A127,Council_Data!$A$3:$AB$840,8,0))</f>
        <v>0</v>
      </c>
      <c r="H127" s="93">
        <f>IF(ISNA(VLOOKUP($A127,Council_Data!$A$3:$AB$840,9,0)),0,VLOOKUP($A127,Council_Data!$A$3:$AB$840,9,0))</f>
        <v>0</v>
      </c>
      <c r="I127" s="93">
        <f>IF(ISNA(VLOOKUP($A127,Council_Data!$A$3:$AB$840,10,0)),0,VLOOKUP($A127,Council_Data!$A$3:$AB$840,10,0))</f>
        <v>0</v>
      </c>
      <c r="J127" s="93">
        <f>IF(ISNA(VLOOKUP($A127,Council_Data!$A$3:$AB$840,11,0)),0,VLOOKUP($A127,Council_Data!$A$3:$AB$840,11,0))</f>
        <v>0</v>
      </c>
      <c r="K127" s="93">
        <f>IF(ISNA(VLOOKUP($A127,Council_Data!$A$3:$AB$840,12,0)),0,VLOOKUP($A127,Council_Data!$A$3:$AB$840,12,0))</f>
        <v>0</v>
      </c>
      <c r="L127" s="94">
        <f>IF(ISNA(VLOOKUP($A127,Council_Data!$A$3:$AB$840,13,0)),0,VLOOKUP($A127,Council_Data!$A$3:$AB$840,13,0))</f>
        <v>0</v>
      </c>
      <c r="M127" s="93">
        <f>IF(ISNA(VLOOKUP($A127,Council_Data!$A$3:$AB$840,14,0)),0,VLOOKUP($A127,Council_Data!$A$3:$AB$840,14,0))</f>
        <v>0</v>
      </c>
      <c r="N127" s="93">
        <f>IF(ISNA(VLOOKUP($A127,Council_Data!$A$3:$AB$840,15,0)),0,VLOOKUP($A127,Council_Data!$A$3:$AB$840,15,0))</f>
        <v>0</v>
      </c>
      <c r="O127" s="93">
        <f>IF(ISNA(VLOOKUP($A127,Council_Data!$A$3:$AB$840,16,0)),0,VLOOKUP($A127,Council_Data!$A$3:$AB$840,16,0))</f>
        <v>0</v>
      </c>
      <c r="P127" s="93">
        <f>IF(ISNA(VLOOKUP($A127,Council_Data!$A$3:$AB$840,17,0)),0,VLOOKUP($A127,Council_Data!$A$3:$AB$840,17,0))</f>
        <v>0</v>
      </c>
      <c r="Q127" s="93">
        <f>IF(ISNA(VLOOKUP($A127,Council_Data!$A$3:$AB$840,18,0)),0,VLOOKUP($A127,Council_Data!$A$3:$AB$840,18,0))</f>
        <v>4</v>
      </c>
      <c r="R127" s="93">
        <f>IF(ISNA(VLOOKUP($A127,Council_Data!$A$3:$AB$840,19,0)),0,VLOOKUP($A127,Council_Data!$A$3:$AB$840,19,0))</f>
        <v>1</v>
      </c>
      <c r="S127" s="93">
        <f>IF(ISNA(VLOOKUP($A127,Council_Data!$A$3:$AB$840,20,0)),0,VLOOKUP($A127,Council_Data!$A$3:$AB$840,20,0))</f>
        <v>3</v>
      </c>
      <c r="T127" s="94">
        <f>IF(ISNA(VLOOKUP($A127,Council_Data!$A$3:$AB$840,21,0)),0,VLOOKUP($A127,Council_Data!$A$3:$AB$840,21,0))</f>
        <v>0</v>
      </c>
      <c r="U127" s="93">
        <f>IF(ISNA(VLOOKUP($A127,Council_Data!$A$3:$AB$840,23,0)),0,VLOOKUP($A127,Council_Data!$A$3:$AB$840,23,0))</f>
        <v>1</v>
      </c>
      <c r="V127" s="50" t="str">
        <f>IF(ISNA(VLOOKUP($A127,Council_Data!$A$3:$AB$840,24,0)),0,VLOOKUP($A127,Council_Data!$A$3:$AB$840,24,0))</f>
        <v>Supak</v>
      </c>
    </row>
    <row r="128" spans="1:22">
      <c r="A128" s="50">
        <v>16146</v>
      </c>
      <c r="B128" s="50" t="str">
        <f>IF(ISNA(VLOOKUP($A128,Council_Data!$A$3:$AB$840,2,0)),0,VLOOKUP($A128,Council_Data!$A$3:$AB$840,2,0))</f>
        <v>067</v>
      </c>
      <c r="C128" s="50" t="str">
        <f>IF(ISNA(VLOOKUP($A128,Council_Data!$A$3:$AB$840,3,0)),0,VLOOKUP($A128,Council_Data!$A$3:$AB$840,3,0))</f>
        <v>Galveston</v>
      </c>
      <c r="D128" s="93">
        <f>IF(ISNA(VLOOKUP($A128,Council_Data!$A$3:$AB$840,5,0)),0,VLOOKUP($A128,Council_Data!$A$3:$AB$840,5,0))</f>
        <v>31</v>
      </c>
      <c r="E128" s="93">
        <f>IF(ISNA(VLOOKUP($A128,Council_Data!$A$3:$AB$840,6,0)),0,VLOOKUP($A128,Council_Data!$A$3:$AB$840,6,0))</f>
        <v>3</v>
      </c>
      <c r="F128" s="93">
        <f>IF(ISNA(VLOOKUP($A128,Council_Data!$A$3:$AB$840,7,0)),0,VLOOKUP($A128,Council_Data!$A$3:$AB$840,7,0))</f>
        <v>0</v>
      </c>
      <c r="G128" s="93">
        <f>IF(ISNA(VLOOKUP($A128,Council_Data!$A$3:$AB$840,8,0)),0,VLOOKUP($A128,Council_Data!$A$3:$AB$840,8,0))</f>
        <v>0</v>
      </c>
      <c r="H128" s="93">
        <f>IF(ISNA(VLOOKUP($A128,Council_Data!$A$3:$AB$840,9,0)),0,VLOOKUP($A128,Council_Data!$A$3:$AB$840,9,0))</f>
        <v>0</v>
      </c>
      <c r="I128" s="93">
        <f>IF(ISNA(VLOOKUP($A128,Council_Data!$A$3:$AB$840,10,0)),0,VLOOKUP($A128,Council_Data!$A$3:$AB$840,10,0))</f>
        <v>2</v>
      </c>
      <c r="J128" s="93">
        <f>IF(ISNA(VLOOKUP($A128,Council_Data!$A$3:$AB$840,11,0)),0,VLOOKUP($A128,Council_Data!$A$3:$AB$840,11,0))</f>
        <v>0</v>
      </c>
      <c r="K128" s="93">
        <f>IF(ISNA(VLOOKUP($A128,Council_Data!$A$3:$AB$840,12,0)),0,VLOOKUP($A128,Council_Data!$A$3:$AB$840,12,0))</f>
        <v>2</v>
      </c>
      <c r="L128" s="94">
        <f>IF(ISNA(VLOOKUP($A128,Council_Data!$A$3:$AB$840,13,0)),0,VLOOKUP($A128,Council_Data!$A$3:$AB$840,13,0))</f>
        <v>66.67</v>
      </c>
      <c r="M128" s="93">
        <f>IF(ISNA(VLOOKUP($A128,Council_Data!$A$3:$AB$840,14,0)),0,VLOOKUP($A128,Council_Data!$A$3:$AB$840,14,0))</f>
        <v>0</v>
      </c>
      <c r="N128" s="93">
        <f>IF(ISNA(VLOOKUP($A128,Council_Data!$A$3:$AB$840,15,0)),0,VLOOKUP($A128,Council_Data!$A$3:$AB$840,15,0))</f>
        <v>0</v>
      </c>
      <c r="O128" s="93">
        <f>IF(ISNA(VLOOKUP($A128,Council_Data!$A$3:$AB$840,16,0)),0,VLOOKUP($A128,Council_Data!$A$3:$AB$840,16,0))</f>
        <v>0</v>
      </c>
      <c r="P128" s="93">
        <f>IF(ISNA(VLOOKUP($A128,Council_Data!$A$3:$AB$840,17,0)),0,VLOOKUP($A128,Council_Data!$A$3:$AB$840,17,0))</f>
        <v>0</v>
      </c>
      <c r="Q128" s="93">
        <f>IF(ISNA(VLOOKUP($A128,Council_Data!$A$3:$AB$840,18,0)),0,VLOOKUP($A128,Council_Data!$A$3:$AB$840,18,0))</f>
        <v>1</v>
      </c>
      <c r="R128" s="93">
        <f>IF(ISNA(VLOOKUP($A128,Council_Data!$A$3:$AB$840,19,0)),0,VLOOKUP($A128,Council_Data!$A$3:$AB$840,19,0))</f>
        <v>0</v>
      </c>
      <c r="S128" s="93">
        <f>IF(ISNA(VLOOKUP($A128,Council_Data!$A$3:$AB$840,20,0)),0,VLOOKUP($A128,Council_Data!$A$3:$AB$840,20,0))</f>
        <v>1</v>
      </c>
      <c r="T128" s="94">
        <f>IF(ISNA(VLOOKUP($A128,Council_Data!$A$3:$AB$840,21,0)),0,VLOOKUP($A128,Council_Data!$A$3:$AB$840,21,0))</f>
        <v>0</v>
      </c>
      <c r="U128" s="93">
        <f>IF(ISNA(VLOOKUP($A128,Council_Data!$A$3:$AB$840,23,0)),0,VLOOKUP($A128,Council_Data!$A$3:$AB$840,23,0))</f>
        <v>3</v>
      </c>
      <c r="V128" s="50" t="str">
        <f>IF(ISNA(VLOOKUP($A128,Council_Data!$A$3:$AB$840,24,0)),0,VLOOKUP($A128,Council_Data!$A$3:$AB$840,24,0))</f>
        <v>Rangel</v>
      </c>
    </row>
    <row r="129" spans="1:22">
      <c r="A129" s="50">
        <v>16158</v>
      </c>
      <c r="B129" s="50" t="str">
        <f>IF(ISNA(VLOOKUP($A129,Council_Data!$A$3:$AB$840,2,0)),0,VLOOKUP($A129,Council_Data!$A$3:$AB$840,2,0))</f>
        <v>099</v>
      </c>
      <c r="C129" s="50" t="str">
        <f>IF(ISNA(VLOOKUP($A129,Council_Data!$A$3:$AB$840,3,0)),0,VLOOKUP($A129,Council_Data!$A$3:$AB$840,3,0))</f>
        <v>Houston</v>
      </c>
      <c r="D129" s="93">
        <f>IF(ISNA(VLOOKUP($A129,Council_Data!$A$3:$AB$840,5,0)),0,VLOOKUP($A129,Council_Data!$A$3:$AB$840,5,0))</f>
        <v>38</v>
      </c>
      <c r="E129" s="93">
        <f>IF(ISNA(VLOOKUP($A129,Council_Data!$A$3:$AB$840,6,0)),0,VLOOKUP($A129,Council_Data!$A$3:$AB$840,6,0))</f>
        <v>3</v>
      </c>
      <c r="F129" s="93">
        <f>IF(ISNA(VLOOKUP($A129,Council_Data!$A$3:$AB$840,7,0)),0,VLOOKUP($A129,Council_Data!$A$3:$AB$840,7,0))</f>
        <v>0</v>
      </c>
      <c r="G129" s="93">
        <f>IF(ISNA(VLOOKUP($A129,Council_Data!$A$3:$AB$840,8,0)),0,VLOOKUP($A129,Council_Data!$A$3:$AB$840,8,0))</f>
        <v>0</v>
      </c>
      <c r="H129" s="93">
        <f>IF(ISNA(VLOOKUP($A129,Council_Data!$A$3:$AB$840,9,0)),0,VLOOKUP($A129,Council_Data!$A$3:$AB$840,9,0))</f>
        <v>0</v>
      </c>
      <c r="I129" s="93">
        <f>IF(ISNA(VLOOKUP($A129,Council_Data!$A$3:$AB$840,10,0)),0,VLOOKUP($A129,Council_Data!$A$3:$AB$840,10,0))</f>
        <v>0</v>
      </c>
      <c r="J129" s="93">
        <f>IF(ISNA(VLOOKUP($A129,Council_Data!$A$3:$AB$840,11,0)),0,VLOOKUP($A129,Council_Data!$A$3:$AB$840,11,0))</f>
        <v>0</v>
      </c>
      <c r="K129" s="93">
        <f>IF(ISNA(VLOOKUP($A129,Council_Data!$A$3:$AB$840,12,0)),0,VLOOKUP($A129,Council_Data!$A$3:$AB$840,12,0))</f>
        <v>0</v>
      </c>
      <c r="L129" s="94">
        <f>IF(ISNA(VLOOKUP($A129,Council_Data!$A$3:$AB$840,13,0)),0,VLOOKUP($A129,Council_Data!$A$3:$AB$840,13,0))</f>
        <v>0</v>
      </c>
      <c r="M129" s="93">
        <f>IF(ISNA(VLOOKUP($A129,Council_Data!$A$3:$AB$840,14,0)),0,VLOOKUP($A129,Council_Data!$A$3:$AB$840,14,0))</f>
        <v>0</v>
      </c>
      <c r="N129" s="93">
        <f>IF(ISNA(VLOOKUP($A129,Council_Data!$A$3:$AB$840,15,0)),0,VLOOKUP($A129,Council_Data!$A$3:$AB$840,15,0))</f>
        <v>0</v>
      </c>
      <c r="O129" s="93">
        <f>IF(ISNA(VLOOKUP($A129,Council_Data!$A$3:$AB$840,16,0)),0,VLOOKUP($A129,Council_Data!$A$3:$AB$840,16,0))</f>
        <v>0</v>
      </c>
      <c r="P129" s="93">
        <f>IF(ISNA(VLOOKUP($A129,Council_Data!$A$3:$AB$840,17,0)),0,VLOOKUP($A129,Council_Data!$A$3:$AB$840,17,0))</f>
        <v>0</v>
      </c>
      <c r="Q129" s="93">
        <f>IF(ISNA(VLOOKUP($A129,Council_Data!$A$3:$AB$840,18,0)),0,VLOOKUP($A129,Council_Data!$A$3:$AB$840,18,0))</f>
        <v>0</v>
      </c>
      <c r="R129" s="93">
        <f>IF(ISNA(VLOOKUP($A129,Council_Data!$A$3:$AB$840,19,0)),0,VLOOKUP($A129,Council_Data!$A$3:$AB$840,19,0))</f>
        <v>0</v>
      </c>
      <c r="S129" s="93">
        <f>IF(ISNA(VLOOKUP($A129,Council_Data!$A$3:$AB$840,20,0)),0,VLOOKUP($A129,Council_Data!$A$3:$AB$840,20,0))</f>
        <v>0</v>
      </c>
      <c r="T129" s="94">
        <f>IF(ISNA(VLOOKUP($A129,Council_Data!$A$3:$AB$840,21,0)),0,VLOOKUP($A129,Council_Data!$A$3:$AB$840,21,0))</f>
        <v>0</v>
      </c>
      <c r="U129" s="93">
        <f>IF(ISNA(VLOOKUP($A129,Council_Data!$A$3:$AB$840,23,0)),0,VLOOKUP($A129,Council_Data!$A$3:$AB$840,23,0))</f>
        <v>3</v>
      </c>
      <c r="V129" s="50" t="str">
        <f>IF(ISNA(VLOOKUP($A129,Council_Data!$A$3:$AB$840,24,0)),0,VLOOKUP($A129,Council_Data!$A$3:$AB$840,24,0))</f>
        <v>Rangel</v>
      </c>
    </row>
    <row r="130" spans="1:22">
      <c r="A130" s="50">
        <v>16195</v>
      </c>
      <c r="B130" s="50" t="str">
        <f>IF(ISNA(VLOOKUP($A130,Council_Data!$A$3:$AB$840,2,0)),0,VLOOKUP($A130,Council_Data!$A$3:$AB$840,2,0))</f>
        <v>098</v>
      </c>
      <c r="C130" s="50" t="str">
        <f>IF(ISNA(VLOOKUP($A130,Council_Data!$A$3:$AB$840,3,0)),0,VLOOKUP($A130,Council_Data!$A$3:$AB$840,3,0))</f>
        <v>Houston</v>
      </c>
      <c r="D130" s="93">
        <f>IF(ISNA(VLOOKUP($A130,Council_Data!$A$3:$AB$840,5,0)),0,VLOOKUP($A130,Council_Data!$A$3:$AB$840,5,0))</f>
        <v>21</v>
      </c>
      <c r="E130" s="93">
        <f>IF(ISNA(VLOOKUP($A130,Council_Data!$A$3:$AB$840,6,0)),0,VLOOKUP($A130,Council_Data!$A$3:$AB$840,6,0))</f>
        <v>3</v>
      </c>
      <c r="F130" s="93">
        <f>IF(ISNA(VLOOKUP($A130,Council_Data!$A$3:$AB$840,7,0)),0,VLOOKUP($A130,Council_Data!$A$3:$AB$840,7,0))</f>
        <v>0</v>
      </c>
      <c r="G130" s="93">
        <f>IF(ISNA(VLOOKUP($A130,Council_Data!$A$3:$AB$840,8,0)),0,VLOOKUP($A130,Council_Data!$A$3:$AB$840,8,0))</f>
        <v>0</v>
      </c>
      <c r="H130" s="93">
        <f>IF(ISNA(VLOOKUP($A130,Council_Data!$A$3:$AB$840,9,0)),0,VLOOKUP($A130,Council_Data!$A$3:$AB$840,9,0))</f>
        <v>0</v>
      </c>
      <c r="I130" s="93">
        <f>IF(ISNA(VLOOKUP($A130,Council_Data!$A$3:$AB$840,10,0)),0,VLOOKUP($A130,Council_Data!$A$3:$AB$840,10,0))</f>
        <v>0</v>
      </c>
      <c r="J130" s="93">
        <f>IF(ISNA(VLOOKUP($A130,Council_Data!$A$3:$AB$840,11,0)),0,VLOOKUP($A130,Council_Data!$A$3:$AB$840,11,0))</f>
        <v>0</v>
      </c>
      <c r="K130" s="93">
        <f>IF(ISNA(VLOOKUP($A130,Council_Data!$A$3:$AB$840,12,0)),0,VLOOKUP($A130,Council_Data!$A$3:$AB$840,12,0))</f>
        <v>0</v>
      </c>
      <c r="L130" s="94">
        <f>IF(ISNA(VLOOKUP($A130,Council_Data!$A$3:$AB$840,13,0)),0,VLOOKUP($A130,Council_Data!$A$3:$AB$840,13,0))</f>
        <v>0</v>
      </c>
      <c r="M130" s="93">
        <f>IF(ISNA(VLOOKUP($A130,Council_Data!$A$3:$AB$840,14,0)),0,VLOOKUP($A130,Council_Data!$A$3:$AB$840,14,0))</f>
        <v>0</v>
      </c>
      <c r="N130" s="93">
        <f>IF(ISNA(VLOOKUP($A130,Council_Data!$A$3:$AB$840,15,0)),0,VLOOKUP($A130,Council_Data!$A$3:$AB$840,15,0))</f>
        <v>0</v>
      </c>
      <c r="O130" s="93">
        <f>IF(ISNA(VLOOKUP($A130,Council_Data!$A$3:$AB$840,16,0)),0,VLOOKUP($A130,Council_Data!$A$3:$AB$840,16,0))</f>
        <v>0</v>
      </c>
      <c r="P130" s="93">
        <f>IF(ISNA(VLOOKUP($A130,Council_Data!$A$3:$AB$840,17,0)),0,VLOOKUP($A130,Council_Data!$A$3:$AB$840,17,0))</f>
        <v>0</v>
      </c>
      <c r="Q130" s="93">
        <f>IF(ISNA(VLOOKUP($A130,Council_Data!$A$3:$AB$840,18,0)),0,VLOOKUP($A130,Council_Data!$A$3:$AB$840,18,0))</f>
        <v>0</v>
      </c>
      <c r="R130" s="93">
        <f>IF(ISNA(VLOOKUP($A130,Council_Data!$A$3:$AB$840,19,0)),0,VLOOKUP($A130,Council_Data!$A$3:$AB$840,19,0))</f>
        <v>0</v>
      </c>
      <c r="S130" s="93">
        <f>IF(ISNA(VLOOKUP($A130,Council_Data!$A$3:$AB$840,20,0)),0,VLOOKUP($A130,Council_Data!$A$3:$AB$840,20,0))</f>
        <v>0</v>
      </c>
      <c r="T130" s="94">
        <f>IF(ISNA(VLOOKUP($A130,Council_Data!$A$3:$AB$840,21,0)),0,VLOOKUP($A130,Council_Data!$A$3:$AB$840,21,0))</f>
        <v>0</v>
      </c>
      <c r="U130" s="93">
        <f>IF(ISNA(VLOOKUP($A130,Council_Data!$A$3:$AB$840,23,0)),0,VLOOKUP($A130,Council_Data!$A$3:$AB$840,23,0))</f>
        <v>3</v>
      </c>
      <c r="V130" s="50" t="str">
        <f>IF(ISNA(VLOOKUP($A130,Council_Data!$A$3:$AB$840,24,0)),0,VLOOKUP($A130,Council_Data!$A$3:$AB$840,24,0))</f>
        <v>Rangel</v>
      </c>
    </row>
    <row r="131" spans="1:22">
      <c r="A131" s="50">
        <v>16218</v>
      </c>
      <c r="B131" s="50" t="str">
        <f>IF(ISNA(VLOOKUP($A131,Council_Data!$A$3:$AB$840,2,0)),0,VLOOKUP($A131,Council_Data!$A$3:$AB$840,2,0))</f>
        <v>072</v>
      </c>
      <c r="C131" s="50" t="str">
        <f>IF(ISNA(VLOOKUP($A131,Council_Data!$A$3:$AB$840,3,0)),0,VLOOKUP($A131,Council_Data!$A$3:$AB$840,3,0))</f>
        <v>Houston</v>
      </c>
      <c r="D131" s="93">
        <f>IF(ISNA(VLOOKUP($A131,Council_Data!$A$3:$AB$840,5,0)),0,VLOOKUP($A131,Council_Data!$A$3:$AB$840,5,0))</f>
        <v>34</v>
      </c>
      <c r="E131" s="93">
        <f>IF(ISNA(VLOOKUP($A131,Council_Data!$A$3:$AB$840,6,0)),0,VLOOKUP($A131,Council_Data!$A$3:$AB$840,6,0))</f>
        <v>3</v>
      </c>
      <c r="F131" s="93">
        <f>IF(ISNA(VLOOKUP($A131,Council_Data!$A$3:$AB$840,7,0)),0,VLOOKUP($A131,Council_Data!$A$3:$AB$840,7,0))</f>
        <v>0</v>
      </c>
      <c r="G131" s="93">
        <f>IF(ISNA(VLOOKUP($A131,Council_Data!$A$3:$AB$840,8,0)),0,VLOOKUP($A131,Council_Data!$A$3:$AB$840,8,0))</f>
        <v>0</v>
      </c>
      <c r="H131" s="93">
        <f>IF(ISNA(VLOOKUP($A131,Council_Data!$A$3:$AB$840,9,0)),0,VLOOKUP($A131,Council_Data!$A$3:$AB$840,9,0))</f>
        <v>0</v>
      </c>
      <c r="I131" s="93">
        <f>IF(ISNA(VLOOKUP($A131,Council_Data!$A$3:$AB$840,10,0)),0,VLOOKUP($A131,Council_Data!$A$3:$AB$840,10,0))</f>
        <v>0</v>
      </c>
      <c r="J131" s="93">
        <f>IF(ISNA(VLOOKUP($A131,Council_Data!$A$3:$AB$840,11,0)),0,VLOOKUP($A131,Council_Data!$A$3:$AB$840,11,0))</f>
        <v>0</v>
      </c>
      <c r="K131" s="93">
        <f>IF(ISNA(VLOOKUP($A131,Council_Data!$A$3:$AB$840,12,0)),0,VLOOKUP($A131,Council_Data!$A$3:$AB$840,12,0))</f>
        <v>0</v>
      </c>
      <c r="L131" s="94">
        <f>IF(ISNA(VLOOKUP($A131,Council_Data!$A$3:$AB$840,13,0)),0,VLOOKUP($A131,Council_Data!$A$3:$AB$840,13,0))</f>
        <v>0</v>
      </c>
      <c r="M131" s="93">
        <f>IF(ISNA(VLOOKUP($A131,Council_Data!$A$3:$AB$840,14,0)),0,VLOOKUP($A131,Council_Data!$A$3:$AB$840,14,0))</f>
        <v>0</v>
      </c>
      <c r="N131" s="93">
        <f>IF(ISNA(VLOOKUP($A131,Council_Data!$A$3:$AB$840,15,0)),0,VLOOKUP($A131,Council_Data!$A$3:$AB$840,15,0))</f>
        <v>0</v>
      </c>
      <c r="O131" s="93">
        <f>IF(ISNA(VLOOKUP($A131,Council_Data!$A$3:$AB$840,16,0)),0,VLOOKUP($A131,Council_Data!$A$3:$AB$840,16,0))</f>
        <v>0</v>
      </c>
      <c r="P131" s="93">
        <f>IF(ISNA(VLOOKUP($A131,Council_Data!$A$3:$AB$840,17,0)),0,VLOOKUP($A131,Council_Data!$A$3:$AB$840,17,0))</f>
        <v>0</v>
      </c>
      <c r="Q131" s="93">
        <f>IF(ISNA(VLOOKUP($A131,Council_Data!$A$3:$AB$840,18,0)),0,VLOOKUP($A131,Council_Data!$A$3:$AB$840,18,0))</f>
        <v>0</v>
      </c>
      <c r="R131" s="93">
        <f>IF(ISNA(VLOOKUP($A131,Council_Data!$A$3:$AB$840,19,0)),0,VLOOKUP($A131,Council_Data!$A$3:$AB$840,19,0))</f>
        <v>0</v>
      </c>
      <c r="S131" s="93">
        <f>IF(ISNA(VLOOKUP($A131,Council_Data!$A$3:$AB$840,20,0)),0,VLOOKUP($A131,Council_Data!$A$3:$AB$840,20,0))</f>
        <v>0</v>
      </c>
      <c r="T131" s="94">
        <f>IF(ISNA(VLOOKUP($A131,Council_Data!$A$3:$AB$840,21,0)),0,VLOOKUP($A131,Council_Data!$A$3:$AB$840,21,0))</f>
        <v>0</v>
      </c>
      <c r="U131" s="93">
        <f>IF(ISNA(VLOOKUP($A131,Council_Data!$A$3:$AB$840,23,0)),0,VLOOKUP($A131,Council_Data!$A$3:$AB$840,23,0))</f>
        <v>3</v>
      </c>
      <c r="V131" s="50" t="str">
        <f>IF(ISNA(VLOOKUP($A131,Council_Data!$A$3:$AB$840,24,0)),0,VLOOKUP($A131,Council_Data!$A$3:$AB$840,24,0))</f>
        <v>Rangel</v>
      </c>
    </row>
    <row r="132" spans="1:22">
      <c r="A132" s="76">
        <v>16430</v>
      </c>
      <c r="B132" s="50" t="str">
        <f>IF(ISNA(VLOOKUP($A132,Council_Data!$A$3:$AB$840,2,0)),0,VLOOKUP($A132,Council_Data!$A$3:$AB$840,2,0))</f>
        <v>082</v>
      </c>
      <c r="C132" s="50" t="str">
        <f>IF(ISNA(VLOOKUP($A132,Council_Data!$A$3:$AB$840,3,0)),0,VLOOKUP($A132,Council_Data!$A$3:$AB$840,3,0))</f>
        <v>Houston</v>
      </c>
      <c r="D132" s="93">
        <f>IF(ISNA(VLOOKUP($A132,Council_Data!$A$3:$AB$840,5,0)),0,VLOOKUP($A132,Council_Data!$A$3:$AB$840,5,0))</f>
        <v>23</v>
      </c>
      <c r="E132" s="93">
        <f>IF(ISNA(VLOOKUP($A132,Council_Data!$A$3:$AB$840,6,0)),0,VLOOKUP($A132,Council_Data!$A$3:$AB$840,6,0))</f>
        <v>3</v>
      </c>
      <c r="F132" s="93">
        <f>IF(ISNA(VLOOKUP($A132,Council_Data!$A$3:$AB$840,7,0)),0,VLOOKUP($A132,Council_Data!$A$3:$AB$840,7,0))</f>
        <v>0</v>
      </c>
      <c r="G132" s="93">
        <f>IF(ISNA(VLOOKUP($A132,Council_Data!$A$3:$AB$840,8,0)),0,VLOOKUP($A132,Council_Data!$A$3:$AB$840,8,0))</f>
        <v>0</v>
      </c>
      <c r="H132" s="93">
        <f>IF(ISNA(VLOOKUP($A132,Council_Data!$A$3:$AB$840,9,0)),0,VLOOKUP($A132,Council_Data!$A$3:$AB$840,9,0))</f>
        <v>0</v>
      </c>
      <c r="I132" s="93">
        <f>IF(ISNA(VLOOKUP($A132,Council_Data!$A$3:$AB$840,10,0)),0,VLOOKUP($A132,Council_Data!$A$3:$AB$840,10,0))</f>
        <v>0</v>
      </c>
      <c r="J132" s="93">
        <f>IF(ISNA(VLOOKUP($A132,Council_Data!$A$3:$AB$840,11,0)),0,VLOOKUP($A132,Council_Data!$A$3:$AB$840,11,0))</f>
        <v>0</v>
      </c>
      <c r="K132" s="93">
        <f>IF(ISNA(VLOOKUP($A132,Council_Data!$A$3:$AB$840,12,0)),0,VLOOKUP($A132,Council_Data!$A$3:$AB$840,12,0))</f>
        <v>0</v>
      </c>
      <c r="L132" s="94">
        <f>IF(ISNA(VLOOKUP($A132,Council_Data!$A$3:$AB$840,13,0)),0,VLOOKUP($A132,Council_Data!$A$3:$AB$840,13,0))</f>
        <v>0</v>
      </c>
      <c r="M132" s="93">
        <f>IF(ISNA(VLOOKUP($A132,Council_Data!$A$3:$AB$840,14,0)),0,VLOOKUP($A132,Council_Data!$A$3:$AB$840,14,0))</f>
        <v>0</v>
      </c>
      <c r="N132" s="93">
        <f>IF(ISNA(VLOOKUP($A132,Council_Data!$A$3:$AB$840,15,0)),0,VLOOKUP($A132,Council_Data!$A$3:$AB$840,15,0))</f>
        <v>0</v>
      </c>
      <c r="O132" s="93">
        <f>IF(ISNA(VLOOKUP($A132,Council_Data!$A$3:$AB$840,16,0)),0,VLOOKUP($A132,Council_Data!$A$3:$AB$840,16,0))</f>
        <v>0</v>
      </c>
      <c r="P132" s="93">
        <f>IF(ISNA(VLOOKUP($A132,Council_Data!$A$3:$AB$840,17,0)),0,VLOOKUP($A132,Council_Data!$A$3:$AB$840,17,0))</f>
        <v>0</v>
      </c>
      <c r="Q132" s="93">
        <f>IF(ISNA(VLOOKUP($A132,Council_Data!$A$3:$AB$840,18,0)),0,VLOOKUP($A132,Council_Data!$A$3:$AB$840,18,0))</f>
        <v>0</v>
      </c>
      <c r="R132" s="93">
        <f>IF(ISNA(VLOOKUP($A132,Council_Data!$A$3:$AB$840,19,0)),0,VLOOKUP($A132,Council_Data!$A$3:$AB$840,19,0))</f>
        <v>0</v>
      </c>
      <c r="S132" s="93">
        <f>IF(ISNA(VLOOKUP($A132,Council_Data!$A$3:$AB$840,20,0)),0,VLOOKUP($A132,Council_Data!$A$3:$AB$840,20,0))</f>
        <v>0</v>
      </c>
      <c r="T132" s="94">
        <f>IF(ISNA(VLOOKUP($A132,Council_Data!$A$3:$AB$840,21,0)),0,VLOOKUP($A132,Council_Data!$A$3:$AB$840,21,0))</f>
        <v>0</v>
      </c>
      <c r="U132" s="93">
        <f>IF(ISNA(VLOOKUP($A132,Council_Data!$A$3:$AB$840,23,0)),0,VLOOKUP($A132,Council_Data!$A$3:$AB$840,23,0))</f>
        <v>3</v>
      </c>
      <c r="V132" s="50" t="str">
        <f>IF(ISNA(VLOOKUP($A132,Council_Data!$A$3:$AB$840,24,0)),0,VLOOKUP($A132,Council_Data!$A$3:$AB$840,24,0))</f>
        <v>Rangel</v>
      </c>
    </row>
    <row r="133" spans="1:22">
      <c r="A133" s="76">
        <v>17225</v>
      </c>
      <c r="B133" s="50" t="str">
        <f>IF(ISNA(VLOOKUP($A133,Council_Data!$A$3:$AB$840,2,0)),0,VLOOKUP($A133,Council_Data!$A$3:$AB$840,2,0))</f>
        <v>099</v>
      </c>
      <c r="C133" s="50" t="str">
        <f>IF(ISNA(VLOOKUP($A133,Council_Data!$A$3:$AB$840,3,0)),0,VLOOKUP($A133,Council_Data!$A$3:$AB$840,3,0))</f>
        <v>Houston</v>
      </c>
      <c r="D133" s="93">
        <f>IF(ISNA(VLOOKUP($A133,Council_Data!$A$3:$AB$840,5,0)),0,VLOOKUP($A133,Council_Data!$A$3:$AB$840,5,0))</f>
        <v>73</v>
      </c>
      <c r="E133" s="93">
        <f>IF(ISNA(VLOOKUP($A133,Council_Data!$A$3:$AB$840,6,0)),0,VLOOKUP($A133,Council_Data!$A$3:$AB$840,6,0))</f>
        <v>4</v>
      </c>
      <c r="F133" s="93">
        <f>IF(ISNA(VLOOKUP($A133,Council_Data!$A$3:$AB$840,7,0)),0,VLOOKUP($A133,Council_Data!$A$3:$AB$840,7,0))</f>
        <v>1</v>
      </c>
      <c r="G133" s="93">
        <f>IF(ISNA(VLOOKUP($A133,Council_Data!$A$3:$AB$840,8,0)),0,VLOOKUP($A133,Council_Data!$A$3:$AB$840,8,0))</f>
        <v>0</v>
      </c>
      <c r="H133" s="93">
        <f>IF(ISNA(VLOOKUP($A133,Council_Data!$A$3:$AB$840,9,0)),0,VLOOKUP($A133,Council_Data!$A$3:$AB$840,9,0))</f>
        <v>1</v>
      </c>
      <c r="I133" s="93">
        <f>IF(ISNA(VLOOKUP($A133,Council_Data!$A$3:$AB$840,10,0)),0,VLOOKUP($A133,Council_Data!$A$3:$AB$840,10,0))</f>
        <v>9</v>
      </c>
      <c r="J133" s="93">
        <f>IF(ISNA(VLOOKUP($A133,Council_Data!$A$3:$AB$840,11,0)),0,VLOOKUP($A133,Council_Data!$A$3:$AB$840,11,0))</f>
        <v>0</v>
      </c>
      <c r="K133" s="93">
        <f>IF(ISNA(VLOOKUP($A133,Council_Data!$A$3:$AB$840,12,0)),0,VLOOKUP($A133,Council_Data!$A$3:$AB$840,12,0))</f>
        <v>9</v>
      </c>
      <c r="L133" s="94">
        <f>IF(ISNA(VLOOKUP($A133,Council_Data!$A$3:$AB$840,13,0)),0,VLOOKUP($A133,Council_Data!$A$3:$AB$840,13,0))</f>
        <v>225</v>
      </c>
      <c r="M133" s="93">
        <f>IF(ISNA(VLOOKUP($A133,Council_Data!$A$3:$AB$840,14,0)),0,VLOOKUP($A133,Council_Data!$A$3:$AB$840,14,0))</f>
        <v>0</v>
      </c>
      <c r="N133" s="93">
        <f>IF(ISNA(VLOOKUP($A133,Council_Data!$A$3:$AB$840,15,0)),0,VLOOKUP($A133,Council_Data!$A$3:$AB$840,15,0))</f>
        <v>0</v>
      </c>
      <c r="O133" s="93">
        <f>IF(ISNA(VLOOKUP($A133,Council_Data!$A$3:$AB$840,16,0)),0,VLOOKUP($A133,Council_Data!$A$3:$AB$840,16,0))</f>
        <v>0</v>
      </c>
      <c r="P133" s="93">
        <f>IF(ISNA(VLOOKUP($A133,Council_Data!$A$3:$AB$840,17,0)),0,VLOOKUP($A133,Council_Data!$A$3:$AB$840,17,0))</f>
        <v>0</v>
      </c>
      <c r="Q133" s="93">
        <f>IF(ISNA(VLOOKUP($A133,Council_Data!$A$3:$AB$840,18,0)),0,VLOOKUP($A133,Council_Data!$A$3:$AB$840,18,0))</f>
        <v>3</v>
      </c>
      <c r="R133" s="93">
        <f>IF(ISNA(VLOOKUP($A133,Council_Data!$A$3:$AB$840,19,0)),0,VLOOKUP($A133,Council_Data!$A$3:$AB$840,19,0))</f>
        <v>2</v>
      </c>
      <c r="S133" s="93">
        <f>IF(ISNA(VLOOKUP($A133,Council_Data!$A$3:$AB$840,20,0)),0,VLOOKUP($A133,Council_Data!$A$3:$AB$840,20,0))</f>
        <v>1</v>
      </c>
      <c r="T133" s="94">
        <f>IF(ISNA(VLOOKUP($A133,Council_Data!$A$3:$AB$840,21,0)),0,VLOOKUP($A133,Council_Data!$A$3:$AB$840,21,0))</f>
        <v>0</v>
      </c>
      <c r="U133" s="93">
        <f>IF(ISNA(VLOOKUP($A133,Council_Data!$A$3:$AB$840,23,0)),0,VLOOKUP($A133,Council_Data!$A$3:$AB$840,23,0))</f>
        <v>2</v>
      </c>
      <c r="V133" s="50" t="str">
        <f>IF(ISNA(VLOOKUP($A133,Council_Data!$A$3:$AB$840,24,0)),0,VLOOKUP($A133,Council_Data!$A$3:$AB$840,24,0))</f>
        <v>Rangel</v>
      </c>
    </row>
    <row r="134" spans="1:22">
      <c r="A134" s="76">
        <v>17629</v>
      </c>
      <c r="B134" s="50" t="str">
        <f>IF(ISNA(VLOOKUP($A134,Council_Data!$A$3:$AB$840,2,0)),0,VLOOKUP($A134,Council_Data!$A$3:$AB$840,2,0))</f>
        <v>096</v>
      </c>
      <c r="C134" s="50" t="str">
        <f>IF(ISNA(VLOOKUP($A134,Council_Data!$A$3:$AB$840,3,0)),0,VLOOKUP($A134,Council_Data!$A$3:$AB$840,3,0))</f>
        <v>Hempstead</v>
      </c>
      <c r="D134" s="93">
        <f>IF(ISNA(VLOOKUP($A134,Council_Data!$A$3:$AB$840,5,0)),0,VLOOKUP($A134,Council_Data!$A$3:$AB$840,5,0))</f>
        <v>0</v>
      </c>
      <c r="E134" s="93">
        <f>IF(ISNA(VLOOKUP($A134,Council_Data!$A$3:$AB$840,6,0)),0,VLOOKUP($A134,Council_Data!$A$3:$AB$840,6,0))</f>
        <v>0</v>
      </c>
      <c r="F134" s="93">
        <f>IF(ISNA(VLOOKUP($A134,Council_Data!$A$3:$AB$840,7,0)),0,VLOOKUP($A134,Council_Data!$A$3:$AB$840,7,0))</f>
        <v>0</v>
      </c>
      <c r="G134" s="93">
        <f>IF(ISNA(VLOOKUP($A134,Council_Data!$A$3:$AB$840,8,0)),0,VLOOKUP($A134,Council_Data!$A$3:$AB$840,8,0))</f>
        <v>0</v>
      </c>
      <c r="H134" s="93">
        <f>IF(ISNA(VLOOKUP($A134,Council_Data!$A$3:$AB$840,9,0)),0,VLOOKUP($A134,Council_Data!$A$3:$AB$840,9,0))</f>
        <v>0</v>
      </c>
      <c r="I134" s="93">
        <f>IF(ISNA(VLOOKUP($A134,Council_Data!$A$3:$AB$840,10,0)),0,VLOOKUP($A134,Council_Data!$A$3:$AB$840,10,0))</f>
        <v>23</v>
      </c>
      <c r="J134" s="93">
        <f>IF(ISNA(VLOOKUP($A134,Council_Data!$A$3:$AB$840,11,0)),0,VLOOKUP($A134,Council_Data!$A$3:$AB$840,11,0))</f>
        <v>0</v>
      </c>
      <c r="K134" s="93">
        <f>IF(ISNA(VLOOKUP($A134,Council_Data!$A$3:$AB$840,12,0)),0,VLOOKUP($A134,Council_Data!$A$3:$AB$840,12,0))</f>
        <v>23</v>
      </c>
      <c r="L134" s="94">
        <f>IF(ISNA(VLOOKUP($A134,Council_Data!$A$3:$AB$840,13,0)),0,VLOOKUP($A134,Council_Data!$A$3:$AB$840,13,0))</f>
        <v>0</v>
      </c>
      <c r="M134" s="93">
        <f>IF(ISNA(VLOOKUP($A134,Council_Data!$A$3:$AB$840,14,0)),0,VLOOKUP($A134,Council_Data!$A$3:$AB$840,14,0))</f>
        <v>0</v>
      </c>
      <c r="N134" s="93">
        <f>IF(ISNA(VLOOKUP($A134,Council_Data!$A$3:$AB$840,15,0)),0,VLOOKUP($A134,Council_Data!$A$3:$AB$840,15,0))</f>
        <v>0</v>
      </c>
      <c r="O134" s="93">
        <f>IF(ISNA(VLOOKUP($A134,Council_Data!$A$3:$AB$840,16,0)),0,VLOOKUP($A134,Council_Data!$A$3:$AB$840,16,0))</f>
        <v>0</v>
      </c>
      <c r="P134" s="93">
        <f>IF(ISNA(VLOOKUP($A134,Council_Data!$A$3:$AB$840,17,0)),0,VLOOKUP($A134,Council_Data!$A$3:$AB$840,17,0))</f>
        <v>0</v>
      </c>
      <c r="Q134" s="93">
        <f>IF(ISNA(VLOOKUP($A134,Council_Data!$A$3:$AB$840,18,0)),0,VLOOKUP($A134,Council_Data!$A$3:$AB$840,18,0))</f>
        <v>0</v>
      </c>
      <c r="R134" s="93">
        <f>IF(ISNA(VLOOKUP($A134,Council_Data!$A$3:$AB$840,19,0)),0,VLOOKUP($A134,Council_Data!$A$3:$AB$840,19,0))</f>
        <v>0</v>
      </c>
      <c r="S134" s="93">
        <f>IF(ISNA(VLOOKUP($A134,Council_Data!$A$3:$AB$840,20,0)),0,VLOOKUP($A134,Council_Data!$A$3:$AB$840,20,0))</f>
        <v>0</v>
      </c>
      <c r="T134" s="94">
        <f>IF(ISNA(VLOOKUP($A134,Council_Data!$A$3:$AB$840,21,0)),0,VLOOKUP($A134,Council_Data!$A$3:$AB$840,21,0))</f>
        <v>0</v>
      </c>
      <c r="U134" s="93">
        <f>IF(ISNA(VLOOKUP($A134,Council_Data!$A$3:$AB$840,23,0)),0,VLOOKUP($A134,Council_Data!$A$3:$AB$840,23,0))</f>
        <v>3</v>
      </c>
      <c r="V134" s="50" t="str">
        <f>IF(ISNA(VLOOKUP($A134,Council_Data!$A$3:$AB$840,24,0)),0,VLOOKUP($A134,Council_Data!$A$3:$AB$840,24,0))</f>
        <v>Rangel</v>
      </c>
    </row>
    <row r="135" spans="1:22">
      <c r="A135" s="76">
        <v>17653</v>
      </c>
      <c r="B135" s="50" t="str">
        <f>IF(ISNA(VLOOKUP($A135,Council_Data!$A$3:$AB$840,2,0)),0,VLOOKUP($A135,Council_Data!$A$3:$AB$840,2,0))</f>
        <v>096</v>
      </c>
      <c r="C135" s="50" t="str">
        <f>IF(ISNA(VLOOKUP($A135,Council_Data!$A$3:$AB$840,3,0)),0,VLOOKUP($A135,Council_Data!$A$3:$AB$840,3,0))</f>
        <v>The Woodlands</v>
      </c>
      <c r="D135" s="93">
        <f>IF(ISNA(VLOOKUP($A135,Council_Data!$A$3:$AB$840,5,0)),0,VLOOKUP($A135,Council_Data!$A$3:$AB$840,5,0))</f>
        <v>0</v>
      </c>
      <c r="E135" s="93">
        <f>IF(ISNA(VLOOKUP($A135,Council_Data!$A$3:$AB$840,6,0)),0,VLOOKUP($A135,Council_Data!$A$3:$AB$840,6,0))</f>
        <v>0</v>
      </c>
      <c r="F135" s="93">
        <f>IF(ISNA(VLOOKUP($A135,Council_Data!$A$3:$AB$840,7,0)),0,VLOOKUP($A135,Council_Data!$A$3:$AB$840,7,0))</f>
        <v>9</v>
      </c>
      <c r="G135" s="93">
        <f>IF(ISNA(VLOOKUP($A135,Council_Data!$A$3:$AB$840,8,0)),0,VLOOKUP($A135,Council_Data!$A$3:$AB$840,8,0))</f>
        <v>0</v>
      </c>
      <c r="H135" s="93">
        <f>IF(ISNA(VLOOKUP($A135,Council_Data!$A$3:$AB$840,9,0)),0,VLOOKUP($A135,Council_Data!$A$3:$AB$840,9,0))</f>
        <v>9</v>
      </c>
      <c r="I135" s="93">
        <f>IF(ISNA(VLOOKUP($A135,Council_Data!$A$3:$AB$840,10,0)),0,VLOOKUP($A135,Council_Data!$A$3:$AB$840,10,0))</f>
        <v>9</v>
      </c>
      <c r="J135" s="93">
        <f>IF(ISNA(VLOOKUP($A135,Council_Data!$A$3:$AB$840,11,0)),0,VLOOKUP($A135,Council_Data!$A$3:$AB$840,11,0))</f>
        <v>0</v>
      </c>
      <c r="K135" s="93">
        <f>IF(ISNA(VLOOKUP($A135,Council_Data!$A$3:$AB$840,12,0)),0,VLOOKUP($A135,Council_Data!$A$3:$AB$840,12,0))</f>
        <v>9</v>
      </c>
      <c r="L135" s="94">
        <f>IF(ISNA(VLOOKUP($A135,Council_Data!$A$3:$AB$840,13,0)),0,VLOOKUP($A135,Council_Data!$A$3:$AB$840,13,0))</f>
        <v>0</v>
      </c>
      <c r="M135" s="93">
        <f>IF(ISNA(VLOOKUP($A135,Council_Data!$A$3:$AB$840,14,0)),0,VLOOKUP($A135,Council_Data!$A$3:$AB$840,14,0))</f>
        <v>0</v>
      </c>
      <c r="N135" s="93">
        <f>IF(ISNA(VLOOKUP($A135,Council_Data!$A$3:$AB$840,15,0)),0,VLOOKUP($A135,Council_Data!$A$3:$AB$840,15,0))</f>
        <v>1</v>
      </c>
      <c r="O135" s="93">
        <f>IF(ISNA(VLOOKUP($A135,Council_Data!$A$3:$AB$840,16,0)),0,VLOOKUP($A135,Council_Data!$A$3:$AB$840,16,0))</f>
        <v>0</v>
      </c>
      <c r="P135" s="93">
        <f>IF(ISNA(VLOOKUP($A135,Council_Data!$A$3:$AB$840,17,0)),0,VLOOKUP($A135,Council_Data!$A$3:$AB$840,17,0))</f>
        <v>1</v>
      </c>
      <c r="Q135" s="93">
        <f>IF(ISNA(VLOOKUP($A135,Council_Data!$A$3:$AB$840,18,0)),0,VLOOKUP($A135,Council_Data!$A$3:$AB$840,18,0))</f>
        <v>1</v>
      </c>
      <c r="R135" s="93">
        <f>IF(ISNA(VLOOKUP($A135,Council_Data!$A$3:$AB$840,19,0)),0,VLOOKUP($A135,Council_Data!$A$3:$AB$840,19,0))</f>
        <v>0</v>
      </c>
      <c r="S135" s="93">
        <f>IF(ISNA(VLOOKUP($A135,Council_Data!$A$3:$AB$840,20,0)),0,VLOOKUP($A135,Council_Data!$A$3:$AB$840,20,0))</f>
        <v>1</v>
      </c>
      <c r="T135" s="94">
        <f>IF(ISNA(VLOOKUP($A135,Council_Data!$A$3:$AB$840,21,0)),0,VLOOKUP($A135,Council_Data!$A$3:$AB$840,21,0))</f>
        <v>0</v>
      </c>
      <c r="U135" s="93">
        <f>IF(ISNA(VLOOKUP($A135,Council_Data!$A$3:$AB$840,23,0)),0,VLOOKUP($A135,Council_Data!$A$3:$AB$840,23,0))</f>
        <v>3</v>
      </c>
      <c r="V135" s="50" t="str">
        <f>IF(ISNA(VLOOKUP($A135,Council_Data!$A$3:$AB$840,24,0)),0,VLOOKUP($A135,Council_Data!$A$3:$AB$840,24,0))</f>
        <v>Rangel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G6" sqref="G6:G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3.85546875" hidden="1" customWidth="1"/>
    <col min="23" max="23" width="15.7109375" bestFit="1" customWidth="1"/>
    <col min="24" max="24" width="6.42578125" hidden="1" customWidth="1"/>
  </cols>
  <sheetData>
    <row r="1" spans="1:24">
      <c r="A1" s="82">
        <f>RptDate</f>
        <v>44227</v>
      </c>
    </row>
    <row r="2" spans="1:24" ht="35.25" customHeight="1">
      <c r="A2" s="53" t="s">
        <v>602</v>
      </c>
      <c r="B2" s="53" t="s">
        <v>12</v>
      </c>
      <c r="C2" s="53" t="s">
        <v>725</v>
      </c>
      <c r="D2" s="53" t="s">
        <v>764</v>
      </c>
      <c r="E2" s="53" t="s">
        <v>724</v>
      </c>
      <c r="F2" s="53" t="s">
        <v>726</v>
      </c>
      <c r="G2" s="53" t="s">
        <v>727</v>
      </c>
      <c r="H2" s="53" t="s">
        <v>763</v>
      </c>
      <c r="I2" s="53" t="s">
        <v>728</v>
      </c>
      <c r="J2" s="53" t="s">
        <v>729</v>
      </c>
      <c r="K2" s="53" t="s">
        <v>730</v>
      </c>
      <c r="L2" s="53" t="s">
        <v>731</v>
      </c>
      <c r="M2" s="53"/>
      <c r="N2" s="53" t="s">
        <v>732</v>
      </c>
      <c r="O2" s="53" t="s">
        <v>733</v>
      </c>
      <c r="P2" s="53" t="s">
        <v>734</v>
      </c>
      <c r="Q2" s="53" t="s">
        <v>735</v>
      </c>
      <c r="R2" s="53" t="s">
        <v>736</v>
      </c>
      <c r="S2" s="53" t="s">
        <v>737</v>
      </c>
      <c r="T2" s="53" t="s">
        <v>738</v>
      </c>
      <c r="U2" s="53" t="s">
        <v>739</v>
      </c>
    </row>
    <row r="4" spans="1:24">
      <c r="A4" s="59" t="s">
        <v>603</v>
      </c>
      <c r="B4">
        <f t="shared" ref="B4:K4" si="0">SUM(B6:B24)</f>
        <v>107831</v>
      </c>
      <c r="C4">
        <f t="shared" si="0"/>
        <v>5000</v>
      </c>
      <c r="D4">
        <f>SUM(D6:D24)</f>
        <v>315</v>
      </c>
      <c r="E4">
        <f t="shared" si="0"/>
        <v>116</v>
      </c>
      <c r="F4">
        <f t="shared" ca="1" si="0"/>
        <v>179</v>
      </c>
      <c r="G4">
        <f t="shared" ca="1" si="0"/>
        <v>-63</v>
      </c>
      <c r="H4">
        <f t="shared" si="0"/>
        <v>2636</v>
      </c>
      <c r="I4">
        <f t="shared" si="0"/>
        <v>1143</v>
      </c>
      <c r="J4">
        <f t="shared" ca="1" si="0"/>
        <v>840</v>
      </c>
      <c r="K4">
        <f t="shared" ca="1" si="0"/>
        <v>303</v>
      </c>
      <c r="N4">
        <f t="shared" ref="N4:T4" ca="1" si="1">SUM(N6:N22)</f>
        <v>0</v>
      </c>
      <c r="O4">
        <f t="shared" ca="1" si="1"/>
        <v>56</v>
      </c>
      <c r="P4">
        <f t="shared" ca="1" si="1"/>
        <v>211</v>
      </c>
      <c r="Q4">
        <f t="shared" ca="1" si="1"/>
        <v>-155</v>
      </c>
      <c r="R4">
        <f t="shared" ca="1" si="1"/>
        <v>489</v>
      </c>
      <c r="S4">
        <f t="shared" ca="1" si="1"/>
        <v>647</v>
      </c>
      <c r="T4">
        <f t="shared" ca="1" si="1"/>
        <v>-158</v>
      </c>
      <c r="V4" t="s">
        <v>603</v>
      </c>
      <c r="W4" s="24" t="s">
        <v>931</v>
      </c>
    </row>
    <row r="6" spans="1:24">
      <c r="A6" s="24" t="s">
        <v>40</v>
      </c>
      <c r="B6">
        <f>ROUND(SUMIF(Council_Data!$D$3:$D$838,$V6,Council_Data!$E$3:$E$838),0)</f>
        <v>12851</v>
      </c>
      <c r="C6" s="62">
        <f>'Goals-1'!R5</f>
        <v>599</v>
      </c>
      <c r="D6">
        <f>INDEX('Goals-1'!$B$4:$P$18,MATCH($V6,'Goals-1'!$A$4:$A$18),MATCH(RptMonth,'Goals-1'!$B$3:$P$3,0))</f>
        <v>32</v>
      </c>
      <c r="E6">
        <f>ROUND(SUMIF(Council_Data!$D$3:$D$838,$V6,Council_Data!$G$3:$G$838),0)</f>
        <v>15</v>
      </c>
      <c r="F6">
        <f ca="1">ROUND(SUMIF(Council_Data!$D$3:$D$838,$V6,Council_Data!$H$3:$H$818),0)</f>
        <v>5</v>
      </c>
      <c r="G6">
        <f ca="1">ROUND(SUMIF(Council_Data!$D$3:$D$838,$V6,Council_Data!$I$3:$I$818),0)</f>
        <v>10</v>
      </c>
      <c r="H6" s="62">
        <f>INDEX('Goals-1'!$B$72:$M$87,MATCH($V6,'Goals-1'!$A$72:$A$86),MATCH(RptMonth,'Goals-1'!$B$71:$M$71,0))</f>
        <v>315</v>
      </c>
      <c r="I6">
        <f>ROUND(SUMIF(Council_Data!$D$3:$D$838,$V6,Council_Data!$J$3:$J$838),0)</f>
        <v>160</v>
      </c>
      <c r="J6">
        <f ca="1">ROUND(SUMIF(Council_Data!$D$3:$D$838,$V6,Council_Data!$K$3:$K$818),0)</f>
        <v>32</v>
      </c>
      <c r="K6">
        <f ca="1">ROUND(SUMIF(Council_Data!$D$3:$D$838,$V6,Council_Data!$L$3:$L$818),0)</f>
        <v>128</v>
      </c>
      <c r="L6" s="54">
        <f ca="1">IFERROR(K6/H6,0)</f>
        <v>0.40634920634920635</v>
      </c>
      <c r="N6">
        <f ca="1">ROUND(SUMIF(Council_Data!$D$3:$D$838,$V6,Council_Data!$N$3:$N$818),0)</f>
        <v>0</v>
      </c>
      <c r="O6">
        <f ca="1">ROUND(SUMIF(Council_Data!$D$3:$D$838,$V6,Council_Data!$O$3:$O$818),0)</f>
        <v>3</v>
      </c>
      <c r="P6">
        <f ca="1">ROUND(SUMIF(Council_Data!$D$3:$D$838,$V6,Council_Data!$P$3:$P$818),0)</f>
        <v>21</v>
      </c>
      <c r="Q6">
        <f ca="1">ROUND(SUMIF(Council_Data!$D$3:$D$838,$V6,Council_Data!$Q$3:$Q$818),0)</f>
        <v>-18</v>
      </c>
      <c r="R6">
        <f ca="1">ROUND(SUMIF(Council_Data!$D$3:$D$838,$V6,Council_Data!$R$3:$R$818),0)</f>
        <v>50</v>
      </c>
      <c r="S6">
        <f ca="1">ROUND(SUMIF(Council_Data!$D$3:$D$838,$V6,Council_Data!$S$3:$S$818),0)</f>
        <v>67</v>
      </c>
      <c r="T6">
        <f ca="1">ROUND(SUMIF(Council_Data!$D$3:$D$838,$V6,Council_Data!$T$3:$T$818),0)</f>
        <v>-17</v>
      </c>
      <c r="U6" s="54">
        <f ca="1">IFERROR(T6/N6,0)</f>
        <v>0</v>
      </c>
      <c r="V6" t="s">
        <v>40</v>
      </c>
      <c r="W6" s="24" t="s">
        <v>932</v>
      </c>
      <c r="X6" t="str">
        <f>IF($D6&lt;=$E6,"Y","N")</f>
        <v>N</v>
      </c>
    </row>
    <row r="7" spans="1:24">
      <c r="A7" s="24" t="s">
        <v>31</v>
      </c>
      <c r="B7">
        <f>ROUND(SUMIF(Council_Data!$D$3:$D$838,$V7,Council_Data!$E$3:$E$838),0)</f>
        <v>12148</v>
      </c>
      <c r="C7" s="62">
        <f>'Goals-1'!R9</f>
        <v>571</v>
      </c>
      <c r="D7">
        <f>INDEX('Goals-1'!$B$4:$P$18,MATCH($V7,'Goals-1'!$A$4:$A$18),MATCH(RptMonth,'Goals-1'!$B$3:$P$3,0))</f>
        <v>31</v>
      </c>
      <c r="E7">
        <f>ROUND(SUMIF(Council_Data!$D$3:$D$838,$V7,Council_Data!$G$3:$G$838),0)</f>
        <v>11</v>
      </c>
      <c r="F7">
        <f ca="1">ROUND(SUMIF(Council_Data!$D$3:$D$838,$V7,Council_Data!$H$3:$H$818),0)</f>
        <v>66</v>
      </c>
      <c r="G7">
        <f ca="1">ROUND(SUMIF(Council_Data!$D$3:$D$838,$V7,Council_Data!$I$3:$I$818),0)</f>
        <v>-55</v>
      </c>
      <c r="H7" s="62">
        <f>INDEX('Goals-1'!$B$72:$M$87,MATCH($V7,'Goals-1'!$A$72:$A$86),MATCH(RptMonth,'Goals-1'!$B$71:$M$71,0))</f>
        <v>300</v>
      </c>
      <c r="I7">
        <f>ROUND(SUMIF(Council_Data!$D$3:$D$838,$V7,Council_Data!$J$3:$J$838),0)</f>
        <v>109</v>
      </c>
      <c r="J7">
        <f ca="1">ROUND(SUMIF(Council_Data!$D$3:$D$838,$V7,Council_Data!$K$3:$K$818),0)</f>
        <v>180</v>
      </c>
      <c r="K7">
        <f ca="1">ROUND(SUMIF(Council_Data!$D$3:$D$838,$V7,Council_Data!$L$3:$L$818),0)</f>
        <v>-71</v>
      </c>
      <c r="L7" s="54">
        <f t="shared" ref="L7:L24" ca="1" si="2">IFERROR(K7/H7,0)</f>
        <v>-0.23666666666666666</v>
      </c>
      <c r="M7" t="s">
        <v>21</v>
      </c>
      <c r="N7">
        <f ca="1">ROUND(SUMIF(Council_Data!$D$3:$D$838,$V7,Council_Data!$N$3:$N$818),0)</f>
        <v>0</v>
      </c>
      <c r="O7">
        <f ca="1">ROUND(SUMIF(Council_Data!$D$3:$D$838,$V7,Council_Data!$O$3:$O$818),0)</f>
        <v>8</v>
      </c>
      <c r="P7">
        <f ca="1">ROUND(SUMIF(Council_Data!$D$3:$D$838,$V7,Council_Data!$P$3:$P$818),0)</f>
        <v>20</v>
      </c>
      <c r="Q7">
        <f ca="1">ROUND(SUMIF(Council_Data!$D$3:$D$838,$V7,Council_Data!$Q$3:$Q$818),0)</f>
        <v>-12</v>
      </c>
      <c r="R7">
        <f ca="1">ROUND(SUMIF(Council_Data!$D$3:$D$838,$V7,Council_Data!$R$3:$R$818),0)</f>
        <v>63</v>
      </c>
      <c r="S7">
        <f ca="1">ROUND(SUMIF(Council_Data!$D$3:$D$838,$V7,Council_Data!$S$3:$S$818),0)</f>
        <v>87</v>
      </c>
      <c r="T7">
        <f ca="1">ROUND(SUMIF(Council_Data!$D$3:$D$838,$V7,Council_Data!$T$3:$T$818),0)</f>
        <v>-24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ROUND(SUMIF(Council_Data!$D$3:$D$838,$V8,Council_Data!$E$3:$E$838),0)</f>
        <v>9821</v>
      </c>
      <c r="C8" s="62">
        <f>'Goals-1'!R11</f>
        <v>459</v>
      </c>
      <c r="D8">
        <f>INDEX('Goals-1'!$B$4:$P$18,MATCH($V8,'Goals-1'!$A$4:$A$18),MATCH(RptMonth,'Goals-1'!$B$3:$P$3,0))</f>
        <v>25</v>
      </c>
      <c r="E8">
        <f>ROUND(SUMIF(Council_Data!$D$3:$D$838,$V8,Council_Data!$G$3:$G$838),0)</f>
        <v>16</v>
      </c>
      <c r="F8">
        <f ca="1">ROUND(SUMIF(Council_Data!$D$3:$D$838,$V8,Council_Data!$H$3:$H$818),0)</f>
        <v>11</v>
      </c>
      <c r="G8">
        <f ca="1">ROUND(SUMIF(Council_Data!$D$3:$D$838,$V8,Council_Data!$I$3:$I$818),0)</f>
        <v>5</v>
      </c>
      <c r="H8" s="62">
        <f>INDEX('Goals-1'!$B$72:$M$87,MATCH($V8,'Goals-1'!$A$72:$A$86),MATCH(RptMonth,'Goals-1'!$B$71:$M$71,0))</f>
        <v>242</v>
      </c>
      <c r="I8">
        <f>ROUND(SUMIF(Council_Data!$D$3:$D$838,$V8,Council_Data!$J$3:$J$838),0)</f>
        <v>129</v>
      </c>
      <c r="J8">
        <f ca="1">ROUND(SUMIF(Council_Data!$D$3:$D$838,$V8,Council_Data!$K$3:$K$818),0)</f>
        <v>78</v>
      </c>
      <c r="K8">
        <f ca="1">ROUND(SUMIF(Council_Data!$D$3:$D$838,$V8,Council_Data!$L$3:$L$818),0)</f>
        <v>51</v>
      </c>
      <c r="L8" s="54">
        <f t="shared" ca="1" si="2"/>
        <v>0.21074380165289255</v>
      </c>
      <c r="M8" t="s">
        <v>21</v>
      </c>
      <c r="N8">
        <f ca="1">ROUND(SUMIF(Council_Data!$D$3:$D$838,$V8,Council_Data!$N$3:$N$818),0)</f>
        <v>0</v>
      </c>
      <c r="O8">
        <f ca="1">ROUND(SUMIF(Council_Data!$D$3:$D$838,$V8,Council_Data!$O$3:$O$818),0)</f>
        <v>8</v>
      </c>
      <c r="P8">
        <f ca="1">ROUND(SUMIF(Council_Data!$D$3:$D$838,$V8,Council_Data!$P$3:$P$818),0)</f>
        <v>13</v>
      </c>
      <c r="Q8">
        <f ca="1">ROUND(SUMIF(Council_Data!$D$3:$D$838,$V8,Council_Data!$Q$3:$Q$818),0)</f>
        <v>-5</v>
      </c>
      <c r="R8">
        <f ca="1">ROUND(SUMIF(Council_Data!$D$3:$D$838,$V8,Council_Data!$R$3:$R$818),0)</f>
        <v>70</v>
      </c>
      <c r="S8">
        <f ca="1">ROUND(SUMIF(Council_Data!$D$3:$D$838,$V8,Council_Data!$S$3:$S$818),0)</f>
        <v>48</v>
      </c>
      <c r="T8">
        <f ca="1">ROUND(SUMIF(Council_Data!$D$3:$D$838,$V8,Council_Data!$T$3:$T$818),0)</f>
        <v>22</v>
      </c>
      <c r="U8" s="54">
        <f ca="1">IFERROR(T8/N8,0)</f>
        <v>0</v>
      </c>
      <c r="V8" t="s">
        <v>143</v>
      </c>
      <c r="X8" t="str">
        <f t="shared" si="3"/>
        <v>N</v>
      </c>
    </row>
    <row r="9" spans="1:24">
      <c r="A9" s="24" t="s">
        <v>623</v>
      </c>
      <c r="B9">
        <f>ROUND(SUMIF(Council_Data!$D$3:$D$838,$V9,Council_Data!$E$3:$E$838),0)</f>
        <v>23183</v>
      </c>
      <c r="C9" s="62">
        <f>'Goals-1'!R12</f>
        <v>1080</v>
      </c>
      <c r="D9">
        <f>INDEX('Goals-1'!$B$4:$P$18,MATCH($V9,'Goals-1'!$A$4:$A$18),MATCH(RptMonth,'Goals-1'!$B$3:$P$3,0))</f>
        <v>102</v>
      </c>
      <c r="E9">
        <f>ROUND(SUMIF(Council_Data!$D$3:$D$838,$V9,Council_Data!$G$3:$G$838),0)</f>
        <v>31</v>
      </c>
      <c r="F9">
        <f ca="1">ROUND(SUMIF(Council_Data!$D$3:$D$838,$V9,Council_Data!$H$3:$H$818),0)</f>
        <v>34</v>
      </c>
      <c r="G9">
        <f ca="1">ROUND(SUMIF(Council_Data!$D$3:$D$838,$V9,Council_Data!$I$3:$I$818),0)</f>
        <v>-3</v>
      </c>
      <c r="H9" s="62">
        <f>INDEX('Goals-1'!$B$72:$M$87,MATCH($V9,'Goals-1'!$A$72:$A$86),MATCH(RptMonth,'Goals-1'!$B$71:$M$71,0))</f>
        <v>570</v>
      </c>
      <c r="I9">
        <f>ROUND(SUMIF(Council_Data!$D$3:$D$838,$V9,Council_Data!$J$3:$J$838),0)</f>
        <v>226</v>
      </c>
      <c r="J9">
        <f ca="1">ROUND(SUMIF(Council_Data!$D$3:$D$838,$V9,Council_Data!$K$3:$K$818),0)</f>
        <v>225</v>
      </c>
      <c r="K9">
        <f ca="1">ROUND(SUMIF(Council_Data!$D$3:$D$838,$V9,Council_Data!$L$3:$L$818),0)</f>
        <v>1</v>
      </c>
      <c r="L9" s="54">
        <f t="shared" ca="1" si="2"/>
        <v>1.7543859649122807E-3</v>
      </c>
      <c r="N9">
        <f ca="1">ROUND(SUMIF(Council_Data!$D$3:$D$838,$V9,Council_Data!$N$3:$N$818),0)</f>
        <v>0</v>
      </c>
      <c r="O9">
        <f ca="1">ROUND(SUMIF(Council_Data!$D$3:$D$838,$V9,Council_Data!$O$3:$O$818),0)</f>
        <v>16</v>
      </c>
      <c r="P9">
        <f ca="1">ROUND(SUMIF(Council_Data!$D$3:$D$838,$V9,Council_Data!$P$3:$P$818),0)</f>
        <v>72</v>
      </c>
      <c r="Q9">
        <f ca="1">ROUND(SUMIF(Council_Data!$D$3:$D$838,$V9,Council_Data!$Q$3:$Q$818),0)</f>
        <v>-56</v>
      </c>
      <c r="R9">
        <f ca="1">ROUND(SUMIF(Council_Data!$D$3:$D$838,$V9,Council_Data!$R$3:$R$818),0)</f>
        <v>118</v>
      </c>
      <c r="S9">
        <f ca="1">ROUND(SUMIF(Council_Data!$D$3:$D$838,$V9,Council_Data!$S$3:$S$818),0)</f>
        <v>183</v>
      </c>
      <c r="T9">
        <f ca="1">ROUND(SUMIF(Council_Data!$D$3:$D$838,$V9,Council_Data!$T$3:$T$818),0)</f>
        <v>-65</v>
      </c>
      <c r="U9" s="54">
        <f ca="1">IFERROR(T9/N9,0)</f>
        <v>0</v>
      </c>
      <c r="V9" t="s">
        <v>623</v>
      </c>
      <c r="X9" t="str">
        <f t="shared" si="3"/>
        <v>N</v>
      </c>
    </row>
    <row r="10" spans="1:24">
      <c r="A10" s="24" t="s">
        <v>27</v>
      </c>
      <c r="B10">
        <f>ROUND(SUMIF(Council_Data!$D$3:$D$838,$V10,Council_Data!$E$3:$E$838),0)</f>
        <v>14292</v>
      </c>
      <c r="C10" s="62">
        <f>'Goals-1'!R16</f>
        <v>667</v>
      </c>
      <c r="D10">
        <f>INDEX('Goals-1'!$B$4:$P$18,MATCH($V10,'Goals-1'!$A$4:$A$18),MATCH(RptMonth,'Goals-1'!$B$3:$P$3,0))</f>
        <v>36</v>
      </c>
      <c r="E10">
        <f>ROUND(SUMIF(Council_Data!$D$3:$D$838,$V10,Council_Data!$G$3:$G$838),0)</f>
        <v>9</v>
      </c>
      <c r="F10">
        <f ca="1">ROUND(SUMIF(Council_Data!$D$3:$D$838,$V10,Council_Data!$H$3:$H$818),0)</f>
        <v>35</v>
      </c>
      <c r="G10">
        <f ca="1">ROUND(SUMIF(Council_Data!$D$3:$D$838,$V10,Council_Data!$I$3:$I$818),0)</f>
        <v>-26</v>
      </c>
      <c r="H10" s="62">
        <f>INDEX('Goals-1'!$B$72:$M$87,MATCH($V10,'Goals-1'!$A$72:$A$86),MATCH(RptMonth,'Goals-1'!$B$71:$M$71,0))</f>
        <v>351</v>
      </c>
      <c r="I10">
        <f>ROUND(SUMIF(Council_Data!$D$3:$D$838,$V10,Council_Data!$J$3:$J$838),0)</f>
        <v>121</v>
      </c>
      <c r="J10">
        <f ca="1">ROUND(SUMIF(Council_Data!$D$3:$D$838,$V10,Council_Data!$K$3:$K$818),0)</f>
        <v>142</v>
      </c>
      <c r="K10">
        <f ca="1">ROUND(SUMIF(Council_Data!$D$3:$D$838,$V10,Council_Data!$L$3:$L$818),0)</f>
        <v>-21</v>
      </c>
      <c r="L10" s="54">
        <f t="shared" ca="1" si="2"/>
        <v>-5.9829059829059832E-2</v>
      </c>
      <c r="N10">
        <f ca="1">ROUND(SUMIF(Council_Data!$D$3:$D$838,$V10,Council_Data!$N$3:$N$818),0)</f>
        <v>0</v>
      </c>
      <c r="O10">
        <f ca="1">ROUND(SUMIF(Council_Data!$D$3:$D$838,$V10,Council_Data!$O$3:$O$818),0)</f>
        <v>5</v>
      </c>
      <c r="P10">
        <f ca="1">ROUND(SUMIF(Council_Data!$D$3:$D$838,$V10,Council_Data!$P$3:$P$818),0)</f>
        <v>14</v>
      </c>
      <c r="Q10">
        <f ca="1">ROUND(SUMIF(Council_Data!$D$3:$D$838,$V10,Council_Data!$Q$3:$Q$818),0)</f>
        <v>-9</v>
      </c>
      <c r="R10">
        <f ca="1">ROUND(SUMIF(Council_Data!$D$3:$D$838,$V10,Council_Data!$R$3:$R$818),0)</f>
        <v>83</v>
      </c>
      <c r="S10">
        <f ca="1">ROUND(SUMIF(Council_Data!$D$3:$D$838,$V10,Council_Data!$S$3:$S$818),0)</f>
        <v>69</v>
      </c>
      <c r="T10">
        <f ca="1">ROUND(SUMIF(Council_Data!$D$3:$D$838,$V10,Council_Data!$T$3:$T$818),0)</f>
        <v>14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ROUND(SUMIF(Council_Data!$D$3:$D$838,$V12,Council_Data!$E$3:$E$838),0)</f>
        <v>3164</v>
      </c>
      <c r="C12" s="62">
        <f>'Goals-1'!R6</f>
        <v>159</v>
      </c>
      <c r="D12">
        <f>INDEX('Goals-1'!$B$4:$P$18,MATCH($V12,'Goals-1'!$A$4:$A$18),MATCH(RptMonth,'Goals-1'!$B$3:$P$3,0))</f>
        <v>9</v>
      </c>
      <c r="E12">
        <f>ROUND(SUMIF(Council_Data!$D$3:$D$838,$V12,Council_Data!$G$3:$G$838),0)</f>
        <v>1</v>
      </c>
      <c r="F12">
        <f ca="1">ROUND(SUMIF(Council_Data!$D$3:$D$838,$V12,Council_Data!$H$3:$H$818),0)</f>
        <v>2</v>
      </c>
      <c r="G12">
        <f ca="1">ROUND(SUMIF(Council_Data!$D$3:$D$838,$V12,Council_Data!$I$3:$I$818),0)</f>
        <v>-1</v>
      </c>
      <c r="H12" s="62">
        <f>INDEX('Goals-1'!$B$72:$M$87,MATCH($V12,'Goals-1'!$A$72:$A$86),MATCH(RptMonth,'Goals-1'!$B$71:$M$71,0))</f>
        <v>84</v>
      </c>
      <c r="I12">
        <f>ROUND(SUMIF(Council_Data!$D$3:$D$838,$V12,Council_Data!$J$3:$J$838),0)</f>
        <v>28</v>
      </c>
      <c r="J12">
        <f ca="1">ROUND(SUMIF(Council_Data!$D$3:$D$838,$V12,Council_Data!$K$3:$K$818),0)</f>
        <v>10</v>
      </c>
      <c r="K12">
        <f ca="1">ROUND(SUMIF(Council_Data!$D$3:$D$838,$V12,Council_Data!$L$3:$L$818),0)</f>
        <v>18</v>
      </c>
      <c r="L12" s="54">
        <f t="shared" ca="1" si="2"/>
        <v>0.21428571428571427</v>
      </c>
      <c r="M12" t="s">
        <v>21</v>
      </c>
      <c r="N12">
        <f ca="1">ROUND(SUMIF(Council_Data!$D$3:$D$838,$V12,Council_Data!$N$3:$N$818),0)</f>
        <v>0</v>
      </c>
      <c r="O12">
        <f ca="1">ROUND(SUMIF(Council_Data!$D$3:$D$838,$V12,Council_Data!$O$3:$O$818),0)</f>
        <v>3</v>
      </c>
      <c r="P12">
        <f ca="1">ROUND(SUMIF(Council_Data!$D$3:$D$838,$V12,Council_Data!$P$3:$P$818),0)</f>
        <v>9</v>
      </c>
      <c r="Q12">
        <f ca="1">ROUND(SUMIF(Council_Data!$D$3:$D$838,$V12,Council_Data!$Q$3:$Q$818),0)</f>
        <v>-6</v>
      </c>
      <c r="R12">
        <f ca="1">ROUND(SUMIF(Council_Data!$D$3:$D$838,$V12,Council_Data!$R$3:$R$818),0)</f>
        <v>5</v>
      </c>
      <c r="S12">
        <f ca="1">ROUND(SUMIF(Council_Data!$D$3:$D$838,$V12,Council_Data!$S$3:$S$818),0)</f>
        <v>21</v>
      </c>
      <c r="T12">
        <f ca="1">ROUND(SUMIF(Council_Data!$D$3:$D$838,$V12,Council_Data!$T$3:$T$818),0)</f>
        <v>-16</v>
      </c>
      <c r="U12" s="63">
        <f ca="1">IFERROR(T12/N12,0)</f>
        <v>0</v>
      </c>
      <c r="V12" t="s">
        <v>37</v>
      </c>
      <c r="W12" s="24" t="s">
        <v>933</v>
      </c>
      <c r="X12" t="str">
        <f>IF($D12&lt;=$E12,"Y","N")</f>
        <v>N</v>
      </c>
    </row>
    <row r="13" spans="1:24">
      <c r="A13" s="24" t="s">
        <v>66</v>
      </c>
      <c r="B13">
        <f>ROUND(SUMIF(Council_Data!$D$3:$D$838,$V13,Council_Data!$E$3:$E$838),0)</f>
        <v>5257</v>
      </c>
      <c r="C13" s="62">
        <f>'Goals-1'!R7</f>
        <v>253</v>
      </c>
      <c r="D13">
        <f>INDEX('Goals-1'!$B$4:$P$18,MATCH($V13,'Goals-1'!$A$4:$A$18),MATCH(RptMonth,'Goals-1'!$B$3:$P$3,0))</f>
        <v>14</v>
      </c>
      <c r="E13">
        <f>ROUND(SUMIF(Council_Data!$D$3:$D$838,$V13,Council_Data!$G$3:$G$838),0)</f>
        <v>5</v>
      </c>
      <c r="F13">
        <f ca="1">ROUND(SUMIF(Council_Data!$D$3:$D$838,$V13,Council_Data!$H$3:$H$818),0)</f>
        <v>4</v>
      </c>
      <c r="G13">
        <f ca="1">ROUND(SUMIF(Council_Data!$D$3:$D$838,$V13,Council_Data!$I$3:$I$818),0)</f>
        <v>1</v>
      </c>
      <c r="H13" s="62">
        <f>INDEX('Goals-1'!$B$72:$M$87,MATCH($V13,'Goals-1'!$A$72:$A$86),MATCH(RptMonth,'Goals-1'!$B$71:$M$71,0))</f>
        <v>133</v>
      </c>
      <c r="I13">
        <f>ROUND(SUMIF(Council_Data!$D$3:$D$838,$V13,Council_Data!$J$3:$J$838),0)</f>
        <v>48</v>
      </c>
      <c r="J13">
        <f ca="1">ROUND(SUMIF(Council_Data!$D$3:$D$838,$V13,Council_Data!$K$3:$K$818),0)</f>
        <v>18</v>
      </c>
      <c r="K13">
        <f ca="1">ROUND(SUMIF(Council_Data!$D$3:$D$838,$V13,Council_Data!$L$3:$L$818),0)</f>
        <v>30</v>
      </c>
      <c r="L13" s="54">
        <f t="shared" ca="1" si="2"/>
        <v>0.22556390977443608</v>
      </c>
      <c r="N13">
        <f ca="1">ROUND(SUMIF(Council_Data!$D$3:$D$838,$V13,Council_Data!$N$3:$N$818),0)</f>
        <v>0</v>
      </c>
      <c r="O13">
        <f ca="1">ROUND(SUMIF(Council_Data!$D$3:$D$838,$V13,Council_Data!$O$3:$O$818),0)</f>
        <v>1</v>
      </c>
      <c r="P13">
        <f ca="1">ROUND(SUMIF(Council_Data!$D$3:$D$838,$V13,Council_Data!$P$3:$P$818),0)</f>
        <v>12</v>
      </c>
      <c r="Q13">
        <f ca="1">ROUND(SUMIF(Council_Data!$D$3:$D$838,$V13,Council_Data!$Q$3:$Q$818),0)</f>
        <v>-11</v>
      </c>
      <c r="R13">
        <f ca="1">ROUND(SUMIF(Council_Data!$D$3:$D$838,$V13,Council_Data!$R$3:$R$818),0)</f>
        <v>20</v>
      </c>
      <c r="S13">
        <f ca="1">ROUND(SUMIF(Council_Data!$D$3:$D$838,$V13,Council_Data!$S$3:$S$818),0)</f>
        <v>32</v>
      </c>
      <c r="T13">
        <f ca="1">ROUND(SUMIF(Council_Data!$D$3:$D$838,$V13,Council_Data!$T$3:$T$818),0)</f>
        <v>-12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ROUND(SUMIF(Council_Data!$D$3:$D$838,$V14,Council_Data!$E$3:$E$838),0)</f>
        <v>4894</v>
      </c>
      <c r="C14" s="62">
        <f>'Goals-1'!R8</f>
        <v>241</v>
      </c>
      <c r="D14">
        <f>INDEX('Goals-1'!$B$4:$P$18,MATCH($V14,'Goals-1'!$A$4:$A$18),MATCH(RptMonth,'Goals-1'!$B$3:$P$3,0))</f>
        <v>13</v>
      </c>
      <c r="E14">
        <f>ROUND(SUMIF(Council_Data!$D$3:$D$838,$V14,Council_Data!$G$3:$G$838),0)</f>
        <v>1</v>
      </c>
      <c r="F14">
        <f ca="1">ROUND(SUMIF(Council_Data!$D$3:$D$838,$V14,Council_Data!$H$3:$H$818),0)</f>
        <v>4</v>
      </c>
      <c r="G14">
        <f ca="1">ROUND(SUMIF(Council_Data!$D$3:$D$838,$V14,Council_Data!$I$3:$I$818),0)</f>
        <v>-3</v>
      </c>
      <c r="H14" s="62">
        <f>INDEX('Goals-1'!$B$72:$M$87,MATCH($V14,'Goals-1'!$A$72:$A$86),MATCH(RptMonth,'Goals-1'!$B$71:$M$71,0))</f>
        <v>126</v>
      </c>
      <c r="I14">
        <f>ROUND(SUMIF(Council_Data!$D$3:$D$838,$V14,Council_Data!$J$3:$J$838),0)</f>
        <v>68</v>
      </c>
      <c r="J14">
        <f ca="1">ROUND(SUMIF(Council_Data!$D$3:$D$838,$V14,Council_Data!$K$3:$K$818),0)</f>
        <v>4</v>
      </c>
      <c r="K14">
        <f ca="1">ROUND(SUMIF(Council_Data!$D$3:$D$838,$V14,Council_Data!$L$3:$L$818),0)</f>
        <v>64</v>
      </c>
      <c r="L14" s="54">
        <f t="shared" ca="1" si="2"/>
        <v>0.50793650793650791</v>
      </c>
      <c r="N14">
        <f ca="1">ROUND(SUMIF(Council_Data!$D$3:$D$838,$V14,Council_Data!$N$3:$N$818),0)</f>
        <v>0</v>
      </c>
      <c r="O14">
        <f ca="1">ROUND(SUMIF(Council_Data!$D$3:$D$838,$V14,Council_Data!$O$3:$O$818),0)</f>
        <v>1</v>
      </c>
      <c r="P14">
        <f ca="1">ROUND(SUMIF(Council_Data!$D$3:$D$838,$V14,Council_Data!$P$3:$P$818),0)</f>
        <v>15</v>
      </c>
      <c r="Q14">
        <f ca="1">ROUND(SUMIF(Council_Data!$D$3:$D$838,$V14,Council_Data!$Q$3:$Q$818),0)</f>
        <v>-14</v>
      </c>
      <c r="R14">
        <f ca="1">ROUND(SUMIF(Council_Data!$D$3:$D$838,$V14,Council_Data!$R$3:$R$818),0)</f>
        <v>4</v>
      </c>
      <c r="S14">
        <f ca="1">ROUND(SUMIF(Council_Data!$D$3:$D$838,$V14,Council_Data!$S$3:$S$818),0)</f>
        <v>26</v>
      </c>
      <c r="T14">
        <f ca="1">ROUND(SUMIF(Council_Data!$D$3:$D$838,$V14,Council_Data!$T$3:$T$818),0)</f>
        <v>-22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85</v>
      </c>
      <c r="B15">
        <f>ROUND(SUMIF(Council_Data!$D$3:$D$838,$V15,Council_Data!$E$3:$E$838),0)</f>
        <v>3469</v>
      </c>
      <c r="C15" s="62">
        <f>'Goals-1'!R15</f>
        <v>166</v>
      </c>
      <c r="D15">
        <f>INDEX('Goals-1'!$B$4:$P$18,MATCH($V15,'Goals-1'!$A$4:$A$18),MATCH(RptMonth,'Goals-1'!$B$3:$P$3,0))</f>
        <v>9</v>
      </c>
      <c r="E15">
        <f>ROUND(SUMIF(Council_Data!$D$3:$D$838,$V15,Council_Data!$G$3:$G$838),0)</f>
        <v>2</v>
      </c>
      <c r="F15">
        <f ca="1">ROUND(SUMIF(Council_Data!$D$3:$D$838,$V15,Council_Data!$H$3:$H$818),0)</f>
        <v>0</v>
      </c>
      <c r="G15">
        <f ca="1">ROUND(SUMIF(Council_Data!$D$3:$D$838,$V15,Council_Data!$I$3:$I$818),0)</f>
        <v>2</v>
      </c>
      <c r="H15" s="62">
        <f>INDEX('Goals-1'!$B$72:$M$87,MATCH($V15,'Goals-1'!$A$72:$A$86),MATCH(RptMonth,'Goals-1'!$B$71:$M$71,0))</f>
        <v>88</v>
      </c>
      <c r="I15">
        <f>ROUND(SUMIF(Council_Data!$D$3:$D$838,$V15,Council_Data!$J$3:$J$838),0)</f>
        <v>23</v>
      </c>
      <c r="J15">
        <f ca="1">ROUND(SUMIF(Council_Data!$D$3:$D$838,$V15,Council_Data!$K$3:$K$818),0)</f>
        <v>1</v>
      </c>
      <c r="K15">
        <f ca="1">ROUND(SUMIF(Council_Data!$D$3:$D$838,$V15,Council_Data!$L$3:$L$818),0)</f>
        <v>22</v>
      </c>
      <c r="L15" s="54">
        <f t="shared" ca="1" si="2"/>
        <v>0.25</v>
      </c>
      <c r="N15">
        <f ca="1">ROUND(SUMIF(Council_Data!$D$3:$D$838,$V15,Council_Data!$N$3:$N$818),0)</f>
        <v>0</v>
      </c>
      <c r="O15">
        <f ca="1">ROUND(SUMIF(Council_Data!$D$3:$D$838,$V15,Council_Data!$O$3:$O$818),0)</f>
        <v>1</v>
      </c>
      <c r="P15">
        <f ca="1">ROUND(SUMIF(Council_Data!$D$3:$D$838,$V15,Council_Data!$P$3:$P$818),0)</f>
        <v>3</v>
      </c>
      <c r="Q15">
        <f ca="1">ROUND(SUMIF(Council_Data!$D$3:$D$838,$V15,Council_Data!$Q$3:$Q$818),0)</f>
        <v>-2</v>
      </c>
      <c r="R15">
        <f ca="1">ROUND(SUMIF(Council_Data!$D$3:$D$838,$V15,Council_Data!$R$3:$R$818),0)</f>
        <v>8</v>
      </c>
      <c r="S15">
        <f ca="1">ROUND(SUMIF(Council_Data!$D$3:$D$838,$V15,Council_Data!$S$3:$S$818),0)</f>
        <v>17</v>
      </c>
      <c r="T15">
        <f ca="1">ROUND(SUMIF(Council_Data!$D$3:$D$838,$V15,Council_Data!$T$3:$T$818),0)</f>
        <v>-9</v>
      </c>
      <c r="U15" s="63">
        <f ca="1">IFERROR(T15/N15,0)</f>
        <v>0</v>
      </c>
      <c r="V15" t="s">
        <v>85</v>
      </c>
      <c r="X15" t="str">
        <f t="shared" si="4"/>
        <v>N</v>
      </c>
    </row>
    <row r="16" spans="1:24">
      <c r="A16" s="24" t="s">
        <v>51</v>
      </c>
      <c r="B16">
        <f>ROUND(SUMIF(Council_Data!$D$3:$D$838,$V16,Council_Data!$E$3:$E$838),0)</f>
        <v>6626</v>
      </c>
      <c r="C16" s="62">
        <f>'Goals-1'!R18</f>
        <v>225</v>
      </c>
      <c r="D16">
        <f>INDEX('Goals-1'!$B$4:$P$18,MATCH($V16,'Goals-1'!$A$4:$A$18),MATCH(RptMonth,'Goals-1'!$B$3:$P$3,0))</f>
        <v>12</v>
      </c>
      <c r="E16">
        <f>ROUND(SUMIF(Council_Data!$D$3:$D$838,$V16,Council_Data!$G$3:$G$838),0)</f>
        <v>3</v>
      </c>
      <c r="F16">
        <f ca="1">ROUND(SUMIF(Council_Data!$D$3:$D$838,$V16,Council_Data!$H$3:$H$818),0)</f>
        <v>4</v>
      </c>
      <c r="G16">
        <f ca="1">ROUND(SUMIF(Council_Data!$D$3:$D$838,$V16,Council_Data!$I$3:$I$818),0)</f>
        <v>-1</v>
      </c>
      <c r="H16" s="62">
        <f>INDEX('Goals-1'!$B$72:$M$87,MATCH($V16,'Goals-1'!$A$72:$A$86),MATCH(RptMonth,'Goals-1'!$B$71:$M$71,0))</f>
        <v>118</v>
      </c>
      <c r="I16">
        <f>ROUND(SUMIF(Council_Data!$D$3:$D$838,$V16,Council_Data!$J$3:$J$838),0)</f>
        <v>39</v>
      </c>
      <c r="J16">
        <f ca="1">ROUND(SUMIF(Council_Data!$D$3:$D$838,$V16,Council_Data!$K$3:$K$818),0)</f>
        <v>19</v>
      </c>
      <c r="K16">
        <f ca="1">ROUND(SUMIF(Council_Data!$D$3:$D$838,$V16,Council_Data!$L$3:$L$818),0)</f>
        <v>20</v>
      </c>
      <c r="L16" s="54">
        <f t="shared" ca="1" si="2"/>
        <v>0.16949152542372881</v>
      </c>
      <c r="N16">
        <f ca="1">ROUND(SUMIF(Council_Data!$D$3:$D$838,$V16,Council_Data!$N$3:$N$818),0)</f>
        <v>0</v>
      </c>
      <c r="O16">
        <f ca="1">ROUND(SUMIF(Council_Data!$D$3:$D$838,$V16,Council_Data!$O$3:$O$818),0)</f>
        <v>2</v>
      </c>
      <c r="P16">
        <f ca="1">ROUND(SUMIF(Council_Data!$D$3:$D$838,$V16,Council_Data!$P$3:$P$818),0)</f>
        <v>14</v>
      </c>
      <c r="Q16">
        <f ca="1">ROUND(SUMIF(Council_Data!$D$3:$D$838,$V16,Council_Data!$Q$3:$Q$818),0)</f>
        <v>-12</v>
      </c>
      <c r="R16">
        <f ca="1">ROUND(SUMIF(Council_Data!$D$3:$D$838,$V16,Council_Data!$R$3:$R$818),0)</f>
        <v>26</v>
      </c>
      <c r="S16">
        <f ca="1">ROUND(SUMIF(Council_Data!$D$3:$D$838,$V16,Council_Data!$S$3:$S$818),0)</f>
        <v>34</v>
      </c>
      <c r="T16">
        <f ca="1">ROUND(SUMIF(Council_Data!$D$3:$D$838,$V16,Council_Data!$T$3:$T$818),0)</f>
        <v>-8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ROUND(SUMIF(Council_Data!$D$3:$D$838,$V18,Council_Data!$E$3:$E$838),0)</f>
        <v>2260</v>
      </c>
      <c r="C18" s="62">
        <f>'Goals-1'!R4</f>
        <v>111</v>
      </c>
      <c r="D18">
        <f>INDEX('Goals-1'!$B$4:$P$18,MATCH($V18,'Goals-1'!$A$4:$A$18),MATCH(RptMonth,'Goals-1'!$B$3:$P$3,0))</f>
        <v>6</v>
      </c>
      <c r="E18">
        <f>ROUND(SUMIF(Council_Data!$D$3:$D$838,$V18,Council_Data!$G$3:$G$838),0)</f>
        <v>1</v>
      </c>
      <c r="F18">
        <f ca="1">ROUND(SUMIF(Council_Data!$D$3:$D$838,$V18,Council_Data!$H$3:$H$818),0)</f>
        <v>1</v>
      </c>
      <c r="G18">
        <f ca="1">ROUND(SUMIF(Council_Data!$D$3:$D$838,$V18,Council_Data!$I$3:$I$818),0)</f>
        <v>0</v>
      </c>
      <c r="H18" s="62">
        <f>INDEX('Goals-1'!$B$72:$M$87,MATCH($V18,'Goals-1'!$A$72:$A$86),MATCH(RptMonth,'Goals-1'!$B$71:$M$71,0))</f>
        <v>59</v>
      </c>
      <c r="I18">
        <f>ROUND(SUMIF(Council_Data!$D$3:$D$838,$V18,Council_Data!$J$3:$J$838),0)</f>
        <v>12</v>
      </c>
      <c r="J18">
        <f ca="1">ROUND(SUMIF(Council_Data!$D$3:$D$838,$V18,Council_Data!$K$3:$K$818),0)</f>
        <v>5</v>
      </c>
      <c r="K18">
        <f ca="1">ROUND(SUMIF(Council_Data!$D$3:$D$838,$V18,Council_Data!$L$3:$L$818),0)</f>
        <v>7</v>
      </c>
      <c r="L18" s="54">
        <f t="shared" ca="1" si="2"/>
        <v>0.11864406779661017</v>
      </c>
      <c r="N18">
        <f ca="1">ROUND(SUMIF(Council_Data!$D$3:$D$838,$V18,Council_Data!$N$3:$N$818),0)</f>
        <v>0</v>
      </c>
      <c r="O18">
        <f ca="1">ROUND(SUMIF(Council_Data!$D$3:$D$838,$V18,Council_Data!$O$3:$O$818),0)</f>
        <v>1</v>
      </c>
      <c r="P18">
        <f ca="1">ROUND(SUMIF(Council_Data!$D$3:$D$838,$V18,Council_Data!$P$3:$P$818),0)</f>
        <v>2</v>
      </c>
      <c r="Q18">
        <f ca="1">ROUND(SUMIF(Council_Data!$D$3:$D$838,$V18,Council_Data!$Q$3:$Q$818),0)</f>
        <v>-1</v>
      </c>
      <c r="R18">
        <f ca="1">ROUND(SUMIF(Council_Data!$D$3:$D$838,$V18,Council_Data!$R$3:$R$818),0)</f>
        <v>7</v>
      </c>
      <c r="S18">
        <f ca="1">ROUND(SUMIF(Council_Data!$D$3:$D$838,$V18,Council_Data!$S$3:$S$818),0)</f>
        <v>16</v>
      </c>
      <c r="T18">
        <f ca="1">ROUND(SUMIF(Council_Data!$D$3:$D$838,$V18,Council_Data!$T$3:$T$818),0)</f>
        <v>-9</v>
      </c>
      <c r="U18" s="63">
        <f ca="1">IFERROR(T18/N18,0)</f>
        <v>0</v>
      </c>
      <c r="V18" t="s">
        <v>59</v>
      </c>
      <c r="W18" s="24" t="s">
        <v>934</v>
      </c>
      <c r="X18" t="str">
        <f>IF($D18&lt;=$E18,"Y","N")</f>
        <v>N</v>
      </c>
    </row>
    <row r="19" spans="1:24">
      <c r="A19" s="24" t="s">
        <v>23</v>
      </c>
      <c r="B19">
        <f>ROUND(SUMIF(Council_Data!$D$3:$D$838,$V19,Council_Data!$E$3:$E$838),0)</f>
        <v>3061</v>
      </c>
      <c r="C19" s="62">
        <f>'Goals-1'!R10</f>
        <v>147</v>
      </c>
      <c r="D19">
        <f>INDEX('Goals-1'!$B$4:$P$18,MATCH($V19,'Goals-1'!$A$4:$A$18),MATCH(RptMonth,'Goals-1'!$B$3:$P$3,0))</f>
        <v>8</v>
      </c>
      <c r="E19">
        <f>ROUND(SUMIF(Council_Data!$D$3:$D$838,$V19,Council_Data!$G$3:$G$838),0)</f>
        <v>12</v>
      </c>
      <c r="F19">
        <f ca="1">ROUND(SUMIF(Council_Data!$D$3:$D$838,$V19,Council_Data!$H$3:$H$818),0)</f>
        <v>1</v>
      </c>
      <c r="G19">
        <f ca="1">ROUND(SUMIF(Council_Data!$D$3:$D$838,$V19,Council_Data!$I$3:$I$818),0)</f>
        <v>11</v>
      </c>
      <c r="H19" s="62">
        <f>INDEX('Goals-1'!$B$72:$M$87,MATCH($V19,'Goals-1'!$A$72:$A$86),MATCH(RptMonth,'Goals-1'!$B$71:$M$71,0))</f>
        <v>78</v>
      </c>
      <c r="I19">
        <f>ROUND(SUMIF(Council_Data!$D$3:$D$838,$V19,Council_Data!$J$3:$J$838),0)</f>
        <v>67</v>
      </c>
      <c r="J19">
        <f ca="1">ROUND(SUMIF(Council_Data!$D$3:$D$838,$V19,Council_Data!$K$3:$K$818),0)</f>
        <v>15</v>
      </c>
      <c r="K19">
        <f ca="1">ROUND(SUMIF(Council_Data!$D$3:$D$838,$V19,Council_Data!$L$3:$L$818),0)</f>
        <v>52</v>
      </c>
      <c r="L19" s="54">
        <f t="shared" ca="1" si="2"/>
        <v>0.66666666666666663</v>
      </c>
      <c r="N19">
        <f ca="1">ROUND(SUMIF(Council_Data!$D$3:$D$838,$V19,Council_Data!$N$3:$N$818),0)</f>
        <v>0</v>
      </c>
      <c r="O19">
        <f ca="1">ROUND(SUMIF(Council_Data!$D$3:$D$838,$V19,Council_Data!$O$3:$O$818),0)</f>
        <v>2</v>
      </c>
      <c r="P19">
        <f ca="1">ROUND(SUMIF(Council_Data!$D$3:$D$838,$V19,Council_Data!$P$3:$P$818),0)</f>
        <v>8</v>
      </c>
      <c r="Q19">
        <f ca="1">ROUND(SUMIF(Council_Data!$D$3:$D$838,$V19,Council_Data!$Q$3:$Q$818),0)</f>
        <v>-6</v>
      </c>
      <c r="R19">
        <f ca="1">ROUND(SUMIF(Council_Data!$D$3:$D$838,$V19,Council_Data!$R$3:$R$818),0)</f>
        <v>6</v>
      </c>
      <c r="S19">
        <f ca="1">ROUND(SUMIF(Council_Data!$D$3:$D$838,$V19,Council_Data!$S$3:$S$818),0)</f>
        <v>15</v>
      </c>
      <c r="T19">
        <f ca="1">ROUND(SUMIF(Council_Data!$D$3:$D$838,$V19,Council_Data!$T$3:$T$818),0)</f>
        <v>-9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90</v>
      </c>
      <c r="B20">
        <f>ROUND(SUMIF(Council_Data!$D$3:$D$838,$V20,Council_Data!$E$3:$E$838),0)</f>
        <v>1841</v>
      </c>
      <c r="C20" s="62">
        <f>'Goals-1'!R13</f>
        <v>91</v>
      </c>
      <c r="D20">
        <f>INDEX('Goals-1'!$B$4:$P$18,MATCH($V20,'Goals-1'!$A$4:$A$18),MATCH(RptMonth,'Goals-1'!$B$3:$P$3,0))</f>
        <v>5</v>
      </c>
      <c r="E20">
        <f>ROUND(SUMIF(Council_Data!$D$3:$D$838,$V20,Council_Data!$G$3:$G$838),0)</f>
        <v>0</v>
      </c>
      <c r="F20">
        <f ca="1">ROUND(SUMIF(Council_Data!$D$3:$D$838,$V20,Council_Data!$H$3:$H$818),0)</f>
        <v>0</v>
      </c>
      <c r="G20">
        <f ca="1">ROUND(SUMIF(Council_Data!$D$3:$D$838,$V20,Council_Data!$I$3:$I$818),0)</f>
        <v>0</v>
      </c>
      <c r="H20" s="62">
        <f>INDEX('Goals-1'!$B$72:$M$87,MATCH($V20,'Goals-1'!$A$72:$A$86),MATCH(RptMonth,'Goals-1'!$B$71:$M$71,0))</f>
        <v>48</v>
      </c>
      <c r="I20">
        <f>ROUND(SUMIF(Council_Data!$D$3:$D$838,$V20,Council_Data!$J$3:$J$838),0)</f>
        <v>20</v>
      </c>
      <c r="J20">
        <f ca="1">ROUND(SUMIF(Council_Data!$D$3:$D$838,$V20,Council_Data!$K$3:$K$818),0)</f>
        <v>21</v>
      </c>
      <c r="K20">
        <f ca="1">ROUND(SUMIF(Council_Data!$D$3:$D$838,$V20,Council_Data!$L$3:$L$818),0)</f>
        <v>-1</v>
      </c>
      <c r="L20" s="54">
        <f t="shared" ca="1" si="2"/>
        <v>-2.0833333333333332E-2</v>
      </c>
      <c r="N20">
        <f ca="1">ROUND(SUMIF(Council_Data!$D$3:$D$838,$V20,Council_Data!$N$3:$N$818),0)</f>
        <v>0</v>
      </c>
      <c r="O20">
        <f ca="1">ROUND(SUMIF(Council_Data!$D$3:$D$838,$V20,Council_Data!$O$3:$O$818),0)</f>
        <v>0</v>
      </c>
      <c r="P20">
        <f ca="1">ROUND(SUMIF(Council_Data!$D$3:$D$838,$V20,Council_Data!$P$3:$P$818),0)</f>
        <v>0</v>
      </c>
      <c r="Q20">
        <f ca="1">ROUND(SUMIF(Council_Data!$D$3:$D$838,$V20,Council_Data!$Q$3:$Q$818),0)</f>
        <v>0</v>
      </c>
      <c r="R20">
        <f ca="1">ROUND(SUMIF(Council_Data!$D$3:$D$838,$V20,Council_Data!$R$3:$R$818),0)</f>
        <v>2</v>
      </c>
      <c r="S20">
        <f ca="1">ROUND(SUMIF(Council_Data!$D$3:$D$838,$V20,Council_Data!$S$3:$S$818),0)</f>
        <v>4</v>
      </c>
      <c r="T20">
        <f ca="1">ROUND(SUMIF(Council_Data!$D$3:$D$838,$V20,Council_Data!$T$3:$T$818),0)</f>
        <v>-2</v>
      </c>
      <c r="U20" s="63">
        <f ca="1">IFERROR(T20/N20,0)</f>
        <v>0</v>
      </c>
      <c r="V20" t="s">
        <v>90</v>
      </c>
      <c r="X20" t="str">
        <f t="shared" si="5"/>
        <v>N</v>
      </c>
    </row>
    <row r="21" spans="1:24">
      <c r="A21" s="24" t="s">
        <v>150</v>
      </c>
      <c r="B21">
        <f>ROUND(SUMIF(Council_Data!$D$3:$D$838,$V21,Council_Data!$E$3:$E$838),0)</f>
        <v>2182</v>
      </c>
      <c r="C21" s="62">
        <f>'Goals-1'!R14</f>
        <v>104</v>
      </c>
      <c r="D21">
        <f>INDEX('Goals-1'!$B$4:$P$18,MATCH($V21,'Goals-1'!$A$4:$A$18),MATCH(RptMonth,'Goals-1'!$B$3:$P$3,0))</f>
        <v>6</v>
      </c>
      <c r="E21">
        <f>ROUND(SUMIF(Council_Data!$D$3:$D$838,$V21,Council_Data!$G$3:$G$838),0)</f>
        <v>7</v>
      </c>
      <c r="F21">
        <f ca="1">ROUND(SUMIF(Council_Data!$D$3:$D$838,$V21,Council_Data!$H$3:$H$818),0)</f>
        <v>0</v>
      </c>
      <c r="G21">
        <f ca="1">ROUND(SUMIF(Council_Data!$D$3:$D$838,$V21,Council_Data!$I$3:$I$818),0)</f>
        <v>7</v>
      </c>
      <c r="H21" s="62">
        <f>INDEX('Goals-1'!$B$72:$M$87,MATCH($V21,'Goals-1'!$A$72:$A$86),MATCH(RptMonth,'Goals-1'!$B$71:$M$71,0))</f>
        <v>56</v>
      </c>
      <c r="I21">
        <f>ROUND(SUMIF(Council_Data!$D$3:$D$838,$V21,Council_Data!$J$3:$J$838),0)</f>
        <v>48</v>
      </c>
      <c r="J21">
        <f ca="1">ROUND(SUMIF(Council_Data!$D$3:$D$838,$V21,Council_Data!$K$3:$K$818),0)</f>
        <v>7</v>
      </c>
      <c r="K21">
        <f ca="1">ROUND(SUMIF(Council_Data!$D$3:$D$838,$V21,Council_Data!$L$3:$L$818),0)</f>
        <v>41</v>
      </c>
      <c r="L21" s="54">
        <f t="shared" ca="1" si="2"/>
        <v>0.7321428571428571</v>
      </c>
      <c r="N21">
        <f ca="1">ROUND(SUMIF(Council_Data!$D$3:$D$838,$V21,Council_Data!$N$3:$N$818),0)</f>
        <v>0</v>
      </c>
      <c r="O21">
        <f ca="1">ROUND(SUMIF(Council_Data!$D$3:$D$838,$V21,Council_Data!$O$3:$O$818),0)</f>
        <v>4</v>
      </c>
      <c r="P21">
        <f ca="1">ROUND(SUMIF(Council_Data!$D$3:$D$838,$V21,Council_Data!$P$3:$P$818),0)</f>
        <v>3</v>
      </c>
      <c r="Q21">
        <f ca="1">ROUND(SUMIF(Council_Data!$D$3:$D$838,$V21,Council_Data!$Q$3:$Q$818),0)</f>
        <v>1</v>
      </c>
      <c r="R21">
        <f ca="1">ROUND(SUMIF(Council_Data!$D$3:$D$838,$V21,Council_Data!$R$3:$R$818),0)</f>
        <v>17</v>
      </c>
      <c r="S21">
        <f ca="1">ROUND(SUMIF(Council_Data!$D$3:$D$838,$V21,Council_Data!$S$3:$S$818),0)</f>
        <v>15</v>
      </c>
      <c r="T21">
        <f ca="1">ROUND(SUMIF(Council_Data!$D$3:$D$838,$V21,Council_Data!$T$3:$T$818),0)</f>
        <v>2</v>
      </c>
      <c r="U21" s="63">
        <f ca="1">IFERROR(T21/N21,0)</f>
        <v>0</v>
      </c>
      <c r="V21" t="s">
        <v>150</v>
      </c>
      <c r="X21" t="str">
        <f t="shared" si="5"/>
        <v>Y</v>
      </c>
    </row>
    <row r="22" spans="1:24">
      <c r="A22" s="24" t="s">
        <v>64</v>
      </c>
      <c r="B22">
        <f>ROUND(SUMIF(Council_Data!$D$3:$D$838,$V22,Council_Data!$E$3:$E$838),0)</f>
        <v>2660</v>
      </c>
      <c r="C22" s="62">
        <f>'Goals-1'!R17</f>
        <v>127</v>
      </c>
      <c r="D22">
        <f>INDEX('Goals-1'!$B$4:$P$18,MATCH($V22,'Goals-1'!$A$4:$A$18),MATCH(RptMonth,'Goals-1'!$B$3:$P$3,0))</f>
        <v>7</v>
      </c>
      <c r="E22">
        <f>ROUND(SUMIF(Council_Data!$D$3:$D$838,$V22,Council_Data!$G$3:$G$838),0)</f>
        <v>2</v>
      </c>
      <c r="F22">
        <f ca="1">ROUND(SUMIF(Council_Data!$D$3:$D$838,$V22,Council_Data!$H$3:$H$818),0)</f>
        <v>12</v>
      </c>
      <c r="G22">
        <f ca="1">ROUND(SUMIF(Council_Data!$D$3:$D$838,$V22,Council_Data!$I$3:$I$818),0)</f>
        <v>-10</v>
      </c>
      <c r="H22" s="62">
        <f>INDEX('Goals-1'!$B$72:$M$87,MATCH($V22,'Goals-1'!$A$72:$A$86),MATCH(RptMonth,'Goals-1'!$B$71:$M$71,0))</f>
        <v>68</v>
      </c>
      <c r="I22">
        <f>ROUND(SUMIF(Council_Data!$D$3:$D$838,$V22,Council_Data!$J$3:$J$838),0)</f>
        <v>45</v>
      </c>
      <c r="J22">
        <f ca="1">ROUND(SUMIF(Council_Data!$D$3:$D$838,$V22,Council_Data!$K$3:$K$818),0)</f>
        <v>83</v>
      </c>
      <c r="K22">
        <f ca="1">ROUND(SUMIF(Council_Data!$D$3:$D$838,$V22,Council_Data!$L$3:$L$818),0)</f>
        <v>-38</v>
      </c>
      <c r="L22" s="54">
        <f t="shared" ca="1" si="2"/>
        <v>-0.55882352941176472</v>
      </c>
      <c r="N22">
        <f ca="1">ROUND(SUMIF(Council_Data!$D$3:$D$838,$V22,Council_Data!$N$3:$N$818),0)</f>
        <v>0</v>
      </c>
      <c r="O22">
        <f ca="1">ROUND(SUMIF(Council_Data!$D$3:$D$838,$V22,Council_Data!$O$3:$O$818),0)</f>
        <v>1</v>
      </c>
      <c r="P22">
        <f ca="1">ROUND(SUMIF(Council_Data!$D$3:$D$838,$V22,Council_Data!$P$3:$P$818),0)</f>
        <v>5</v>
      </c>
      <c r="Q22">
        <f ca="1">ROUND(SUMIF(Council_Data!$D$3:$D$838,$V22,Council_Data!$Q$3:$Q$818),0)</f>
        <v>-4</v>
      </c>
      <c r="R22">
        <f ca="1">ROUND(SUMIF(Council_Data!$D$3:$D$838,$V22,Council_Data!$R$3:$R$818),0)</f>
        <v>10</v>
      </c>
      <c r="S22">
        <f ca="1">ROUND(SUMIF(Council_Data!$D$3:$D$838,$V22,Council_Data!$S$3:$S$818),0)</f>
        <v>13</v>
      </c>
      <c r="T22">
        <f ca="1">ROUND(SUMIF(Council_Data!$D$3:$D$838,$V22,Council_Data!$T$3:$T$818),0)</f>
        <v>-3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93</v>
      </c>
      <c r="B24">
        <f>ROUND(SUMIF(Council_Data!$D$3:$D$838,$V24,Council_Data!$E$3:$E$838),0)</f>
        <v>122</v>
      </c>
      <c r="C24">
        <v>0</v>
      </c>
      <c r="E24">
        <f>ROUND(SUMIF(Council_Data!$D$3:$D$838,$V24,Council_Data!$G$3:$G$838),0)</f>
        <v>0</v>
      </c>
      <c r="F24">
        <f>ROUND(SUMIF(Council_Data!$D$3:$D$838,$V24,Council_Data!$H$3:$H$838),0)</f>
        <v>0</v>
      </c>
      <c r="G24">
        <f>ROUND(SUMIF(Council_Data!$D$3:$D$838,$V24,Council_Data!$I$3:$I$838),0)</f>
        <v>0</v>
      </c>
      <c r="I24">
        <f>ROUND(SUMIF(Council_Data!$D$3:$D$838,$V24,Council_Data!$J$3:$J$838),0)</f>
        <v>0</v>
      </c>
      <c r="J24">
        <f>ROUND(SUMIF(Council_Data!$D$3:$D$838,$V24,Council_Data!$K$3:$K$838),0)</f>
        <v>0</v>
      </c>
      <c r="K24">
        <f>ROUND(SUMIF(Council_Data!$D$3:$D$838,$V24,Council_Data!$L$3:$L$838),0)</f>
        <v>0</v>
      </c>
      <c r="L24" s="54">
        <f t="shared" si="2"/>
        <v>0</v>
      </c>
      <c r="N24">
        <f>ROUND(SUMIF(Council_Data!$D$3:$D$838,$V24,Council_Data!$N$3:$N$838),0)</f>
        <v>0</v>
      </c>
      <c r="O24">
        <f>ROUND(SUMIF(Council_Data!$D$3:$D$838,$V24,Council_Data!$N$3:$N$838),0)</f>
        <v>0</v>
      </c>
      <c r="P24">
        <f>ROUND(SUMIF(Council_Data!$D$3:$D$838,$V24,Council_Data!$N$3:$N$838),0)</f>
        <v>0</v>
      </c>
      <c r="Q24">
        <f>ROUND(SUMIF(Council_Data!$D$3:$D$838,$V24,Council_Data!$N$3:$N$838),0)</f>
        <v>0</v>
      </c>
      <c r="R24">
        <f>ROUND(SUMIF(Council_Data!$D$3:$D$838,$V24,Council_Data!$N$3:$N$838),0)</f>
        <v>0</v>
      </c>
      <c r="S24">
        <f>ROUND(SUMIF(Council_Data!$D$3:$D$838,$V24,Council_Data!$N$3:$N$838),0)</f>
        <v>0</v>
      </c>
      <c r="T24">
        <f>ROUND(SUMIF(Council_Data!$D$3:$D$838,$V24,Council_Data!$N$3:$N$838),0)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B3" tooltip="Galveston / Houston Districts" display="Galv/Hous" xr:uid="{00000000-0004-0000-0400-000004000000}"/>
    <hyperlink ref="A7" location="DLS!B3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29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>
      <c r="A4" s="50">
        <v>2543</v>
      </c>
      <c r="B4" s="50" t="str">
        <f>IF(ISNA(VLOOKUP($A4,Council_Data!$A$3:$AB$840,2,0)),0,VLOOKUP($A4,Council_Data!$A$3:$AB$840,2,0))</f>
        <v>231</v>
      </c>
      <c r="C4" s="50" t="str">
        <f>IF(ISNA(VLOOKUP($A4,Council_Data!$A$3:$AB$840,3,0)),0,VLOOKUP($A4,Council_Data!$A$3:$AB$840,3,0))</f>
        <v>Eagle Pass</v>
      </c>
      <c r="D4" s="93">
        <f>IF(ISNA(VLOOKUP($A4,Council_Data!$A$3:$AB$840,5,0)),0,VLOOKUP($A4,Council_Data!$A$3:$AB$840,5,0))</f>
        <v>187</v>
      </c>
      <c r="E4" s="93">
        <f>IF(ISNA(VLOOKUP($A4,Council_Data!$A$3:$AB$840,6,0)),0,VLOOKUP($A4,Council_Data!$A$3:$AB$840,6,0))</f>
        <v>9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1</v>
      </c>
      <c r="J4" s="93">
        <f>IF(ISNA(VLOOKUP($A4,Council_Data!$A$3:$AB$840,11,0)),0,VLOOKUP($A4,Council_Data!$A$3:$AB$840,11,0))</f>
        <v>21</v>
      </c>
      <c r="K4" s="93">
        <f>IF(ISNA(VLOOKUP($A4,Council_Data!$A$3:$AB$840,12,0)),0,VLOOKUP($A4,Council_Data!$A$3:$AB$840,12,0))</f>
        <v>-20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-1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Carlin</v>
      </c>
    </row>
    <row r="5" spans="1:22">
      <c r="A5" s="50">
        <v>10711</v>
      </c>
      <c r="B5" s="50" t="str">
        <f>IF(ISNA(VLOOKUP($A5,Council_Data!$A$3:$AB$840,2,0)),0,VLOOKUP($A5,Council_Data!$A$3:$AB$840,2,0))</f>
        <v>231</v>
      </c>
      <c r="C5" s="50" t="str">
        <f>IF(ISNA(VLOOKUP($A5,Council_Data!$A$3:$AB$840,3,0)),0,VLOOKUP($A5,Council_Data!$A$3:$AB$840,3,0))</f>
        <v>Eagle Pass</v>
      </c>
      <c r="D5" s="93">
        <f>IF(ISNA(VLOOKUP($A5,Council_Data!$A$3:$AB$840,5,0)),0,VLOOKUP($A5,Council_Data!$A$3:$AB$840,5,0))</f>
        <v>112</v>
      </c>
      <c r="E5" s="93">
        <f>IF(ISNA(VLOOKUP($A5,Council_Data!$A$3:$AB$840,6,0)),0,VLOOKUP($A5,Council_Data!$A$3:$AB$840,6,0))</f>
        <v>6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7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7</v>
      </c>
      <c r="L5" s="94">
        <f>IF(ISNA(VLOOKUP($A5,Council_Data!$A$3:$AB$840,13,0)),0,VLOOKUP($A5,Council_Data!$A$3:$AB$840,13,0))</f>
        <v>116.67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Carlin</v>
      </c>
    </row>
    <row r="6" spans="1:22">
      <c r="A6" s="50">
        <v>13675</v>
      </c>
      <c r="B6" s="50" t="str">
        <f>IF(ISNA(VLOOKUP($A6,Council_Data!$A$3:$AB$840,2,0)),0,VLOOKUP($A6,Council_Data!$A$3:$AB$840,2,0))</f>
        <v>231</v>
      </c>
      <c r="C6" s="50" t="str">
        <f>IF(ISNA(VLOOKUP($A6,Council_Data!$A$3:$AB$840,3,0)),0,VLOOKUP($A6,Council_Data!$A$3:$AB$840,3,0))</f>
        <v>La Pryor</v>
      </c>
      <c r="D6" s="93">
        <f>IF(ISNA(VLOOKUP($A6,Council_Data!$A$3:$AB$840,5,0)),0,VLOOKUP($A6,Council_Data!$A$3:$AB$840,5,0))</f>
        <v>34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Carlin</v>
      </c>
    </row>
    <row r="7" spans="1:22">
      <c r="A7" s="76">
        <v>16514</v>
      </c>
      <c r="B7" s="50" t="str">
        <f>IF(ISNA(VLOOKUP($A7,Council_Data!$A$3:$AB$840,2,0)),0,VLOOKUP($A7,Council_Data!$A$3:$AB$840,2,0))</f>
        <v>231</v>
      </c>
      <c r="C7" s="50" t="str">
        <f>IF(ISNA(VLOOKUP($A7,Council_Data!$A$3:$AB$840,3,0)),0,VLOOKUP($A7,Council_Data!$A$3:$AB$840,3,0))</f>
        <v>Batesville</v>
      </c>
      <c r="D7" s="93">
        <f>IF(ISNA(VLOOKUP($A7,Council_Data!$A$3:$AB$840,5,0)),0,VLOOKUP($A7,Council_Data!$A$3:$AB$840,5,0))</f>
        <v>21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Carlin</v>
      </c>
    </row>
    <row r="8" spans="1:22" ht="13.5" customHeight="1">
      <c r="A8" s="50">
        <v>2304</v>
      </c>
      <c r="B8" s="50" t="str">
        <f>IF(ISNA(VLOOKUP($A8,Council_Data!$A$3:$AB$840,2,0)),0,VLOOKUP($A8,Council_Data!$A$3:$AB$840,2,0))</f>
        <v>232</v>
      </c>
      <c r="C8" s="50" t="str">
        <f>IF(ISNA(VLOOKUP($A8,Council_Data!$A$3:$AB$840,3,0)),0,VLOOKUP($A8,Council_Data!$A$3:$AB$840,3,0))</f>
        <v>Laredo</v>
      </c>
      <c r="D8" s="93">
        <f>IF(ISNA(VLOOKUP($A8,Council_Data!$A$3:$AB$840,5,0)),0,VLOOKUP($A8,Council_Data!$A$3:$AB$840,5,0))</f>
        <v>81</v>
      </c>
      <c r="E8" s="93">
        <f>IF(ISNA(VLOOKUP($A8,Council_Data!$A$3:$AB$840,6,0)),0,VLOOKUP($A8,Council_Data!$A$3:$AB$840,6,0))</f>
        <v>4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1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1</v>
      </c>
      <c r="L8" s="94">
        <f>IF(ISNA(VLOOKUP($A8,Council_Data!$A$3:$AB$840,13,0)),0,VLOOKUP($A8,Council_Data!$A$3:$AB$840,13,0))</f>
        <v>25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Carlin</v>
      </c>
    </row>
    <row r="9" spans="1:22">
      <c r="A9" s="50">
        <v>7797</v>
      </c>
      <c r="B9" s="50" t="str">
        <f>IF(ISNA(VLOOKUP($A9,Council_Data!$A$3:$AB$840,2,0)),0,VLOOKUP($A9,Council_Data!$A$3:$AB$840,2,0))</f>
        <v>232</v>
      </c>
      <c r="C9" s="50" t="str">
        <f>IF(ISNA(VLOOKUP($A9,Council_Data!$A$3:$AB$840,3,0)),0,VLOOKUP($A9,Council_Data!$A$3:$AB$840,3,0))</f>
        <v>Laredo</v>
      </c>
      <c r="D9" s="93">
        <f>IF(ISNA(VLOOKUP($A9,Council_Data!$A$3:$AB$840,5,0)),0,VLOOKUP($A9,Council_Data!$A$3:$AB$840,5,0))</f>
        <v>16</v>
      </c>
      <c r="E9" s="93">
        <f>IF(ISNA(VLOOKUP($A9,Council_Data!$A$3:$AB$840,6,0)),0,VLOOKUP($A9,Council_Data!$A$3:$AB$840,6,0))</f>
        <v>7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Carlin</v>
      </c>
    </row>
    <row r="10" spans="1:22">
      <c r="A10" s="50">
        <v>13439</v>
      </c>
      <c r="B10" s="50" t="str">
        <f>IF(ISNA(VLOOKUP($A10,Council_Data!$A$3:$AB$840,2,0)),0,VLOOKUP($A10,Council_Data!$A$3:$AB$840,2,0))</f>
        <v>232</v>
      </c>
      <c r="C10" s="50" t="str">
        <f>IF(ISNA(VLOOKUP($A10,Council_Data!$A$3:$AB$840,3,0)),0,VLOOKUP($A10,Council_Data!$A$3:$AB$840,3,0))</f>
        <v>Laredo</v>
      </c>
      <c r="D10" s="93">
        <f>IF(ISNA(VLOOKUP($A10,Council_Data!$A$3:$AB$840,5,0)),0,VLOOKUP($A10,Council_Data!$A$3:$AB$840,5,0))</f>
        <v>53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Carlin</v>
      </c>
    </row>
    <row r="11" spans="1:22">
      <c r="A11" s="50">
        <v>15246</v>
      </c>
      <c r="B11" s="50" t="str">
        <f>IF(ISNA(VLOOKUP($A11,Council_Data!$A$3:$AB$840,2,0)),0,VLOOKUP($A11,Council_Data!$A$3:$AB$840,2,0))</f>
        <v>232</v>
      </c>
      <c r="C11" s="50" t="str">
        <f>IF(ISNA(VLOOKUP($A11,Council_Data!$A$3:$AB$840,3,0)),0,VLOOKUP($A11,Council_Data!$A$3:$AB$840,3,0))</f>
        <v>Laredo</v>
      </c>
      <c r="D11" s="93">
        <f>IF(ISNA(VLOOKUP($A11,Council_Data!$A$3:$AB$840,5,0)),0,VLOOKUP($A11,Council_Data!$A$3:$AB$840,5,0))</f>
        <v>39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Carlin</v>
      </c>
    </row>
    <row r="12" spans="1:22">
      <c r="A12" s="50">
        <v>9626</v>
      </c>
      <c r="B12" s="50" t="str">
        <f>IF(ISNA(VLOOKUP($A12,Council_Data!$A$3:$AB$840,2,0)),0,VLOOKUP($A12,Council_Data!$A$3:$AB$840,2,0))</f>
        <v>234</v>
      </c>
      <c r="C12" s="50" t="str">
        <f>IF(ISNA(VLOOKUP($A12,Council_Data!$A$3:$AB$840,3,0)),0,VLOOKUP($A12,Council_Data!$A$3:$AB$840,3,0))</f>
        <v>Laredo</v>
      </c>
      <c r="D12" s="93">
        <f>IF(ISNA(VLOOKUP($A12,Council_Data!$A$3:$AB$840,5,0)),0,VLOOKUP($A12,Council_Data!$A$3:$AB$840,5,0))</f>
        <v>139</v>
      </c>
      <c r="E12" s="93">
        <f>IF(ISNA(VLOOKUP($A12,Council_Data!$A$3:$AB$840,6,0)),0,VLOOKUP($A12,Council_Data!$A$3:$AB$840,6,0))</f>
        <v>7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2</v>
      </c>
      <c r="V12" s="50" t="str">
        <f>IF(ISNA(VLOOKUP($A12,Council_Data!$A$3:$AB$840,24,0)),0,VLOOKUP($A12,Council_Data!$A$3:$AB$840,24,0))</f>
        <v>Carlin</v>
      </c>
    </row>
    <row r="13" spans="1:22">
      <c r="A13" s="50">
        <v>10939</v>
      </c>
      <c r="B13" s="50" t="str">
        <f>IF(ISNA(VLOOKUP($A13,Council_Data!$A$3:$AB$840,2,0)),0,VLOOKUP($A13,Council_Data!$A$3:$AB$840,2,0))</f>
        <v>234</v>
      </c>
      <c r="C13" s="50" t="str">
        <f>IF(ISNA(VLOOKUP($A13,Council_Data!$A$3:$AB$840,3,0)),0,VLOOKUP($A13,Council_Data!$A$3:$AB$840,3,0))</f>
        <v>Laredo</v>
      </c>
      <c r="D13" s="93">
        <f>IF(ISNA(VLOOKUP($A13,Council_Data!$A$3:$AB$840,5,0)),0,VLOOKUP($A13,Council_Data!$A$3:$AB$840,5,0))</f>
        <v>99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1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Carlin</v>
      </c>
    </row>
    <row r="14" spans="1:22">
      <c r="A14" s="50">
        <v>14316</v>
      </c>
      <c r="B14" s="50" t="str">
        <f>IF(ISNA(VLOOKUP($A14,Council_Data!$A$3:$AB$840,2,0)),0,VLOOKUP($A14,Council_Data!$A$3:$AB$840,2,0))</f>
        <v>234</v>
      </c>
      <c r="C14" s="50" t="str">
        <f>IF(ISNA(VLOOKUP($A14,Council_Data!$A$3:$AB$840,3,0)),0,VLOOKUP($A14,Council_Data!$A$3:$AB$840,3,0))</f>
        <v>Laredo</v>
      </c>
      <c r="D14" s="93">
        <f>IF(ISNA(VLOOKUP($A14,Council_Data!$A$3:$AB$840,5,0)),0,VLOOKUP($A14,Council_Data!$A$3:$AB$840,5,0))</f>
        <v>36</v>
      </c>
      <c r="E14" s="93">
        <f>IF(ISNA(VLOOKUP($A14,Council_Data!$A$3:$AB$840,6,0)),0,VLOOKUP($A14,Council_Data!$A$3:$AB$840,6,0))</f>
        <v>3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8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8</v>
      </c>
      <c r="L14" s="94">
        <f>IF(ISNA(VLOOKUP($A14,Council_Data!$A$3:$AB$840,13,0)),0,VLOOKUP($A14,Council_Data!$A$3:$AB$840,13,0))</f>
        <v>266.67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3</v>
      </c>
      <c r="V14" s="50" t="str">
        <f>IF(ISNA(VLOOKUP($A14,Council_Data!$A$3:$AB$840,24,0)),0,VLOOKUP($A14,Council_Data!$A$3:$AB$840,24,0))</f>
        <v>Carlin</v>
      </c>
    </row>
    <row r="15" spans="1:22">
      <c r="A15" s="50">
        <v>15783</v>
      </c>
      <c r="B15" s="50" t="str">
        <f>IF(ISNA(VLOOKUP($A15,Council_Data!$A$3:$AB$840,2,0)),0,VLOOKUP($A15,Council_Data!$A$3:$AB$840,2,0))</f>
        <v>234</v>
      </c>
      <c r="C15" s="50" t="str">
        <f>IF(ISNA(VLOOKUP($A15,Council_Data!$A$3:$AB$840,3,0)),0,VLOOKUP($A15,Council_Data!$A$3:$AB$840,3,0))</f>
        <v>Laredo</v>
      </c>
      <c r="D15" s="93">
        <f>IF(ISNA(VLOOKUP($A15,Council_Data!$A$3:$AB$840,5,0)),0,VLOOKUP($A15,Council_Data!$A$3:$AB$840,5,0))</f>
        <v>58</v>
      </c>
      <c r="E15" s="93">
        <f>IF(ISNA(VLOOKUP($A15,Council_Data!$A$3:$AB$840,6,0)),0,VLOOKUP($A15,Council_Data!$A$3:$AB$840,6,0))</f>
        <v>3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Carlin</v>
      </c>
    </row>
    <row r="16" spans="1:22">
      <c r="A16" s="50">
        <v>7692</v>
      </c>
      <c r="B16" s="50" t="str">
        <f>IF(ISNA(VLOOKUP($A16,Council_Data!$A$3:$AB$840,2,0)),0,VLOOKUP($A16,Council_Data!$A$3:$AB$840,2,0))</f>
        <v>233</v>
      </c>
      <c r="C16" s="50" t="str">
        <f>IF(ISNA(VLOOKUP($A16,Council_Data!$A$3:$AB$840,3,0)),0,VLOOKUP($A16,Council_Data!$A$3:$AB$840,3,0))</f>
        <v>Laredo</v>
      </c>
      <c r="D16" s="93">
        <f>IF(ISNA(VLOOKUP($A16,Council_Data!$A$3:$AB$840,5,0)),0,VLOOKUP($A16,Council_Data!$A$3:$AB$840,5,0))</f>
        <v>58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Carlin</v>
      </c>
    </row>
    <row r="17" spans="1:22">
      <c r="A17" s="50">
        <v>13838</v>
      </c>
      <c r="B17" s="50" t="str">
        <f>IF(ISNA(VLOOKUP($A17,Council_Data!$A$3:$AB$840,2,0)),0,VLOOKUP($A17,Council_Data!$A$3:$AB$840,2,0))</f>
        <v>233</v>
      </c>
      <c r="C17" s="50" t="str">
        <f>IF(ISNA(VLOOKUP($A17,Council_Data!$A$3:$AB$840,3,0)),0,VLOOKUP($A17,Council_Data!$A$3:$AB$840,3,0))</f>
        <v>Laredo</v>
      </c>
      <c r="D17" s="93">
        <f>IF(ISNA(VLOOKUP($A17,Council_Data!$A$3:$AB$840,5,0)),0,VLOOKUP($A17,Council_Data!$A$3:$AB$840,5,0))</f>
        <v>77</v>
      </c>
      <c r="E17" s="93">
        <f>IF(ISNA(VLOOKUP($A17,Council_Data!$A$3:$AB$840,6,0)),0,VLOOKUP($A17,Council_Data!$A$3:$AB$840,6,0))</f>
        <v>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Carlin</v>
      </c>
    </row>
    <row r="18" spans="1:22">
      <c r="A18" s="50">
        <v>8142</v>
      </c>
      <c r="B18" s="50" t="str">
        <f>IF(ISNA(VLOOKUP($A18,Council_Data!$A$3:$AB$840,2,0)),0,VLOOKUP($A18,Council_Data!$A$3:$AB$840,2,0))</f>
        <v>235</v>
      </c>
      <c r="C18" s="50" t="str">
        <f>IF(ISNA(VLOOKUP($A18,Council_Data!$A$3:$AB$840,3,0)),0,VLOOKUP($A18,Council_Data!$A$3:$AB$840,3,0))</f>
        <v>Carrizo Springs</v>
      </c>
      <c r="D18" s="93">
        <f>IF(ISNA(VLOOKUP($A18,Council_Data!$A$3:$AB$840,5,0)),0,VLOOKUP($A18,Council_Data!$A$3:$AB$840,5,0))</f>
        <v>128</v>
      </c>
      <c r="E18" s="93">
        <f>IF(ISNA(VLOOKUP($A18,Council_Data!$A$3:$AB$840,6,0)),0,VLOOKUP($A18,Council_Data!$A$3:$AB$840,6,0))</f>
        <v>6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Carlin</v>
      </c>
    </row>
    <row r="19" spans="1:22">
      <c r="A19" s="50">
        <v>8312</v>
      </c>
      <c r="B19" s="50" t="str">
        <f>IF(ISNA(VLOOKUP($A19,Council_Data!$A$3:$AB$840,2,0)),0,VLOOKUP($A19,Council_Data!$A$3:$AB$840,2,0))</f>
        <v>235</v>
      </c>
      <c r="C19" s="50" t="str">
        <f>IF(ISNA(VLOOKUP($A19,Council_Data!$A$3:$AB$840,3,0)),0,VLOOKUP($A19,Council_Data!$A$3:$AB$840,3,0))</f>
        <v>Asherton</v>
      </c>
      <c r="D19" s="93">
        <f>IF(ISNA(VLOOKUP($A19,Council_Data!$A$3:$AB$840,5,0)),0,VLOOKUP($A19,Council_Data!$A$3:$AB$840,5,0))</f>
        <v>74</v>
      </c>
      <c r="E19" s="93">
        <f>IF(ISNA(VLOOKUP($A19,Council_Data!$A$3:$AB$840,6,0)),0,VLOOKUP($A19,Council_Data!$A$3:$AB$840,6,0))</f>
        <v>4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Carlin</v>
      </c>
    </row>
    <row r="20" spans="1:22">
      <c r="A20" s="50">
        <v>8368</v>
      </c>
      <c r="B20" s="50" t="str">
        <f>IF(ISNA(VLOOKUP($A20,Council_Data!$A$3:$AB$840,2,0)),0,VLOOKUP($A20,Council_Data!$A$3:$AB$840,2,0))</f>
        <v>235</v>
      </c>
      <c r="C20" s="50" t="str">
        <f>IF(ISNA(VLOOKUP($A20,Council_Data!$A$3:$AB$840,3,0)),0,VLOOKUP($A20,Council_Data!$A$3:$AB$840,3,0))</f>
        <v>Crystal City</v>
      </c>
      <c r="D20" s="93">
        <f>IF(ISNA(VLOOKUP($A20,Council_Data!$A$3:$AB$840,5,0)),0,VLOOKUP($A20,Council_Data!$A$3:$AB$840,5,0))</f>
        <v>54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1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1</v>
      </c>
      <c r="L20" s="94">
        <f>IF(ISNA(VLOOKUP($A20,Council_Data!$A$3:$AB$840,13,0)),0,VLOOKUP($A20,Council_Data!$A$3:$AB$840,13,0))</f>
        <v>33.33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-1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Carlin</v>
      </c>
    </row>
    <row r="21" spans="1:22">
      <c r="A21" s="50">
        <v>13941</v>
      </c>
      <c r="B21" s="50" t="str">
        <f>IF(ISNA(VLOOKUP($A21,Council_Data!$A$3:$AB$840,2,0)),0,VLOOKUP($A21,Council_Data!$A$3:$AB$840,2,0))</f>
        <v>235</v>
      </c>
      <c r="C21" s="50" t="str">
        <f>IF(ISNA(VLOOKUP($A21,Council_Data!$A$3:$AB$840,3,0)),0,VLOOKUP($A21,Council_Data!$A$3:$AB$840,3,0))</f>
        <v>Cotulla</v>
      </c>
      <c r="D21" s="93">
        <f>IF(ISNA(VLOOKUP($A21,Council_Data!$A$3:$AB$840,5,0)),0,VLOOKUP($A21,Council_Data!$A$3:$AB$840,5,0))</f>
        <v>51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Carlin</v>
      </c>
    </row>
    <row r="22" spans="1:22">
      <c r="A22" s="50">
        <v>10413</v>
      </c>
      <c r="B22" s="50" t="str">
        <f>IF(ISNA(VLOOKUP($A22,Council_Data!$A$3:$AB$840,2,0)),0,VLOOKUP($A22,Council_Data!$A$3:$AB$840,2,0))</f>
        <v>236</v>
      </c>
      <c r="C22" s="50" t="str">
        <f>IF(ISNA(VLOOKUP($A22,Council_Data!$A$3:$AB$840,3,0)),0,VLOOKUP($A22,Council_Data!$A$3:$AB$840,3,0))</f>
        <v>Laredo</v>
      </c>
      <c r="D22" s="93">
        <f>IF(ISNA(VLOOKUP($A22,Council_Data!$A$3:$AB$840,5,0)),0,VLOOKUP($A22,Council_Data!$A$3:$AB$840,5,0))</f>
        <v>116</v>
      </c>
      <c r="E22" s="93">
        <f>IF(ISNA(VLOOKUP($A22,Council_Data!$A$3:$AB$840,6,0)),0,VLOOKUP($A22,Council_Data!$A$3:$AB$840,6,0))</f>
        <v>6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1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1</v>
      </c>
      <c r="L22" s="94">
        <f>IF(ISNA(VLOOKUP($A22,Council_Data!$A$3:$AB$840,13,0)),0,VLOOKUP($A22,Council_Data!$A$3:$AB$840,13,0))</f>
        <v>16.670000000000002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Carlin</v>
      </c>
    </row>
    <row r="23" spans="1:22">
      <c r="A23" s="50">
        <v>14100</v>
      </c>
      <c r="B23" s="50" t="str">
        <f>IF(ISNA(VLOOKUP($A23,Council_Data!$A$3:$AB$840,2,0)),0,VLOOKUP($A23,Council_Data!$A$3:$AB$840,2,0))</f>
        <v>236</v>
      </c>
      <c r="C23" s="50" t="str">
        <f>IF(ISNA(VLOOKUP($A23,Council_Data!$A$3:$AB$840,3,0)),0,VLOOKUP($A23,Council_Data!$A$3:$AB$840,3,0))</f>
        <v>Laredo</v>
      </c>
      <c r="D23" s="93">
        <f>IF(ISNA(VLOOKUP($A23,Council_Data!$A$3:$AB$840,5,0)),0,VLOOKUP($A23,Council_Data!$A$3:$AB$840,5,0))</f>
        <v>54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1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1</v>
      </c>
      <c r="L23" s="94">
        <f>IF(ISNA(VLOOKUP($A23,Council_Data!$A$3:$AB$840,13,0)),0,VLOOKUP($A23,Council_Data!$A$3:$AB$840,13,0))</f>
        <v>33.33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1</v>
      </c>
      <c r="S23" s="93">
        <f>IF(ISNA(VLOOKUP($A23,Council_Data!$A$3:$AB$840,20,0)),0,VLOOKUP($A23,Council_Data!$A$3:$AB$840,20,0))</f>
        <v>-1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Carlin</v>
      </c>
    </row>
    <row r="24" spans="1:22">
      <c r="A24" s="50">
        <v>16074</v>
      </c>
      <c r="B24" s="50" t="str">
        <f>IF(ISNA(VLOOKUP($A24,Council_Data!$A$3:$AB$840,2,0)),0,VLOOKUP($A24,Council_Data!$A$3:$AB$840,2,0))</f>
        <v>236</v>
      </c>
      <c r="C24" s="50" t="str">
        <f>IF(ISNA(VLOOKUP($A24,Council_Data!$A$3:$AB$840,3,0)),0,VLOOKUP($A24,Council_Data!$A$3:$AB$840,3,0))</f>
        <v>Laredo</v>
      </c>
      <c r="D24" s="93">
        <f>IF(ISNA(VLOOKUP($A24,Council_Data!$A$3:$AB$840,5,0)),0,VLOOKUP($A24,Council_Data!$A$3:$AB$840,5,0))</f>
        <v>23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Carlin</v>
      </c>
    </row>
    <row r="25" spans="1:22">
      <c r="A25" s="50">
        <v>11620</v>
      </c>
      <c r="B25" s="50" t="str">
        <f>IF(ISNA(VLOOKUP($A25,Council_Data!$A$3:$AB$840,2,0)),0,VLOOKUP($A25,Council_Data!$A$3:$AB$840,2,0))</f>
        <v>237</v>
      </c>
      <c r="C25" s="50" t="str">
        <f>IF(ISNA(VLOOKUP($A25,Council_Data!$A$3:$AB$840,3,0)),0,VLOOKUP($A25,Council_Data!$A$3:$AB$840,3,0))</f>
        <v>Laredo</v>
      </c>
      <c r="D25" s="93">
        <f>IF(ISNA(VLOOKUP($A25,Council_Data!$A$3:$AB$840,5,0)),0,VLOOKUP($A25,Council_Data!$A$3:$AB$840,5,0))</f>
        <v>132</v>
      </c>
      <c r="E25" s="93">
        <f>IF(ISNA(VLOOKUP($A25,Council_Data!$A$3:$AB$840,6,0)),0,VLOOKUP($A25,Council_Data!$A$3:$AB$840,6,0))</f>
        <v>7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-1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2</v>
      </c>
      <c r="V25" s="50" t="str">
        <f>IF(ISNA(VLOOKUP($A25,Council_Data!$A$3:$AB$840,24,0)),0,VLOOKUP($A25,Council_Data!$A$3:$AB$840,24,0))</f>
        <v>Carlin</v>
      </c>
    </row>
    <row r="26" spans="1:22">
      <c r="A26" s="50">
        <v>12928</v>
      </c>
      <c r="B26" s="50" t="str">
        <f>IF(ISNA(VLOOKUP($A26,Council_Data!$A$3:$AB$840,2,0)),0,VLOOKUP($A26,Council_Data!$A$3:$AB$840,2,0))</f>
        <v>237</v>
      </c>
      <c r="C26" s="50" t="str">
        <f>IF(ISNA(VLOOKUP($A26,Council_Data!$A$3:$AB$840,3,0)),0,VLOOKUP($A26,Council_Data!$A$3:$AB$840,3,0))</f>
        <v>Laredo</v>
      </c>
      <c r="D26" s="93">
        <f>IF(ISNA(VLOOKUP($A26,Council_Data!$A$3:$AB$840,5,0)),0,VLOOKUP($A26,Council_Data!$A$3:$AB$840,5,0))</f>
        <v>23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Carlin</v>
      </c>
    </row>
    <row r="27" spans="1:22">
      <c r="A27" s="50">
        <v>2810</v>
      </c>
      <c r="B27" s="50" t="str">
        <f>IF(ISNA(VLOOKUP($A27,Council_Data!$A$3:$AB$840,2,0)),0,VLOOKUP($A27,Council_Data!$A$3:$AB$840,2,0))</f>
        <v>238</v>
      </c>
      <c r="C27" s="50" t="str">
        <f>IF(ISNA(VLOOKUP($A27,Council_Data!$A$3:$AB$840,3,0)),0,VLOOKUP($A27,Council_Data!$A$3:$AB$840,3,0))</f>
        <v>Hebbronville</v>
      </c>
      <c r="D27" s="93">
        <f>IF(ISNA(VLOOKUP($A27,Council_Data!$A$3:$AB$840,5,0)),0,VLOOKUP($A27,Council_Data!$A$3:$AB$840,5,0))</f>
        <v>71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Carlin</v>
      </c>
    </row>
    <row r="28" spans="1:22">
      <c r="A28" s="50">
        <v>9650</v>
      </c>
      <c r="B28" s="50" t="str">
        <f>IF(ISNA(VLOOKUP($A28,Council_Data!$A$3:$AB$840,2,0)),0,VLOOKUP($A28,Council_Data!$A$3:$AB$840,2,0))</f>
        <v>238</v>
      </c>
      <c r="C28" s="50" t="str">
        <f>IF(ISNA(VLOOKUP($A28,Council_Data!$A$3:$AB$840,3,0)),0,VLOOKUP($A28,Council_Data!$A$3:$AB$840,3,0))</f>
        <v>Zapata</v>
      </c>
      <c r="D28" s="93">
        <f>IF(ISNA(VLOOKUP($A28,Council_Data!$A$3:$AB$840,5,0)),0,VLOOKUP($A28,Council_Data!$A$3:$AB$840,5,0))</f>
        <v>73</v>
      </c>
      <c r="E28" s="93">
        <f>IF(ISNA(VLOOKUP($A28,Council_Data!$A$3:$AB$840,6,0)),0,VLOOKUP($A28,Council_Data!$A$3:$AB$840,6,0))</f>
        <v>4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Carlin</v>
      </c>
    </row>
    <row r="29" spans="1:22">
      <c r="A29" s="50">
        <v>14805</v>
      </c>
      <c r="B29" s="50" t="str">
        <f>IF(ISNA(VLOOKUP($A29,Council_Data!$A$3:$AB$840,2,0)),0,VLOOKUP($A29,Council_Data!$A$3:$AB$840,2,0))</f>
        <v>238</v>
      </c>
      <c r="C29" s="50" t="str">
        <f>IF(ISNA(VLOOKUP($A29,Council_Data!$A$3:$AB$840,3,0)),0,VLOOKUP($A29,Council_Data!$A$3:$AB$840,3,0))</f>
        <v>Rio Bravo/El Cenizo</v>
      </c>
      <c r="D29" s="93">
        <f>IF(ISNA(VLOOKUP($A29,Council_Data!$A$3:$AB$840,5,0)),0,VLOOKUP($A29,Council_Data!$A$3:$AB$840,5,0))</f>
        <v>32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Carlin</v>
      </c>
    </row>
  </sheetData>
  <sortState xmlns:xlrd2="http://schemas.microsoft.com/office/spreadsheetml/2017/richdata2" ref="A4:V29">
    <sortCondition ref="B4:B29"/>
    <sortCondition ref="A4:A29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4412</v>
      </c>
      <c r="B4" s="50" t="str">
        <f>IF(ISNA(VLOOKUP($A4,Council_Data!$A$3:$AB$840,2,0)),0,VLOOKUP($A4,Council_Data!$A$3:$AB$840,2,0))</f>
        <v>241</v>
      </c>
      <c r="C4" s="50" t="str">
        <f>IF(ISNA(VLOOKUP($A4,Council_Data!$A$3:$AB$840,3,0)),0,VLOOKUP($A4,Council_Data!$A$3:$AB$840,3,0))</f>
        <v>Plainview</v>
      </c>
      <c r="D4" s="93">
        <f>IF(ISNA(VLOOKUP($A4,Council_Data!$A$3:$AB$840,5,0)),0,VLOOKUP($A4,Council_Data!$A$3:$AB$840,5,0))</f>
        <v>31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Payne</v>
      </c>
    </row>
    <row r="5" spans="1:22">
      <c r="A5" s="50">
        <v>7094</v>
      </c>
      <c r="B5" s="50" t="str">
        <f>IF(ISNA(VLOOKUP($A5,Council_Data!$A$3:$AB$840,2,0)),0,VLOOKUP($A5,Council_Data!$A$3:$AB$840,2,0))</f>
        <v>241</v>
      </c>
      <c r="C5" s="50" t="str">
        <f>IF(ISNA(VLOOKUP($A5,Council_Data!$A$3:$AB$840,3,0)),0,VLOOKUP($A5,Council_Data!$A$3:$AB$840,3,0))</f>
        <v>New Deal</v>
      </c>
      <c r="D5" s="93">
        <f>IF(ISNA(VLOOKUP($A5,Council_Data!$A$3:$AB$840,5,0)),0,VLOOKUP($A5,Council_Data!$A$3:$AB$840,5,0))</f>
        <v>42</v>
      </c>
      <c r="E5" s="93">
        <f>IF(ISNA(VLOOKUP($A5,Council_Data!$A$3:$AB$840,6,0)),0,VLOOKUP($A5,Council_Data!$A$3:$AB$840,6,0))</f>
        <v>3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Payne</v>
      </c>
    </row>
    <row r="6" spans="1:22">
      <c r="A6" s="50">
        <v>11365</v>
      </c>
      <c r="B6" s="50" t="str">
        <f>IF(ISNA(VLOOKUP($A6,Council_Data!$A$3:$AB$840,2,0)),0,VLOOKUP($A6,Council_Data!$A$3:$AB$840,2,0))</f>
        <v>245</v>
      </c>
      <c r="C6" s="50" t="str">
        <f>IF(ISNA(VLOOKUP($A6,Council_Data!$A$3:$AB$840,3,0)),0,VLOOKUP($A6,Council_Data!$A$3:$AB$840,3,0))</f>
        <v>Odonnell</v>
      </c>
      <c r="D6" s="93">
        <f>IF(ISNA(VLOOKUP($A6,Council_Data!$A$3:$AB$840,5,0)),0,VLOOKUP($A6,Council_Data!$A$3:$AB$840,5,0))</f>
        <v>26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1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1</v>
      </c>
      <c r="L6" s="94">
        <f>IF(ISNA(VLOOKUP($A6,Council_Data!$A$3:$AB$840,13,0)),0,VLOOKUP($A6,Council_Data!$A$3:$AB$840,13,0))</f>
        <v>33.33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Payne</v>
      </c>
    </row>
    <row r="7" spans="1:22">
      <c r="A7" s="50">
        <v>12828</v>
      </c>
      <c r="B7" s="50" t="str">
        <f>IF(ISNA(VLOOKUP($A7,Council_Data!$A$3:$AB$840,2,0)),0,VLOOKUP($A7,Council_Data!$A$3:$AB$840,2,0))</f>
        <v>241</v>
      </c>
      <c r="C7" s="50" t="str">
        <f>IF(ISNA(VLOOKUP($A7,Council_Data!$A$3:$AB$840,3,0)),0,VLOOKUP($A7,Council_Data!$A$3:$AB$840,3,0))</f>
        <v>Plainview</v>
      </c>
      <c r="D7" s="93">
        <f>IF(ISNA(VLOOKUP($A7,Council_Data!$A$3:$AB$840,5,0)),0,VLOOKUP($A7,Council_Data!$A$3:$AB$840,5,0))</f>
        <v>20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Payne</v>
      </c>
    </row>
    <row r="8" spans="1:22">
      <c r="A8" s="50">
        <v>5537</v>
      </c>
      <c r="B8" s="50" t="str">
        <f>IF(ISNA(VLOOKUP($A8,Council_Data!$A$3:$AB$840,2,0)),0,VLOOKUP($A8,Council_Data!$A$3:$AB$840,2,0))</f>
        <v>247</v>
      </c>
      <c r="C8" s="50" t="str">
        <f>IF(ISNA(VLOOKUP($A8,Council_Data!$A$3:$AB$840,3,0)),0,VLOOKUP($A8,Council_Data!$A$3:$AB$840,3,0))</f>
        <v>Pep</v>
      </c>
      <c r="D8" s="93">
        <f>IF(ISNA(VLOOKUP($A8,Council_Data!$A$3:$AB$840,5,0)),0,VLOOKUP($A8,Council_Data!$A$3:$AB$840,5,0))</f>
        <v>45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3</v>
      </c>
      <c r="V8" s="50" t="str">
        <f>IF(ISNA(VLOOKUP($A8,Council_Data!$A$3:$AB$840,24,0)),0,VLOOKUP($A8,Council_Data!$A$3:$AB$840,24,0))</f>
        <v>Payne</v>
      </c>
    </row>
    <row r="9" spans="1:22">
      <c r="A9" s="50">
        <v>8875</v>
      </c>
      <c r="B9" s="50" t="str">
        <f>IF(ISNA(VLOOKUP($A9,Council_Data!$A$3:$AB$840,2,0)),0,VLOOKUP($A9,Council_Data!$A$3:$AB$840,2,0))</f>
        <v>242</v>
      </c>
      <c r="C9" s="50" t="str">
        <f>IF(ISNA(VLOOKUP($A9,Council_Data!$A$3:$AB$840,3,0)),0,VLOOKUP($A9,Council_Data!$A$3:$AB$840,3,0))</f>
        <v>Snyder</v>
      </c>
      <c r="D9" s="93">
        <f>IF(ISNA(VLOOKUP($A9,Council_Data!$A$3:$AB$840,5,0)),0,VLOOKUP($A9,Council_Data!$A$3:$AB$840,5,0))</f>
        <v>65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Payne</v>
      </c>
    </row>
    <row r="10" spans="1:22">
      <c r="A10" s="50">
        <v>10480</v>
      </c>
      <c r="B10" s="50" t="str">
        <f>IF(ISNA(VLOOKUP($A10,Council_Data!$A$3:$AB$840,2,0)),0,VLOOKUP($A10,Council_Data!$A$3:$AB$840,2,0))</f>
        <v>242</v>
      </c>
      <c r="C10" s="50" t="str">
        <f>IF(ISNA(VLOOKUP($A10,Council_Data!$A$3:$AB$840,3,0)),0,VLOOKUP($A10,Council_Data!$A$3:$AB$840,3,0))</f>
        <v>Stamford</v>
      </c>
      <c r="D10" s="93">
        <f>IF(ISNA(VLOOKUP($A10,Council_Data!$A$3:$AB$840,5,0)),0,VLOOKUP($A10,Council_Data!$A$3:$AB$840,5,0))</f>
        <v>49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3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3</v>
      </c>
      <c r="L10" s="94">
        <f>IF(ISNA(VLOOKUP($A10,Council_Data!$A$3:$AB$840,13,0)),0,VLOOKUP($A10,Council_Data!$A$3:$AB$840,13,0))</f>
        <v>100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Payne</v>
      </c>
    </row>
    <row r="11" spans="1:22">
      <c r="A11" s="50">
        <v>11012</v>
      </c>
      <c r="B11" s="50" t="str">
        <f>IF(ISNA(VLOOKUP($A11,Council_Data!$A$3:$AB$840,2,0)),0,VLOOKUP($A11,Council_Data!$A$3:$AB$840,2,0))</f>
        <v>247</v>
      </c>
      <c r="C11" s="50" t="str">
        <f>IF(ISNA(VLOOKUP($A11,Council_Data!$A$3:$AB$840,3,0)),0,VLOOKUP($A11,Council_Data!$A$3:$AB$840,3,0))</f>
        <v>Seminole</v>
      </c>
      <c r="D11" s="93">
        <f>IF(ISNA(VLOOKUP($A11,Council_Data!$A$3:$AB$840,5,0)),0,VLOOKUP($A11,Council_Data!$A$3:$AB$840,5,0))</f>
        <v>44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>
      <c r="A12" s="50">
        <v>12292</v>
      </c>
      <c r="B12" s="50" t="str">
        <f>IF(ISNA(VLOOKUP($A12,Council_Data!$A$3:$AB$840,2,0)),0,VLOOKUP($A12,Council_Data!$A$3:$AB$840,2,0))</f>
        <v>247</v>
      </c>
      <c r="C12" s="50" t="str">
        <f>IF(ISNA(VLOOKUP($A12,Council_Data!$A$3:$AB$840,3,0)),0,VLOOKUP($A12,Council_Data!$A$3:$AB$840,3,0))</f>
        <v>Brownfield</v>
      </c>
      <c r="D12" s="93">
        <f>IF(ISNA(VLOOKUP($A12,Council_Data!$A$3:$AB$840,5,0)),0,VLOOKUP($A12,Council_Data!$A$3:$AB$840,5,0))</f>
        <v>63</v>
      </c>
      <c r="E12" s="93">
        <f>IF(ISNA(VLOOKUP($A12,Council_Data!$A$3:$AB$840,6,0)),0,VLOOKUP($A12,Council_Data!$A$3:$AB$840,6,0))</f>
        <v>3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1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1</v>
      </c>
      <c r="Q12" s="93">
        <f>IF(ISNA(VLOOKUP($A12,Council_Data!$A$3:$AB$840,18,0)),0,VLOOKUP($A12,Council_Data!$A$3:$AB$840,18,0))</f>
        <v>2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2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Payne</v>
      </c>
    </row>
    <row r="13" spans="1:22">
      <c r="A13" s="50">
        <v>10310</v>
      </c>
      <c r="B13" s="50" t="str">
        <f>IF(ISNA(VLOOKUP($A13,Council_Data!$A$3:$AB$840,2,0)),0,VLOOKUP($A13,Council_Data!$A$3:$AB$840,2,0))</f>
        <v>243</v>
      </c>
      <c r="C13" s="50" t="str">
        <f>IF(ISNA(VLOOKUP($A13,Council_Data!$A$3:$AB$840,3,0)),0,VLOOKUP($A13,Council_Data!$A$3:$AB$840,3,0))</f>
        <v>Plainview</v>
      </c>
      <c r="D13" s="93">
        <f>IF(ISNA(VLOOKUP($A13,Council_Data!$A$3:$AB$840,5,0)),0,VLOOKUP($A13,Council_Data!$A$3:$AB$840,5,0))</f>
        <v>92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Payne</v>
      </c>
    </row>
    <row r="14" spans="1:22">
      <c r="A14" s="50">
        <v>11807</v>
      </c>
      <c r="B14" s="50" t="str">
        <f>IF(ISNA(VLOOKUP($A14,Council_Data!$A$3:$AB$840,2,0)),0,VLOOKUP($A14,Council_Data!$A$3:$AB$840,2,0))</f>
        <v>243</v>
      </c>
      <c r="C14" s="50" t="str">
        <f>IF(ISNA(VLOOKUP($A14,Council_Data!$A$3:$AB$840,3,0)),0,VLOOKUP($A14,Council_Data!$A$3:$AB$840,3,0))</f>
        <v>Lubbock</v>
      </c>
      <c r="D14" s="93">
        <f>IF(ISNA(VLOOKUP($A14,Council_Data!$A$3:$AB$840,5,0)),0,VLOOKUP($A14,Council_Data!$A$3:$AB$840,5,0))</f>
        <v>149</v>
      </c>
      <c r="E14" s="93">
        <f>IF(ISNA(VLOOKUP($A14,Council_Data!$A$3:$AB$840,6,0)),0,VLOOKUP($A14,Council_Data!$A$3:$AB$840,6,0))</f>
        <v>7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1</v>
      </c>
      <c r="K14" s="93">
        <f>IF(ISNA(VLOOKUP($A14,Council_Data!$A$3:$AB$840,12,0)),0,VLOOKUP($A14,Council_Data!$A$3:$AB$840,12,0))</f>
        <v>-1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1</v>
      </c>
      <c r="P14" s="93">
        <f>IF(ISNA(VLOOKUP($A14,Council_Data!$A$3:$AB$840,17,0)),0,VLOOKUP($A14,Council_Data!$A$3:$AB$840,17,0))</f>
        <v>-1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Payne</v>
      </c>
    </row>
    <row r="15" spans="1:22">
      <c r="A15" s="50">
        <v>13447</v>
      </c>
      <c r="B15" s="50" t="str">
        <f>IF(ISNA(VLOOKUP($A15,Council_Data!$A$3:$AB$840,2,0)),0,VLOOKUP($A15,Council_Data!$A$3:$AB$840,2,0))</f>
        <v>243</v>
      </c>
      <c r="C15" s="50" t="str">
        <f>IF(ISNA(VLOOKUP($A15,Council_Data!$A$3:$AB$840,3,0)),0,VLOOKUP($A15,Council_Data!$A$3:$AB$840,3,0))</f>
        <v>Lubbock</v>
      </c>
      <c r="D15" s="93">
        <f>IF(ISNA(VLOOKUP($A15,Council_Data!$A$3:$AB$840,5,0)),0,VLOOKUP($A15,Council_Data!$A$3:$AB$840,5,0))</f>
        <v>156</v>
      </c>
      <c r="E15" s="93">
        <f>IF(ISNA(VLOOKUP($A15,Council_Data!$A$3:$AB$840,6,0)),0,VLOOKUP($A15,Council_Data!$A$3:$AB$840,6,0))</f>
        <v>7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2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2</v>
      </c>
      <c r="L15" s="94">
        <f>IF(ISNA(VLOOKUP($A15,Council_Data!$A$3:$AB$840,13,0)),0,VLOOKUP($A15,Council_Data!$A$3:$AB$840,13,0))</f>
        <v>28.57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Payne</v>
      </c>
    </row>
    <row r="16" spans="1:22">
      <c r="A16" s="76">
        <v>16451</v>
      </c>
      <c r="B16" s="50" t="str">
        <f>IF(ISNA(VLOOKUP($A16,Council_Data!$A$3:$AB$840,2,0)),0,VLOOKUP($A16,Council_Data!$A$3:$AB$840,2,0))</f>
        <v>243</v>
      </c>
      <c r="C16" s="50" t="str">
        <f>IF(ISNA(VLOOKUP($A16,Council_Data!$A$3:$AB$840,3,0)),0,VLOOKUP($A16,Council_Data!$A$3:$AB$840,3,0))</f>
        <v>Lubbock</v>
      </c>
      <c r="D16" s="93">
        <f>IF(ISNA(VLOOKUP($A16,Council_Data!$A$3:$AB$840,5,0)),0,VLOOKUP($A16,Council_Data!$A$3:$AB$840,5,0))</f>
        <v>58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33.33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Payne</v>
      </c>
    </row>
    <row r="17" spans="1:22">
      <c r="A17" s="50">
        <v>7882</v>
      </c>
      <c r="B17" s="50" t="str">
        <f>IF(ISNA(VLOOKUP($A17,Council_Data!$A$3:$AB$840,2,0)),0,VLOOKUP($A17,Council_Data!$A$3:$AB$840,2,0))</f>
        <v>244</v>
      </c>
      <c r="C17" s="50" t="str">
        <f>IF(ISNA(VLOOKUP($A17,Council_Data!$A$3:$AB$840,3,0)),0,VLOOKUP($A17,Council_Data!$A$3:$AB$840,3,0))</f>
        <v>Littlefield</v>
      </c>
      <c r="D17" s="93">
        <f>IF(ISNA(VLOOKUP($A17,Council_Data!$A$3:$AB$840,5,0)),0,VLOOKUP($A17,Council_Data!$A$3:$AB$840,5,0))</f>
        <v>52</v>
      </c>
      <c r="E17" s="93">
        <f>IF(ISNA(VLOOKUP($A17,Council_Data!$A$3:$AB$840,6,0)),0,VLOOKUP($A17,Council_Data!$A$3:$AB$840,6,0))</f>
        <v>3</v>
      </c>
      <c r="F17" s="93">
        <f>IF(ISNA(VLOOKUP($A17,Council_Data!$A$3:$AB$840,7,0)),0,VLOOKUP($A17,Council_Data!$A$3:$AB$840,7,0))</f>
        <v>1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1</v>
      </c>
      <c r="I17" s="93">
        <f>IF(ISNA(VLOOKUP($A17,Council_Data!$A$3:$AB$840,10,0)),0,VLOOKUP($A17,Council_Data!$A$3:$AB$840,10,0))</f>
        <v>1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33.33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1</v>
      </c>
      <c r="O17" s="93">
        <f>IF(ISNA(VLOOKUP($A17,Council_Data!$A$3:$AB$840,16,0)),0,VLOOKUP($A17,Council_Data!$A$3:$AB$840,16,0))</f>
        <v>1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1</v>
      </c>
      <c r="R17" s="93">
        <f>IF(ISNA(VLOOKUP($A17,Council_Data!$A$3:$AB$840,19,0)),0,VLOOKUP($A17,Council_Data!$A$3:$AB$840,19,0))</f>
        <v>2</v>
      </c>
      <c r="S17" s="93">
        <f>IF(ISNA(VLOOKUP($A17,Council_Data!$A$3:$AB$840,20,0)),0,VLOOKUP($A17,Council_Data!$A$3:$AB$840,20,0))</f>
        <v>-1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3</v>
      </c>
      <c r="V17" s="50" t="str">
        <f>IF(ISNA(VLOOKUP($A17,Council_Data!$A$3:$AB$840,24,0)),0,VLOOKUP($A17,Council_Data!$A$3:$AB$840,24,0))</f>
        <v>Payne</v>
      </c>
    </row>
    <row r="18" spans="1:22">
      <c r="A18" s="50">
        <v>8097</v>
      </c>
      <c r="B18" s="50" t="str">
        <f>IF(ISNA(VLOOKUP($A18,Council_Data!$A$3:$AB$840,2,0)),0,VLOOKUP($A18,Council_Data!$A$3:$AB$840,2,0))</f>
        <v>244</v>
      </c>
      <c r="C18" s="50" t="str">
        <f>IF(ISNA(VLOOKUP($A18,Council_Data!$A$3:$AB$840,3,0)),0,VLOOKUP($A18,Council_Data!$A$3:$AB$840,3,0))</f>
        <v>Lubbock</v>
      </c>
      <c r="D18" s="93">
        <f>IF(ISNA(VLOOKUP($A18,Council_Data!$A$3:$AB$840,5,0)),0,VLOOKUP($A18,Council_Data!$A$3:$AB$840,5,0))</f>
        <v>123</v>
      </c>
      <c r="E18" s="93">
        <f>IF(ISNA(VLOOKUP($A18,Council_Data!$A$3:$AB$840,6,0)),0,VLOOKUP($A18,Council_Data!$A$3:$AB$840,6,0))</f>
        <v>6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1</v>
      </c>
      <c r="L18" s="94">
        <f>IF(ISNA(VLOOKUP($A18,Council_Data!$A$3:$AB$840,13,0)),0,VLOOKUP($A18,Council_Data!$A$3:$AB$840,13,0))</f>
        <v>16.670000000000002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Payne</v>
      </c>
    </row>
    <row r="19" spans="1:22">
      <c r="A19" s="50">
        <v>15876</v>
      </c>
      <c r="B19" s="50" t="str">
        <f>IF(ISNA(VLOOKUP($A19,Council_Data!$A$3:$AB$840,2,0)),0,VLOOKUP($A19,Council_Data!$A$3:$AB$840,2,0))</f>
        <v>244</v>
      </c>
      <c r="C19" s="50" t="str">
        <f>IF(ISNA(VLOOKUP($A19,Council_Data!$A$3:$AB$840,3,0)),0,VLOOKUP($A19,Council_Data!$A$3:$AB$840,3,0))</f>
        <v>Lubbock</v>
      </c>
      <c r="D19" s="93">
        <f>IF(ISNA(VLOOKUP($A19,Council_Data!$A$3:$AB$840,5,0)),0,VLOOKUP($A19,Council_Data!$A$3:$AB$840,5,0))</f>
        <v>52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1</v>
      </c>
      <c r="S19" s="93">
        <f>IF(ISNA(VLOOKUP($A19,Council_Data!$A$3:$AB$840,20,0)),0,VLOOKUP($A19,Council_Data!$A$3:$AB$840,20,0))</f>
        <v>-1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Payne</v>
      </c>
    </row>
    <row r="20" spans="1:22">
      <c r="A20" s="50">
        <v>16210</v>
      </c>
      <c r="B20" s="50" t="str">
        <f>IF(ISNA(VLOOKUP($A20,Council_Data!$A$3:$AB$840,2,0)),0,VLOOKUP($A20,Council_Data!$A$3:$AB$840,2,0))</f>
        <v>244</v>
      </c>
      <c r="C20" s="50" t="str">
        <f>IF(ISNA(VLOOKUP($A20,Council_Data!$A$3:$AB$840,3,0)),0,VLOOKUP($A20,Council_Data!$A$3:$AB$840,3,0))</f>
        <v>Idalou</v>
      </c>
      <c r="D20" s="93">
        <f>IF(ISNA(VLOOKUP($A20,Council_Data!$A$3:$AB$840,5,0)),0,VLOOKUP($A20,Council_Data!$A$3:$AB$840,5,0))</f>
        <v>51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2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2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>
      <c r="A21" s="76">
        <v>16358</v>
      </c>
      <c r="B21" s="50" t="str">
        <f>IF(ISNA(VLOOKUP($A21,Council_Data!$A$3:$AB$840,2,0)),0,VLOOKUP($A21,Council_Data!$A$3:$AB$840,2,0))</f>
        <v>244</v>
      </c>
      <c r="C21" s="50" t="str">
        <f>IF(ISNA(VLOOKUP($A21,Council_Data!$A$3:$AB$840,3,0)),0,VLOOKUP($A21,Council_Data!$A$3:$AB$840,3,0))</f>
        <v>Shallowater</v>
      </c>
      <c r="D21" s="93">
        <f>IF(ISNA(VLOOKUP($A21,Council_Data!$A$3:$AB$840,5,0)),0,VLOOKUP($A21,Council_Data!$A$3:$AB$840,5,0))</f>
        <v>30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Payne</v>
      </c>
    </row>
    <row r="22" spans="1:22">
      <c r="A22" s="76">
        <v>17583</v>
      </c>
      <c r="B22" s="50" t="str">
        <f>IF(ISNA(VLOOKUP($A22,Council_Data!$A$3:$AB$840,2,0)),0,VLOOKUP($A22,Council_Data!$A$3:$AB$840,2,0))</f>
        <v>244</v>
      </c>
      <c r="C22" s="50" t="str">
        <f>IF(ISNA(VLOOKUP($A22,Council_Data!$A$3:$AB$840,3,0)),0,VLOOKUP($A22,Council_Data!$A$3:$AB$840,3,0))</f>
        <v>Abernathy</v>
      </c>
      <c r="D22" s="93">
        <f>IF(ISNA(VLOOKUP($A22,Council_Data!$A$3:$AB$840,5,0)),0,VLOOKUP($A22,Council_Data!$A$3:$AB$840,5,0))</f>
        <v>0</v>
      </c>
      <c r="E22" s="93">
        <f>IF(ISNA(VLOOKUP($A22,Council_Data!$A$3:$AB$840,6,0)),0,VLOOKUP($A22,Council_Data!$A$3:$AB$840,6,0))</f>
        <v>0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15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15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3</v>
      </c>
      <c r="V22" s="50" t="str">
        <f>IF(ISNA(VLOOKUP($A22,Council_Data!$A$3:$AB$840,24,0)),0,VLOOKUP($A22,Council_Data!$A$3:$AB$840,24,0))</f>
        <v>Payne</v>
      </c>
    </row>
    <row r="23" spans="1:22">
      <c r="A23" s="50">
        <v>4542</v>
      </c>
      <c r="B23" s="50" t="str">
        <f>IF(ISNA(VLOOKUP($A23,Council_Data!$A$3:$AB$840,2,0)),0,VLOOKUP($A23,Council_Data!$A$3:$AB$840,2,0))</f>
        <v>245</v>
      </c>
      <c r="C23" s="50" t="str">
        <f>IF(ISNA(VLOOKUP($A23,Council_Data!$A$3:$AB$840,3,0)),0,VLOOKUP($A23,Council_Data!$A$3:$AB$840,3,0))</f>
        <v>Levelland</v>
      </c>
      <c r="D23" s="93">
        <f>IF(ISNA(VLOOKUP($A23,Council_Data!$A$3:$AB$840,5,0)),0,VLOOKUP($A23,Council_Data!$A$3:$AB$840,5,0))</f>
        <v>117</v>
      </c>
      <c r="E23" s="93">
        <f>IF(ISNA(VLOOKUP($A23,Council_Data!$A$3:$AB$840,6,0)),0,VLOOKUP($A23,Council_Data!$A$3:$AB$840,6,0))</f>
        <v>6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Payne</v>
      </c>
    </row>
    <row r="24" spans="1:22">
      <c r="A24" s="50">
        <v>7953</v>
      </c>
      <c r="B24" s="50" t="str">
        <f>IF(ISNA(VLOOKUP($A24,Council_Data!$A$3:$AB$840,2,0)),0,VLOOKUP($A24,Council_Data!$A$3:$AB$840,2,0))</f>
        <v>245</v>
      </c>
      <c r="C24" s="50" t="str">
        <f>IF(ISNA(VLOOKUP($A24,Council_Data!$A$3:$AB$840,3,0)),0,VLOOKUP($A24,Council_Data!$A$3:$AB$840,3,0))</f>
        <v>Lamesa</v>
      </c>
      <c r="D24" s="93">
        <f>IF(ISNA(VLOOKUP($A24,Council_Data!$A$3:$AB$840,5,0)),0,VLOOKUP($A24,Council_Data!$A$3:$AB$840,5,0))</f>
        <v>62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1</v>
      </c>
      <c r="P24" s="93">
        <f>IF(ISNA(VLOOKUP($A24,Council_Data!$A$3:$AB$840,17,0)),0,VLOOKUP($A24,Council_Data!$A$3:$AB$840,17,0))</f>
        <v>-1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3</v>
      </c>
      <c r="S24" s="93">
        <f>IF(ISNA(VLOOKUP($A24,Council_Data!$A$3:$AB$840,20,0)),0,VLOOKUP($A24,Council_Data!$A$3:$AB$840,20,0))</f>
        <v>-3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Payne</v>
      </c>
    </row>
    <row r="25" spans="1:22">
      <c r="A25" s="50">
        <v>8517</v>
      </c>
      <c r="B25" s="50" t="str">
        <f>IF(ISNA(VLOOKUP($A25,Council_Data!$A$3:$AB$840,2,0)),0,VLOOKUP($A25,Council_Data!$A$3:$AB$840,2,0))</f>
        <v>245</v>
      </c>
      <c r="C25" s="50" t="str">
        <f>IF(ISNA(VLOOKUP($A25,Council_Data!$A$3:$AB$840,3,0)),0,VLOOKUP($A25,Council_Data!$A$3:$AB$840,3,0))</f>
        <v>Denver City</v>
      </c>
      <c r="D25" s="93">
        <f>IF(ISNA(VLOOKUP($A25,Council_Data!$A$3:$AB$840,5,0)),0,VLOOKUP($A25,Council_Data!$A$3:$AB$840,5,0))</f>
        <v>35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2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2</v>
      </c>
      <c r="L25" s="94">
        <f>IF(ISNA(VLOOKUP($A25,Council_Data!$A$3:$AB$840,13,0)),0,VLOOKUP($A25,Council_Data!$A$3:$AB$840,13,0))</f>
        <v>66.67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>
      <c r="A26" s="76">
        <v>16394</v>
      </c>
      <c r="B26" s="50" t="str">
        <f>IF(ISNA(VLOOKUP($A26,Council_Data!$A$3:$AB$840,2,0)),0,VLOOKUP($A26,Council_Data!$A$3:$AB$840,2,0))</f>
        <v>245</v>
      </c>
      <c r="C26" s="50" t="str">
        <f>IF(ISNA(VLOOKUP($A26,Council_Data!$A$3:$AB$840,3,0)),0,VLOOKUP($A26,Council_Data!$A$3:$AB$840,3,0))</f>
        <v>Woodrow</v>
      </c>
      <c r="D26" s="93">
        <f>IF(ISNA(VLOOKUP($A26,Council_Data!$A$3:$AB$840,5,0)),0,VLOOKUP($A26,Council_Data!$A$3:$AB$840,5,0))</f>
        <v>44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1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Payne</v>
      </c>
    </row>
    <row r="27" spans="1:22">
      <c r="A27" s="50">
        <v>2571</v>
      </c>
      <c r="B27" s="50" t="str">
        <f>IF(ISNA(VLOOKUP($A27,Council_Data!$A$3:$AB$840,2,0)),0,VLOOKUP($A27,Council_Data!$A$3:$AB$840,2,0))</f>
        <v>246</v>
      </c>
      <c r="C27" s="50" t="str">
        <f>IF(ISNA(VLOOKUP($A27,Council_Data!$A$3:$AB$840,3,0)),0,VLOOKUP($A27,Council_Data!$A$3:$AB$840,3,0))</f>
        <v>Slaton</v>
      </c>
      <c r="D27" s="93">
        <f>IF(ISNA(VLOOKUP($A27,Council_Data!$A$3:$AB$840,5,0)),0,VLOOKUP($A27,Council_Data!$A$3:$AB$840,5,0))</f>
        <v>139</v>
      </c>
      <c r="E27" s="93">
        <f>IF(ISNA(VLOOKUP($A27,Council_Data!$A$3:$AB$840,6,0)),0,VLOOKUP($A27,Council_Data!$A$3:$AB$840,6,0))</f>
        <v>7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2</v>
      </c>
      <c r="S27" s="93">
        <f>IF(ISNA(VLOOKUP($A27,Council_Data!$A$3:$AB$840,20,0)),0,VLOOKUP($A27,Council_Data!$A$3:$AB$840,20,0))</f>
        <v>-1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Payne</v>
      </c>
    </row>
    <row r="28" spans="1:22">
      <c r="A28" s="50">
        <v>3008</v>
      </c>
      <c r="B28" s="50" t="str">
        <f>IF(ISNA(VLOOKUP($A28,Council_Data!$A$3:$AB$840,2,0)),0,VLOOKUP($A28,Council_Data!$A$3:$AB$840,2,0))</f>
        <v>246</v>
      </c>
      <c r="C28" s="50" t="str">
        <f>IF(ISNA(VLOOKUP($A28,Council_Data!$A$3:$AB$840,3,0)),0,VLOOKUP($A28,Council_Data!$A$3:$AB$840,3,0))</f>
        <v>Lubbock</v>
      </c>
      <c r="D28" s="93">
        <f>IF(ISNA(VLOOKUP($A28,Council_Data!$A$3:$AB$840,5,0)),0,VLOOKUP($A28,Council_Data!$A$3:$AB$840,5,0))</f>
        <v>278</v>
      </c>
      <c r="E28" s="93">
        <f>IF(ISNA(VLOOKUP($A28,Council_Data!$A$3:$AB$840,6,0)),0,VLOOKUP($A28,Council_Data!$A$3:$AB$840,6,0))</f>
        <v>12</v>
      </c>
      <c r="F28" s="93">
        <f>IF(ISNA(VLOOKUP($A28,Council_Data!$A$3:$AB$840,7,0)),0,VLOOKUP($A28,Council_Data!$A$3:$AB$840,7,0))</f>
        <v>5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5</v>
      </c>
      <c r="I28" s="93">
        <f>IF(ISNA(VLOOKUP($A28,Council_Data!$A$3:$AB$840,10,0)),0,VLOOKUP($A28,Council_Data!$A$3:$AB$840,10,0))</f>
        <v>8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8</v>
      </c>
      <c r="L28" s="94">
        <f>IF(ISNA(VLOOKUP($A28,Council_Data!$A$3:$AB$840,13,0)),0,VLOOKUP($A28,Council_Data!$A$3:$AB$840,13,0))</f>
        <v>66.67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1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1</v>
      </c>
      <c r="Q28" s="93">
        <f>IF(ISNA(VLOOKUP($A28,Council_Data!$A$3:$AB$840,18,0)),0,VLOOKUP($A28,Council_Data!$A$3:$AB$840,18,0))</f>
        <v>6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6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Payne</v>
      </c>
    </row>
    <row r="29" spans="1:22">
      <c r="A29" s="50">
        <v>7590</v>
      </c>
      <c r="B29" s="50" t="str">
        <f>IF(ISNA(VLOOKUP($A29,Council_Data!$A$3:$AB$840,2,0)),0,VLOOKUP($A29,Council_Data!$A$3:$AB$840,2,0))</f>
        <v>246</v>
      </c>
      <c r="C29" s="50" t="str">
        <f>IF(ISNA(VLOOKUP($A29,Council_Data!$A$3:$AB$840,3,0)),0,VLOOKUP($A29,Council_Data!$A$3:$AB$840,3,0))</f>
        <v>Lubbock</v>
      </c>
      <c r="D29" s="93">
        <f>IF(ISNA(VLOOKUP($A29,Council_Data!$A$3:$AB$840,5,0)),0,VLOOKUP($A29,Council_Data!$A$3:$AB$840,5,0))</f>
        <v>54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Payne</v>
      </c>
    </row>
    <row r="30" spans="1:22">
      <c r="A30" s="50">
        <v>12803</v>
      </c>
      <c r="B30" s="50" t="str">
        <f>IF(ISNA(VLOOKUP($A30,Council_Data!$A$3:$AB$840,2,0)),0,VLOOKUP($A30,Council_Data!$A$3:$AB$840,2,0))</f>
        <v>246</v>
      </c>
      <c r="C30" s="50" t="str">
        <f>IF(ISNA(VLOOKUP($A30,Council_Data!$A$3:$AB$840,3,0)),0,VLOOKUP($A30,Council_Data!$A$3:$AB$840,3,0))</f>
        <v>Lubbock</v>
      </c>
      <c r="D30" s="93">
        <f>IF(ISNA(VLOOKUP($A30,Council_Data!$A$3:$AB$840,5,0)),0,VLOOKUP($A30,Council_Data!$A$3:$AB$840,5,0))</f>
        <v>137</v>
      </c>
      <c r="E30" s="93">
        <f>IF(ISNA(VLOOKUP($A30,Council_Data!$A$3:$AB$840,6,0)),0,VLOOKUP($A30,Council_Data!$A$3:$AB$840,6,0))</f>
        <v>6</v>
      </c>
      <c r="F30" s="93">
        <f>IF(ISNA(VLOOKUP($A30,Council_Data!$A$3:$AB$840,7,0)),0,VLOOKUP($A30,Council_Data!$A$3:$AB$840,7,0))</f>
        <v>1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1</v>
      </c>
      <c r="I30" s="93">
        <f>IF(ISNA(VLOOKUP($A30,Council_Data!$A$3:$AB$840,10,0)),0,VLOOKUP($A30,Council_Data!$A$3:$AB$840,10,0))</f>
        <v>1</v>
      </c>
      <c r="J30" s="93">
        <f>IF(ISNA(VLOOKUP($A30,Council_Data!$A$3:$AB$840,11,0)),0,VLOOKUP($A30,Council_Data!$A$3:$AB$840,11,0))</f>
        <v>6</v>
      </c>
      <c r="K30" s="93">
        <f>IF(ISNA(VLOOKUP($A30,Council_Data!$A$3:$AB$840,12,0)),0,VLOOKUP($A30,Council_Data!$A$3:$AB$840,12,0))</f>
        <v>-5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1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Payne</v>
      </c>
    </row>
    <row r="31" spans="1:22">
      <c r="A31" s="50">
        <v>14426</v>
      </c>
      <c r="B31" s="50" t="str">
        <f>IF(ISNA(VLOOKUP($A31,Council_Data!$A$3:$AB$840,2,0)),0,VLOOKUP($A31,Council_Data!$A$3:$AB$840,2,0))</f>
        <v>246</v>
      </c>
      <c r="C31" s="50" t="str">
        <f>IF(ISNA(VLOOKUP($A31,Council_Data!$A$3:$AB$840,3,0)),0,VLOOKUP($A31,Council_Data!$A$3:$AB$840,3,0))</f>
        <v>Lubbock</v>
      </c>
      <c r="D31" s="93">
        <f>IF(ISNA(VLOOKUP($A31,Council_Data!$A$3:$AB$840,5,0)),0,VLOOKUP($A31,Council_Data!$A$3:$AB$840,5,0))</f>
        <v>142</v>
      </c>
      <c r="E31" s="93">
        <f>IF(ISNA(VLOOKUP($A31,Council_Data!$A$3:$AB$840,6,0)),0,VLOOKUP($A31,Council_Data!$A$3:$AB$840,6,0))</f>
        <v>7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13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13</v>
      </c>
      <c r="L31" s="94">
        <f>IF(ISNA(VLOOKUP($A31,Council_Data!$A$3:$AB$840,13,0)),0,VLOOKUP($A31,Council_Data!$A$3:$AB$840,13,0))</f>
        <v>185.71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1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1</v>
      </c>
      <c r="Q31" s="93">
        <f>IF(ISNA(VLOOKUP($A31,Council_Data!$A$3:$AB$840,18,0)),0,VLOOKUP($A31,Council_Data!$A$3:$AB$840,18,0))</f>
        <v>2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2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8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860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8744</v>
      </c>
      <c r="B4" s="50" t="str">
        <f>IF(ISNA(VLOOKUP($A4,Council_Data!$A$3:$AB$840,2,0)),0,VLOOKUP($A4,Council_Data!$A$3:$AB$840,2,0))</f>
        <v>221</v>
      </c>
      <c r="C4" s="50" t="str">
        <f>IF(ISNA(VLOOKUP($A4,Council_Data!$A$3:$AB$840,3,0)),0,VLOOKUP($A4,Council_Data!$A$3:$AB$840,3,0))</f>
        <v>Stanton</v>
      </c>
      <c r="D4" s="93">
        <f>IF(ISNA(VLOOKUP($A4,Council_Data!$A$3:$AB$840,5,0)),0,VLOOKUP($A4,Council_Data!$A$3:$AB$840,5,0))</f>
        <v>53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Payne</v>
      </c>
    </row>
    <row r="5" spans="1:22">
      <c r="A5" s="50">
        <v>9130</v>
      </c>
      <c r="B5" s="50" t="str">
        <f>IF(ISNA(VLOOKUP($A5,Council_Data!$A$3:$AB$840,2,0)),0,VLOOKUP($A5,Council_Data!$A$3:$AB$840,2,0))</f>
        <v>221</v>
      </c>
      <c r="C5" s="50" t="str">
        <f>IF(ISNA(VLOOKUP($A5,Council_Data!$A$3:$AB$840,3,0)),0,VLOOKUP($A5,Council_Data!$A$3:$AB$840,3,0))</f>
        <v>Big Spring</v>
      </c>
      <c r="D5" s="93">
        <f>IF(ISNA(VLOOKUP($A5,Council_Data!$A$3:$AB$840,5,0)),0,VLOOKUP($A5,Council_Data!$A$3:$AB$840,5,0))</f>
        <v>52</v>
      </c>
      <c r="E5" s="93">
        <f>IF(ISNA(VLOOKUP($A5,Council_Data!$A$3:$AB$840,6,0)),0,VLOOKUP($A5,Council_Data!$A$3:$AB$840,6,0))</f>
        <v>3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4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4</v>
      </c>
      <c r="L5" s="94">
        <f>IF(ISNA(VLOOKUP($A5,Council_Data!$A$3:$AB$840,13,0)),0,VLOOKUP($A5,Council_Data!$A$3:$AB$840,13,0))</f>
        <v>133.33000000000001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1</v>
      </c>
      <c r="R5" s="93">
        <f>IF(ISNA(VLOOKUP($A5,Council_Data!$A$3:$AB$840,19,0)),0,VLOOKUP($A5,Council_Data!$A$3:$AB$840,19,0))</f>
        <v>2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Payne</v>
      </c>
    </row>
    <row r="6" spans="1:22">
      <c r="A6" s="50">
        <v>9215</v>
      </c>
      <c r="B6" s="50" t="str">
        <f>IF(ISNA(VLOOKUP($A6,Council_Data!$A$3:$AB$840,2,0)),0,VLOOKUP($A6,Council_Data!$A$3:$AB$840,2,0))</f>
        <v>221</v>
      </c>
      <c r="C6" s="50" t="str">
        <f>IF(ISNA(VLOOKUP($A6,Council_Data!$A$3:$AB$840,3,0)),0,VLOOKUP($A6,Council_Data!$A$3:$AB$840,3,0))</f>
        <v>Midland</v>
      </c>
      <c r="D6" s="93">
        <f>IF(ISNA(VLOOKUP($A6,Council_Data!$A$3:$AB$840,5,0)),0,VLOOKUP($A6,Council_Data!$A$3:$AB$840,5,0))</f>
        <v>129</v>
      </c>
      <c r="E6" s="93">
        <f>IF(ISNA(VLOOKUP($A6,Council_Data!$A$3:$AB$840,6,0)),0,VLOOKUP($A6,Council_Data!$A$3:$AB$840,6,0))</f>
        <v>6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1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1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Payne</v>
      </c>
    </row>
    <row r="7" spans="1:22">
      <c r="A7" s="76">
        <v>16391</v>
      </c>
      <c r="B7" s="50" t="str">
        <f>IF(ISNA(VLOOKUP($A7,Council_Data!$A$3:$AB$840,2,0)),0,VLOOKUP($A7,Council_Data!$A$3:$AB$840,2,0))</f>
        <v>221</v>
      </c>
      <c r="C7" s="50" t="str">
        <f>IF(ISNA(VLOOKUP($A7,Council_Data!$A$3:$AB$840,3,0)),0,VLOOKUP($A7,Council_Data!$A$3:$AB$840,3,0))</f>
        <v>Midland</v>
      </c>
      <c r="D7" s="93">
        <f>IF(ISNA(VLOOKUP($A7,Council_Data!$A$3:$AB$840,5,0)),0,VLOOKUP($A7,Council_Data!$A$3:$AB$840,5,0))</f>
        <v>80</v>
      </c>
      <c r="E7" s="93">
        <f>IF(ISNA(VLOOKUP($A7,Council_Data!$A$3:$AB$840,6,0)),0,VLOOKUP($A7,Council_Data!$A$3:$AB$840,6,0))</f>
        <v>4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1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1</v>
      </c>
      <c r="L7" s="94">
        <f>IF(ISNA(VLOOKUP($A7,Council_Data!$A$3:$AB$840,13,0)),0,VLOOKUP($A7,Council_Data!$A$3:$AB$840,13,0))</f>
        <v>25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2</v>
      </c>
      <c r="V7" s="50" t="str">
        <f>IF(ISNA(VLOOKUP($A7,Council_Data!$A$3:$AB$840,24,0)),0,VLOOKUP($A7,Council_Data!$A$3:$AB$840,24,0))</f>
        <v>Payne</v>
      </c>
    </row>
    <row r="8" spans="1:22">
      <c r="A8" s="50">
        <v>3203</v>
      </c>
      <c r="B8" s="50" t="str">
        <f>IF(ISNA(VLOOKUP($A8,Council_Data!$A$3:$AB$840,2,0)),0,VLOOKUP($A8,Council_Data!$A$3:$AB$840,2,0))</f>
        <v>222</v>
      </c>
      <c r="C8" s="50" t="str">
        <f>IF(ISNA(VLOOKUP($A8,Council_Data!$A$3:$AB$840,3,0)),0,VLOOKUP($A8,Council_Data!$A$3:$AB$840,3,0))</f>
        <v>Odessa</v>
      </c>
      <c r="D8" s="93">
        <f>IF(ISNA(VLOOKUP($A8,Council_Data!$A$3:$AB$840,5,0)),0,VLOOKUP($A8,Council_Data!$A$3:$AB$840,5,0))</f>
        <v>192</v>
      </c>
      <c r="E8" s="93">
        <f>IF(ISNA(VLOOKUP($A8,Council_Data!$A$3:$AB$840,6,0)),0,VLOOKUP($A8,Council_Data!$A$3:$AB$840,6,0))</f>
        <v>9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1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1</v>
      </c>
      <c r="L8" s="94">
        <f>IF(ISNA(VLOOKUP($A8,Council_Data!$A$3:$AB$840,13,0)),0,VLOOKUP($A8,Council_Data!$A$3:$AB$840,13,0))</f>
        <v>11.11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Payne</v>
      </c>
    </row>
    <row r="9" spans="1:22">
      <c r="A9" s="50">
        <v>9674</v>
      </c>
      <c r="B9" s="50" t="str">
        <f>IF(ISNA(VLOOKUP($A9,Council_Data!$A$3:$AB$840,2,0)),0,VLOOKUP($A9,Council_Data!$A$3:$AB$840,2,0))</f>
        <v>222</v>
      </c>
      <c r="C9" s="50" t="str">
        <f>IF(ISNA(VLOOKUP($A9,Council_Data!$A$3:$AB$840,3,0)),0,VLOOKUP($A9,Council_Data!$A$3:$AB$840,3,0))</f>
        <v>Fort Stockton</v>
      </c>
      <c r="D9" s="93">
        <f>IF(ISNA(VLOOKUP($A9,Council_Data!$A$3:$AB$840,5,0)),0,VLOOKUP($A9,Council_Data!$A$3:$AB$840,5,0))</f>
        <v>58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6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6</v>
      </c>
      <c r="L9" s="94">
        <f>IF(ISNA(VLOOKUP($A9,Council_Data!$A$3:$AB$840,13,0)),0,VLOOKUP($A9,Council_Data!$A$3:$AB$840,13,0))</f>
        <v>200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Payne</v>
      </c>
    </row>
    <row r="10" spans="1:22">
      <c r="A10" s="50">
        <v>10404</v>
      </c>
      <c r="B10" s="50" t="str">
        <f>IF(ISNA(VLOOKUP($A10,Council_Data!$A$3:$AB$840,2,0)),0,VLOOKUP($A10,Council_Data!$A$3:$AB$840,2,0))</f>
        <v>222</v>
      </c>
      <c r="C10" s="50" t="str">
        <f>IF(ISNA(VLOOKUP($A10,Council_Data!$A$3:$AB$840,3,0)),0,VLOOKUP($A10,Council_Data!$A$3:$AB$840,3,0))</f>
        <v>Odessa</v>
      </c>
      <c r="D10" s="93">
        <f>IF(ISNA(VLOOKUP($A10,Council_Data!$A$3:$AB$840,5,0)),0,VLOOKUP($A10,Council_Data!$A$3:$AB$840,5,0))</f>
        <v>58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1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1</v>
      </c>
      <c r="I10" s="93">
        <f>IF(ISNA(VLOOKUP($A10,Council_Data!$A$3:$AB$840,10,0)),0,VLOOKUP($A10,Council_Data!$A$3:$AB$840,10,0))</f>
        <v>4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4</v>
      </c>
      <c r="L10" s="94">
        <f>IF(ISNA(VLOOKUP($A10,Council_Data!$A$3:$AB$840,13,0)),0,VLOOKUP($A10,Council_Data!$A$3:$AB$840,13,0))</f>
        <v>133.33000000000001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Payne</v>
      </c>
    </row>
    <row r="11" spans="1:22">
      <c r="A11" s="76">
        <v>16390</v>
      </c>
      <c r="B11" s="50" t="str">
        <f>IF(ISNA(VLOOKUP($A11,Council_Data!$A$3:$AB$840,2,0)),0,VLOOKUP($A11,Council_Data!$A$3:$AB$840,2,0))</f>
        <v>222</v>
      </c>
      <c r="C11" s="50" t="str">
        <f>IF(ISNA(VLOOKUP($A11,Council_Data!$A$3:$AB$840,3,0)),0,VLOOKUP($A11,Council_Data!$A$3:$AB$840,3,0))</f>
        <v>Crane</v>
      </c>
      <c r="D11" s="93">
        <f>IF(ISNA(VLOOKUP($A11,Council_Data!$A$3:$AB$840,5,0)),0,VLOOKUP($A11,Council_Data!$A$3:$AB$840,5,0))</f>
        <v>31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>
      <c r="A12" s="50">
        <v>3071</v>
      </c>
      <c r="B12" s="50" t="str">
        <f>IF(ISNA(VLOOKUP($A12,Council_Data!$A$3:$AB$840,2,0)),0,VLOOKUP($A12,Council_Data!$A$3:$AB$840,2,0))</f>
        <v>223</v>
      </c>
      <c r="C12" s="50" t="str">
        <f>IF(ISNA(VLOOKUP($A12,Council_Data!$A$3:$AB$840,3,0)),0,VLOOKUP($A12,Council_Data!$A$3:$AB$840,3,0))</f>
        <v>Midland</v>
      </c>
      <c r="D12" s="93">
        <f>IF(ISNA(VLOOKUP($A12,Council_Data!$A$3:$AB$840,5,0)),0,VLOOKUP($A12,Council_Data!$A$3:$AB$840,5,0))</f>
        <v>284</v>
      </c>
      <c r="E12" s="93">
        <f>IF(ISNA(VLOOKUP($A12,Council_Data!$A$3:$AB$840,6,0)),0,VLOOKUP($A12,Council_Data!$A$3:$AB$840,6,0))</f>
        <v>14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1</v>
      </c>
      <c r="P12" s="93">
        <f>IF(ISNA(VLOOKUP($A12,Council_Data!$A$3:$AB$840,17,0)),0,VLOOKUP($A12,Council_Data!$A$3:$AB$840,17,0))</f>
        <v>-1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4</v>
      </c>
      <c r="S12" s="93">
        <f>IF(ISNA(VLOOKUP($A12,Council_Data!$A$3:$AB$840,20,0)),0,VLOOKUP($A12,Council_Data!$A$3:$AB$840,20,0))</f>
        <v>-4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Payne</v>
      </c>
    </row>
    <row r="13" spans="1:22">
      <c r="A13" s="50">
        <v>8773</v>
      </c>
      <c r="B13" s="50" t="str">
        <f>IF(ISNA(VLOOKUP($A13,Council_Data!$A$3:$AB$840,2,0)),0,VLOOKUP($A13,Council_Data!$A$3:$AB$840,2,0))</f>
        <v>223</v>
      </c>
      <c r="C13" s="50" t="str">
        <f>IF(ISNA(VLOOKUP($A13,Council_Data!$A$3:$AB$840,3,0)),0,VLOOKUP($A13,Council_Data!$A$3:$AB$840,3,0))</f>
        <v>Odessa</v>
      </c>
      <c r="D13" s="93">
        <f>IF(ISNA(VLOOKUP($A13,Council_Data!$A$3:$AB$840,5,0)),0,VLOOKUP($A13,Council_Data!$A$3:$AB$840,5,0))</f>
        <v>151</v>
      </c>
      <c r="E13" s="93">
        <f>IF(ISNA(VLOOKUP($A13,Council_Data!$A$3:$AB$840,6,0)),0,VLOOKUP($A13,Council_Data!$A$3:$AB$840,6,0))</f>
        <v>7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1</v>
      </c>
      <c r="P13" s="93">
        <f>IF(ISNA(VLOOKUP($A13,Council_Data!$A$3:$AB$840,17,0)),0,VLOOKUP($A13,Council_Data!$A$3:$AB$840,17,0))</f>
        <v>-1</v>
      </c>
      <c r="Q13" s="93">
        <f>IF(ISNA(VLOOKUP($A13,Council_Data!$A$3:$AB$840,18,0)),0,VLOOKUP($A13,Council_Data!$A$3:$AB$840,18,0))</f>
        <v>1</v>
      </c>
      <c r="R13" s="93">
        <f>IF(ISNA(VLOOKUP($A13,Council_Data!$A$3:$AB$840,19,0)),0,VLOOKUP($A13,Council_Data!$A$3:$AB$840,19,0))</f>
        <v>3</v>
      </c>
      <c r="S13" s="93">
        <f>IF(ISNA(VLOOKUP($A13,Council_Data!$A$3:$AB$840,20,0)),0,VLOOKUP($A13,Council_Data!$A$3:$AB$840,20,0))</f>
        <v>-2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Payne</v>
      </c>
    </row>
    <row r="14" spans="1:22">
      <c r="A14" s="50">
        <v>12657</v>
      </c>
      <c r="B14" s="50" t="str">
        <f>IF(ISNA(VLOOKUP($A14,Council_Data!$A$3:$AB$840,2,0)),0,VLOOKUP($A14,Council_Data!$A$3:$AB$840,2,0))</f>
        <v>223</v>
      </c>
      <c r="C14" s="50" t="str">
        <f>IF(ISNA(VLOOKUP($A14,Council_Data!$A$3:$AB$840,3,0)),0,VLOOKUP($A14,Council_Data!$A$3:$AB$840,3,0))</f>
        <v>Midland</v>
      </c>
      <c r="D14" s="93">
        <f>IF(ISNA(VLOOKUP($A14,Council_Data!$A$3:$AB$840,5,0)),0,VLOOKUP($A14,Council_Data!$A$3:$AB$840,5,0))</f>
        <v>216</v>
      </c>
      <c r="E14" s="93">
        <f>IF(ISNA(VLOOKUP($A14,Council_Data!$A$3:$AB$840,6,0)),0,VLOOKUP($A14,Council_Data!$A$3:$AB$840,6,0))</f>
        <v>11</v>
      </c>
      <c r="F14" s="93">
        <f>IF(ISNA(VLOOKUP($A14,Council_Data!$A$3:$AB$840,7,0)),0,VLOOKUP($A14,Council_Data!$A$3:$AB$840,7,0))</f>
        <v>1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1</v>
      </c>
      <c r="I14" s="93">
        <f>IF(ISNA(VLOOKUP($A14,Council_Data!$A$3:$AB$840,10,0)),0,VLOOKUP($A14,Council_Data!$A$3:$AB$840,10,0))</f>
        <v>1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1</v>
      </c>
      <c r="L14" s="94">
        <f>IF(ISNA(VLOOKUP($A14,Council_Data!$A$3:$AB$840,13,0)),0,VLOOKUP($A14,Council_Data!$A$3:$AB$840,13,0))</f>
        <v>9.09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1</v>
      </c>
      <c r="P14" s="93">
        <f>IF(ISNA(VLOOKUP($A14,Council_Data!$A$3:$AB$840,17,0)),0,VLOOKUP($A14,Council_Data!$A$3:$AB$840,17,0))</f>
        <v>-1</v>
      </c>
      <c r="Q14" s="93">
        <f>IF(ISNA(VLOOKUP($A14,Council_Data!$A$3:$AB$840,18,0)),0,VLOOKUP($A14,Council_Data!$A$3:$AB$840,18,0))</f>
        <v>1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Payne</v>
      </c>
    </row>
    <row r="15" spans="1:22">
      <c r="A15" s="50">
        <v>14412</v>
      </c>
      <c r="B15" s="50" t="str">
        <f>IF(ISNA(VLOOKUP($A15,Council_Data!$A$3:$AB$840,2,0)),0,VLOOKUP($A15,Council_Data!$A$3:$AB$840,2,0))</f>
        <v>223</v>
      </c>
      <c r="C15" s="50" t="str">
        <f>IF(ISNA(VLOOKUP($A15,Council_Data!$A$3:$AB$840,3,0)),0,VLOOKUP($A15,Council_Data!$A$3:$AB$840,3,0))</f>
        <v>Andrews</v>
      </c>
      <c r="D15" s="93">
        <f>IF(ISNA(VLOOKUP($A15,Council_Data!$A$3:$AB$840,5,0)),0,VLOOKUP($A15,Council_Data!$A$3:$AB$840,5,0))</f>
        <v>81</v>
      </c>
      <c r="E15" s="93">
        <f>IF(ISNA(VLOOKUP($A15,Council_Data!$A$3:$AB$840,6,0)),0,VLOOKUP($A15,Council_Data!$A$3:$AB$840,6,0))</f>
        <v>4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Payne</v>
      </c>
    </row>
    <row r="16" spans="1:22">
      <c r="A16" s="50">
        <v>2136</v>
      </c>
      <c r="B16" s="50" t="str">
        <f>IF(ISNA(VLOOKUP($A16,Council_Data!$A$3:$AB$840,2,0)),0,VLOOKUP($A16,Council_Data!$A$3:$AB$840,2,0))</f>
        <v>224</v>
      </c>
      <c r="C16" s="50" t="str">
        <f>IF(ISNA(VLOOKUP($A16,Council_Data!$A$3:$AB$840,3,0)),0,VLOOKUP($A16,Council_Data!$A$3:$AB$840,3,0))</f>
        <v>San Angelo</v>
      </c>
      <c r="D16" s="93">
        <f>IF(ISNA(VLOOKUP($A16,Council_Data!$A$3:$AB$840,5,0)),0,VLOOKUP($A16,Council_Data!$A$3:$AB$840,5,0))</f>
        <v>193</v>
      </c>
      <c r="E16" s="93">
        <f>IF(ISNA(VLOOKUP($A16,Council_Data!$A$3:$AB$840,6,0)),0,VLOOKUP($A16,Council_Data!$A$3:$AB$840,6,0))</f>
        <v>9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11.11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Payne</v>
      </c>
    </row>
    <row r="17" spans="1:22">
      <c r="A17" s="50">
        <v>12008</v>
      </c>
      <c r="B17" s="50" t="str">
        <f>IF(ISNA(VLOOKUP($A17,Council_Data!$A$3:$AB$840,2,0)),0,VLOOKUP($A17,Council_Data!$A$3:$AB$840,2,0))</f>
        <v>224</v>
      </c>
      <c r="C17" s="50" t="str">
        <f>IF(ISNA(VLOOKUP($A17,Council_Data!$A$3:$AB$840,3,0)),0,VLOOKUP($A17,Council_Data!$A$3:$AB$840,3,0))</f>
        <v>San Angelo</v>
      </c>
      <c r="D17" s="93">
        <f>IF(ISNA(VLOOKUP($A17,Council_Data!$A$3:$AB$840,5,0)),0,VLOOKUP($A17,Council_Data!$A$3:$AB$840,5,0))</f>
        <v>124</v>
      </c>
      <c r="E17" s="93">
        <f>IF(ISNA(VLOOKUP($A17,Council_Data!$A$3:$AB$840,6,0)),0,VLOOKUP($A17,Council_Data!$A$3:$AB$840,6,0))</f>
        <v>6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1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16.670000000000002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1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Payne</v>
      </c>
    </row>
    <row r="18" spans="1:22">
      <c r="A18" s="50">
        <v>12798</v>
      </c>
      <c r="B18" s="50" t="str">
        <f>IF(ISNA(VLOOKUP($A18,Council_Data!$A$3:$AB$840,2,0)),0,VLOOKUP($A18,Council_Data!$A$3:$AB$840,2,0))</f>
        <v>224</v>
      </c>
      <c r="C18" s="50" t="str">
        <f>IF(ISNA(VLOOKUP($A18,Council_Data!$A$3:$AB$840,3,0)),0,VLOOKUP($A18,Council_Data!$A$3:$AB$840,3,0))</f>
        <v>San Angelo</v>
      </c>
      <c r="D18" s="93">
        <f>IF(ISNA(VLOOKUP($A18,Council_Data!$A$3:$AB$840,5,0)),0,VLOOKUP($A18,Council_Data!$A$3:$AB$840,5,0))</f>
        <v>89</v>
      </c>
      <c r="E18" s="93">
        <f>IF(ISNA(VLOOKUP($A18,Council_Data!$A$3:$AB$840,6,0)),0,VLOOKUP($A18,Council_Data!$A$3:$AB$840,6,0))</f>
        <v>4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Payne</v>
      </c>
    </row>
    <row r="19" spans="1:22">
      <c r="A19" s="50">
        <v>13514</v>
      </c>
      <c r="B19" s="50" t="str">
        <f>IF(ISNA(VLOOKUP($A19,Council_Data!$A$3:$AB$840,2,0)),0,VLOOKUP($A19,Council_Data!$A$3:$AB$840,2,0))</f>
        <v>224</v>
      </c>
      <c r="C19" s="50" t="str">
        <f>IF(ISNA(VLOOKUP($A19,Council_Data!$A$3:$AB$840,3,0)),0,VLOOKUP($A19,Council_Data!$A$3:$AB$840,3,0))</f>
        <v>San Angelo</v>
      </c>
      <c r="D19" s="93">
        <f>IF(ISNA(VLOOKUP($A19,Council_Data!$A$3:$AB$840,5,0)),0,VLOOKUP($A19,Council_Data!$A$3:$AB$840,5,0))</f>
        <v>121</v>
      </c>
      <c r="E19" s="93">
        <f>IF(ISNA(VLOOKUP($A19,Council_Data!$A$3:$AB$840,6,0)),0,VLOOKUP($A19,Council_Data!$A$3:$AB$840,6,0))</f>
        <v>6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1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1</v>
      </c>
      <c r="L19" s="94">
        <f>IF(ISNA(VLOOKUP($A19,Council_Data!$A$3:$AB$840,13,0)),0,VLOOKUP($A19,Council_Data!$A$3:$AB$840,13,0))</f>
        <v>16.670000000000002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1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1</v>
      </c>
      <c r="Q19" s="93">
        <f>IF(ISNA(VLOOKUP($A19,Council_Data!$A$3:$AB$840,18,0)),0,VLOOKUP($A19,Council_Data!$A$3:$AB$840,18,0))</f>
        <v>1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Payne</v>
      </c>
    </row>
    <row r="20" spans="1:22">
      <c r="A20" s="50">
        <v>17204</v>
      </c>
      <c r="B20" s="50" t="str">
        <f>IF(ISNA(VLOOKUP($A20,Council_Data!$A$3:$AB$840,2,0)),0,VLOOKUP($A20,Council_Data!$A$3:$AB$840,2,0))</f>
        <v>224</v>
      </c>
      <c r="C20" s="50" t="str">
        <f>IF(ISNA(VLOOKUP($A20,Council_Data!$A$3:$AB$840,3,0)),0,VLOOKUP($A20,Council_Data!$A$3:$AB$840,3,0))</f>
        <v>San Angelo</v>
      </c>
      <c r="D20" s="93">
        <f>IF(ISNA(VLOOKUP($A20,Council_Data!$A$3:$AB$840,5,0)),0,VLOOKUP($A20,Council_Data!$A$3:$AB$840,5,0))</f>
        <v>31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2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2</v>
      </c>
      <c r="L20" s="94">
        <f>IF(ISNA(VLOOKUP($A20,Council_Data!$A$3:$AB$840,13,0)),0,VLOOKUP($A20,Council_Data!$A$3:$AB$840,13,0))</f>
        <v>66.67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>
      <c r="A21" s="50">
        <v>8572</v>
      </c>
      <c r="B21" s="50" t="str">
        <f>IF(ISNA(VLOOKUP($A21,Council_Data!$A$3:$AB$840,2,0)),0,VLOOKUP($A21,Council_Data!$A$3:$AB$840,2,0))</f>
        <v>225</v>
      </c>
      <c r="C21" s="50" t="str">
        <f>IF(ISNA(VLOOKUP($A21,Council_Data!$A$3:$AB$840,3,0)),0,VLOOKUP($A21,Council_Data!$A$3:$AB$840,3,0))</f>
        <v>Ozona</v>
      </c>
      <c r="D21" s="93">
        <f>IF(ISNA(VLOOKUP($A21,Council_Data!$A$3:$AB$840,5,0)),0,VLOOKUP($A21,Council_Data!$A$3:$AB$840,5,0))</f>
        <v>80</v>
      </c>
      <c r="E21" s="93">
        <f>IF(ISNA(VLOOKUP($A21,Council_Data!$A$3:$AB$840,6,0)),0,VLOOKUP($A21,Council_Data!$A$3:$AB$840,6,0))</f>
        <v>4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2</v>
      </c>
      <c r="V21" s="50" t="str">
        <f>IF(ISNA(VLOOKUP($A21,Council_Data!$A$3:$AB$840,24,0)),0,VLOOKUP($A21,Council_Data!$A$3:$AB$840,24,0))</f>
        <v>Payne</v>
      </c>
    </row>
    <row r="22" spans="1:22">
      <c r="A22" s="50">
        <v>10609</v>
      </c>
      <c r="B22" s="50" t="str">
        <f>IF(ISNA(VLOOKUP($A22,Council_Data!$A$3:$AB$840,2,0)),0,VLOOKUP($A22,Council_Data!$A$3:$AB$840,2,0))</f>
        <v>225</v>
      </c>
      <c r="C22" s="50" t="str">
        <f>IF(ISNA(VLOOKUP($A22,Council_Data!$A$3:$AB$840,3,0)),0,VLOOKUP($A22,Council_Data!$A$3:$AB$840,3,0))</f>
        <v>Sonora</v>
      </c>
      <c r="D22" s="93">
        <f>IF(ISNA(VLOOKUP($A22,Council_Data!$A$3:$AB$840,5,0)),0,VLOOKUP($A22,Council_Data!$A$3:$AB$840,5,0))</f>
        <v>90</v>
      </c>
      <c r="E22" s="93">
        <f>IF(ISNA(VLOOKUP($A22,Council_Data!$A$3:$AB$840,6,0)),0,VLOOKUP($A22,Council_Data!$A$3:$AB$840,6,0))</f>
        <v>5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Payne</v>
      </c>
    </row>
    <row r="23" spans="1:22">
      <c r="A23" s="50">
        <v>11282</v>
      </c>
      <c r="B23" s="50" t="str">
        <f>IF(ISNA(VLOOKUP($A23,Council_Data!$A$3:$AB$840,2,0)),0,VLOOKUP($A23,Council_Data!$A$3:$AB$840,2,0))</f>
        <v>225</v>
      </c>
      <c r="C23" s="50" t="str">
        <f>IF(ISNA(VLOOKUP($A23,Council_Data!$A$3:$AB$840,3,0)),0,VLOOKUP($A23,Council_Data!$A$3:$AB$840,3,0))</f>
        <v>Eldorado</v>
      </c>
      <c r="D23" s="93">
        <f>IF(ISNA(VLOOKUP($A23,Council_Data!$A$3:$AB$840,5,0)),0,VLOOKUP($A23,Council_Data!$A$3:$AB$840,5,0))</f>
        <v>41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Payne</v>
      </c>
    </row>
    <row r="24" spans="1:22">
      <c r="A24" s="50">
        <v>2636</v>
      </c>
      <c r="B24" s="50" t="str">
        <f>IF(ISNA(VLOOKUP($A24,Council_Data!$A$3:$AB$840,2,0)),0,VLOOKUP($A24,Council_Data!$A$3:$AB$840,2,0))</f>
        <v>226</v>
      </c>
      <c r="C24" s="50" t="str">
        <f>IF(ISNA(VLOOKUP($A24,Council_Data!$A$3:$AB$840,3,0)),0,VLOOKUP($A24,Council_Data!$A$3:$AB$840,3,0))</f>
        <v>Rowena</v>
      </c>
      <c r="D24" s="93">
        <f>IF(ISNA(VLOOKUP($A24,Council_Data!$A$3:$AB$840,5,0)),0,VLOOKUP($A24,Council_Data!$A$3:$AB$840,5,0))</f>
        <v>84</v>
      </c>
      <c r="E24" s="93">
        <f>IF(ISNA(VLOOKUP($A24,Council_Data!$A$3:$AB$840,6,0)),0,VLOOKUP($A24,Council_Data!$A$3:$AB$840,6,0))</f>
        <v>4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Payne</v>
      </c>
    </row>
    <row r="25" spans="1:22">
      <c r="A25" s="50">
        <v>2772</v>
      </c>
      <c r="B25" s="50" t="str">
        <f>IF(ISNA(VLOOKUP($A25,Council_Data!$A$3:$AB$840,2,0)),0,VLOOKUP($A25,Council_Data!$A$3:$AB$840,2,0))</f>
        <v>226</v>
      </c>
      <c r="C25" s="50" t="str">
        <f>IF(ISNA(VLOOKUP($A25,Council_Data!$A$3:$AB$840,3,0)),0,VLOOKUP($A25,Council_Data!$A$3:$AB$840,3,0))</f>
        <v>Olfen</v>
      </c>
      <c r="D25" s="93">
        <f>IF(ISNA(VLOOKUP($A25,Council_Data!$A$3:$AB$840,5,0)),0,VLOOKUP($A25,Council_Data!$A$3:$AB$840,5,0))</f>
        <v>45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>
      <c r="A26" s="50">
        <v>6811</v>
      </c>
      <c r="B26" s="50" t="str">
        <f>IF(ISNA(VLOOKUP($A26,Council_Data!$A$3:$AB$840,2,0)),0,VLOOKUP($A26,Council_Data!$A$3:$AB$840,2,0))</f>
        <v>226</v>
      </c>
      <c r="C26" s="50" t="str">
        <f>IF(ISNA(VLOOKUP($A26,Council_Data!$A$3:$AB$840,3,0)),0,VLOOKUP($A26,Council_Data!$A$3:$AB$840,3,0))</f>
        <v>Miles</v>
      </c>
      <c r="D26" s="93">
        <f>IF(ISNA(VLOOKUP($A26,Council_Data!$A$3:$AB$840,5,0)),0,VLOOKUP($A26,Council_Data!$A$3:$AB$840,5,0))</f>
        <v>73</v>
      </c>
      <c r="E26" s="93">
        <f>IF(ISNA(VLOOKUP($A26,Council_Data!$A$3:$AB$840,6,0)),0,VLOOKUP($A26,Council_Data!$A$3:$AB$840,6,0))</f>
        <v>4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Payne</v>
      </c>
    </row>
    <row r="27" spans="1:22">
      <c r="A27" s="50">
        <v>10985</v>
      </c>
      <c r="B27" s="50" t="str">
        <f>IF(ISNA(VLOOKUP($A27,Council_Data!$A$3:$AB$840,2,0)),0,VLOOKUP($A27,Council_Data!$A$3:$AB$840,2,0))</f>
        <v>226</v>
      </c>
      <c r="C27" s="50" t="str">
        <f>IF(ISNA(VLOOKUP($A27,Council_Data!$A$3:$AB$840,3,0)),0,VLOOKUP($A27,Council_Data!$A$3:$AB$840,3,0))</f>
        <v>Ballinger</v>
      </c>
      <c r="D27" s="93">
        <f>IF(ISNA(VLOOKUP($A27,Council_Data!$A$3:$AB$840,5,0)),0,VLOOKUP($A27,Council_Data!$A$3:$AB$840,5,0))</f>
        <v>79</v>
      </c>
      <c r="E27" s="93">
        <f>IF(ISNA(VLOOKUP($A27,Council_Data!$A$3:$AB$840,6,0)),0,VLOOKUP($A27,Council_Data!$A$3:$AB$840,6,0))</f>
        <v>4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Payne</v>
      </c>
    </row>
    <row r="28" spans="1:22">
      <c r="A28" s="50">
        <v>3867</v>
      </c>
      <c r="B28" s="50" t="str">
        <f>IF(ISNA(VLOOKUP($A28,Council_Data!$A$3:$AB$840,2,0)),0,VLOOKUP($A28,Council_Data!$A$3:$AB$840,2,0))</f>
        <v>227</v>
      </c>
      <c r="C28" s="50" t="str">
        <f>IF(ISNA(VLOOKUP($A28,Council_Data!$A$3:$AB$840,3,0)),0,VLOOKUP($A28,Council_Data!$A$3:$AB$840,3,0))</f>
        <v>Brownwood</v>
      </c>
      <c r="D28" s="93">
        <f>IF(ISNA(VLOOKUP($A28,Council_Data!$A$3:$AB$840,5,0)),0,VLOOKUP($A28,Council_Data!$A$3:$AB$840,5,0))</f>
        <v>92</v>
      </c>
      <c r="E28" s="93">
        <f>IF(ISNA(VLOOKUP($A28,Council_Data!$A$3:$AB$840,6,0)),0,VLOOKUP($A28,Council_Data!$A$3:$AB$840,6,0))</f>
        <v>4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Payne</v>
      </c>
    </row>
    <row r="29" spans="1:22">
      <c r="A29" s="50">
        <v>8574</v>
      </c>
      <c r="B29" s="50" t="str">
        <f>IF(ISNA(VLOOKUP($A29,Council_Data!$A$3:$AB$840,2,0)),0,VLOOKUP($A29,Council_Data!$A$3:$AB$840,2,0))</f>
        <v>227</v>
      </c>
      <c r="C29" s="50" t="str">
        <f>IF(ISNA(VLOOKUP($A29,Council_Data!$A$3:$AB$840,3,0)),0,VLOOKUP($A29,Council_Data!$A$3:$AB$840,3,0))</f>
        <v>Winters</v>
      </c>
      <c r="D29" s="93">
        <f>IF(ISNA(VLOOKUP($A29,Council_Data!$A$3:$AB$840,5,0)),0,VLOOKUP($A29,Council_Data!$A$3:$AB$840,5,0))</f>
        <v>20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Payne</v>
      </c>
    </row>
    <row r="30" spans="1:22">
      <c r="A30" s="50">
        <v>13824</v>
      </c>
      <c r="B30" s="50" t="str">
        <f>IF(ISNA(VLOOKUP($A30,Council_Data!$A$3:$AB$840,2,0)),0,VLOOKUP($A30,Council_Data!$A$3:$AB$840,2,0))</f>
        <v>227</v>
      </c>
      <c r="C30" s="50" t="str">
        <f>IF(ISNA(VLOOKUP($A30,Council_Data!$A$3:$AB$840,3,0)),0,VLOOKUP($A30,Council_Data!$A$3:$AB$840,3,0))</f>
        <v>Brady</v>
      </c>
      <c r="D30" s="93">
        <f>IF(ISNA(VLOOKUP($A30,Council_Data!$A$3:$AB$840,5,0)),0,VLOOKUP($A30,Council_Data!$A$3:$AB$840,5,0))</f>
        <v>72</v>
      </c>
      <c r="E30" s="93">
        <f>IF(ISNA(VLOOKUP($A30,Council_Data!$A$3:$AB$840,6,0)),0,VLOOKUP($A30,Council_Data!$A$3:$AB$840,6,0))</f>
        <v>4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1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Payne</v>
      </c>
    </row>
    <row r="31" spans="1:22">
      <c r="A31" s="50">
        <v>2163</v>
      </c>
      <c r="B31" s="50" t="str">
        <f>IF(ISNA(VLOOKUP($A31,Council_Data!$A$3:$AB$840,2,0)),0,VLOOKUP($A31,Council_Data!$A$3:$AB$840,2,0))</f>
        <v>228</v>
      </c>
      <c r="C31" s="50" t="str">
        <f>IF(ISNA(VLOOKUP($A31,Council_Data!$A$3:$AB$840,3,0)),0,VLOOKUP($A31,Council_Data!$A$3:$AB$840,3,0))</f>
        <v>Abilene</v>
      </c>
      <c r="D31" s="93">
        <f>IF(ISNA(VLOOKUP($A31,Council_Data!$A$3:$AB$840,5,0)),0,VLOOKUP($A31,Council_Data!$A$3:$AB$840,5,0))</f>
        <v>195</v>
      </c>
      <c r="E31" s="93">
        <f>IF(ISNA(VLOOKUP($A31,Council_Data!$A$3:$AB$840,6,0)),0,VLOOKUP($A31,Council_Data!$A$3:$AB$840,6,0))</f>
        <v>9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1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1</v>
      </c>
      <c r="L31" s="94">
        <f>IF(ISNA(VLOOKUP($A31,Council_Data!$A$3:$AB$840,13,0)),0,VLOOKUP($A31,Council_Data!$A$3:$AB$840,13,0))</f>
        <v>11.11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Payne</v>
      </c>
    </row>
    <row r="32" spans="1:22">
      <c r="A32" s="50">
        <v>6634</v>
      </c>
      <c r="B32" s="50" t="str">
        <f>IF(ISNA(VLOOKUP($A32,Council_Data!$A$3:$AB$840,2,0)),0,VLOOKUP($A32,Council_Data!$A$3:$AB$840,2,0))</f>
        <v>228</v>
      </c>
      <c r="C32" s="50" t="str">
        <f>IF(ISNA(VLOOKUP($A32,Council_Data!$A$3:$AB$840,3,0)),0,VLOOKUP($A32,Council_Data!$A$3:$AB$840,3,0))</f>
        <v>Sweetwater</v>
      </c>
      <c r="D32" s="93">
        <f>IF(ISNA(VLOOKUP($A32,Council_Data!$A$3:$AB$840,5,0)),0,VLOOKUP($A32,Council_Data!$A$3:$AB$840,5,0))</f>
        <v>72</v>
      </c>
      <c r="E32" s="93">
        <f>IF(ISNA(VLOOKUP($A32,Council_Data!$A$3:$AB$840,6,0)),0,VLOOKUP($A32,Council_Data!$A$3:$AB$840,6,0))</f>
        <v>3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Payne</v>
      </c>
    </row>
    <row r="33" spans="1:22">
      <c r="A33" s="50">
        <v>8788</v>
      </c>
      <c r="B33" s="50" t="str">
        <f>IF(ISNA(VLOOKUP($A33,Council_Data!$A$3:$AB$840,2,0)),0,VLOOKUP($A33,Council_Data!$A$3:$AB$840,2,0))</f>
        <v>228</v>
      </c>
      <c r="C33" s="50" t="str">
        <f>IF(ISNA(VLOOKUP($A33,Council_Data!$A$3:$AB$840,3,0)),0,VLOOKUP($A33,Council_Data!$A$3:$AB$840,3,0))</f>
        <v>Abilene</v>
      </c>
      <c r="D33" s="93">
        <f>IF(ISNA(VLOOKUP($A33,Council_Data!$A$3:$AB$840,5,0)),0,VLOOKUP($A33,Council_Data!$A$3:$AB$840,5,0))</f>
        <v>103</v>
      </c>
      <c r="E33" s="93">
        <f>IF(ISNA(VLOOKUP($A33,Council_Data!$A$3:$AB$840,6,0)),0,VLOOKUP($A33,Council_Data!$A$3:$AB$840,6,0))</f>
        <v>5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Payne</v>
      </c>
    </row>
    <row r="34" spans="1:22">
      <c r="A34" s="50">
        <v>12066</v>
      </c>
      <c r="B34" s="50" t="str">
        <f>IF(ISNA(VLOOKUP($A34,Council_Data!$A$3:$AB$840,2,0)),0,VLOOKUP($A34,Council_Data!$A$3:$AB$840,2,0))</f>
        <v>228</v>
      </c>
      <c r="C34" s="50" t="str">
        <f>IF(ISNA(VLOOKUP($A34,Council_Data!$A$3:$AB$840,3,0)),0,VLOOKUP($A34,Council_Data!$A$3:$AB$840,3,0))</f>
        <v>Colorado City</v>
      </c>
      <c r="D34" s="93">
        <f>IF(ISNA(VLOOKUP($A34,Council_Data!$A$3:$AB$840,5,0)),0,VLOOKUP($A34,Council_Data!$A$3:$AB$840,5,0))</f>
        <v>38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Payne</v>
      </c>
    </row>
    <row r="35" spans="1:22">
      <c r="A35" s="50">
        <v>14050</v>
      </c>
      <c r="B35" s="50" t="str">
        <f>IF(ISNA(VLOOKUP($A35,Council_Data!$A$3:$AB$840,2,0)),0,VLOOKUP($A35,Council_Data!$A$3:$AB$840,2,0))</f>
        <v>228</v>
      </c>
      <c r="C35" s="50" t="str">
        <f>IF(ISNA(VLOOKUP($A35,Council_Data!$A$3:$AB$840,3,0)),0,VLOOKUP($A35,Council_Data!$A$3:$AB$840,3,0))</f>
        <v>Abilene</v>
      </c>
      <c r="D35" s="93">
        <f>IF(ISNA(VLOOKUP($A35,Council_Data!$A$3:$AB$840,5,0)),0,VLOOKUP($A35,Council_Data!$A$3:$AB$840,5,0))</f>
        <v>65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Payne</v>
      </c>
    </row>
    <row r="36" spans="1:22">
      <c r="A36" s="50">
        <v>4316</v>
      </c>
      <c r="B36" s="50" t="str">
        <f>IF(ISNA(VLOOKUP($A36,Council_Data!$A$3:$AB$840,2,0)),0,VLOOKUP($A36,Council_Data!$A$3:$AB$840,2,0))</f>
        <v>229</v>
      </c>
      <c r="C36" s="50" t="str">
        <f>IF(ISNA(VLOOKUP($A36,Council_Data!$A$3:$AB$840,3,0)),0,VLOOKUP($A36,Council_Data!$A$3:$AB$840,3,0))</f>
        <v>Wall</v>
      </c>
      <c r="D36" s="93">
        <f>IF(ISNA(VLOOKUP($A36,Council_Data!$A$3:$AB$840,5,0)),0,VLOOKUP($A36,Council_Data!$A$3:$AB$840,5,0))</f>
        <v>237</v>
      </c>
      <c r="E36" s="93">
        <f>IF(ISNA(VLOOKUP($A36,Council_Data!$A$3:$AB$840,6,0)),0,VLOOKUP($A36,Council_Data!$A$3:$AB$840,6,0))</f>
        <v>11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1</v>
      </c>
      <c r="K36" s="93">
        <f>IF(ISNA(VLOOKUP($A36,Council_Data!$A$3:$AB$840,12,0)),0,VLOOKUP($A36,Council_Data!$A$3:$AB$840,12,0))</f>
        <v>-1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2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Payne</v>
      </c>
    </row>
    <row r="37" spans="1:22">
      <c r="A37" s="50">
        <v>9641</v>
      </c>
      <c r="B37" s="50" t="str">
        <f>IF(ISNA(VLOOKUP($A37,Council_Data!$A$3:$AB$840,2,0)),0,VLOOKUP($A37,Council_Data!$A$3:$AB$840,2,0))</f>
        <v>229</v>
      </c>
      <c r="C37" s="50" t="str">
        <f>IF(ISNA(VLOOKUP($A37,Council_Data!$A$3:$AB$840,3,0)),0,VLOOKUP($A37,Council_Data!$A$3:$AB$840,3,0))</f>
        <v>St Lawrence</v>
      </c>
      <c r="D37" s="93">
        <f>IF(ISNA(VLOOKUP($A37,Council_Data!$A$3:$AB$840,5,0)),0,VLOOKUP($A37,Council_Data!$A$3:$AB$840,5,0))</f>
        <v>126</v>
      </c>
      <c r="E37" s="93">
        <f>IF(ISNA(VLOOKUP($A37,Council_Data!$A$3:$AB$840,6,0)),0,VLOOKUP($A37,Council_Data!$A$3:$AB$840,6,0))</f>
        <v>6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2</v>
      </c>
      <c r="V37" s="50" t="str">
        <f>IF(ISNA(VLOOKUP($A37,Council_Data!$A$3:$AB$840,24,0)),0,VLOOKUP($A37,Council_Data!$A$3:$AB$840,24,0))</f>
        <v>Payne</v>
      </c>
    </row>
    <row r="38" spans="1:22">
      <c r="A38" s="50">
        <v>10750</v>
      </c>
      <c r="B38" s="50" t="str">
        <f>IF(ISNA(VLOOKUP($A38,Council_Data!$A$3:$AB$840,2,0)),0,VLOOKUP($A38,Council_Data!$A$3:$AB$840,2,0))</f>
        <v>230</v>
      </c>
      <c r="C38" s="50" t="str">
        <f>IF(ISNA(VLOOKUP($A38,Council_Data!$A$3:$AB$840,3,0)),0,VLOOKUP($A38,Council_Data!$A$3:$AB$840,3,0))</f>
        <v>Midland</v>
      </c>
      <c r="D38" s="93">
        <f>IF(ISNA(VLOOKUP($A38,Council_Data!$A$3:$AB$840,5,0)),0,VLOOKUP($A38,Council_Data!$A$3:$AB$840,5,0))</f>
        <v>14</v>
      </c>
      <c r="E38" s="93">
        <f>IF(ISNA(VLOOKUP($A38,Council_Data!$A$3:$AB$840,6,0)),0,VLOOKUP($A38,Council_Data!$A$3:$AB$840,6,0))</f>
        <v>11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0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0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3</v>
      </c>
      <c r="V38" s="50" t="str">
        <f>IF(ISNA(VLOOKUP($A38,Council_Data!$A$3:$AB$840,24,0)),0,VLOOKUP($A38,Council_Data!$A$3:$AB$840,24,0))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0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29" t="s">
        <v>861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</row>
    <row r="2" spans="1:22" s="24" customFormat="1" ht="13.5" thickBo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331" t="s">
        <v>829</v>
      </c>
      <c r="V3" s="331" t="s">
        <v>820</v>
      </c>
    </row>
    <row r="4" spans="1:22" ht="13.5" customHeight="1">
      <c r="A4" s="93">
        <v>786</v>
      </c>
      <c r="B4" s="50" t="str">
        <f>IF(ISNA(VLOOKUP($A4,Council_Data!$A$3:$AB$840,2,0)),0,VLOOKUP($A4,Council_Data!$A$3:$AB$840,2,0))</f>
        <v>047</v>
      </c>
      <c r="C4" s="50" t="str">
        <f>IF(ISNA(VLOOKUP($A4,Council_Data!$A$3:$AB$840,3,0)),0,VLOOKUP($A4,Council_Data!$A$3:$AB$840,3,0))</f>
        <v>San Antonio</v>
      </c>
      <c r="D4" s="93">
        <f>IF(ISNA(VLOOKUP($A4,Council_Data!$A$3:$AB$840,5,0)),0,VLOOKUP($A4,Council_Data!$A$3:$AB$840,5,0))</f>
        <v>305</v>
      </c>
      <c r="E4" s="93">
        <f>IF(ISNA(VLOOKUP($A4,Council_Data!$A$3:$AB$840,6,0)),0,VLOOKUP($A4,Council_Data!$A$3:$AB$840,6,0))</f>
        <v>14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2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2</v>
      </c>
      <c r="L4" s="94">
        <f>IF(ISNA(VLOOKUP($A4,Council_Data!$A$3:$AB$840,13,0)),0,VLOOKUP($A4,Council_Data!$A$3:$AB$840,13,0))</f>
        <v>14.29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1</v>
      </c>
      <c r="P4" s="93">
        <f>IF(ISNA(VLOOKUP($A4,Council_Data!$A$3:$AB$840,17,0)),0,VLOOKUP($A4,Council_Data!$A$3:$AB$840,17,0))</f>
        <v>-1</v>
      </c>
      <c r="Q4" s="93">
        <f>IF(ISNA(VLOOKUP($A4,Council_Data!$A$3:$AB$840,18,0)),0,VLOOKUP($A4,Council_Data!$A$3:$AB$840,18,0))</f>
        <v>3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2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Dougherty</v>
      </c>
    </row>
    <row r="5" spans="1:22">
      <c r="A5" s="93">
        <v>2512</v>
      </c>
      <c r="B5" s="50" t="str">
        <f>IF(ISNA(VLOOKUP($A5,Council_Data!$A$3:$AB$840,2,0)),0,VLOOKUP($A5,Council_Data!$A$3:$AB$840,2,0))</f>
        <v>056</v>
      </c>
      <c r="C5" s="50" t="str">
        <f>IF(ISNA(VLOOKUP($A5,Council_Data!$A$3:$AB$840,3,0)),0,VLOOKUP($A5,Council_Data!$A$3:$AB$840,3,0))</f>
        <v>Falls City</v>
      </c>
      <c r="D5" s="93">
        <f>IF(ISNA(VLOOKUP($A5,Council_Data!$A$3:$AB$840,5,0)),0,VLOOKUP($A5,Council_Data!$A$3:$AB$840,5,0))</f>
        <v>77</v>
      </c>
      <c r="E5" s="93">
        <f>IF(ISNA(VLOOKUP($A5,Council_Data!$A$3:$AB$840,6,0)),0,VLOOKUP($A5,Council_Data!$A$3:$AB$840,6,0))</f>
        <v>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Dougherty</v>
      </c>
    </row>
    <row r="6" spans="1:22">
      <c r="A6" s="93">
        <v>2618</v>
      </c>
      <c r="B6" s="50" t="str">
        <f>IF(ISNA(VLOOKUP($A6,Council_Data!$A$3:$AB$840,2,0)),0,VLOOKUP($A6,Council_Data!$A$3:$AB$840,2,0))</f>
        <v>056</v>
      </c>
      <c r="C6" s="50" t="str">
        <f>IF(ISNA(VLOOKUP($A6,Council_Data!$A$3:$AB$840,3,0)),0,VLOOKUP($A6,Council_Data!$A$3:$AB$840,3,0))</f>
        <v>Poth</v>
      </c>
      <c r="D6" s="93">
        <f>IF(ISNA(VLOOKUP($A6,Council_Data!$A$3:$AB$840,5,0)),0,VLOOKUP($A6,Council_Data!$A$3:$AB$840,5,0))</f>
        <v>147</v>
      </c>
      <c r="E6" s="93">
        <f>IF(ISNA(VLOOKUP($A6,Council_Data!$A$3:$AB$840,6,0)),0,VLOOKUP($A6,Council_Data!$A$3:$AB$840,6,0))</f>
        <v>7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1</v>
      </c>
      <c r="V6" s="50" t="str">
        <f>IF(ISNA(VLOOKUP($A6,Council_Data!$A$3:$AB$840,24,0)),0,VLOOKUP($A6,Council_Data!$A$3:$AB$840,24,0))</f>
        <v>Dougherty</v>
      </c>
    </row>
    <row r="7" spans="1:22">
      <c r="A7" s="93">
        <v>2687</v>
      </c>
      <c r="B7" s="50" t="str">
        <f>IF(ISNA(VLOOKUP($A7,Council_Data!$A$3:$AB$840,2,0)),0,VLOOKUP($A7,Council_Data!$A$3:$AB$840,2,0))</f>
        <v>036</v>
      </c>
      <c r="C7" s="50" t="str">
        <f>IF(ISNA(VLOOKUP($A7,Council_Data!$A$3:$AB$840,3,0)),0,VLOOKUP($A7,Council_Data!$A$3:$AB$840,3,0))</f>
        <v>Del Rio</v>
      </c>
      <c r="D7" s="93">
        <f>IF(ISNA(VLOOKUP($A7,Council_Data!$A$3:$AB$840,5,0)),0,VLOOKUP($A7,Council_Data!$A$3:$AB$840,5,0))</f>
        <v>170</v>
      </c>
      <c r="E7" s="93">
        <f>IF(ISNA(VLOOKUP($A7,Council_Data!$A$3:$AB$840,6,0)),0,VLOOKUP($A7,Council_Data!$A$3:$AB$840,6,0))</f>
        <v>8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1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Dougherty</v>
      </c>
    </row>
    <row r="8" spans="1:22">
      <c r="A8" s="93">
        <v>3245</v>
      </c>
      <c r="B8" s="50" t="str">
        <f>IF(ISNA(VLOOKUP($A8,Council_Data!$A$3:$AB$840,2,0)),0,VLOOKUP($A8,Council_Data!$A$3:$AB$840,2,0))</f>
        <v>036</v>
      </c>
      <c r="C8" s="50" t="str">
        <f>IF(ISNA(VLOOKUP($A8,Council_Data!$A$3:$AB$840,3,0)),0,VLOOKUP($A8,Council_Data!$A$3:$AB$840,3,0))</f>
        <v>Uvalde</v>
      </c>
      <c r="D8" s="93">
        <f>IF(ISNA(VLOOKUP($A8,Council_Data!$A$3:$AB$840,5,0)),0,VLOOKUP($A8,Council_Data!$A$3:$AB$840,5,0))</f>
        <v>173</v>
      </c>
      <c r="E8" s="93">
        <f>IF(ISNA(VLOOKUP($A8,Council_Data!$A$3:$AB$840,6,0)),0,VLOOKUP($A8,Council_Data!$A$3:$AB$840,6,0))</f>
        <v>9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Dougherty</v>
      </c>
    </row>
    <row r="9" spans="1:22" ht="13.5" customHeight="1">
      <c r="A9" s="93">
        <v>3266</v>
      </c>
      <c r="B9" s="50" t="str">
        <f>IF(ISNA(VLOOKUP($A9,Council_Data!$A$3:$AB$840,2,0)),0,VLOOKUP($A9,Council_Data!$A$3:$AB$840,2,0))</f>
        <v>057</v>
      </c>
      <c r="C9" s="50" t="str">
        <f>IF(ISNA(VLOOKUP($A9,Council_Data!$A$3:$AB$840,3,0)),0,VLOOKUP($A9,Council_Data!$A$3:$AB$840,3,0))</f>
        <v>Jourdanton</v>
      </c>
      <c r="D9" s="93">
        <f>IF(ISNA(VLOOKUP($A9,Council_Data!$A$3:$AB$840,5,0)),0,VLOOKUP($A9,Council_Data!$A$3:$AB$840,5,0))</f>
        <v>80</v>
      </c>
      <c r="E9" s="93">
        <f>IF(ISNA(VLOOKUP($A9,Council_Data!$A$3:$AB$840,6,0)),0,VLOOKUP($A9,Council_Data!$A$3:$AB$840,6,0))</f>
        <v>4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1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1</v>
      </c>
      <c r="L9" s="94">
        <f>IF(ISNA(VLOOKUP($A9,Council_Data!$A$3:$AB$840,13,0)),0,VLOOKUP($A9,Council_Data!$A$3:$AB$840,13,0))</f>
        <v>25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1</v>
      </c>
      <c r="P9" s="93">
        <f>IF(ISNA(VLOOKUP($A9,Council_Data!$A$3:$AB$840,17,0)),0,VLOOKUP($A9,Council_Data!$A$3:$AB$840,17,0))</f>
        <v>-1</v>
      </c>
      <c r="Q9" s="93">
        <f>IF(ISNA(VLOOKUP($A9,Council_Data!$A$3:$AB$840,18,0)),0,VLOOKUP($A9,Council_Data!$A$3:$AB$840,18,0))</f>
        <v>1</v>
      </c>
      <c r="R9" s="93">
        <f>IF(ISNA(VLOOKUP($A9,Council_Data!$A$3:$AB$840,19,0)),0,VLOOKUP($A9,Council_Data!$A$3:$AB$840,19,0))</f>
        <v>1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Dougherty</v>
      </c>
    </row>
    <row r="10" spans="1:22" ht="13.5" customHeight="1">
      <c r="A10" s="93">
        <v>3345</v>
      </c>
      <c r="B10" s="50" t="str">
        <f>IF(ISNA(VLOOKUP($A10,Council_Data!$A$3:$AB$840,2,0)),0,VLOOKUP($A10,Council_Data!$A$3:$AB$840,2,0))</f>
        <v>048</v>
      </c>
      <c r="C10" s="50" t="str">
        <f>IF(ISNA(VLOOKUP($A10,Council_Data!$A$3:$AB$840,3,0)),0,VLOOKUP($A10,Council_Data!$A$3:$AB$840,3,0))</f>
        <v>San Antonio</v>
      </c>
      <c r="D10" s="93">
        <f>IF(ISNA(VLOOKUP($A10,Council_Data!$A$3:$AB$840,5,0)),0,VLOOKUP($A10,Council_Data!$A$3:$AB$840,5,0))</f>
        <v>89</v>
      </c>
      <c r="E10" s="93">
        <f>IF(ISNA(VLOOKUP($A10,Council_Data!$A$3:$AB$840,6,0)),0,VLOOKUP($A10,Council_Data!$A$3:$AB$840,6,0))</f>
        <v>4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1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Dougherty</v>
      </c>
    </row>
    <row r="11" spans="1:22">
      <c r="A11" s="93">
        <v>3412</v>
      </c>
      <c r="B11" s="50" t="str">
        <f>IF(ISNA(VLOOKUP($A11,Council_Data!$A$3:$AB$840,2,0)),0,VLOOKUP($A11,Council_Data!$A$3:$AB$840,2,0))</f>
        <v>045</v>
      </c>
      <c r="C11" s="50" t="str">
        <f>IF(ISNA(VLOOKUP($A11,Council_Data!$A$3:$AB$840,3,0)),0,VLOOKUP($A11,Council_Data!$A$3:$AB$840,3,0))</f>
        <v>Seguin</v>
      </c>
      <c r="D11" s="93">
        <f>IF(ISNA(VLOOKUP($A11,Council_Data!$A$3:$AB$840,5,0)),0,VLOOKUP($A11,Council_Data!$A$3:$AB$840,5,0))</f>
        <v>220</v>
      </c>
      <c r="E11" s="93">
        <f>IF(ISNA(VLOOKUP($A11,Council_Data!$A$3:$AB$840,6,0)),0,VLOOKUP($A11,Council_Data!$A$3:$AB$840,6,0))</f>
        <v>11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6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6</v>
      </c>
      <c r="L11" s="94">
        <f>IF(ISNA(VLOOKUP($A11,Council_Data!$A$3:$AB$840,13,0)),0,VLOOKUP($A11,Council_Data!$A$3:$AB$840,13,0))</f>
        <v>54.55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Dougherty</v>
      </c>
    </row>
    <row r="12" spans="1:22">
      <c r="A12" s="93">
        <v>4140</v>
      </c>
      <c r="B12" s="50" t="str">
        <f>IF(ISNA(VLOOKUP($A12,Council_Data!$A$3:$AB$840,2,0)),0,VLOOKUP($A12,Council_Data!$A$3:$AB$840,2,0))</f>
        <v>042</v>
      </c>
      <c r="C12" s="50" t="str">
        <f>IF(ISNA(VLOOKUP($A12,Council_Data!$A$3:$AB$840,3,0)),0,VLOOKUP($A12,Council_Data!$A$3:$AB$840,3,0))</f>
        <v>San Antonio</v>
      </c>
      <c r="D12" s="93">
        <f>IF(ISNA(VLOOKUP($A12,Council_Data!$A$3:$AB$840,5,0)),0,VLOOKUP($A12,Council_Data!$A$3:$AB$840,5,0))</f>
        <v>251</v>
      </c>
      <c r="E12" s="93">
        <f>IF(ISNA(VLOOKUP($A12,Council_Data!$A$3:$AB$840,6,0)),0,VLOOKUP($A12,Council_Data!$A$3:$AB$840,6,0))</f>
        <v>11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Dougherty</v>
      </c>
    </row>
    <row r="13" spans="1:22">
      <c r="A13" s="93">
        <v>4183</v>
      </c>
      <c r="B13" s="50" t="str">
        <f>IF(ISNA(VLOOKUP($A13,Council_Data!$A$3:$AB$840,2,0)),0,VLOOKUP($A13,Council_Data!$A$3:$AB$840,2,0))</f>
        <v>045</v>
      </c>
      <c r="C13" s="50" t="str">
        <f>IF(ISNA(VLOOKUP($A13,Council_Data!$A$3:$AB$840,3,0)),0,VLOOKUP($A13,Council_Data!$A$3:$AB$840,3,0))</f>
        <v>New Braunfels</v>
      </c>
      <c r="D13" s="93">
        <f>IF(ISNA(VLOOKUP($A13,Council_Data!$A$3:$AB$840,5,0)),0,VLOOKUP($A13,Council_Data!$A$3:$AB$840,5,0))</f>
        <v>489</v>
      </c>
      <c r="E13" s="93">
        <f>IF(ISNA(VLOOKUP($A13,Council_Data!$A$3:$AB$840,6,0)),0,VLOOKUP($A13,Council_Data!$A$3:$AB$840,6,0))</f>
        <v>20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4</v>
      </c>
      <c r="J13" s="93">
        <f>IF(ISNA(VLOOKUP($A13,Council_Data!$A$3:$AB$840,11,0)),0,VLOOKUP($A13,Council_Data!$A$3:$AB$840,11,0))</f>
        <v>7</v>
      </c>
      <c r="K13" s="93">
        <f>IF(ISNA(VLOOKUP($A13,Council_Data!$A$3:$AB$840,12,0)),0,VLOOKUP($A13,Council_Data!$A$3:$AB$840,12,0))</f>
        <v>-3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1</v>
      </c>
      <c r="O13" s="93">
        <f>IF(ISNA(VLOOKUP($A13,Council_Data!$A$3:$AB$840,16,0)),0,VLOOKUP($A13,Council_Data!$A$3:$AB$840,16,0))</f>
        <v>1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3</v>
      </c>
      <c r="R13" s="93">
        <f>IF(ISNA(VLOOKUP($A13,Council_Data!$A$3:$AB$840,19,0)),0,VLOOKUP($A13,Council_Data!$A$3:$AB$840,19,0))</f>
        <v>1</v>
      </c>
      <c r="S13" s="93">
        <f>IF(ISNA(VLOOKUP($A13,Council_Data!$A$3:$AB$840,20,0)),0,VLOOKUP($A13,Council_Data!$A$3:$AB$840,20,0))</f>
        <v>2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Dougherty</v>
      </c>
    </row>
    <row r="14" spans="1:22">
      <c r="A14" s="93">
        <v>4298</v>
      </c>
      <c r="B14" s="50" t="str">
        <f>IF(ISNA(VLOOKUP($A14,Council_Data!$A$3:$AB$840,2,0)),0,VLOOKUP($A14,Council_Data!$A$3:$AB$840,2,0))</f>
        <v>049</v>
      </c>
      <c r="C14" s="50" t="str">
        <f>IF(ISNA(VLOOKUP($A14,Council_Data!$A$3:$AB$840,3,0)),0,VLOOKUP($A14,Council_Data!$A$3:$AB$840,3,0))</f>
        <v>San Antonio</v>
      </c>
      <c r="D14" s="93">
        <f>IF(ISNA(VLOOKUP($A14,Council_Data!$A$3:$AB$840,5,0)),0,VLOOKUP($A14,Council_Data!$A$3:$AB$840,5,0))</f>
        <v>190</v>
      </c>
      <c r="E14" s="93">
        <f>IF(ISNA(VLOOKUP($A14,Council_Data!$A$3:$AB$840,6,0)),0,VLOOKUP($A14,Council_Data!$A$3:$AB$840,6,0))</f>
        <v>9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1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Dougherty</v>
      </c>
    </row>
    <row r="15" spans="1:22">
      <c r="A15" s="93">
        <v>4315</v>
      </c>
      <c r="B15" s="50" t="str">
        <f>IF(ISNA(VLOOKUP($A15,Council_Data!$A$3:$AB$840,2,0)),0,VLOOKUP($A15,Council_Data!$A$3:$AB$840,2,0))</f>
        <v>054</v>
      </c>
      <c r="C15" s="50" t="str">
        <f>IF(ISNA(VLOOKUP($A15,Council_Data!$A$3:$AB$840,3,0)),0,VLOOKUP($A15,Council_Data!$A$3:$AB$840,3,0))</f>
        <v>San Antonio</v>
      </c>
      <c r="D15" s="93">
        <f>IF(ISNA(VLOOKUP($A15,Council_Data!$A$3:$AB$840,5,0)),0,VLOOKUP($A15,Council_Data!$A$3:$AB$840,5,0))</f>
        <v>170</v>
      </c>
      <c r="E15" s="93">
        <f>IF(ISNA(VLOOKUP($A15,Council_Data!$A$3:$AB$840,6,0)),0,VLOOKUP($A15,Council_Data!$A$3:$AB$840,6,0))</f>
        <v>8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1</v>
      </c>
      <c r="P15" s="93">
        <f>IF(ISNA(VLOOKUP($A15,Council_Data!$A$3:$AB$840,17,0)),0,VLOOKUP($A15,Council_Data!$A$3:$AB$840,17,0))</f>
        <v>-1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2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Dougherty</v>
      </c>
    </row>
    <row r="16" spans="1:22" ht="13.5" customHeight="1">
      <c r="A16" s="93">
        <v>4786</v>
      </c>
      <c r="B16" s="50" t="str">
        <f>IF(ISNA(VLOOKUP($A16,Council_Data!$A$3:$AB$840,2,0)),0,VLOOKUP($A16,Council_Data!$A$3:$AB$840,2,0))</f>
        <v>038</v>
      </c>
      <c r="C16" s="50" t="str">
        <f>IF(ISNA(VLOOKUP($A16,Council_Data!$A$3:$AB$840,3,0)),0,VLOOKUP($A16,Council_Data!$A$3:$AB$840,3,0))</f>
        <v>San Antonio S W</v>
      </c>
      <c r="D16" s="93">
        <f>IF(ISNA(VLOOKUP($A16,Council_Data!$A$3:$AB$840,5,0)),0,VLOOKUP($A16,Council_Data!$A$3:$AB$840,5,0))</f>
        <v>65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33.33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Dougherty</v>
      </c>
    </row>
    <row r="17" spans="1:22" ht="13.5" customHeight="1">
      <c r="A17" s="93">
        <v>5090</v>
      </c>
      <c r="B17" s="50" t="str">
        <f>IF(ISNA(VLOOKUP($A17,Council_Data!$A$3:$AB$840,2,0)),0,VLOOKUP($A17,Council_Data!$A$3:$AB$840,2,0))</f>
        <v>046</v>
      </c>
      <c r="C17" s="50" t="str">
        <f>IF(ISNA(VLOOKUP($A17,Council_Data!$A$3:$AB$840,3,0)),0,VLOOKUP($A17,Council_Data!$A$3:$AB$840,3,0))</f>
        <v>Gonzales</v>
      </c>
      <c r="D17" s="93">
        <f>IF(ISNA(VLOOKUP($A17,Council_Data!$A$3:$AB$840,5,0)),0,VLOOKUP($A17,Council_Data!$A$3:$AB$840,5,0))</f>
        <v>129</v>
      </c>
      <c r="E17" s="93">
        <f>IF(ISNA(VLOOKUP($A17,Council_Data!$A$3:$AB$840,6,0)),0,VLOOKUP($A17,Council_Data!$A$3:$AB$840,6,0))</f>
        <v>6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2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2</v>
      </c>
      <c r="L17" s="94">
        <f>IF(ISNA(VLOOKUP($A17,Council_Data!$A$3:$AB$840,13,0)),0,VLOOKUP($A17,Council_Data!$A$3:$AB$840,13,0))</f>
        <v>33.33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2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2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Dougherty</v>
      </c>
    </row>
    <row r="18" spans="1:22">
      <c r="A18" s="93">
        <v>5192</v>
      </c>
      <c r="B18" s="50" t="str">
        <f>IF(ISNA(VLOOKUP($A18,Council_Data!$A$3:$AB$840,2,0)),0,VLOOKUP($A18,Council_Data!$A$3:$AB$840,2,0))</f>
        <v>037</v>
      </c>
      <c r="C18" s="50" t="str">
        <f>IF(ISNA(VLOOKUP($A18,Council_Data!$A$3:$AB$840,3,0)),0,VLOOKUP($A18,Council_Data!$A$3:$AB$840,3,0))</f>
        <v>Devine</v>
      </c>
      <c r="D18" s="93">
        <f>IF(ISNA(VLOOKUP($A18,Council_Data!$A$3:$AB$840,5,0)),0,VLOOKUP($A18,Council_Data!$A$3:$AB$840,5,0))</f>
        <v>170</v>
      </c>
      <c r="E18" s="93">
        <f>IF(ISNA(VLOOKUP($A18,Council_Data!$A$3:$AB$840,6,0)),0,VLOOKUP($A18,Council_Data!$A$3:$AB$840,6,0))</f>
        <v>9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1</v>
      </c>
      <c r="L18" s="94">
        <f>IF(ISNA(VLOOKUP($A18,Council_Data!$A$3:$AB$840,13,0)),0,VLOOKUP($A18,Council_Data!$A$3:$AB$840,13,0))</f>
        <v>11.11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1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1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Dougherty</v>
      </c>
    </row>
    <row r="19" spans="1:22" ht="13.5" customHeight="1">
      <c r="A19" s="93">
        <v>5262</v>
      </c>
      <c r="B19" s="50" t="str">
        <f>IF(ISNA(VLOOKUP($A19,Council_Data!$A$3:$AB$840,2,0)),0,VLOOKUP($A19,Council_Data!$A$3:$AB$840,2,0))</f>
        <v>038</v>
      </c>
      <c r="C19" s="50" t="str">
        <f>IF(ISNA(VLOOKUP($A19,Council_Data!$A$3:$AB$840,3,0)),0,VLOOKUP($A19,Council_Data!$A$3:$AB$840,3,0))</f>
        <v>San Antonio</v>
      </c>
      <c r="D19" s="93">
        <f>IF(ISNA(VLOOKUP($A19,Council_Data!$A$3:$AB$840,5,0)),0,VLOOKUP($A19,Council_Data!$A$3:$AB$840,5,0))</f>
        <v>193</v>
      </c>
      <c r="E19" s="93">
        <f>IF(ISNA(VLOOKUP($A19,Council_Data!$A$3:$AB$840,6,0)),0,VLOOKUP($A19,Council_Data!$A$3:$AB$840,6,0))</f>
        <v>9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1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1</v>
      </c>
      <c r="L19" s="94">
        <f>IF(ISNA(VLOOKUP($A19,Council_Data!$A$3:$AB$840,13,0)),0,VLOOKUP($A19,Council_Data!$A$3:$AB$840,13,0))</f>
        <v>11.11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Dougherty</v>
      </c>
    </row>
    <row r="20" spans="1:22" ht="25.5">
      <c r="A20" s="93">
        <v>5982</v>
      </c>
      <c r="B20" s="50" t="str">
        <f>IF(ISNA(VLOOKUP($A20,Council_Data!$A$3:$AB$840,2,0)),0,VLOOKUP($A20,Council_Data!$A$3:$AB$840,2,0))</f>
        <v>Unassigned</v>
      </c>
      <c r="C20" s="50" t="str">
        <f>IF(ISNA(VLOOKUP($A20,Council_Data!$A$3:$AB$840,3,0)),0,VLOOKUP($A20,Council_Data!$A$3:$AB$840,3,0))</f>
        <v>San Antonio</v>
      </c>
      <c r="D20" s="93">
        <f>IF(ISNA(VLOOKUP($A20,Council_Data!$A$3:$AB$840,5,0)),0,VLOOKUP($A20,Council_Data!$A$3:$AB$840,5,0))</f>
        <v>0</v>
      </c>
      <c r="E20" s="93">
        <f>IF(ISNA(VLOOKUP($A20,Council_Data!$A$3:$AB$840,6,0)),0,VLOOKUP($A20,Council_Data!$A$3:$AB$840,6,0))</f>
        <v>0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Dougherty</v>
      </c>
    </row>
    <row r="21" spans="1:22" ht="13.5" customHeight="1">
      <c r="A21" s="93">
        <v>6358</v>
      </c>
      <c r="B21" s="50" t="str">
        <f>IF(ISNA(VLOOKUP($A21,Council_Data!$A$3:$AB$840,2,0)),0,VLOOKUP($A21,Council_Data!$A$3:$AB$840,2,0))</f>
        <v>048</v>
      </c>
      <c r="C21" s="50" t="str">
        <f>IF(ISNA(VLOOKUP($A21,Council_Data!$A$3:$AB$840,3,0)),0,VLOOKUP($A21,Council_Data!$A$3:$AB$840,3,0))</f>
        <v>Schertz</v>
      </c>
      <c r="D21" s="93">
        <f>IF(ISNA(VLOOKUP($A21,Council_Data!$A$3:$AB$840,5,0)),0,VLOOKUP($A21,Council_Data!$A$3:$AB$840,5,0))</f>
        <v>342</v>
      </c>
      <c r="E21" s="93">
        <f>IF(ISNA(VLOOKUP($A21,Council_Data!$A$3:$AB$840,6,0)),0,VLOOKUP($A21,Council_Data!$A$3:$AB$840,6,0))</f>
        <v>16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6</v>
      </c>
      <c r="J21" s="93">
        <f>IF(ISNA(VLOOKUP($A21,Council_Data!$A$3:$AB$840,11,0)),0,VLOOKUP($A21,Council_Data!$A$3:$AB$840,11,0))</f>
        <v>2</v>
      </c>
      <c r="K21" s="93">
        <f>IF(ISNA(VLOOKUP($A21,Council_Data!$A$3:$AB$840,12,0)),0,VLOOKUP($A21,Council_Data!$A$3:$AB$840,12,0))</f>
        <v>4</v>
      </c>
      <c r="L21" s="94">
        <f>IF(ISNA(VLOOKUP($A21,Council_Data!$A$3:$AB$840,13,0)),0,VLOOKUP($A21,Council_Data!$A$3:$AB$840,13,0))</f>
        <v>25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2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2</v>
      </c>
      <c r="Q21" s="93">
        <f>IF(ISNA(VLOOKUP($A21,Council_Data!$A$3:$AB$840,18,0)),0,VLOOKUP($A21,Council_Data!$A$3:$AB$840,18,0))</f>
        <v>3</v>
      </c>
      <c r="R21" s="93">
        <f>IF(ISNA(VLOOKUP($A21,Council_Data!$A$3:$AB$840,19,0)),0,VLOOKUP($A21,Council_Data!$A$3:$AB$840,19,0))</f>
        <v>2</v>
      </c>
      <c r="S21" s="93">
        <f>IF(ISNA(VLOOKUP($A21,Council_Data!$A$3:$AB$840,20,0)),0,VLOOKUP($A21,Council_Data!$A$3:$AB$840,20,0))</f>
        <v>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Dougherty</v>
      </c>
    </row>
    <row r="22" spans="1:22" ht="13.5" customHeight="1">
      <c r="A22" s="93">
        <v>6409</v>
      </c>
      <c r="B22" s="50" t="str">
        <f>IF(ISNA(VLOOKUP($A22,Council_Data!$A$3:$AB$840,2,0)),0,VLOOKUP($A22,Council_Data!$A$3:$AB$840,2,0))</f>
        <v>041</v>
      </c>
      <c r="C22" s="50" t="str">
        <f>IF(ISNA(VLOOKUP($A22,Council_Data!$A$3:$AB$840,3,0)),0,VLOOKUP($A22,Council_Data!$A$3:$AB$840,3,0))</f>
        <v>Kerrville</v>
      </c>
      <c r="D22" s="93">
        <f>IF(ISNA(VLOOKUP($A22,Council_Data!$A$3:$AB$840,5,0)),0,VLOOKUP($A22,Council_Data!$A$3:$AB$840,5,0))</f>
        <v>215</v>
      </c>
      <c r="E22" s="93">
        <f>IF(ISNA(VLOOKUP($A22,Council_Data!$A$3:$AB$840,6,0)),0,VLOOKUP($A22,Council_Data!$A$3:$AB$840,6,0))</f>
        <v>10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Dougherty</v>
      </c>
    </row>
    <row r="23" spans="1:22">
      <c r="A23" s="93">
        <v>6641</v>
      </c>
      <c r="B23" s="50" t="str">
        <f>IF(ISNA(VLOOKUP($A23,Council_Data!$A$3:$AB$840,2,0)),0,VLOOKUP($A23,Council_Data!$A$3:$AB$840,2,0))</f>
        <v>055</v>
      </c>
      <c r="C23" s="50" t="str">
        <f>IF(ISNA(VLOOKUP($A23,Council_Data!$A$3:$AB$840,3,0)),0,VLOOKUP($A23,Council_Data!$A$3:$AB$840,3,0))</f>
        <v>Floresville</v>
      </c>
      <c r="D23" s="93">
        <f>IF(ISNA(VLOOKUP($A23,Council_Data!$A$3:$AB$840,5,0)),0,VLOOKUP($A23,Council_Data!$A$3:$AB$840,5,0))</f>
        <v>197</v>
      </c>
      <c r="E23" s="93">
        <f>IF(ISNA(VLOOKUP($A23,Council_Data!$A$3:$AB$840,6,0)),0,VLOOKUP($A23,Council_Data!$A$3:$AB$840,6,0))</f>
        <v>10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3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3</v>
      </c>
      <c r="L23" s="94">
        <f>IF(ISNA(VLOOKUP($A23,Council_Data!$A$3:$AB$840,13,0)),0,VLOOKUP($A23,Council_Data!$A$3:$AB$840,13,0))</f>
        <v>30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Dougherty</v>
      </c>
    </row>
    <row r="24" spans="1:22">
      <c r="A24" s="93">
        <v>6757</v>
      </c>
      <c r="B24" s="50" t="str">
        <f>IF(ISNA(VLOOKUP($A24,Council_Data!$A$3:$AB$840,2,0)),0,VLOOKUP($A24,Council_Data!$A$3:$AB$840,2,0))</f>
        <v>058</v>
      </c>
      <c r="C24" s="50" t="str">
        <f>IF(ISNA(VLOOKUP($A24,Council_Data!$A$3:$AB$840,3,0)),0,VLOOKUP($A24,Council_Data!$A$3:$AB$840,3,0))</f>
        <v>San Antonio</v>
      </c>
      <c r="D24" s="93">
        <f>IF(ISNA(VLOOKUP($A24,Council_Data!$A$3:$AB$840,5,0)),0,VLOOKUP($A24,Council_Data!$A$3:$AB$840,5,0))</f>
        <v>67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Dougherty</v>
      </c>
    </row>
    <row r="25" spans="1:22">
      <c r="A25" s="93">
        <v>6782</v>
      </c>
      <c r="B25" s="50" t="str">
        <f>IF(ISNA(VLOOKUP($A25,Council_Data!$A$3:$AB$840,2,0)),0,VLOOKUP($A25,Council_Data!$A$3:$AB$840,2,0))</f>
        <v>056</v>
      </c>
      <c r="C25" s="50" t="str">
        <f>IF(ISNA(VLOOKUP($A25,Council_Data!$A$3:$AB$840,3,0)),0,VLOOKUP($A25,Council_Data!$A$3:$AB$840,3,0))</f>
        <v>Karnes City</v>
      </c>
      <c r="D25" s="93">
        <f>IF(ISNA(VLOOKUP($A25,Council_Data!$A$3:$AB$840,5,0)),0,VLOOKUP($A25,Council_Data!$A$3:$AB$840,5,0))</f>
        <v>82</v>
      </c>
      <c r="E25" s="93">
        <f>IF(ISNA(VLOOKUP($A25,Council_Data!$A$3:$AB$840,6,0)),0,VLOOKUP($A25,Council_Data!$A$3:$AB$840,6,0))</f>
        <v>4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4</v>
      </c>
      <c r="K25" s="93">
        <f>IF(ISNA(VLOOKUP($A25,Council_Data!$A$3:$AB$840,12,0)),0,VLOOKUP($A25,Council_Data!$A$3:$AB$840,12,0))</f>
        <v>-4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2</v>
      </c>
      <c r="V25" s="50" t="str">
        <f>IF(ISNA(VLOOKUP($A25,Council_Data!$A$3:$AB$840,24,0)),0,VLOOKUP($A25,Council_Data!$A$3:$AB$840,24,0))</f>
        <v>Dougherty</v>
      </c>
    </row>
    <row r="26" spans="1:22">
      <c r="A26" s="93">
        <v>6833</v>
      </c>
      <c r="B26" s="50" t="str">
        <f>IF(ISNA(VLOOKUP($A26,Council_Data!$A$3:$AB$840,2,0)),0,VLOOKUP($A26,Council_Data!$A$3:$AB$840,2,0))</f>
        <v>050</v>
      </c>
      <c r="C26" s="50" t="str">
        <f>IF(ISNA(VLOOKUP($A26,Council_Data!$A$3:$AB$840,3,0)),0,VLOOKUP($A26,Council_Data!$A$3:$AB$840,3,0))</f>
        <v>San Antonio</v>
      </c>
      <c r="D26" s="93">
        <f>IF(ISNA(VLOOKUP($A26,Council_Data!$A$3:$AB$840,5,0)),0,VLOOKUP($A26,Council_Data!$A$3:$AB$840,5,0))</f>
        <v>99</v>
      </c>
      <c r="E26" s="93">
        <f>IF(ISNA(VLOOKUP($A26,Council_Data!$A$3:$AB$840,6,0)),0,VLOOKUP($A26,Council_Data!$A$3:$AB$840,6,0))</f>
        <v>5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1</v>
      </c>
      <c r="P26" s="93">
        <f>IF(ISNA(VLOOKUP($A26,Council_Data!$A$3:$AB$840,17,0)),0,VLOOKUP($A26,Council_Data!$A$3:$AB$840,17,0))</f>
        <v>-1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1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Dougherty</v>
      </c>
    </row>
    <row r="27" spans="1:22">
      <c r="A27" s="93">
        <v>6856</v>
      </c>
      <c r="B27" s="50" t="str">
        <f>IF(ISNA(VLOOKUP($A27,Council_Data!$A$3:$AB$840,2,0)),0,VLOOKUP($A27,Council_Data!$A$3:$AB$840,2,0))</f>
        <v>046</v>
      </c>
      <c r="C27" s="50" t="str">
        <f>IF(ISNA(VLOOKUP($A27,Council_Data!$A$3:$AB$840,3,0)),0,VLOOKUP($A27,Council_Data!$A$3:$AB$840,3,0))</f>
        <v>Selma</v>
      </c>
      <c r="D27" s="93">
        <f>IF(ISNA(VLOOKUP($A27,Council_Data!$A$3:$AB$840,5,0)),0,VLOOKUP($A27,Council_Data!$A$3:$AB$840,5,0))</f>
        <v>228</v>
      </c>
      <c r="E27" s="93">
        <f>IF(ISNA(VLOOKUP($A27,Council_Data!$A$3:$AB$840,6,0)),0,VLOOKUP($A27,Council_Data!$A$3:$AB$840,6,0))</f>
        <v>11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2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2</v>
      </c>
      <c r="L27" s="94">
        <f>IF(ISNA(VLOOKUP($A27,Council_Data!$A$3:$AB$840,13,0)),0,VLOOKUP($A27,Council_Data!$A$3:$AB$840,13,0))</f>
        <v>18.18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Dougherty</v>
      </c>
    </row>
    <row r="28" spans="1:22">
      <c r="A28" s="93">
        <v>7016</v>
      </c>
      <c r="B28" s="50" t="str">
        <f>IF(ISNA(VLOOKUP($A28,Council_Data!$A$3:$AB$840,2,0)),0,VLOOKUP($A28,Council_Data!$A$3:$AB$840,2,0))</f>
        <v>050</v>
      </c>
      <c r="C28" s="50" t="str">
        <f>IF(ISNA(VLOOKUP($A28,Council_Data!$A$3:$AB$840,3,0)),0,VLOOKUP($A28,Council_Data!$A$3:$AB$840,3,0))</f>
        <v>San Antonio</v>
      </c>
      <c r="D28" s="93">
        <f>IF(ISNA(VLOOKUP($A28,Council_Data!$A$3:$AB$840,5,0)),0,VLOOKUP($A28,Council_Data!$A$3:$AB$840,5,0))</f>
        <v>211</v>
      </c>
      <c r="E28" s="93">
        <f>IF(ISNA(VLOOKUP($A28,Council_Data!$A$3:$AB$840,6,0)),0,VLOOKUP($A28,Council_Data!$A$3:$AB$840,6,0))</f>
        <v>10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2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2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Dougherty</v>
      </c>
    </row>
    <row r="29" spans="1:22">
      <c r="A29" s="93">
        <v>7163</v>
      </c>
      <c r="B29" s="50" t="str">
        <f>IF(ISNA(VLOOKUP($A29,Council_Data!$A$3:$AB$840,2,0)),0,VLOOKUP($A29,Council_Data!$A$3:$AB$840,2,0))</f>
        <v>036</v>
      </c>
      <c r="C29" s="50" t="str">
        <f>IF(ISNA(VLOOKUP($A29,Council_Data!$A$3:$AB$840,3,0)),0,VLOOKUP($A29,Council_Data!$A$3:$AB$840,3,0))</f>
        <v>Hondo</v>
      </c>
      <c r="D29" s="93">
        <f>IF(ISNA(VLOOKUP($A29,Council_Data!$A$3:$AB$840,5,0)),0,VLOOKUP($A29,Council_Data!$A$3:$AB$840,5,0))</f>
        <v>76</v>
      </c>
      <c r="E29" s="93">
        <f>IF(ISNA(VLOOKUP($A29,Council_Data!$A$3:$AB$840,6,0)),0,VLOOKUP($A29,Council_Data!$A$3:$AB$840,6,0))</f>
        <v>4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1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Dougherty</v>
      </c>
    </row>
    <row r="30" spans="1:22">
      <c r="A30" s="93">
        <v>7256</v>
      </c>
      <c r="B30" s="50" t="str">
        <f>IF(ISNA(VLOOKUP($A30,Council_Data!$A$3:$AB$840,2,0)),0,VLOOKUP($A30,Council_Data!$A$3:$AB$840,2,0))</f>
        <v>058</v>
      </c>
      <c r="C30" s="50" t="str">
        <f>IF(ISNA(VLOOKUP($A30,Council_Data!$A$3:$AB$840,3,0)),0,VLOOKUP($A30,Council_Data!$A$3:$AB$840,3,0))</f>
        <v>San Antonio</v>
      </c>
      <c r="D30" s="93">
        <f>IF(ISNA(VLOOKUP($A30,Council_Data!$A$3:$AB$840,5,0)),0,VLOOKUP($A30,Council_Data!$A$3:$AB$840,5,0))</f>
        <v>115</v>
      </c>
      <c r="E30" s="93">
        <f>IF(ISNA(VLOOKUP($A30,Council_Data!$A$3:$AB$840,6,0)),0,VLOOKUP($A30,Council_Data!$A$3:$AB$840,6,0))</f>
        <v>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Dougherty</v>
      </c>
    </row>
    <row r="31" spans="1:22" ht="13.5" customHeight="1">
      <c r="A31" s="93">
        <v>7265</v>
      </c>
      <c r="B31" s="50" t="str">
        <f>IF(ISNA(VLOOKUP($A31,Council_Data!$A$3:$AB$840,2,0)),0,VLOOKUP($A31,Council_Data!$A$3:$AB$840,2,0))</f>
        <v>051</v>
      </c>
      <c r="C31" s="50" t="str">
        <f>IF(ISNA(VLOOKUP($A31,Council_Data!$A$3:$AB$840,3,0)),0,VLOOKUP($A31,Council_Data!$A$3:$AB$840,3,0))</f>
        <v>San Antonio</v>
      </c>
      <c r="D31" s="93">
        <f>IF(ISNA(VLOOKUP($A31,Council_Data!$A$3:$AB$840,5,0)),0,VLOOKUP($A31,Council_Data!$A$3:$AB$840,5,0))</f>
        <v>175</v>
      </c>
      <c r="E31" s="93">
        <f>IF(ISNA(VLOOKUP($A31,Council_Data!$A$3:$AB$840,6,0)),0,VLOOKUP($A31,Council_Data!$A$3:$AB$840,6,0))</f>
        <v>8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Dougherty</v>
      </c>
    </row>
    <row r="32" spans="1:22" ht="13.5" customHeight="1">
      <c r="A32" s="93">
        <v>7323</v>
      </c>
      <c r="B32" s="50" t="str">
        <f>IF(ISNA(VLOOKUP($A32,Council_Data!$A$3:$AB$840,2,0)),0,VLOOKUP($A32,Council_Data!$A$3:$AB$840,2,0))</f>
        <v>059</v>
      </c>
      <c r="C32" s="50" t="str">
        <f>IF(ISNA(VLOOKUP($A32,Council_Data!$A$3:$AB$840,3,0)),0,VLOOKUP($A32,Council_Data!$A$3:$AB$840,3,0))</f>
        <v>San Antonio</v>
      </c>
      <c r="D32" s="93">
        <f>IF(ISNA(VLOOKUP($A32,Council_Data!$A$3:$AB$840,5,0)),0,VLOOKUP($A32,Council_Data!$A$3:$AB$840,5,0))</f>
        <v>194</v>
      </c>
      <c r="E32" s="93">
        <f>IF(ISNA(VLOOKUP($A32,Council_Data!$A$3:$AB$840,6,0)),0,VLOOKUP($A32,Council_Data!$A$3:$AB$840,6,0))</f>
        <v>9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1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1</v>
      </c>
      <c r="L32" s="94">
        <f>IF(ISNA(VLOOKUP($A32,Council_Data!$A$3:$AB$840,13,0)),0,VLOOKUP($A32,Council_Data!$A$3:$AB$840,13,0))</f>
        <v>11.11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2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1</v>
      </c>
      <c r="V32" s="50" t="str">
        <f>IF(ISNA(VLOOKUP($A32,Council_Data!$A$3:$AB$840,24,0)),0,VLOOKUP($A32,Council_Data!$A$3:$AB$840,24,0))</f>
        <v>Dougherty</v>
      </c>
    </row>
    <row r="33" spans="1:22">
      <c r="A33" s="93">
        <v>7347</v>
      </c>
      <c r="B33" s="50" t="str">
        <f>IF(ISNA(VLOOKUP($A33,Council_Data!$A$3:$AB$840,2,0)),0,VLOOKUP($A33,Council_Data!$A$3:$AB$840,2,0))</f>
        <v>045</v>
      </c>
      <c r="C33" s="50" t="str">
        <f>IF(ISNA(VLOOKUP($A33,Council_Data!$A$3:$AB$840,3,0)),0,VLOOKUP($A33,Council_Data!$A$3:$AB$840,3,0))</f>
        <v>Canyon Lake</v>
      </c>
      <c r="D33" s="93">
        <f>IF(ISNA(VLOOKUP($A33,Council_Data!$A$3:$AB$840,5,0)),0,VLOOKUP($A33,Council_Data!$A$3:$AB$840,5,0))</f>
        <v>122</v>
      </c>
      <c r="E33" s="93">
        <f>IF(ISNA(VLOOKUP($A33,Council_Data!$A$3:$AB$840,6,0)),0,VLOOKUP($A33,Council_Data!$A$3:$AB$840,6,0))</f>
        <v>6</v>
      </c>
      <c r="F33" s="93">
        <f>IF(ISNA(VLOOKUP($A33,Council_Data!$A$3:$AB$840,7,0)),0,VLOOKUP($A33,Council_Data!$A$3:$AB$840,7,0))</f>
        <v>1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1</v>
      </c>
      <c r="I33" s="93">
        <f>IF(ISNA(VLOOKUP($A33,Council_Data!$A$3:$AB$840,10,0)),0,VLOOKUP($A33,Council_Data!$A$3:$AB$840,10,0))</f>
        <v>3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3</v>
      </c>
      <c r="L33" s="94">
        <f>IF(ISNA(VLOOKUP($A33,Council_Data!$A$3:$AB$840,13,0)),0,VLOOKUP($A33,Council_Data!$A$3:$AB$840,13,0))</f>
        <v>50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Dougherty</v>
      </c>
    </row>
    <row r="34" spans="1:22">
      <c r="A34" s="93">
        <v>7386</v>
      </c>
      <c r="B34" s="50" t="str">
        <f>IF(ISNA(VLOOKUP($A34,Council_Data!$A$3:$AB$840,2,0)),0,VLOOKUP($A34,Council_Data!$A$3:$AB$840,2,0))</f>
        <v>047</v>
      </c>
      <c r="C34" s="50" t="str">
        <f>IF(ISNA(VLOOKUP($A34,Council_Data!$A$3:$AB$840,3,0)),0,VLOOKUP($A34,Council_Data!$A$3:$AB$840,3,0))</f>
        <v>San Antonio</v>
      </c>
      <c r="D34" s="93">
        <f>IF(ISNA(VLOOKUP($A34,Council_Data!$A$3:$AB$840,5,0)),0,VLOOKUP($A34,Council_Data!$A$3:$AB$840,5,0))</f>
        <v>148</v>
      </c>
      <c r="E34" s="93">
        <f>IF(ISNA(VLOOKUP($A34,Council_Data!$A$3:$AB$840,6,0)),0,VLOOKUP($A34,Council_Data!$A$3:$AB$840,6,0))</f>
        <v>7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3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3</v>
      </c>
      <c r="L34" s="94">
        <f>IF(ISNA(VLOOKUP($A34,Council_Data!$A$3:$AB$840,13,0)),0,VLOOKUP($A34,Council_Data!$A$3:$AB$840,13,0))</f>
        <v>42.86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2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2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1</v>
      </c>
      <c r="V34" s="50" t="str">
        <f>IF(ISNA(VLOOKUP($A34,Council_Data!$A$3:$AB$840,24,0)),0,VLOOKUP($A34,Council_Data!$A$3:$AB$840,24,0))</f>
        <v>Dougherty</v>
      </c>
    </row>
    <row r="35" spans="1:22" ht="13.5" customHeight="1">
      <c r="A35" s="93">
        <v>7409</v>
      </c>
      <c r="B35" s="50" t="str">
        <f>IF(ISNA(VLOOKUP($A35,Council_Data!$A$3:$AB$840,2,0)),0,VLOOKUP($A35,Council_Data!$A$3:$AB$840,2,0))</f>
        <v>060</v>
      </c>
      <c r="C35" s="50" t="str">
        <f>IF(ISNA(VLOOKUP($A35,Council_Data!$A$3:$AB$840,3,0)),0,VLOOKUP($A35,Council_Data!$A$3:$AB$840,3,0))</f>
        <v>San Antonio</v>
      </c>
      <c r="D35" s="93">
        <f>IF(ISNA(VLOOKUP($A35,Council_Data!$A$3:$AB$840,5,0)),0,VLOOKUP($A35,Council_Data!$A$3:$AB$840,5,0))</f>
        <v>56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1</v>
      </c>
      <c r="S35" s="93">
        <f>IF(ISNA(VLOOKUP($A35,Council_Data!$A$3:$AB$840,20,0)),0,VLOOKUP($A35,Council_Data!$A$3:$AB$840,20,0))</f>
        <v>-1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Dougherty</v>
      </c>
    </row>
    <row r="36" spans="1:22">
      <c r="A36" s="93">
        <v>7613</v>
      </c>
      <c r="B36" s="50" t="str">
        <f>IF(ISNA(VLOOKUP($A36,Council_Data!$A$3:$AB$840,2,0)),0,VLOOKUP($A36,Council_Data!$A$3:$AB$840,2,0))</f>
        <v>043</v>
      </c>
      <c r="C36" s="50" t="str">
        <f>IF(ISNA(VLOOKUP($A36,Council_Data!$A$3:$AB$840,3,0)),0,VLOOKUP($A36,Council_Data!$A$3:$AB$840,3,0))</f>
        <v>San Antonio</v>
      </c>
      <c r="D36" s="93">
        <f>IF(ISNA(VLOOKUP($A36,Council_Data!$A$3:$AB$840,5,0)),0,VLOOKUP($A36,Council_Data!$A$3:$AB$840,5,0))</f>
        <v>424</v>
      </c>
      <c r="E36" s="93">
        <f>IF(ISNA(VLOOKUP($A36,Council_Data!$A$3:$AB$840,6,0)),0,VLOOKUP($A36,Council_Data!$A$3:$AB$840,6,0))</f>
        <v>20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2</v>
      </c>
      <c r="H36" s="93">
        <f>IF(ISNA(VLOOKUP($A36,Council_Data!$A$3:$AB$840,9,0)),0,VLOOKUP($A36,Council_Data!$A$3:$AB$840,9,0))</f>
        <v>-2</v>
      </c>
      <c r="I36" s="93">
        <f>IF(ISNA(VLOOKUP($A36,Council_Data!$A$3:$AB$840,10,0)),0,VLOOKUP($A36,Council_Data!$A$3:$AB$840,10,0))</f>
        <v>4</v>
      </c>
      <c r="J36" s="93">
        <f>IF(ISNA(VLOOKUP($A36,Council_Data!$A$3:$AB$840,11,0)),0,VLOOKUP($A36,Council_Data!$A$3:$AB$840,11,0))</f>
        <v>5</v>
      </c>
      <c r="K36" s="93">
        <f>IF(ISNA(VLOOKUP($A36,Council_Data!$A$3:$AB$840,12,0)),0,VLOOKUP($A36,Council_Data!$A$3:$AB$840,12,0))</f>
        <v>-1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2</v>
      </c>
      <c r="R36" s="93">
        <f>IF(ISNA(VLOOKUP($A36,Council_Data!$A$3:$AB$840,19,0)),0,VLOOKUP($A36,Council_Data!$A$3:$AB$840,19,0))</f>
        <v>2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Dougherty</v>
      </c>
    </row>
    <row r="37" spans="1:22">
      <c r="A37" s="93">
        <v>7697</v>
      </c>
      <c r="B37" s="50" t="str">
        <f>IF(ISNA(VLOOKUP($A37,Council_Data!$A$3:$AB$840,2,0)),0,VLOOKUP($A37,Council_Data!$A$3:$AB$840,2,0))</f>
        <v>053</v>
      </c>
      <c r="C37" s="50" t="str">
        <f>IF(ISNA(VLOOKUP($A37,Council_Data!$A$3:$AB$840,3,0)),0,VLOOKUP($A37,Council_Data!$A$3:$AB$840,3,0))</f>
        <v>San Antonio</v>
      </c>
      <c r="D37" s="93">
        <f>IF(ISNA(VLOOKUP($A37,Council_Data!$A$3:$AB$840,5,0)),0,VLOOKUP($A37,Council_Data!$A$3:$AB$840,5,0))</f>
        <v>38</v>
      </c>
      <c r="E37" s="93">
        <f>IF(ISNA(VLOOKUP($A37,Council_Data!$A$3:$AB$840,6,0)),0,VLOOKUP($A37,Council_Data!$A$3:$AB$840,6,0))</f>
        <v>3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1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1</v>
      </c>
      <c r="L37" s="94">
        <f>IF(ISNA(VLOOKUP($A37,Council_Data!$A$3:$AB$840,13,0)),0,VLOOKUP($A37,Council_Data!$A$3:$AB$840,13,0))</f>
        <v>33.33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3</v>
      </c>
      <c r="V37" s="50" t="str">
        <f>IF(ISNA(VLOOKUP($A37,Council_Data!$A$3:$AB$840,24,0)),0,VLOOKUP($A37,Council_Data!$A$3:$AB$840,24,0))</f>
        <v>Dougherty</v>
      </c>
    </row>
    <row r="38" spans="1:22">
      <c r="A38" s="93">
        <v>7770</v>
      </c>
      <c r="B38" s="50" t="str">
        <f>IF(ISNA(VLOOKUP($A38,Council_Data!$A$3:$AB$840,2,0)),0,VLOOKUP($A38,Council_Data!$A$3:$AB$840,2,0))</f>
        <v>052</v>
      </c>
      <c r="C38" s="50" t="str">
        <f>IF(ISNA(VLOOKUP($A38,Council_Data!$A$3:$AB$840,3,0)),0,VLOOKUP($A38,Council_Data!$A$3:$AB$840,3,0))</f>
        <v>San Antonio</v>
      </c>
      <c r="D38" s="93">
        <f>IF(ISNA(VLOOKUP($A38,Council_Data!$A$3:$AB$840,5,0)),0,VLOOKUP($A38,Council_Data!$A$3:$AB$840,5,0))</f>
        <v>76</v>
      </c>
      <c r="E38" s="93">
        <f>IF(ISNA(VLOOKUP($A38,Council_Data!$A$3:$AB$840,6,0)),0,VLOOKUP($A38,Council_Data!$A$3:$AB$840,6,0))</f>
        <v>4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0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0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Dougherty</v>
      </c>
    </row>
    <row r="39" spans="1:22">
      <c r="A39" s="93">
        <v>7808</v>
      </c>
      <c r="B39" s="50" t="str">
        <f>IF(ISNA(VLOOKUP($A39,Council_Data!$A$3:$AB$840,2,0)),0,VLOOKUP($A39,Council_Data!$A$3:$AB$840,2,0))</f>
        <v>059</v>
      </c>
      <c r="C39" s="50" t="str">
        <f>IF(ISNA(VLOOKUP($A39,Council_Data!$A$3:$AB$840,3,0)),0,VLOOKUP($A39,Council_Data!$A$3:$AB$840,3,0))</f>
        <v>San Antonio</v>
      </c>
      <c r="D39" s="93">
        <f>IF(ISNA(VLOOKUP($A39,Council_Data!$A$3:$AB$840,5,0)),0,VLOOKUP($A39,Council_Data!$A$3:$AB$840,5,0))</f>
        <v>65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Dougherty</v>
      </c>
    </row>
    <row r="40" spans="1:22" ht="13.5" customHeight="1">
      <c r="A40" s="93">
        <v>7865</v>
      </c>
      <c r="B40" s="50" t="str">
        <f>IF(ISNA(VLOOKUP($A40,Council_Data!$A$3:$AB$840,2,0)),0,VLOOKUP($A40,Council_Data!$A$3:$AB$840,2,0))</f>
        <v>060</v>
      </c>
      <c r="C40" s="50" t="str">
        <f>IF(ISNA(VLOOKUP($A40,Council_Data!$A$3:$AB$840,3,0)),0,VLOOKUP($A40,Council_Data!$A$3:$AB$840,3,0))</f>
        <v>South San Antonio</v>
      </c>
      <c r="D40" s="93">
        <f>IF(ISNA(VLOOKUP($A40,Council_Data!$A$3:$AB$840,5,0)),0,VLOOKUP($A40,Council_Data!$A$3:$AB$840,5,0))</f>
        <v>56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Dougherty</v>
      </c>
    </row>
    <row r="41" spans="1:22">
      <c r="A41" s="93">
        <v>7965</v>
      </c>
      <c r="B41" s="50" t="str">
        <f>IF(ISNA(VLOOKUP($A41,Council_Data!$A$3:$AB$840,2,0)),0,VLOOKUP($A41,Council_Data!$A$3:$AB$840,2,0))</f>
        <v>043</v>
      </c>
      <c r="C41" s="50" t="str">
        <f>IF(ISNA(VLOOKUP($A41,Council_Data!$A$3:$AB$840,3,0)),0,VLOOKUP($A41,Council_Data!$A$3:$AB$840,3,0))</f>
        <v>San Antonio</v>
      </c>
      <c r="D41" s="93">
        <f>IF(ISNA(VLOOKUP($A41,Council_Data!$A$3:$AB$840,5,0)),0,VLOOKUP($A41,Council_Data!$A$3:$AB$840,5,0))</f>
        <v>249</v>
      </c>
      <c r="E41" s="93">
        <f>IF(ISNA(VLOOKUP($A41,Council_Data!$A$3:$AB$840,6,0)),0,VLOOKUP($A41,Council_Data!$A$3:$AB$840,6,0))</f>
        <v>12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1</v>
      </c>
      <c r="H41" s="93">
        <f>IF(ISNA(VLOOKUP($A41,Council_Data!$A$3:$AB$840,9,0)),0,VLOOKUP($A41,Council_Data!$A$3:$AB$840,9,0))</f>
        <v>-1</v>
      </c>
      <c r="I41" s="93">
        <f>IF(ISNA(VLOOKUP($A41,Council_Data!$A$3:$AB$840,10,0)),0,VLOOKUP($A41,Council_Data!$A$3:$AB$840,10,0))</f>
        <v>1</v>
      </c>
      <c r="J41" s="93">
        <f>IF(ISNA(VLOOKUP($A41,Council_Data!$A$3:$AB$840,11,0)),0,VLOOKUP($A41,Council_Data!$A$3:$AB$840,11,0))</f>
        <v>5</v>
      </c>
      <c r="K41" s="93">
        <f>IF(ISNA(VLOOKUP($A41,Council_Data!$A$3:$AB$840,12,0)),0,VLOOKUP($A41,Council_Data!$A$3:$AB$840,12,0))</f>
        <v>-4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0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1</v>
      </c>
      <c r="V41" s="50" t="str">
        <f>IF(ISNA(VLOOKUP($A41,Council_Data!$A$3:$AB$840,24,0)),0,VLOOKUP($A41,Council_Data!$A$3:$AB$840,24,0))</f>
        <v>Dougherty</v>
      </c>
    </row>
    <row r="42" spans="1:22">
      <c r="A42" s="93">
        <v>7983</v>
      </c>
      <c r="B42" s="50" t="str">
        <f>IF(ISNA(VLOOKUP($A42,Council_Data!$A$3:$AB$840,2,0)),0,VLOOKUP($A42,Council_Data!$A$3:$AB$840,2,0))</f>
        <v>040</v>
      </c>
      <c r="C42" s="50" t="str">
        <f>IF(ISNA(VLOOKUP($A42,Council_Data!$A$3:$AB$840,3,0)),0,VLOOKUP($A42,Council_Data!$A$3:$AB$840,3,0))</f>
        <v>San Antonio</v>
      </c>
      <c r="D42" s="93">
        <f>IF(ISNA(VLOOKUP($A42,Council_Data!$A$3:$AB$840,5,0)),0,VLOOKUP($A42,Council_Data!$A$3:$AB$840,5,0))</f>
        <v>349</v>
      </c>
      <c r="E42" s="93">
        <f>IF(ISNA(VLOOKUP($A42,Council_Data!$A$3:$AB$840,6,0)),0,VLOOKUP($A42,Council_Data!$A$3:$AB$840,6,0))</f>
        <v>17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5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5</v>
      </c>
      <c r="L42" s="94">
        <f>IF(ISNA(VLOOKUP($A42,Council_Data!$A$3:$AB$840,13,0)),0,VLOOKUP($A42,Council_Data!$A$3:$AB$840,13,0))</f>
        <v>29.41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3</v>
      </c>
      <c r="S42" s="93">
        <f>IF(ISNA(VLOOKUP($A42,Council_Data!$A$3:$AB$840,20,0)),0,VLOOKUP($A42,Council_Data!$A$3:$AB$840,20,0))</f>
        <v>-3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Dougherty</v>
      </c>
    </row>
    <row r="43" spans="1:22">
      <c r="A43" s="93">
        <v>8001</v>
      </c>
      <c r="B43" s="50" t="str">
        <f>IF(ISNA(VLOOKUP($A43,Council_Data!$A$3:$AB$840,2,0)),0,VLOOKUP($A43,Council_Data!$A$3:$AB$840,2,0))</f>
        <v>057</v>
      </c>
      <c r="C43" s="50" t="str">
        <f>IF(ISNA(VLOOKUP($A43,Council_Data!$A$3:$AB$840,3,0)),0,VLOOKUP($A43,Council_Data!$A$3:$AB$840,3,0))</f>
        <v>Pleasanton</v>
      </c>
      <c r="D43" s="93">
        <f>IF(ISNA(VLOOKUP($A43,Council_Data!$A$3:$AB$840,5,0)),0,VLOOKUP($A43,Council_Data!$A$3:$AB$840,5,0))</f>
        <v>133</v>
      </c>
      <c r="E43" s="93">
        <f>IF(ISNA(VLOOKUP($A43,Council_Data!$A$3:$AB$840,6,0)),0,VLOOKUP($A43,Council_Data!$A$3:$AB$840,6,0))</f>
        <v>7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5</v>
      </c>
      <c r="H43" s="93">
        <f>IF(ISNA(VLOOKUP($A43,Council_Data!$A$3:$AB$840,9,0)),0,VLOOKUP($A43,Council_Data!$A$3:$AB$840,9,0))</f>
        <v>-5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5</v>
      </c>
      <c r="K43" s="93">
        <f>IF(ISNA(VLOOKUP($A43,Council_Data!$A$3:$AB$840,12,0)),0,VLOOKUP($A43,Council_Data!$A$3:$AB$840,12,0))</f>
        <v>-5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1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1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2</v>
      </c>
      <c r="V43" s="50" t="str">
        <f>IF(ISNA(VLOOKUP($A43,Council_Data!$A$3:$AB$840,24,0)),0,VLOOKUP($A43,Council_Data!$A$3:$AB$840,24,0))</f>
        <v>Dougherty</v>
      </c>
    </row>
    <row r="44" spans="1:22" ht="25.5">
      <c r="A44" s="93">
        <v>8036</v>
      </c>
      <c r="B44" s="50" t="str">
        <f>IF(ISNA(VLOOKUP($A44,Council_Data!$A$3:$AB$840,2,0)),0,VLOOKUP($A44,Council_Data!$A$3:$AB$840,2,0))</f>
        <v>055</v>
      </c>
      <c r="C44" s="50" t="str">
        <f>IF(ISNA(VLOOKUP($A44,Council_Data!$A$3:$AB$840,3,0)),0,VLOOKUP($A44,Council_Data!$A$3:$AB$840,3,0))</f>
        <v>Saspamco Elmendorf</v>
      </c>
      <c r="D44" s="93">
        <f>IF(ISNA(VLOOKUP($A44,Council_Data!$A$3:$AB$840,5,0)),0,VLOOKUP($A44,Council_Data!$A$3:$AB$840,5,0))</f>
        <v>78</v>
      </c>
      <c r="E44" s="93">
        <f>IF(ISNA(VLOOKUP($A44,Council_Data!$A$3:$AB$840,6,0)),0,VLOOKUP($A44,Council_Data!$A$3:$AB$840,6,0))</f>
        <v>4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4</v>
      </c>
      <c r="S44" s="93">
        <f>IF(ISNA(VLOOKUP($A44,Council_Data!$A$3:$AB$840,20,0)),0,VLOOKUP($A44,Council_Data!$A$3:$AB$840,20,0))</f>
        <v>-4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2</v>
      </c>
      <c r="V44" s="50" t="str">
        <f>IF(ISNA(VLOOKUP($A44,Council_Data!$A$3:$AB$840,24,0)),0,VLOOKUP($A44,Council_Data!$A$3:$AB$840,24,0))</f>
        <v>Dougherty</v>
      </c>
    </row>
    <row r="45" spans="1:22">
      <c r="A45" s="93">
        <v>8065</v>
      </c>
      <c r="B45" s="50" t="str">
        <f>IF(ISNA(VLOOKUP($A45,Council_Data!$A$3:$AB$840,2,0)),0,VLOOKUP($A45,Council_Data!$A$3:$AB$840,2,0))</f>
        <v>051</v>
      </c>
      <c r="C45" s="50" t="str">
        <f>IF(ISNA(VLOOKUP($A45,Council_Data!$A$3:$AB$840,3,0)),0,VLOOKUP($A45,Council_Data!$A$3:$AB$840,3,0))</f>
        <v>San Antonio</v>
      </c>
      <c r="D45" s="93">
        <f>IF(ISNA(VLOOKUP($A45,Council_Data!$A$3:$AB$840,5,0)),0,VLOOKUP($A45,Council_Data!$A$3:$AB$840,5,0))</f>
        <v>405</v>
      </c>
      <c r="E45" s="93">
        <f>IF(ISNA(VLOOKUP($A45,Council_Data!$A$3:$AB$840,6,0)),0,VLOOKUP($A45,Council_Data!$A$3:$AB$840,6,0))</f>
        <v>20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5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5</v>
      </c>
      <c r="L45" s="94">
        <f>IF(ISNA(VLOOKUP($A45,Council_Data!$A$3:$AB$840,13,0)),0,VLOOKUP($A45,Council_Data!$A$3:$AB$840,13,0))</f>
        <v>25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1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1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1</v>
      </c>
      <c r="V45" s="50" t="str">
        <f>IF(ISNA(VLOOKUP($A45,Council_Data!$A$3:$AB$840,24,0)),0,VLOOKUP($A45,Council_Data!$A$3:$AB$840,24,0))</f>
        <v>Dougherty</v>
      </c>
    </row>
    <row r="46" spans="1:22">
      <c r="A46" s="93">
        <v>8067</v>
      </c>
      <c r="B46" s="50" t="str">
        <f>IF(ISNA(VLOOKUP($A46,Council_Data!$A$3:$AB$840,2,0)),0,VLOOKUP($A46,Council_Data!$A$3:$AB$840,2,0))</f>
        <v>049</v>
      </c>
      <c r="C46" s="50" t="str">
        <f>IF(ISNA(VLOOKUP($A46,Council_Data!$A$3:$AB$840,3,0)),0,VLOOKUP($A46,Council_Data!$A$3:$AB$840,3,0))</f>
        <v>San Antonio</v>
      </c>
      <c r="D46" s="93">
        <f>IF(ISNA(VLOOKUP($A46,Council_Data!$A$3:$AB$840,5,0)),0,VLOOKUP($A46,Council_Data!$A$3:$AB$840,5,0))</f>
        <v>37</v>
      </c>
      <c r="E46" s="93">
        <f>IF(ISNA(VLOOKUP($A46,Council_Data!$A$3:$AB$840,6,0)),0,VLOOKUP($A46,Council_Data!$A$3:$AB$840,6,0))</f>
        <v>3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3</v>
      </c>
      <c r="V46" s="50" t="str">
        <f>IF(ISNA(VLOOKUP($A46,Council_Data!$A$3:$AB$840,24,0)),0,VLOOKUP($A46,Council_Data!$A$3:$AB$840,24,0))</f>
        <v>Dougherty</v>
      </c>
    </row>
    <row r="47" spans="1:22">
      <c r="A47" s="93">
        <v>8158</v>
      </c>
      <c r="B47" s="50" t="str">
        <f>IF(ISNA(VLOOKUP($A47,Council_Data!$A$3:$AB$840,2,0)),0,VLOOKUP($A47,Council_Data!$A$3:$AB$840,2,0))</f>
        <v>039</v>
      </c>
      <c r="C47" s="50" t="str">
        <f>IF(ISNA(VLOOKUP($A47,Council_Data!$A$3:$AB$840,3,0)),0,VLOOKUP($A47,Council_Data!$A$3:$AB$840,3,0))</f>
        <v>San Antonio</v>
      </c>
      <c r="D47" s="93">
        <f>IF(ISNA(VLOOKUP($A47,Council_Data!$A$3:$AB$840,5,0)),0,VLOOKUP($A47,Council_Data!$A$3:$AB$840,5,0))</f>
        <v>168</v>
      </c>
      <c r="E47" s="93">
        <f>IF(ISNA(VLOOKUP($A47,Council_Data!$A$3:$AB$840,6,0)),0,VLOOKUP($A47,Council_Data!$A$3:$AB$840,6,0))</f>
        <v>8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1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1</v>
      </c>
      <c r="L47" s="94">
        <f>IF(ISNA(VLOOKUP($A47,Council_Data!$A$3:$AB$840,13,0)),0,VLOOKUP($A47,Council_Data!$A$3:$AB$840,13,0))</f>
        <v>12.5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1</v>
      </c>
      <c r="P47" s="93">
        <f>IF(ISNA(VLOOKUP($A47,Council_Data!$A$3:$AB$840,17,0)),0,VLOOKUP($A47,Council_Data!$A$3:$AB$840,17,0))</f>
        <v>-1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1</v>
      </c>
      <c r="S47" s="93">
        <f>IF(ISNA(VLOOKUP($A47,Council_Data!$A$3:$AB$840,20,0)),0,VLOOKUP($A47,Council_Data!$A$3:$AB$840,20,0))</f>
        <v>-1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1</v>
      </c>
      <c r="V47" s="50" t="str">
        <f>IF(ISNA(VLOOKUP($A47,Council_Data!$A$3:$AB$840,24,0)),0,VLOOKUP($A47,Council_Data!$A$3:$AB$840,24,0))</f>
        <v>Dougherty</v>
      </c>
    </row>
    <row r="48" spans="1:22">
      <c r="A48" s="93">
        <v>8223</v>
      </c>
      <c r="B48" s="50" t="str">
        <f>IF(ISNA(VLOOKUP($A48,Council_Data!$A$3:$AB$840,2,0)),0,VLOOKUP($A48,Council_Data!$A$3:$AB$840,2,0))</f>
        <v>063</v>
      </c>
      <c r="C48" s="50" t="str">
        <f>IF(ISNA(VLOOKUP($A48,Council_Data!$A$3:$AB$840,3,0)),0,VLOOKUP($A48,Council_Data!$A$3:$AB$840,3,0))</f>
        <v>Brackettville</v>
      </c>
      <c r="D48" s="93">
        <f>IF(ISNA(VLOOKUP($A48,Council_Data!$A$3:$AB$840,5,0)),0,VLOOKUP($A48,Council_Data!$A$3:$AB$840,5,0))</f>
        <v>53</v>
      </c>
      <c r="E48" s="93">
        <f>IF(ISNA(VLOOKUP($A48,Council_Data!$A$3:$AB$840,6,0)),0,VLOOKUP($A48,Council_Data!$A$3:$AB$840,6,0))</f>
        <v>3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0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3</v>
      </c>
      <c r="V48" s="50" t="str">
        <f>IF(ISNA(VLOOKUP($A48,Council_Data!$A$3:$AB$840,24,0)),0,VLOOKUP($A48,Council_Data!$A$3:$AB$840,24,0))</f>
        <v>Dougherty</v>
      </c>
    </row>
    <row r="49" spans="1:22">
      <c r="A49" s="93">
        <v>8267</v>
      </c>
      <c r="B49" s="50" t="str">
        <f>IF(ISNA(VLOOKUP($A49,Council_Data!$A$3:$AB$840,2,0)),0,VLOOKUP($A49,Council_Data!$A$3:$AB$840,2,0))</f>
        <v>056</v>
      </c>
      <c r="C49" s="50" t="str">
        <f>IF(ISNA(VLOOKUP($A49,Council_Data!$A$3:$AB$840,3,0)),0,VLOOKUP($A49,Council_Data!$A$3:$AB$840,3,0))</f>
        <v>Kenedy</v>
      </c>
      <c r="D49" s="93">
        <f>IF(ISNA(VLOOKUP($A49,Council_Data!$A$3:$AB$840,5,0)),0,VLOOKUP($A49,Council_Data!$A$3:$AB$840,5,0))</f>
        <v>27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Dougherty</v>
      </c>
    </row>
    <row r="50" spans="1:22">
      <c r="A50" s="93">
        <v>8302</v>
      </c>
      <c r="B50" s="50" t="str">
        <f>IF(ISNA(VLOOKUP($A50,Council_Data!$A$3:$AB$840,2,0)),0,VLOOKUP($A50,Council_Data!$A$3:$AB$840,2,0))</f>
        <v>060</v>
      </c>
      <c r="C50" s="50" t="str">
        <f>IF(ISNA(VLOOKUP($A50,Council_Data!$A$3:$AB$840,3,0)),0,VLOOKUP($A50,Council_Data!$A$3:$AB$840,3,0))</f>
        <v>San Antonio</v>
      </c>
      <c r="D50" s="93">
        <f>IF(ISNA(VLOOKUP($A50,Council_Data!$A$3:$AB$840,5,0)),0,VLOOKUP($A50,Council_Data!$A$3:$AB$840,5,0))</f>
        <v>108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2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2</v>
      </c>
      <c r="L50" s="94">
        <f>IF(ISNA(VLOOKUP($A50,Council_Data!$A$3:$AB$840,13,0)),0,VLOOKUP($A50,Council_Data!$A$3:$AB$840,13,0))</f>
        <v>40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Dougherty</v>
      </c>
    </row>
    <row r="51" spans="1:22">
      <c r="A51" s="93">
        <v>8306</v>
      </c>
      <c r="B51" s="50" t="str">
        <f>IF(ISNA(VLOOKUP($A51,Council_Data!$A$3:$AB$840,2,0)),0,VLOOKUP($A51,Council_Data!$A$3:$AB$840,2,0))</f>
        <v>040</v>
      </c>
      <c r="C51" s="50" t="str">
        <f>IF(ISNA(VLOOKUP($A51,Council_Data!$A$3:$AB$840,3,0)),0,VLOOKUP($A51,Council_Data!$A$3:$AB$840,3,0))</f>
        <v>Helotes</v>
      </c>
      <c r="D51" s="93">
        <f>IF(ISNA(VLOOKUP($A51,Council_Data!$A$3:$AB$840,5,0)),0,VLOOKUP($A51,Council_Data!$A$3:$AB$840,5,0))</f>
        <v>353</v>
      </c>
      <c r="E51" s="93">
        <f>IF(ISNA(VLOOKUP($A51,Council_Data!$A$3:$AB$840,6,0)),0,VLOOKUP($A51,Council_Data!$A$3:$AB$840,6,0))</f>
        <v>17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1</v>
      </c>
      <c r="H51" s="93">
        <f>IF(ISNA(VLOOKUP($A51,Council_Data!$A$3:$AB$840,9,0)),0,VLOOKUP($A51,Council_Data!$A$3:$AB$840,9,0))</f>
        <v>-1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9</v>
      </c>
      <c r="K51" s="93">
        <f>IF(ISNA(VLOOKUP($A51,Council_Data!$A$3:$AB$840,12,0)),0,VLOOKUP($A51,Council_Data!$A$3:$AB$840,12,0))</f>
        <v>-9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1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0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1</v>
      </c>
      <c r="V51" s="50" t="str">
        <f>IF(ISNA(VLOOKUP($A51,Council_Data!$A$3:$AB$840,24,0)),0,VLOOKUP($A51,Council_Data!$A$3:$AB$840,24,0))</f>
        <v>Dougherty</v>
      </c>
    </row>
    <row r="52" spans="1:22">
      <c r="A52" s="93">
        <v>8327</v>
      </c>
      <c r="B52" s="50" t="str">
        <f>IF(ISNA(VLOOKUP($A52,Council_Data!$A$3:$AB$840,2,0)),0,VLOOKUP($A52,Council_Data!$A$3:$AB$840,2,0))</f>
        <v>037</v>
      </c>
      <c r="C52" s="50" t="str">
        <f>IF(ISNA(VLOOKUP($A52,Council_Data!$A$3:$AB$840,3,0)),0,VLOOKUP($A52,Council_Data!$A$3:$AB$840,3,0))</f>
        <v>Pearsall</v>
      </c>
      <c r="D52" s="93">
        <f>IF(ISNA(VLOOKUP($A52,Council_Data!$A$3:$AB$840,5,0)),0,VLOOKUP($A52,Council_Data!$A$3:$AB$840,5,0))</f>
        <v>135</v>
      </c>
      <c r="E52" s="93">
        <f>IF(ISNA(VLOOKUP($A52,Council_Data!$A$3:$AB$840,6,0)),0,VLOOKUP($A52,Council_Data!$A$3:$AB$840,6,0))</f>
        <v>7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0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0</v>
      </c>
      <c r="L52" s="94">
        <f>IF(ISNA(VLOOKUP($A52,Council_Data!$A$3:$AB$840,13,0)),0,VLOOKUP($A52,Council_Data!$A$3:$AB$840,13,0))</f>
        <v>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1</v>
      </c>
      <c r="P52" s="93">
        <f>IF(ISNA(VLOOKUP($A52,Council_Data!$A$3:$AB$840,17,0)),0,VLOOKUP($A52,Council_Data!$A$3:$AB$840,17,0))</f>
        <v>-1</v>
      </c>
      <c r="Q52" s="93">
        <f>IF(ISNA(VLOOKUP($A52,Council_Data!$A$3:$AB$840,18,0)),0,VLOOKUP($A52,Council_Data!$A$3:$AB$840,18,0))</f>
        <v>4</v>
      </c>
      <c r="R52" s="93">
        <f>IF(ISNA(VLOOKUP($A52,Council_Data!$A$3:$AB$840,19,0)),0,VLOOKUP($A52,Council_Data!$A$3:$AB$840,19,0))</f>
        <v>2</v>
      </c>
      <c r="S52" s="93">
        <f>IF(ISNA(VLOOKUP($A52,Council_Data!$A$3:$AB$840,20,0)),0,VLOOKUP($A52,Council_Data!$A$3:$AB$840,20,0))</f>
        <v>2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Dougherty</v>
      </c>
    </row>
    <row r="53" spans="1:22">
      <c r="A53" s="93">
        <v>8416</v>
      </c>
      <c r="B53" s="50" t="str">
        <f>IF(ISNA(VLOOKUP($A53,Council_Data!$A$3:$AB$840,2,0)),0,VLOOKUP($A53,Council_Data!$A$3:$AB$840,2,0))</f>
        <v>061</v>
      </c>
      <c r="C53" s="50" t="str">
        <f>IF(ISNA(VLOOKUP($A53,Council_Data!$A$3:$AB$840,3,0)),0,VLOOKUP($A53,Council_Data!$A$3:$AB$840,3,0))</f>
        <v>San Antonio</v>
      </c>
      <c r="D53" s="93">
        <f>IF(ISNA(VLOOKUP($A53,Council_Data!$A$3:$AB$840,5,0)),0,VLOOKUP($A53,Council_Data!$A$3:$AB$840,5,0))</f>
        <v>21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Dougherty</v>
      </c>
    </row>
    <row r="54" spans="1:22">
      <c r="A54" s="93">
        <v>8436</v>
      </c>
      <c r="B54" s="50" t="str">
        <f>IF(ISNA(VLOOKUP($A54,Council_Data!$A$3:$AB$840,2,0)),0,VLOOKUP($A54,Council_Data!$A$3:$AB$840,2,0))</f>
        <v>053</v>
      </c>
      <c r="C54" s="50" t="str">
        <f>IF(ISNA(VLOOKUP($A54,Council_Data!$A$3:$AB$840,3,0)),0,VLOOKUP($A54,Council_Data!$A$3:$AB$840,3,0))</f>
        <v>San Antonio</v>
      </c>
      <c r="D54" s="93">
        <f>IF(ISNA(VLOOKUP($A54,Council_Data!$A$3:$AB$840,5,0)),0,VLOOKUP($A54,Council_Data!$A$3:$AB$840,5,0))</f>
        <v>116</v>
      </c>
      <c r="E54" s="93">
        <f>IF(ISNA(VLOOKUP($A54,Council_Data!$A$3:$AB$840,6,0)),0,VLOOKUP($A54,Council_Data!$A$3:$AB$840,6,0))</f>
        <v>6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1</v>
      </c>
      <c r="S54" s="93">
        <f>IF(ISNA(VLOOKUP($A54,Council_Data!$A$3:$AB$840,20,0)),0,VLOOKUP($A54,Council_Data!$A$3:$AB$840,20,0))</f>
        <v>-1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2</v>
      </c>
      <c r="V54" s="50" t="str">
        <f>IF(ISNA(VLOOKUP($A54,Council_Data!$A$3:$AB$840,24,0)),0,VLOOKUP($A54,Council_Data!$A$3:$AB$840,24,0))</f>
        <v>Dougherty</v>
      </c>
    </row>
    <row r="55" spans="1:22">
      <c r="A55" s="93">
        <v>8521</v>
      </c>
      <c r="B55" s="50" t="str">
        <f>IF(ISNA(VLOOKUP($A55,Council_Data!$A$3:$AB$840,2,0)),0,VLOOKUP($A55,Council_Data!$A$3:$AB$840,2,0))</f>
        <v>043</v>
      </c>
      <c r="C55" s="50" t="str">
        <f>IF(ISNA(VLOOKUP($A55,Council_Data!$A$3:$AB$840,3,0)),0,VLOOKUP($A55,Council_Data!$A$3:$AB$840,3,0))</f>
        <v>Bulverde</v>
      </c>
      <c r="D55" s="93">
        <f>IF(ISNA(VLOOKUP($A55,Council_Data!$A$3:$AB$840,5,0)),0,VLOOKUP($A55,Council_Data!$A$3:$AB$840,5,0))</f>
        <v>244</v>
      </c>
      <c r="E55" s="93">
        <f>IF(ISNA(VLOOKUP($A55,Council_Data!$A$3:$AB$840,6,0)),0,VLOOKUP($A55,Council_Data!$A$3:$AB$840,6,0))</f>
        <v>12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1</v>
      </c>
      <c r="J55" s="93">
        <f>IF(ISNA(VLOOKUP($A55,Council_Data!$A$3:$AB$840,11,0)),0,VLOOKUP($A55,Council_Data!$A$3:$AB$840,11,0))</f>
        <v>3</v>
      </c>
      <c r="K55" s="93">
        <f>IF(ISNA(VLOOKUP($A55,Council_Data!$A$3:$AB$840,12,0)),0,VLOOKUP($A55,Council_Data!$A$3:$AB$840,12,0))</f>
        <v>-2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3</v>
      </c>
      <c r="R55" s="93">
        <f>IF(ISNA(VLOOKUP($A55,Council_Data!$A$3:$AB$840,19,0)),0,VLOOKUP($A55,Council_Data!$A$3:$AB$840,19,0))</f>
        <v>3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1</v>
      </c>
      <c r="V55" s="50" t="str">
        <f>IF(ISNA(VLOOKUP($A55,Council_Data!$A$3:$AB$840,24,0)),0,VLOOKUP($A55,Council_Data!$A$3:$AB$840,24,0))</f>
        <v>Dougherty</v>
      </c>
    </row>
    <row r="56" spans="1:22">
      <c r="A56" s="93">
        <v>8621</v>
      </c>
      <c r="B56" s="50" t="str">
        <f>IF(ISNA(VLOOKUP($A56,Council_Data!$A$3:$AB$840,2,0)),0,VLOOKUP($A56,Council_Data!$A$3:$AB$840,2,0))</f>
        <v>037</v>
      </c>
      <c r="C56" s="50" t="str">
        <f>IF(ISNA(VLOOKUP($A56,Council_Data!$A$3:$AB$840,3,0)),0,VLOOKUP($A56,Council_Data!$A$3:$AB$840,3,0))</f>
        <v>Lytle</v>
      </c>
      <c r="D56" s="93">
        <f>IF(ISNA(VLOOKUP($A56,Council_Data!$A$3:$AB$840,5,0)),0,VLOOKUP($A56,Council_Data!$A$3:$AB$840,5,0))</f>
        <v>82</v>
      </c>
      <c r="E56" s="93">
        <f>IF(ISNA(VLOOKUP($A56,Council_Data!$A$3:$AB$840,6,0)),0,VLOOKUP($A56,Council_Data!$A$3:$AB$840,6,0))</f>
        <v>4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1</v>
      </c>
      <c r="P56" s="93">
        <f>IF(ISNA(VLOOKUP($A56,Council_Data!$A$3:$AB$840,17,0)),0,VLOOKUP($A56,Council_Data!$A$3:$AB$840,17,0))</f>
        <v>-1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1</v>
      </c>
      <c r="S56" s="93">
        <f>IF(ISNA(VLOOKUP($A56,Council_Data!$A$3:$AB$840,20,0)),0,VLOOKUP($A56,Council_Data!$A$3:$AB$840,20,0))</f>
        <v>-1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2</v>
      </c>
      <c r="V56" s="50" t="str">
        <f>IF(ISNA(VLOOKUP($A56,Council_Data!$A$3:$AB$840,24,0)),0,VLOOKUP($A56,Council_Data!$A$3:$AB$840,24,0))</f>
        <v>Dougherty</v>
      </c>
    </row>
    <row r="57" spans="1:22">
      <c r="A57" s="93">
        <v>8738</v>
      </c>
      <c r="B57" s="50" t="str">
        <f>IF(ISNA(VLOOKUP($A57,Council_Data!$A$3:$AB$840,2,0)),0,VLOOKUP($A57,Council_Data!$A$3:$AB$840,2,0))</f>
        <v>048</v>
      </c>
      <c r="C57" s="50" t="str">
        <f>IF(ISNA(VLOOKUP($A57,Council_Data!$A$3:$AB$840,3,0)),0,VLOOKUP($A57,Council_Data!$A$3:$AB$840,3,0))</f>
        <v>San Antonio</v>
      </c>
      <c r="D57" s="93">
        <f>IF(ISNA(VLOOKUP($A57,Council_Data!$A$3:$AB$840,5,0)),0,VLOOKUP($A57,Council_Data!$A$3:$AB$840,5,0))</f>
        <v>125</v>
      </c>
      <c r="E57" s="93">
        <f>IF(ISNA(VLOOKUP($A57,Council_Data!$A$3:$AB$840,6,0)),0,VLOOKUP($A57,Council_Data!$A$3:$AB$840,6,0))</f>
        <v>6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2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2</v>
      </c>
      <c r="L57" s="94">
        <f>IF(ISNA(VLOOKUP($A57,Council_Data!$A$3:$AB$840,13,0)),0,VLOOKUP($A57,Council_Data!$A$3:$AB$840,13,0))</f>
        <v>33.33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2</v>
      </c>
      <c r="S57" s="93">
        <f>IF(ISNA(VLOOKUP($A57,Council_Data!$A$3:$AB$840,20,0)),0,VLOOKUP($A57,Council_Data!$A$3:$AB$840,20,0))</f>
        <v>-2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2</v>
      </c>
      <c r="V57" s="50" t="str">
        <f>IF(ISNA(VLOOKUP($A57,Council_Data!$A$3:$AB$840,24,0)),0,VLOOKUP($A57,Council_Data!$A$3:$AB$840,24,0))</f>
        <v>Dougherty</v>
      </c>
    </row>
    <row r="58" spans="1:22">
      <c r="A58" s="93">
        <v>8769</v>
      </c>
      <c r="B58" s="50" t="str">
        <f>IF(ISNA(VLOOKUP($A58,Council_Data!$A$3:$AB$840,2,0)),0,VLOOKUP($A58,Council_Data!$A$3:$AB$840,2,0))</f>
        <v>053</v>
      </c>
      <c r="C58" s="50" t="str">
        <f>IF(ISNA(VLOOKUP($A58,Council_Data!$A$3:$AB$840,3,0)),0,VLOOKUP($A58,Council_Data!$A$3:$AB$840,3,0))</f>
        <v>San Antonio</v>
      </c>
      <c r="D58" s="93">
        <f>IF(ISNA(VLOOKUP($A58,Council_Data!$A$3:$AB$840,5,0)),0,VLOOKUP($A58,Council_Data!$A$3:$AB$840,5,0))</f>
        <v>48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0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0</v>
      </c>
      <c r="L58" s="94">
        <f>IF(ISNA(VLOOKUP($A58,Council_Data!$A$3:$AB$840,13,0)),0,VLOOKUP($A58,Council_Data!$A$3:$AB$840,13,0))</f>
        <v>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1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Dougherty</v>
      </c>
    </row>
    <row r="59" spans="1:22">
      <c r="A59" s="93">
        <v>8789</v>
      </c>
      <c r="B59" s="50" t="str">
        <f>IF(ISNA(VLOOKUP($A59,Council_Data!$A$3:$AB$840,2,0)),0,VLOOKUP($A59,Council_Data!$A$3:$AB$840,2,0))</f>
        <v>054</v>
      </c>
      <c r="C59" s="50" t="str">
        <f>IF(ISNA(VLOOKUP($A59,Council_Data!$A$3:$AB$840,3,0)),0,VLOOKUP($A59,Council_Data!$A$3:$AB$840,3,0))</f>
        <v>San Antonio</v>
      </c>
      <c r="D59" s="93">
        <f>IF(ISNA(VLOOKUP($A59,Council_Data!$A$3:$AB$840,5,0)),0,VLOOKUP($A59,Council_Data!$A$3:$AB$840,5,0))</f>
        <v>195</v>
      </c>
      <c r="E59" s="93">
        <f>IF(ISNA(VLOOKUP($A59,Council_Data!$A$3:$AB$840,6,0)),0,VLOOKUP($A59,Council_Data!$A$3:$AB$840,6,0))</f>
        <v>10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0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0</v>
      </c>
      <c r="L59" s="94">
        <f>IF(ISNA(VLOOKUP($A59,Council_Data!$A$3:$AB$840,13,0)),0,VLOOKUP($A59,Council_Data!$A$3:$AB$840,13,0))</f>
        <v>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0</v>
      </c>
      <c r="R59" s="93">
        <f>IF(ISNA(VLOOKUP($A59,Council_Data!$A$3:$AB$840,19,0)),0,VLOOKUP($A59,Council_Data!$A$3:$AB$840,19,0))</f>
        <v>1</v>
      </c>
      <c r="S59" s="93">
        <f>IF(ISNA(VLOOKUP($A59,Council_Data!$A$3:$AB$840,20,0)),0,VLOOKUP($A59,Council_Data!$A$3:$AB$840,20,0))</f>
        <v>-1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1</v>
      </c>
      <c r="V59" s="50" t="str">
        <f>IF(ISNA(VLOOKUP($A59,Council_Data!$A$3:$AB$840,24,0)),0,VLOOKUP($A59,Council_Data!$A$3:$AB$840,24,0))</f>
        <v>Dougherty</v>
      </c>
    </row>
    <row r="60" spans="1:22">
      <c r="A60" s="93">
        <v>8807</v>
      </c>
      <c r="B60" s="50" t="str">
        <f>IF(ISNA(VLOOKUP($A60,Council_Data!$A$3:$AB$840,2,0)),0,VLOOKUP($A60,Council_Data!$A$3:$AB$840,2,0))</f>
        <v>060</v>
      </c>
      <c r="C60" s="50" t="str">
        <f>IF(ISNA(VLOOKUP($A60,Council_Data!$A$3:$AB$840,3,0)),0,VLOOKUP($A60,Council_Data!$A$3:$AB$840,3,0))</f>
        <v>San Antonio</v>
      </c>
      <c r="D60" s="93">
        <f>IF(ISNA(VLOOKUP($A60,Council_Data!$A$3:$AB$840,5,0)),0,VLOOKUP($A60,Council_Data!$A$3:$AB$840,5,0))</f>
        <v>65</v>
      </c>
      <c r="E60" s="93">
        <f>IF(ISNA(VLOOKUP($A60,Council_Data!$A$3:$AB$840,6,0)),0,VLOOKUP($A60,Council_Data!$A$3:$AB$840,6,0))</f>
        <v>3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0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0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0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3</v>
      </c>
      <c r="V60" s="50" t="str">
        <f>IF(ISNA(VLOOKUP($A60,Council_Data!$A$3:$AB$840,24,0)),0,VLOOKUP($A60,Council_Data!$A$3:$AB$840,24,0))</f>
        <v>Dougherty</v>
      </c>
    </row>
    <row r="61" spans="1:22">
      <c r="A61" s="93">
        <v>9017</v>
      </c>
      <c r="B61" s="50" t="str">
        <f>IF(ISNA(VLOOKUP($A61,Council_Data!$A$3:$AB$840,2,0)),0,VLOOKUP($A61,Council_Data!$A$3:$AB$840,2,0))</f>
        <v>061</v>
      </c>
      <c r="C61" s="50" t="str">
        <f>IF(ISNA(VLOOKUP($A61,Council_Data!$A$3:$AB$840,3,0)),0,VLOOKUP($A61,Council_Data!$A$3:$AB$840,3,0))</f>
        <v>San Antonio</v>
      </c>
      <c r="D61" s="93">
        <f>IF(ISNA(VLOOKUP($A61,Council_Data!$A$3:$AB$840,5,0)),0,VLOOKUP($A61,Council_Data!$A$3:$AB$840,5,0))</f>
        <v>36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1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1</v>
      </c>
      <c r="I61" s="93">
        <f>IF(ISNA(VLOOKUP($A61,Council_Data!$A$3:$AB$840,10,0)),0,VLOOKUP($A61,Council_Data!$A$3:$AB$840,10,0))</f>
        <v>1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1</v>
      </c>
      <c r="L61" s="94">
        <f>IF(ISNA(VLOOKUP($A61,Council_Data!$A$3:$AB$840,13,0)),0,VLOOKUP($A61,Council_Data!$A$3:$AB$840,13,0))</f>
        <v>33.33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3</v>
      </c>
      <c r="V61" s="50" t="str">
        <f>IF(ISNA(VLOOKUP($A61,Council_Data!$A$3:$AB$840,24,0)),0,VLOOKUP($A61,Council_Data!$A$3:$AB$840,24,0))</f>
        <v>Dougherty</v>
      </c>
    </row>
    <row r="62" spans="1:22">
      <c r="A62" s="93">
        <v>9291</v>
      </c>
      <c r="B62" s="50" t="str">
        <f>IF(ISNA(VLOOKUP($A62,Council_Data!$A$3:$AB$840,2,0)),0,VLOOKUP($A62,Council_Data!$A$3:$AB$840,2,0))</f>
        <v>049</v>
      </c>
      <c r="C62" s="50" t="str">
        <f>IF(ISNA(VLOOKUP($A62,Council_Data!$A$3:$AB$840,3,0)),0,VLOOKUP($A62,Council_Data!$A$3:$AB$840,3,0))</f>
        <v>San Antonio</v>
      </c>
      <c r="D62" s="93">
        <f>IF(ISNA(VLOOKUP($A62,Council_Data!$A$3:$AB$840,5,0)),0,VLOOKUP($A62,Council_Data!$A$3:$AB$840,5,0))</f>
        <v>176</v>
      </c>
      <c r="E62" s="93">
        <f>IF(ISNA(VLOOKUP($A62,Council_Data!$A$3:$AB$840,6,0)),0,VLOOKUP($A62,Council_Data!$A$3:$AB$840,6,0))</f>
        <v>9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2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2</v>
      </c>
      <c r="L62" s="94">
        <f>IF(ISNA(VLOOKUP($A62,Council_Data!$A$3:$AB$840,13,0)),0,VLOOKUP($A62,Council_Data!$A$3:$AB$840,13,0))</f>
        <v>22.22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1</v>
      </c>
      <c r="P62" s="93">
        <f>IF(ISNA(VLOOKUP($A62,Council_Data!$A$3:$AB$840,17,0)),0,VLOOKUP($A62,Council_Data!$A$3:$AB$840,17,0))</f>
        <v>-1</v>
      </c>
      <c r="Q62" s="93">
        <f>IF(ISNA(VLOOKUP($A62,Council_Data!$A$3:$AB$840,18,0)),0,VLOOKUP($A62,Council_Data!$A$3:$AB$840,18,0))</f>
        <v>1</v>
      </c>
      <c r="R62" s="93">
        <f>IF(ISNA(VLOOKUP($A62,Council_Data!$A$3:$AB$840,19,0)),0,VLOOKUP($A62,Council_Data!$A$3:$AB$840,19,0))</f>
        <v>2</v>
      </c>
      <c r="S62" s="93">
        <f>IF(ISNA(VLOOKUP($A62,Council_Data!$A$3:$AB$840,20,0)),0,VLOOKUP($A62,Council_Data!$A$3:$AB$840,20,0))</f>
        <v>-1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1</v>
      </c>
      <c r="V62" s="50" t="str">
        <f>IF(ISNA(VLOOKUP($A62,Council_Data!$A$3:$AB$840,24,0)),0,VLOOKUP($A62,Council_Data!$A$3:$AB$840,24,0))</f>
        <v>Dougherty</v>
      </c>
    </row>
    <row r="63" spans="1:22">
      <c r="A63" s="93">
        <v>9342</v>
      </c>
      <c r="B63" s="50" t="str">
        <f>IF(ISNA(VLOOKUP($A63,Council_Data!$A$3:$AB$840,2,0)),0,VLOOKUP($A63,Council_Data!$A$3:$AB$840,2,0))</f>
        <v>052</v>
      </c>
      <c r="C63" s="50" t="str">
        <f>IF(ISNA(VLOOKUP($A63,Council_Data!$A$3:$AB$840,3,0)),0,VLOOKUP($A63,Council_Data!$A$3:$AB$840,3,0))</f>
        <v>San Antonio</v>
      </c>
      <c r="D63" s="93">
        <f>IF(ISNA(VLOOKUP($A63,Council_Data!$A$3:$AB$840,5,0)),0,VLOOKUP($A63,Council_Data!$A$3:$AB$840,5,0))</f>
        <v>42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Dougherty</v>
      </c>
    </row>
    <row r="64" spans="1:22">
      <c r="A64" s="93">
        <v>9463</v>
      </c>
      <c r="B64" s="50" t="str">
        <f>IF(ISNA(VLOOKUP($A64,Council_Data!$A$3:$AB$840,2,0)),0,VLOOKUP($A64,Council_Data!$A$3:$AB$840,2,0))</f>
        <v>051</v>
      </c>
      <c r="C64" s="50" t="str">
        <f>IF(ISNA(VLOOKUP($A64,Council_Data!$A$3:$AB$840,3,0)),0,VLOOKUP($A64,Council_Data!$A$3:$AB$840,3,0))</f>
        <v>San Antonio</v>
      </c>
      <c r="D64" s="93">
        <f>IF(ISNA(VLOOKUP($A64,Council_Data!$A$3:$AB$840,5,0)),0,VLOOKUP($A64,Council_Data!$A$3:$AB$840,5,0))</f>
        <v>99</v>
      </c>
      <c r="E64" s="93">
        <f>IF(ISNA(VLOOKUP($A64,Council_Data!$A$3:$AB$840,6,0)),0,VLOOKUP($A64,Council_Data!$A$3:$AB$840,6,0))</f>
        <v>5</v>
      </c>
      <c r="F64" s="93">
        <f>IF(ISNA(VLOOKUP($A64,Council_Data!$A$3:$AB$840,7,0)),0,VLOOKUP($A64,Council_Data!$A$3:$AB$840,7,0))</f>
        <v>2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2</v>
      </c>
      <c r="I64" s="93">
        <f>IF(ISNA(VLOOKUP($A64,Council_Data!$A$3:$AB$840,10,0)),0,VLOOKUP($A64,Council_Data!$A$3:$AB$840,10,0))</f>
        <v>4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4</v>
      </c>
      <c r="L64" s="94">
        <f>IF(ISNA(VLOOKUP($A64,Council_Data!$A$3:$AB$840,13,0)),0,VLOOKUP($A64,Council_Data!$A$3:$AB$840,13,0))</f>
        <v>80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1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1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2</v>
      </c>
      <c r="V64" s="50" t="str">
        <f>IF(ISNA(VLOOKUP($A64,Council_Data!$A$3:$AB$840,24,0)),0,VLOOKUP($A64,Council_Data!$A$3:$AB$840,24,0))</f>
        <v>Dougherty</v>
      </c>
    </row>
    <row r="65" spans="1:22" ht="13.5" customHeight="1">
      <c r="A65" s="93">
        <v>9624</v>
      </c>
      <c r="B65" s="50" t="str">
        <f>IF(ISNA(VLOOKUP($A65,Council_Data!$A$3:$AB$840,2,0)),0,VLOOKUP($A65,Council_Data!$A$3:$AB$840,2,0))</f>
        <v>062</v>
      </c>
      <c r="C65" s="50" t="str">
        <f>IF(ISNA(VLOOKUP($A65,Council_Data!$A$3:$AB$840,3,0)),0,VLOOKUP($A65,Council_Data!$A$3:$AB$840,3,0))</f>
        <v>San Antonio</v>
      </c>
      <c r="D65" s="93">
        <f>IF(ISNA(VLOOKUP($A65,Council_Data!$A$3:$AB$840,5,0)),0,VLOOKUP($A65,Council_Data!$A$3:$AB$840,5,0))</f>
        <v>26</v>
      </c>
      <c r="E65" s="93">
        <f>IF(ISNA(VLOOKUP($A65,Council_Data!$A$3:$AB$840,6,0)),0,VLOOKUP($A65,Council_Data!$A$3:$AB$840,6,0))</f>
        <v>3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0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0</v>
      </c>
      <c r="L65" s="94">
        <f>IF(ISNA(VLOOKUP($A65,Council_Data!$A$3:$AB$840,13,0)),0,VLOOKUP($A65,Council_Data!$A$3:$AB$840,13,0))</f>
        <v>0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0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0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3</v>
      </c>
      <c r="V65" s="50" t="str">
        <f>IF(ISNA(VLOOKUP($A65,Council_Data!$A$3:$AB$840,24,0)),0,VLOOKUP($A65,Council_Data!$A$3:$AB$840,24,0))</f>
        <v>Dougherty</v>
      </c>
    </row>
    <row r="66" spans="1:22">
      <c r="A66" s="93">
        <v>9681</v>
      </c>
      <c r="B66" s="50" t="str">
        <f>IF(ISNA(VLOOKUP($A66,Council_Data!$A$3:$AB$840,2,0)),0,VLOOKUP($A66,Council_Data!$A$3:$AB$840,2,0))</f>
        <v>046</v>
      </c>
      <c r="C66" s="50" t="str">
        <f>IF(ISNA(VLOOKUP($A66,Council_Data!$A$3:$AB$840,3,0)),0,VLOOKUP($A66,Council_Data!$A$3:$AB$840,3,0))</f>
        <v>Converse</v>
      </c>
      <c r="D66" s="93">
        <f>IF(ISNA(VLOOKUP($A66,Council_Data!$A$3:$AB$840,5,0)),0,VLOOKUP($A66,Council_Data!$A$3:$AB$840,5,0))</f>
        <v>203</v>
      </c>
      <c r="E66" s="93">
        <f>IF(ISNA(VLOOKUP($A66,Council_Data!$A$3:$AB$840,6,0)),0,VLOOKUP($A66,Council_Data!$A$3:$AB$840,6,0))</f>
        <v>10</v>
      </c>
      <c r="F66" s="93">
        <f>IF(ISNA(VLOOKUP($A66,Council_Data!$A$3:$AB$840,7,0)),0,VLOOKUP($A66,Council_Data!$A$3:$AB$840,7,0))</f>
        <v>0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0</v>
      </c>
      <c r="I66" s="93">
        <f>IF(ISNA(VLOOKUP($A66,Council_Data!$A$3:$AB$840,10,0)),0,VLOOKUP($A66,Council_Data!$A$3:$AB$840,10,0))</f>
        <v>1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1</v>
      </c>
      <c r="L66" s="94">
        <f>IF(ISNA(VLOOKUP($A66,Council_Data!$A$3:$AB$840,13,0)),0,VLOOKUP($A66,Council_Data!$A$3:$AB$840,13,0))</f>
        <v>10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1</v>
      </c>
      <c r="R66" s="93">
        <f>IF(ISNA(VLOOKUP($A66,Council_Data!$A$3:$AB$840,19,0)),0,VLOOKUP($A66,Council_Data!$A$3:$AB$840,19,0))</f>
        <v>0</v>
      </c>
      <c r="S66" s="93">
        <f>IF(ISNA(VLOOKUP($A66,Council_Data!$A$3:$AB$840,20,0)),0,VLOOKUP($A66,Council_Data!$A$3:$AB$840,20,0))</f>
        <v>1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1</v>
      </c>
      <c r="V66" s="50" t="str">
        <f>IF(ISNA(VLOOKUP($A66,Council_Data!$A$3:$AB$840,24,0)),0,VLOOKUP($A66,Council_Data!$A$3:$AB$840,24,0))</f>
        <v>Dougherty</v>
      </c>
    </row>
    <row r="67" spans="1:22" ht="13.5" customHeight="1">
      <c r="A67" s="93">
        <v>9682</v>
      </c>
      <c r="B67" s="50" t="str">
        <f>IF(ISNA(VLOOKUP($A67,Council_Data!$A$3:$AB$840,2,0)),0,VLOOKUP($A67,Council_Data!$A$3:$AB$840,2,0))</f>
        <v>038</v>
      </c>
      <c r="C67" s="50" t="str">
        <f>IF(ISNA(VLOOKUP($A67,Council_Data!$A$3:$AB$840,3,0)),0,VLOOKUP($A67,Council_Data!$A$3:$AB$840,3,0))</f>
        <v>San Antonio</v>
      </c>
      <c r="D67" s="93">
        <f>IF(ISNA(VLOOKUP($A67,Council_Data!$A$3:$AB$840,5,0)),0,VLOOKUP($A67,Council_Data!$A$3:$AB$840,5,0))</f>
        <v>51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0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0</v>
      </c>
      <c r="L67" s="94">
        <f>IF(ISNA(VLOOKUP($A67,Council_Data!$A$3:$AB$840,13,0)),0,VLOOKUP($A67,Council_Data!$A$3:$AB$840,13,0))</f>
        <v>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Dougherty</v>
      </c>
    </row>
    <row r="68" spans="1:22">
      <c r="A68" s="93">
        <v>9702</v>
      </c>
      <c r="B68" s="50" t="str">
        <f>IF(ISNA(VLOOKUP($A68,Council_Data!$A$3:$AB$840,2,0)),0,VLOOKUP($A68,Council_Data!$A$3:$AB$840,2,0))</f>
        <v>047</v>
      </c>
      <c r="C68" s="50" t="str">
        <f>IF(ISNA(VLOOKUP($A68,Council_Data!$A$3:$AB$840,3,0)),0,VLOOKUP($A68,Council_Data!$A$3:$AB$840,3,0))</f>
        <v>San Antonio</v>
      </c>
      <c r="D68" s="93">
        <f>IF(ISNA(VLOOKUP($A68,Council_Data!$A$3:$AB$840,5,0)),0,VLOOKUP($A68,Council_Data!$A$3:$AB$840,5,0))</f>
        <v>36</v>
      </c>
      <c r="E68" s="93">
        <f>IF(ISNA(VLOOKUP($A68,Council_Data!$A$3:$AB$840,6,0)),0,VLOOKUP($A68,Council_Data!$A$3:$AB$840,6,0))</f>
        <v>3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2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2</v>
      </c>
      <c r="L68" s="94">
        <f>IF(ISNA(VLOOKUP($A68,Council_Data!$A$3:$AB$840,13,0)),0,VLOOKUP($A68,Council_Data!$A$3:$AB$840,13,0))</f>
        <v>66.67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0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0</v>
      </c>
      <c r="Q68" s="93">
        <f>IF(ISNA(VLOOKUP($A68,Council_Data!$A$3:$AB$840,18,0)),0,VLOOKUP($A68,Council_Data!$A$3:$AB$840,18,0))</f>
        <v>0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0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3</v>
      </c>
      <c r="V68" s="50" t="str">
        <f>IF(ISNA(VLOOKUP($A68,Council_Data!$A$3:$AB$840,24,0)),0,VLOOKUP($A68,Council_Data!$A$3:$AB$840,24,0))</f>
        <v>Dougherty</v>
      </c>
    </row>
    <row r="69" spans="1:22" ht="13.5" customHeight="1">
      <c r="A69" s="93">
        <v>9730</v>
      </c>
      <c r="B69" s="50" t="str">
        <f>IF(ISNA(VLOOKUP($A69,Council_Data!$A$3:$AB$840,2,0)),0,VLOOKUP($A69,Council_Data!$A$3:$AB$840,2,0))</f>
        <v>035</v>
      </c>
      <c r="C69" s="50" t="str">
        <f>IF(ISNA(VLOOKUP($A69,Council_Data!$A$3:$AB$840,3,0)),0,VLOOKUP($A69,Council_Data!$A$3:$AB$840,3,0))</f>
        <v>San Antonio</v>
      </c>
      <c r="D69" s="93">
        <f>IF(ISNA(VLOOKUP($A69,Council_Data!$A$3:$AB$840,5,0)),0,VLOOKUP($A69,Council_Data!$A$3:$AB$840,5,0))</f>
        <v>35</v>
      </c>
      <c r="E69" s="93">
        <f>IF(ISNA(VLOOKUP($A69,Council_Data!$A$3:$AB$840,6,0)),0,VLOOKUP($A69,Council_Data!$A$3:$AB$840,6,0))</f>
        <v>3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0</v>
      </c>
      <c r="J69" s="93">
        <f>IF(ISNA(VLOOKUP($A69,Council_Data!$A$3:$AB$840,11,0)),0,VLOOKUP($A69,Council_Data!$A$3:$AB$840,11,0))</f>
        <v>0</v>
      </c>
      <c r="K69" s="93">
        <f>IF(ISNA(VLOOKUP($A69,Council_Data!$A$3:$AB$840,12,0)),0,VLOOKUP($A69,Council_Data!$A$3:$AB$840,12,0))</f>
        <v>0</v>
      </c>
      <c r="L69" s="94">
        <f>IF(ISNA(VLOOKUP($A69,Council_Data!$A$3:$AB$840,13,0)),0,VLOOKUP($A69,Council_Data!$A$3:$AB$840,13,0))</f>
        <v>0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0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0</v>
      </c>
      <c r="Q69" s="93">
        <f>IF(ISNA(VLOOKUP($A69,Council_Data!$A$3:$AB$840,18,0)),0,VLOOKUP($A69,Council_Data!$A$3:$AB$840,18,0))</f>
        <v>0</v>
      </c>
      <c r="R69" s="93">
        <f>IF(ISNA(VLOOKUP($A69,Council_Data!$A$3:$AB$840,19,0)),0,VLOOKUP($A69,Council_Data!$A$3:$AB$840,19,0))</f>
        <v>0</v>
      </c>
      <c r="S69" s="93">
        <f>IF(ISNA(VLOOKUP($A69,Council_Data!$A$3:$AB$840,20,0)),0,VLOOKUP($A69,Council_Data!$A$3:$AB$840,20,0))</f>
        <v>0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3</v>
      </c>
      <c r="V69" s="50" t="str">
        <f>IF(ISNA(VLOOKUP($A69,Council_Data!$A$3:$AB$840,24,0)),0,VLOOKUP($A69,Council_Data!$A$3:$AB$840,24,0))</f>
        <v>Dougherty</v>
      </c>
    </row>
    <row r="70" spans="1:22">
      <c r="A70" s="93">
        <v>9765</v>
      </c>
      <c r="B70" s="50" t="str">
        <f>IF(ISNA(VLOOKUP($A70,Council_Data!$A$3:$AB$840,2,0)),0,VLOOKUP($A70,Council_Data!$A$3:$AB$840,2,0))</f>
        <v>041</v>
      </c>
      <c r="C70" s="50" t="str">
        <f>IF(ISNA(VLOOKUP($A70,Council_Data!$A$3:$AB$840,3,0)),0,VLOOKUP($A70,Council_Data!$A$3:$AB$840,3,0))</f>
        <v>Fredericksburg</v>
      </c>
      <c r="D70" s="93">
        <f>IF(ISNA(VLOOKUP($A70,Council_Data!$A$3:$AB$840,5,0)),0,VLOOKUP($A70,Council_Data!$A$3:$AB$840,5,0))</f>
        <v>234</v>
      </c>
      <c r="E70" s="93">
        <f>IF(ISNA(VLOOKUP($A70,Council_Data!$A$3:$AB$840,6,0)),0,VLOOKUP($A70,Council_Data!$A$3:$AB$840,6,0))</f>
        <v>12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0</v>
      </c>
      <c r="I70" s="93">
        <f>IF(ISNA(VLOOKUP($A70,Council_Data!$A$3:$AB$840,10,0)),0,VLOOKUP($A70,Council_Data!$A$3:$AB$840,10,0))</f>
        <v>0</v>
      </c>
      <c r="J70" s="93">
        <f>IF(ISNA(VLOOKUP($A70,Council_Data!$A$3:$AB$840,11,0)),0,VLOOKUP($A70,Council_Data!$A$3:$AB$840,11,0))</f>
        <v>0</v>
      </c>
      <c r="K70" s="93">
        <f>IF(ISNA(VLOOKUP($A70,Council_Data!$A$3:$AB$840,12,0)),0,VLOOKUP($A70,Council_Data!$A$3:$AB$840,12,0))</f>
        <v>0</v>
      </c>
      <c r="L70" s="94">
        <f>IF(ISNA(VLOOKUP($A70,Council_Data!$A$3:$AB$840,13,0)),0,VLOOKUP($A70,Council_Data!$A$3:$AB$840,13,0))</f>
        <v>0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1</v>
      </c>
      <c r="R70" s="93">
        <f>IF(ISNA(VLOOKUP($A70,Council_Data!$A$3:$AB$840,19,0)),0,VLOOKUP($A70,Council_Data!$A$3:$AB$840,19,0))</f>
        <v>0</v>
      </c>
      <c r="S70" s="93">
        <f>IF(ISNA(VLOOKUP($A70,Council_Data!$A$3:$AB$840,20,0)),0,VLOOKUP($A70,Council_Data!$A$3:$AB$840,20,0))</f>
        <v>1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1</v>
      </c>
      <c r="V70" s="50" t="str">
        <f>IF(ISNA(VLOOKUP($A70,Council_Data!$A$3:$AB$840,24,0)),0,VLOOKUP($A70,Council_Data!$A$3:$AB$840,24,0))</f>
        <v>Dougherty</v>
      </c>
    </row>
    <row r="71" spans="1:22">
      <c r="A71" s="93">
        <v>9902</v>
      </c>
      <c r="B71" s="50" t="str">
        <f>IF(ISNA(VLOOKUP($A71,Council_Data!$A$3:$AB$840,2,0)),0,VLOOKUP($A71,Council_Data!$A$3:$AB$840,2,0))</f>
        <v>059</v>
      </c>
      <c r="C71" s="50" t="str">
        <f>IF(ISNA(VLOOKUP($A71,Council_Data!$A$3:$AB$840,3,0)),0,VLOOKUP($A71,Council_Data!$A$3:$AB$840,3,0))</f>
        <v>San Antonio</v>
      </c>
      <c r="D71" s="93">
        <f>IF(ISNA(VLOOKUP($A71,Council_Data!$A$3:$AB$840,5,0)),0,VLOOKUP($A71,Council_Data!$A$3:$AB$840,5,0))</f>
        <v>170</v>
      </c>
      <c r="E71" s="93">
        <f>IF(ISNA(VLOOKUP($A71,Council_Data!$A$3:$AB$840,6,0)),0,VLOOKUP($A71,Council_Data!$A$3:$AB$840,6,0))</f>
        <v>8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1</v>
      </c>
      <c r="J71" s="93">
        <f>IF(ISNA(VLOOKUP($A71,Council_Data!$A$3:$AB$840,11,0)),0,VLOOKUP($A71,Council_Data!$A$3:$AB$840,11,0))</f>
        <v>1</v>
      </c>
      <c r="K71" s="93">
        <f>IF(ISNA(VLOOKUP($A71,Council_Data!$A$3:$AB$840,12,0)),0,VLOOKUP($A71,Council_Data!$A$3:$AB$840,12,0))</f>
        <v>0</v>
      </c>
      <c r="L71" s="94">
        <f>IF(ISNA(VLOOKUP($A71,Council_Data!$A$3:$AB$840,13,0)),0,VLOOKUP($A71,Council_Data!$A$3:$AB$840,13,0))</f>
        <v>0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0</v>
      </c>
      <c r="R71" s="93">
        <f>IF(ISNA(VLOOKUP($A71,Council_Data!$A$3:$AB$840,19,0)),0,VLOOKUP($A71,Council_Data!$A$3:$AB$840,19,0))</f>
        <v>1</v>
      </c>
      <c r="S71" s="93">
        <f>IF(ISNA(VLOOKUP($A71,Council_Data!$A$3:$AB$840,20,0)),0,VLOOKUP($A71,Council_Data!$A$3:$AB$840,20,0))</f>
        <v>-1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1</v>
      </c>
      <c r="V71" s="50" t="str">
        <f>IF(ISNA(VLOOKUP($A71,Council_Data!$A$3:$AB$840,24,0)),0,VLOOKUP($A71,Council_Data!$A$3:$AB$840,24,0))</f>
        <v>Dougherty</v>
      </c>
    </row>
    <row r="72" spans="1:22">
      <c r="A72" s="93">
        <v>9967</v>
      </c>
      <c r="B72" s="50" t="str">
        <f>IF(ISNA(VLOOKUP($A72,Council_Data!$A$3:$AB$840,2,0)),0,VLOOKUP($A72,Council_Data!$A$3:$AB$840,2,0))</f>
        <v>043</v>
      </c>
      <c r="C72" s="50" t="str">
        <f>IF(ISNA(VLOOKUP($A72,Council_Data!$A$3:$AB$840,3,0)),0,VLOOKUP($A72,Council_Data!$A$3:$AB$840,3,0))</f>
        <v>San Antonio</v>
      </c>
      <c r="D72" s="93">
        <f>IF(ISNA(VLOOKUP($A72,Council_Data!$A$3:$AB$840,5,0)),0,VLOOKUP($A72,Council_Data!$A$3:$AB$840,5,0))</f>
        <v>486</v>
      </c>
      <c r="E72" s="93">
        <f>IF(ISNA(VLOOKUP($A72,Council_Data!$A$3:$AB$840,6,0)),0,VLOOKUP($A72,Council_Data!$A$3:$AB$840,6,0))</f>
        <v>20</v>
      </c>
      <c r="F72" s="93">
        <f>IF(ISNA(VLOOKUP($A72,Council_Data!$A$3:$AB$840,7,0)),0,VLOOKUP($A72,Council_Data!$A$3:$AB$840,7,0))</f>
        <v>0</v>
      </c>
      <c r="G72" s="93">
        <f>IF(ISNA(VLOOKUP($A72,Council_Data!$A$3:$AB$840,8,0)),0,VLOOKUP($A72,Council_Data!$A$3:$AB$840,8,0))</f>
        <v>4</v>
      </c>
      <c r="H72" s="93">
        <f>IF(ISNA(VLOOKUP($A72,Council_Data!$A$3:$AB$840,9,0)),0,VLOOKUP($A72,Council_Data!$A$3:$AB$840,9,0))</f>
        <v>-4</v>
      </c>
      <c r="I72" s="93">
        <f>IF(ISNA(VLOOKUP($A72,Council_Data!$A$3:$AB$840,10,0)),0,VLOOKUP($A72,Council_Data!$A$3:$AB$840,10,0))</f>
        <v>12</v>
      </c>
      <c r="J72" s="93">
        <f>IF(ISNA(VLOOKUP($A72,Council_Data!$A$3:$AB$840,11,0)),0,VLOOKUP($A72,Council_Data!$A$3:$AB$840,11,0))</f>
        <v>4</v>
      </c>
      <c r="K72" s="93">
        <f>IF(ISNA(VLOOKUP($A72,Council_Data!$A$3:$AB$840,12,0)),0,VLOOKUP($A72,Council_Data!$A$3:$AB$840,12,0))</f>
        <v>8</v>
      </c>
      <c r="L72" s="94">
        <f>IF(ISNA(VLOOKUP($A72,Council_Data!$A$3:$AB$840,13,0)),0,VLOOKUP($A72,Council_Data!$A$3:$AB$840,13,0))</f>
        <v>40</v>
      </c>
      <c r="M72" s="93">
        <f>IF(ISNA(VLOOKUP($A72,Council_Data!$A$3:$AB$840,14,0)),0,VLOOKUP($A72,Council_Data!$A$3:$AB$840,14,0))</f>
        <v>0</v>
      </c>
      <c r="N72" s="93">
        <f>IF(ISNA(VLOOKUP($A72,Council_Data!$A$3:$AB$840,15,0)),0,VLOOKUP($A72,Council_Data!$A$3:$AB$840,15,0))</f>
        <v>0</v>
      </c>
      <c r="O72" s="93">
        <f>IF(ISNA(VLOOKUP($A72,Council_Data!$A$3:$AB$840,16,0)),0,VLOOKUP($A72,Council_Data!$A$3:$AB$840,16,0))</f>
        <v>1</v>
      </c>
      <c r="P72" s="93">
        <f>IF(ISNA(VLOOKUP($A72,Council_Data!$A$3:$AB$840,17,0)),0,VLOOKUP($A72,Council_Data!$A$3:$AB$840,17,0))</f>
        <v>-1</v>
      </c>
      <c r="Q72" s="93">
        <f>IF(ISNA(VLOOKUP($A72,Council_Data!$A$3:$AB$840,18,0)),0,VLOOKUP($A72,Council_Data!$A$3:$AB$840,18,0))</f>
        <v>3</v>
      </c>
      <c r="R72" s="93">
        <f>IF(ISNA(VLOOKUP($A72,Council_Data!$A$3:$AB$840,19,0)),0,VLOOKUP($A72,Council_Data!$A$3:$AB$840,19,0))</f>
        <v>1</v>
      </c>
      <c r="S72" s="93">
        <f>IF(ISNA(VLOOKUP($A72,Council_Data!$A$3:$AB$840,20,0)),0,VLOOKUP($A72,Council_Data!$A$3:$AB$840,20,0))</f>
        <v>2</v>
      </c>
      <c r="T72" s="94">
        <f>IF(ISNA(VLOOKUP($A72,Council_Data!$A$3:$AB$840,21,0)),0,VLOOKUP($A72,Council_Data!$A$3:$AB$840,21,0))</f>
        <v>0</v>
      </c>
      <c r="U72" s="93">
        <f>IF(ISNA(VLOOKUP($A72,Council_Data!$A$3:$AB$840,23,0)),0,VLOOKUP($A72,Council_Data!$A$3:$AB$840,23,0))</f>
        <v>1</v>
      </c>
      <c r="V72" s="50" t="str">
        <f>IF(ISNA(VLOOKUP($A72,Council_Data!$A$3:$AB$840,24,0)),0,VLOOKUP($A72,Council_Data!$A$3:$AB$840,24,0))</f>
        <v>Dougherty</v>
      </c>
    </row>
    <row r="73" spans="1:22">
      <c r="A73" s="93">
        <v>10002</v>
      </c>
      <c r="B73" s="50" t="str">
        <f>IF(ISNA(VLOOKUP($A73,Council_Data!$A$3:$AB$840,2,0)),0,VLOOKUP($A73,Council_Data!$A$3:$AB$840,2,0))</f>
        <v>052</v>
      </c>
      <c r="C73" s="50" t="str">
        <f>IF(ISNA(VLOOKUP($A73,Council_Data!$A$3:$AB$840,3,0)),0,VLOOKUP($A73,Council_Data!$A$3:$AB$840,3,0))</f>
        <v>San Antonio</v>
      </c>
      <c r="D73" s="93">
        <f>IF(ISNA(VLOOKUP($A73,Council_Data!$A$3:$AB$840,5,0)),0,VLOOKUP($A73,Council_Data!$A$3:$AB$840,5,0))</f>
        <v>72</v>
      </c>
      <c r="E73" s="93">
        <f>IF(ISNA(VLOOKUP($A73,Council_Data!$A$3:$AB$840,6,0)),0,VLOOKUP($A73,Council_Data!$A$3:$AB$840,6,0))</f>
        <v>4</v>
      </c>
      <c r="F73" s="93">
        <f>IF(ISNA(VLOOKUP($A73,Council_Data!$A$3:$AB$840,7,0)),0,VLOOKUP($A73,Council_Data!$A$3:$AB$840,7,0))</f>
        <v>0</v>
      </c>
      <c r="G73" s="93">
        <f>IF(ISNA(VLOOKUP($A73,Council_Data!$A$3:$AB$840,8,0)),0,VLOOKUP($A73,Council_Data!$A$3:$AB$840,8,0))</f>
        <v>0</v>
      </c>
      <c r="H73" s="93">
        <f>IF(ISNA(VLOOKUP($A73,Council_Data!$A$3:$AB$840,9,0)),0,VLOOKUP($A73,Council_Data!$A$3:$AB$840,9,0))</f>
        <v>0</v>
      </c>
      <c r="I73" s="93">
        <f>IF(ISNA(VLOOKUP($A73,Council_Data!$A$3:$AB$840,10,0)),0,VLOOKUP($A73,Council_Data!$A$3:$AB$840,10,0))</f>
        <v>2</v>
      </c>
      <c r="J73" s="93">
        <f>IF(ISNA(VLOOKUP($A73,Council_Data!$A$3:$AB$840,11,0)),0,VLOOKUP($A73,Council_Data!$A$3:$AB$840,11,0))</f>
        <v>0</v>
      </c>
      <c r="K73" s="93">
        <f>IF(ISNA(VLOOKUP($A73,Council_Data!$A$3:$AB$840,12,0)),0,VLOOKUP($A73,Council_Data!$A$3:$AB$840,12,0))</f>
        <v>2</v>
      </c>
      <c r="L73" s="94">
        <f>IF(ISNA(VLOOKUP($A73,Council_Data!$A$3:$AB$840,13,0)),0,VLOOKUP($A73,Council_Data!$A$3:$AB$840,13,0))</f>
        <v>50</v>
      </c>
      <c r="M73" s="93">
        <f>IF(ISNA(VLOOKUP($A73,Council_Data!$A$3:$AB$840,14,0)),0,VLOOKUP($A73,Council_Data!$A$3:$AB$840,14,0))</f>
        <v>0</v>
      </c>
      <c r="N73" s="93">
        <f>IF(ISNA(VLOOKUP($A73,Council_Data!$A$3:$AB$840,15,0)),0,VLOOKUP($A73,Council_Data!$A$3:$AB$840,15,0))</f>
        <v>0</v>
      </c>
      <c r="O73" s="93">
        <f>IF(ISNA(VLOOKUP($A73,Council_Data!$A$3:$AB$840,16,0)),0,VLOOKUP($A73,Council_Data!$A$3:$AB$840,16,0))</f>
        <v>0</v>
      </c>
      <c r="P73" s="93">
        <f>IF(ISNA(VLOOKUP($A73,Council_Data!$A$3:$AB$840,17,0)),0,VLOOKUP($A73,Council_Data!$A$3:$AB$840,17,0))</f>
        <v>0</v>
      </c>
      <c r="Q73" s="93">
        <f>IF(ISNA(VLOOKUP($A73,Council_Data!$A$3:$AB$840,18,0)),0,VLOOKUP($A73,Council_Data!$A$3:$AB$840,18,0))</f>
        <v>1</v>
      </c>
      <c r="R73" s="93">
        <f>IF(ISNA(VLOOKUP($A73,Council_Data!$A$3:$AB$840,19,0)),0,VLOOKUP($A73,Council_Data!$A$3:$AB$840,19,0))</f>
        <v>3</v>
      </c>
      <c r="S73" s="93">
        <f>IF(ISNA(VLOOKUP($A73,Council_Data!$A$3:$AB$840,20,0)),0,VLOOKUP($A73,Council_Data!$A$3:$AB$840,20,0))</f>
        <v>-2</v>
      </c>
      <c r="T73" s="94">
        <f>IF(ISNA(VLOOKUP($A73,Council_Data!$A$3:$AB$840,21,0)),0,VLOOKUP($A73,Council_Data!$A$3:$AB$840,21,0))</f>
        <v>0</v>
      </c>
      <c r="U73" s="93">
        <f>IF(ISNA(VLOOKUP($A73,Council_Data!$A$3:$AB$840,23,0)),0,VLOOKUP($A73,Council_Data!$A$3:$AB$840,23,0))</f>
        <v>2</v>
      </c>
      <c r="V73" s="50" t="str">
        <f>IF(ISNA(VLOOKUP($A73,Council_Data!$A$3:$AB$840,24,0)),0,VLOOKUP($A73,Council_Data!$A$3:$AB$840,24,0))</f>
        <v>Dougherty</v>
      </c>
    </row>
    <row r="74" spans="1:22">
      <c r="A74" s="93">
        <v>10090</v>
      </c>
      <c r="B74" s="50" t="str">
        <f>IF(ISNA(VLOOKUP($A74,Council_Data!$A$3:$AB$840,2,0)),0,VLOOKUP($A74,Council_Data!$A$3:$AB$840,2,0))</f>
        <v>051</v>
      </c>
      <c r="C74" s="50" t="str">
        <f>IF(ISNA(VLOOKUP($A74,Council_Data!$A$3:$AB$840,3,0)),0,VLOOKUP($A74,Council_Data!$A$3:$AB$840,3,0))</f>
        <v>San Antonio</v>
      </c>
      <c r="D74" s="93">
        <f>IF(ISNA(VLOOKUP($A74,Council_Data!$A$3:$AB$840,5,0)),0,VLOOKUP($A74,Council_Data!$A$3:$AB$840,5,0))</f>
        <v>291</v>
      </c>
      <c r="E74" s="93">
        <f>IF(ISNA(VLOOKUP($A74,Council_Data!$A$3:$AB$840,6,0)),0,VLOOKUP($A74,Council_Data!$A$3:$AB$840,6,0))</f>
        <v>14</v>
      </c>
      <c r="F74" s="93">
        <f>IF(ISNA(VLOOKUP($A74,Council_Data!$A$3:$AB$840,7,0)),0,VLOOKUP($A74,Council_Data!$A$3:$AB$840,7,0))</f>
        <v>2</v>
      </c>
      <c r="G74" s="93">
        <f>IF(ISNA(VLOOKUP($A74,Council_Data!$A$3:$AB$840,8,0)),0,VLOOKUP($A74,Council_Data!$A$3:$AB$840,8,0))</f>
        <v>0</v>
      </c>
      <c r="H74" s="93">
        <f>IF(ISNA(VLOOKUP($A74,Council_Data!$A$3:$AB$840,9,0)),0,VLOOKUP($A74,Council_Data!$A$3:$AB$840,9,0))</f>
        <v>2</v>
      </c>
      <c r="I74" s="93">
        <f>IF(ISNA(VLOOKUP($A74,Council_Data!$A$3:$AB$840,10,0)),0,VLOOKUP($A74,Council_Data!$A$3:$AB$840,10,0))</f>
        <v>9</v>
      </c>
      <c r="J74" s="93">
        <f>IF(ISNA(VLOOKUP($A74,Council_Data!$A$3:$AB$840,11,0)),0,VLOOKUP($A74,Council_Data!$A$3:$AB$840,11,0))</f>
        <v>1</v>
      </c>
      <c r="K74" s="93">
        <f>IF(ISNA(VLOOKUP($A74,Council_Data!$A$3:$AB$840,12,0)),0,VLOOKUP($A74,Council_Data!$A$3:$AB$840,12,0))</f>
        <v>8</v>
      </c>
      <c r="L74" s="94">
        <f>IF(ISNA(VLOOKUP($A74,Council_Data!$A$3:$AB$840,13,0)),0,VLOOKUP($A74,Council_Data!$A$3:$AB$840,13,0))</f>
        <v>57.14</v>
      </c>
      <c r="M74" s="93">
        <f>IF(ISNA(VLOOKUP($A74,Council_Data!$A$3:$AB$840,14,0)),0,VLOOKUP($A74,Council_Data!$A$3:$AB$840,14,0))</f>
        <v>0</v>
      </c>
      <c r="N74" s="93">
        <f>IF(ISNA(VLOOKUP($A74,Council_Data!$A$3:$AB$840,15,0)),0,VLOOKUP($A74,Council_Data!$A$3:$AB$840,15,0))</f>
        <v>1</v>
      </c>
      <c r="O74" s="93">
        <f>IF(ISNA(VLOOKUP($A74,Council_Data!$A$3:$AB$840,16,0)),0,VLOOKUP($A74,Council_Data!$A$3:$AB$840,16,0))</f>
        <v>1</v>
      </c>
      <c r="P74" s="93">
        <f>IF(ISNA(VLOOKUP($A74,Council_Data!$A$3:$AB$840,17,0)),0,VLOOKUP($A74,Council_Data!$A$3:$AB$840,17,0))</f>
        <v>0</v>
      </c>
      <c r="Q74" s="93">
        <f>IF(ISNA(VLOOKUP($A74,Council_Data!$A$3:$AB$840,18,0)),0,VLOOKUP($A74,Council_Data!$A$3:$AB$840,18,0))</f>
        <v>4</v>
      </c>
      <c r="R74" s="93">
        <f>IF(ISNA(VLOOKUP($A74,Council_Data!$A$3:$AB$840,19,0)),0,VLOOKUP($A74,Council_Data!$A$3:$AB$840,19,0))</f>
        <v>1</v>
      </c>
      <c r="S74" s="93">
        <f>IF(ISNA(VLOOKUP($A74,Council_Data!$A$3:$AB$840,20,0)),0,VLOOKUP($A74,Council_Data!$A$3:$AB$840,20,0))</f>
        <v>3</v>
      </c>
      <c r="T74" s="94">
        <f>IF(ISNA(VLOOKUP($A74,Council_Data!$A$3:$AB$840,21,0)),0,VLOOKUP($A74,Council_Data!$A$3:$AB$840,21,0))</f>
        <v>0</v>
      </c>
      <c r="U74" s="93">
        <f>IF(ISNA(VLOOKUP($A74,Council_Data!$A$3:$AB$840,23,0)),0,VLOOKUP($A74,Council_Data!$A$3:$AB$840,23,0))</f>
        <v>1</v>
      </c>
      <c r="V74" s="50" t="str">
        <f>IF(ISNA(VLOOKUP($A74,Council_Data!$A$3:$AB$840,24,0)),0,VLOOKUP($A74,Council_Data!$A$3:$AB$840,24,0))</f>
        <v>Dougherty</v>
      </c>
    </row>
    <row r="75" spans="1:22" ht="25.5">
      <c r="A75" s="93">
        <v>10145</v>
      </c>
      <c r="B75" s="50" t="str">
        <f>IF(ISNA(VLOOKUP($A75,Council_Data!$A$3:$AB$840,2,0)),0,VLOOKUP($A75,Council_Data!$A$3:$AB$840,2,0))</f>
        <v>Unassigned</v>
      </c>
      <c r="C75" s="50" t="str">
        <f>IF(ISNA(VLOOKUP($A75,Council_Data!$A$3:$AB$840,3,0)),0,VLOOKUP($A75,Council_Data!$A$3:$AB$840,3,0))</f>
        <v>San Antonio</v>
      </c>
      <c r="D75" s="93">
        <f>IF(ISNA(VLOOKUP($A75,Council_Data!$A$3:$AB$840,5,0)),0,VLOOKUP($A75,Council_Data!$A$3:$AB$840,5,0))</f>
        <v>0</v>
      </c>
      <c r="E75" s="93">
        <f>IF(ISNA(VLOOKUP($A75,Council_Data!$A$3:$AB$840,6,0)),0,VLOOKUP($A75,Council_Data!$A$3:$AB$840,6,0))</f>
        <v>0</v>
      </c>
      <c r="F75" s="93">
        <f>IF(ISNA(VLOOKUP($A75,Council_Data!$A$3:$AB$840,7,0)),0,VLOOKUP($A75,Council_Data!$A$3:$AB$840,7,0))</f>
        <v>0</v>
      </c>
      <c r="G75" s="93">
        <f>IF(ISNA(VLOOKUP($A75,Council_Data!$A$3:$AB$840,8,0)),0,VLOOKUP($A75,Council_Data!$A$3:$AB$840,8,0))</f>
        <v>0</v>
      </c>
      <c r="H75" s="93">
        <f>IF(ISNA(VLOOKUP($A75,Council_Data!$A$3:$AB$840,9,0)),0,VLOOKUP($A75,Council_Data!$A$3:$AB$840,9,0))</f>
        <v>0</v>
      </c>
      <c r="I75" s="93">
        <f>IF(ISNA(VLOOKUP($A75,Council_Data!$A$3:$AB$840,10,0)),0,VLOOKUP($A75,Council_Data!$A$3:$AB$840,10,0))</f>
        <v>0</v>
      </c>
      <c r="J75" s="93">
        <f>IF(ISNA(VLOOKUP($A75,Council_Data!$A$3:$AB$840,11,0)),0,VLOOKUP($A75,Council_Data!$A$3:$AB$840,11,0))</f>
        <v>0</v>
      </c>
      <c r="K75" s="93">
        <f>IF(ISNA(VLOOKUP($A75,Council_Data!$A$3:$AB$840,12,0)),0,VLOOKUP($A75,Council_Data!$A$3:$AB$840,12,0))</f>
        <v>0</v>
      </c>
      <c r="L75" s="94">
        <f>IF(ISNA(VLOOKUP($A75,Council_Data!$A$3:$AB$840,13,0)),0,VLOOKUP($A75,Council_Data!$A$3:$AB$840,13,0))</f>
        <v>0</v>
      </c>
      <c r="M75" s="93">
        <f>IF(ISNA(VLOOKUP($A75,Council_Data!$A$3:$AB$840,14,0)),0,VLOOKUP($A75,Council_Data!$A$3:$AB$840,14,0))</f>
        <v>0</v>
      </c>
      <c r="N75" s="93">
        <f>IF(ISNA(VLOOKUP($A75,Council_Data!$A$3:$AB$840,15,0)),0,VLOOKUP($A75,Council_Data!$A$3:$AB$840,15,0))</f>
        <v>0</v>
      </c>
      <c r="O75" s="93">
        <f>IF(ISNA(VLOOKUP($A75,Council_Data!$A$3:$AB$840,16,0)),0,VLOOKUP($A75,Council_Data!$A$3:$AB$840,16,0))</f>
        <v>0</v>
      </c>
      <c r="P75" s="93">
        <f>IF(ISNA(VLOOKUP($A75,Council_Data!$A$3:$AB$840,17,0)),0,VLOOKUP($A75,Council_Data!$A$3:$AB$840,17,0))</f>
        <v>0</v>
      </c>
      <c r="Q75" s="93">
        <f>IF(ISNA(VLOOKUP($A75,Council_Data!$A$3:$AB$840,18,0)),0,VLOOKUP($A75,Council_Data!$A$3:$AB$840,18,0))</f>
        <v>0</v>
      </c>
      <c r="R75" s="93">
        <f>IF(ISNA(VLOOKUP($A75,Council_Data!$A$3:$AB$840,19,0)),0,VLOOKUP($A75,Council_Data!$A$3:$AB$840,19,0))</f>
        <v>0</v>
      </c>
      <c r="S75" s="93">
        <f>IF(ISNA(VLOOKUP($A75,Council_Data!$A$3:$AB$840,20,0)),0,VLOOKUP($A75,Council_Data!$A$3:$AB$840,20,0))</f>
        <v>0</v>
      </c>
      <c r="T75" s="94">
        <f>IF(ISNA(VLOOKUP($A75,Council_Data!$A$3:$AB$840,21,0)),0,VLOOKUP($A75,Council_Data!$A$3:$AB$840,21,0))</f>
        <v>0</v>
      </c>
      <c r="U75" s="93">
        <f>IF(ISNA(VLOOKUP($A75,Council_Data!$A$3:$AB$840,23,0)),0,VLOOKUP($A75,Council_Data!$A$3:$AB$840,23,0))</f>
        <v>3</v>
      </c>
      <c r="V75" s="50" t="str">
        <f>IF(ISNA(VLOOKUP($A75,Council_Data!$A$3:$AB$840,24,0)),0,VLOOKUP($A75,Council_Data!$A$3:$AB$840,24,0))</f>
        <v>Dougherty</v>
      </c>
    </row>
    <row r="76" spans="1:22">
      <c r="A76" s="93">
        <v>10181</v>
      </c>
      <c r="B76" s="50" t="str">
        <f>IF(ISNA(VLOOKUP($A76,Council_Data!$A$3:$AB$840,2,0)),0,VLOOKUP($A76,Council_Data!$A$3:$AB$840,2,0))</f>
        <v>048</v>
      </c>
      <c r="C76" s="50" t="str">
        <f>IF(ISNA(VLOOKUP($A76,Council_Data!$A$3:$AB$840,3,0)),0,VLOOKUP($A76,Council_Data!$A$3:$AB$840,3,0))</f>
        <v>San Antonio</v>
      </c>
      <c r="D76" s="93">
        <f>IF(ISNA(VLOOKUP($A76,Council_Data!$A$3:$AB$840,5,0)),0,VLOOKUP($A76,Council_Data!$A$3:$AB$840,5,0))</f>
        <v>103</v>
      </c>
      <c r="E76" s="93">
        <f>IF(ISNA(VLOOKUP($A76,Council_Data!$A$3:$AB$840,6,0)),0,VLOOKUP($A76,Council_Data!$A$3:$AB$840,6,0))</f>
        <v>5</v>
      </c>
      <c r="F76" s="93">
        <f>IF(ISNA(VLOOKUP($A76,Council_Data!$A$3:$AB$840,7,0)),0,VLOOKUP($A76,Council_Data!$A$3:$AB$840,7,0))</f>
        <v>0</v>
      </c>
      <c r="G76" s="93">
        <f>IF(ISNA(VLOOKUP($A76,Council_Data!$A$3:$AB$840,8,0)),0,VLOOKUP($A76,Council_Data!$A$3:$AB$840,8,0))</f>
        <v>0</v>
      </c>
      <c r="H76" s="93">
        <f>IF(ISNA(VLOOKUP($A76,Council_Data!$A$3:$AB$840,9,0)),0,VLOOKUP($A76,Council_Data!$A$3:$AB$840,9,0))</f>
        <v>0</v>
      </c>
      <c r="I76" s="93">
        <f>IF(ISNA(VLOOKUP($A76,Council_Data!$A$3:$AB$840,10,0)),0,VLOOKUP($A76,Council_Data!$A$3:$AB$840,10,0))</f>
        <v>1</v>
      </c>
      <c r="J76" s="93">
        <f>IF(ISNA(VLOOKUP($A76,Council_Data!$A$3:$AB$840,11,0)),0,VLOOKUP($A76,Council_Data!$A$3:$AB$840,11,0))</f>
        <v>4</v>
      </c>
      <c r="K76" s="93">
        <f>IF(ISNA(VLOOKUP($A76,Council_Data!$A$3:$AB$840,12,0)),0,VLOOKUP($A76,Council_Data!$A$3:$AB$840,12,0))</f>
        <v>-3</v>
      </c>
      <c r="L76" s="94">
        <f>IF(ISNA(VLOOKUP($A76,Council_Data!$A$3:$AB$840,13,0)),0,VLOOKUP($A76,Council_Data!$A$3:$AB$840,13,0))</f>
        <v>0</v>
      </c>
      <c r="M76" s="93">
        <f>IF(ISNA(VLOOKUP($A76,Council_Data!$A$3:$AB$840,14,0)),0,VLOOKUP($A76,Council_Data!$A$3:$AB$840,14,0))</f>
        <v>0</v>
      </c>
      <c r="N76" s="93">
        <f>IF(ISNA(VLOOKUP($A76,Council_Data!$A$3:$AB$840,15,0)),0,VLOOKUP($A76,Council_Data!$A$3:$AB$840,15,0))</f>
        <v>0</v>
      </c>
      <c r="O76" s="93">
        <f>IF(ISNA(VLOOKUP($A76,Council_Data!$A$3:$AB$840,16,0)),0,VLOOKUP($A76,Council_Data!$A$3:$AB$840,16,0))</f>
        <v>0</v>
      </c>
      <c r="P76" s="93">
        <f>IF(ISNA(VLOOKUP($A76,Council_Data!$A$3:$AB$840,17,0)),0,VLOOKUP($A76,Council_Data!$A$3:$AB$840,17,0))</f>
        <v>0</v>
      </c>
      <c r="Q76" s="93">
        <f>IF(ISNA(VLOOKUP($A76,Council_Data!$A$3:$AB$840,18,0)),0,VLOOKUP($A76,Council_Data!$A$3:$AB$840,18,0))</f>
        <v>0</v>
      </c>
      <c r="R76" s="93">
        <f>IF(ISNA(VLOOKUP($A76,Council_Data!$A$3:$AB$840,19,0)),0,VLOOKUP($A76,Council_Data!$A$3:$AB$840,19,0))</f>
        <v>2</v>
      </c>
      <c r="S76" s="93">
        <f>IF(ISNA(VLOOKUP($A76,Council_Data!$A$3:$AB$840,20,0)),0,VLOOKUP($A76,Council_Data!$A$3:$AB$840,20,0))</f>
        <v>-2</v>
      </c>
      <c r="T76" s="94">
        <f>IF(ISNA(VLOOKUP($A76,Council_Data!$A$3:$AB$840,21,0)),0,VLOOKUP($A76,Council_Data!$A$3:$AB$840,21,0))</f>
        <v>0</v>
      </c>
      <c r="U76" s="93">
        <f>IF(ISNA(VLOOKUP($A76,Council_Data!$A$3:$AB$840,23,0)),0,VLOOKUP($A76,Council_Data!$A$3:$AB$840,23,0))</f>
        <v>2</v>
      </c>
      <c r="V76" s="50" t="str">
        <f>IF(ISNA(VLOOKUP($A76,Council_Data!$A$3:$AB$840,24,0)),0,VLOOKUP($A76,Council_Data!$A$3:$AB$840,24,0))</f>
        <v>Dougherty</v>
      </c>
    </row>
    <row r="77" spans="1:22">
      <c r="A77" s="93">
        <v>10191</v>
      </c>
      <c r="B77" s="50" t="str">
        <f>IF(ISNA(VLOOKUP($A77,Council_Data!$A$3:$AB$840,2,0)),0,VLOOKUP($A77,Council_Data!$A$3:$AB$840,2,0))</f>
        <v>049</v>
      </c>
      <c r="C77" s="50" t="str">
        <f>IF(ISNA(VLOOKUP($A77,Council_Data!$A$3:$AB$840,3,0)),0,VLOOKUP($A77,Council_Data!$A$3:$AB$840,3,0))</f>
        <v>San Antonio</v>
      </c>
      <c r="D77" s="93">
        <f>IF(ISNA(VLOOKUP($A77,Council_Data!$A$3:$AB$840,5,0)),0,VLOOKUP($A77,Council_Data!$A$3:$AB$840,5,0))</f>
        <v>91</v>
      </c>
      <c r="E77" s="93">
        <f>IF(ISNA(VLOOKUP($A77,Council_Data!$A$3:$AB$840,6,0)),0,VLOOKUP($A77,Council_Data!$A$3:$AB$840,6,0))</f>
        <v>4</v>
      </c>
      <c r="F77" s="93">
        <f>IF(ISNA(VLOOKUP($A77,Council_Data!$A$3:$AB$840,7,0)),0,VLOOKUP($A77,Council_Data!$A$3:$AB$840,7,0))</f>
        <v>0</v>
      </c>
      <c r="G77" s="93">
        <f>IF(ISNA(VLOOKUP($A77,Council_Data!$A$3:$AB$840,8,0)),0,VLOOKUP($A77,Council_Data!$A$3:$AB$840,8,0))</f>
        <v>0</v>
      </c>
      <c r="H77" s="93">
        <f>IF(ISNA(VLOOKUP($A77,Council_Data!$A$3:$AB$840,9,0)),0,VLOOKUP($A77,Council_Data!$A$3:$AB$840,9,0))</f>
        <v>0</v>
      </c>
      <c r="I77" s="93">
        <f>IF(ISNA(VLOOKUP($A77,Council_Data!$A$3:$AB$840,10,0)),0,VLOOKUP($A77,Council_Data!$A$3:$AB$840,10,0))</f>
        <v>0</v>
      </c>
      <c r="J77" s="93">
        <f>IF(ISNA(VLOOKUP($A77,Council_Data!$A$3:$AB$840,11,0)),0,VLOOKUP($A77,Council_Data!$A$3:$AB$840,11,0))</f>
        <v>0</v>
      </c>
      <c r="K77" s="93">
        <f>IF(ISNA(VLOOKUP($A77,Council_Data!$A$3:$AB$840,12,0)),0,VLOOKUP($A77,Council_Data!$A$3:$AB$840,12,0))</f>
        <v>0</v>
      </c>
      <c r="L77" s="94">
        <f>IF(ISNA(VLOOKUP($A77,Council_Data!$A$3:$AB$840,13,0)),0,VLOOKUP($A77,Council_Data!$A$3:$AB$840,13,0))</f>
        <v>0</v>
      </c>
      <c r="M77" s="93">
        <f>IF(ISNA(VLOOKUP($A77,Council_Data!$A$3:$AB$840,14,0)),0,VLOOKUP($A77,Council_Data!$A$3:$AB$840,14,0))</f>
        <v>0</v>
      </c>
      <c r="N77" s="93">
        <f>IF(ISNA(VLOOKUP($A77,Council_Data!$A$3:$AB$840,15,0)),0,VLOOKUP($A77,Council_Data!$A$3:$AB$840,15,0))</f>
        <v>0</v>
      </c>
      <c r="O77" s="93">
        <f>IF(ISNA(VLOOKUP($A77,Council_Data!$A$3:$AB$840,16,0)),0,VLOOKUP($A77,Council_Data!$A$3:$AB$840,16,0))</f>
        <v>0</v>
      </c>
      <c r="P77" s="93">
        <f>IF(ISNA(VLOOKUP($A77,Council_Data!$A$3:$AB$840,17,0)),0,VLOOKUP($A77,Council_Data!$A$3:$AB$840,17,0))</f>
        <v>0</v>
      </c>
      <c r="Q77" s="93">
        <f>IF(ISNA(VLOOKUP($A77,Council_Data!$A$3:$AB$840,18,0)),0,VLOOKUP($A77,Council_Data!$A$3:$AB$840,18,0))</f>
        <v>0</v>
      </c>
      <c r="R77" s="93">
        <f>IF(ISNA(VLOOKUP($A77,Council_Data!$A$3:$AB$840,19,0)),0,VLOOKUP($A77,Council_Data!$A$3:$AB$840,19,0))</f>
        <v>0</v>
      </c>
      <c r="S77" s="93">
        <f>IF(ISNA(VLOOKUP($A77,Council_Data!$A$3:$AB$840,20,0)),0,VLOOKUP($A77,Council_Data!$A$3:$AB$840,20,0))</f>
        <v>0</v>
      </c>
      <c r="T77" s="94">
        <f>IF(ISNA(VLOOKUP($A77,Council_Data!$A$3:$AB$840,21,0)),0,VLOOKUP($A77,Council_Data!$A$3:$AB$840,21,0))</f>
        <v>0</v>
      </c>
      <c r="U77" s="93">
        <f>IF(ISNA(VLOOKUP($A77,Council_Data!$A$3:$AB$840,23,0)),0,VLOOKUP($A77,Council_Data!$A$3:$AB$840,23,0))</f>
        <v>2</v>
      </c>
      <c r="V77" s="50" t="str">
        <f>IF(ISNA(VLOOKUP($A77,Council_Data!$A$3:$AB$840,24,0)),0,VLOOKUP($A77,Council_Data!$A$3:$AB$840,24,0))</f>
        <v>Dougherty</v>
      </c>
    </row>
    <row r="78" spans="1:22" ht="13.5" customHeight="1">
      <c r="A78" s="93">
        <v>10240</v>
      </c>
      <c r="B78" s="50" t="str">
        <f>IF(ISNA(VLOOKUP($A78,Council_Data!$A$3:$AB$840,2,0)),0,VLOOKUP($A78,Council_Data!$A$3:$AB$840,2,0))</f>
        <v>040</v>
      </c>
      <c r="C78" s="50" t="str">
        <f>IF(ISNA(VLOOKUP($A78,Council_Data!$A$3:$AB$840,3,0)),0,VLOOKUP($A78,Council_Data!$A$3:$AB$840,3,0))</f>
        <v>San Antonio</v>
      </c>
      <c r="D78" s="93">
        <f>IF(ISNA(VLOOKUP($A78,Council_Data!$A$3:$AB$840,5,0)),0,VLOOKUP($A78,Council_Data!$A$3:$AB$840,5,0))</f>
        <v>178</v>
      </c>
      <c r="E78" s="93">
        <f>IF(ISNA(VLOOKUP($A78,Council_Data!$A$3:$AB$840,6,0)),0,VLOOKUP($A78,Council_Data!$A$3:$AB$840,6,0))</f>
        <v>9</v>
      </c>
      <c r="F78" s="93">
        <f>IF(ISNA(VLOOKUP($A78,Council_Data!$A$3:$AB$840,7,0)),0,VLOOKUP($A78,Council_Data!$A$3:$AB$840,7,0))</f>
        <v>0</v>
      </c>
      <c r="G78" s="93">
        <f>IF(ISNA(VLOOKUP($A78,Council_Data!$A$3:$AB$840,8,0)),0,VLOOKUP($A78,Council_Data!$A$3:$AB$840,8,0))</f>
        <v>1</v>
      </c>
      <c r="H78" s="93">
        <f>IF(ISNA(VLOOKUP($A78,Council_Data!$A$3:$AB$840,9,0)),0,VLOOKUP($A78,Council_Data!$A$3:$AB$840,9,0))</f>
        <v>-1</v>
      </c>
      <c r="I78" s="93">
        <f>IF(ISNA(VLOOKUP($A78,Council_Data!$A$3:$AB$840,10,0)),0,VLOOKUP($A78,Council_Data!$A$3:$AB$840,10,0))</f>
        <v>3</v>
      </c>
      <c r="J78" s="93">
        <f>IF(ISNA(VLOOKUP($A78,Council_Data!$A$3:$AB$840,11,0)),0,VLOOKUP($A78,Council_Data!$A$3:$AB$840,11,0))</f>
        <v>16</v>
      </c>
      <c r="K78" s="93">
        <f>IF(ISNA(VLOOKUP($A78,Council_Data!$A$3:$AB$840,12,0)),0,VLOOKUP($A78,Council_Data!$A$3:$AB$840,12,0))</f>
        <v>-13</v>
      </c>
      <c r="L78" s="94">
        <f>IF(ISNA(VLOOKUP($A78,Council_Data!$A$3:$AB$840,13,0)),0,VLOOKUP($A78,Council_Data!$A$3:$AB$840,13,0))</f>
        <v>0</v>
      </c>
      <c r="M78" s="93">
        <f>IF(ISNA(VLOOKUP($A78,Council_Data!$A$3:$AB$840,14,0)),0,VLOOKUP($A78,Council_Data!$A$3:$AB$840,14,0))</f>
        <v>0</v>
      </c>
      <c r="N78" s="93">
        <f>IF(ISNA(VLOOKUP($A78,Council_Data!$A$3:$AB$840,15,0)),0,VLOOKUP($A78,Council_Data!$A$3:$AB$840,15,0))</f>
        <v>0</v>
      </c>
      <c r="O78" s="93">
        <f>IF(ISNA(VLOOKUP($A78,Council_Data!$A$3:$AB$840,16,0)),0,VLOOKUP($A78,Council_Data!$A$3:$AB$840,16,0))</f>
        <v>0</v>
      </c>
      <c r="P78" s="93">
        <f>IF(ISNA(VLOOKUP($A78,Council_Data!$A$3:$AB$840,17,0)),0,VLOOKUP($A78,Council_Data!$A$3:$AB$840,17,0))</f>
        <v>0</v>
      </c>
      <c r="Q78" s="93">
        <f>IF(ISNA(VLOOKUP($A78,Council_Data!$A$3:$AB$840,18,0)),0,VLOOKUP($A78,Council_Data!$A$3:$AB$840,18,0))</f>
        <v>0</v>
      </c>
      <c r="R78" s="93">
        <f>IF(ISNA(VLOOKUP($A78,Council_Data!$A$3:$AB$840,19,0)),0,VLOOKUP($A78,Council_Data!$A$3:$AB$840,19,0))</f>
        <v>6</v>
      </c>
      <c r="S78" s="93">
        <f>IF(ISNA(VLOOKUP($A78,Council_Data!$A$3:$AB$840,20,0)),0,VLOOKUP($A78,Council_Data!$A$3:$AB$840,20,0))</f>
        <v>-6</v>
      </c>
      <c r="T78" s="94">
        <f>IF(ISNA(VLOOKUP($A78,Council_Data!$A$3:$AB$840,21,0)),0,VLOOKUP($A78,Council_Data!$A$3:$AB$840,21,0))</f>
        <v>0</v>
      </c>
      <c r="U78" s="93">
        <f>IF(ISNA(VLOOKUP($A78,Council_Data!$A$3:$AB$840,23,0)),0,VLOOKUP($A78,Council_Data!$A$3:$AB$840,23,0))</f>
        <v>1</v>
      </c>
      <c r="V78" s="50" t="str">
        <f>IF(ISNA(VLOOKUP($A78,Council_Data!$A$3:$AB$840,24,0)),0,VLOOKUP($A78,Council_Data!$A$3:$AB$840,24,0))</f>
        <v>Dougherty</v>
      </c>
    </row>
    <row r="79" spans="1:22" ht="13.5" customHeight="1">
      <c r="A79" s="93">
        <v>10258</v>
      </c>
      <c r="B79" s="50" t="str">
        <f>IF(ISNA(VLOOKUP($A79,Council_Data!$A$3:$AB$840,2,0)),0,VLOOKUP($A79,Council_Data!$A$3:$AB$840,2,0))</f>
        <v>042</v>
      </c>
      <c r="C79" s="50" t="str">
        <f>IF(ISNA(VLOOKUP($A79,Council_Data!$A$3:$AB$840,3,0)),0,VLOOKUP($A79,Council_Data!$A$3:$AB$840,3,0))</f>
        <v>Bandera</v>
      </c>
      <c r="D79" s="93">
        <f>IF(ISNA(VLOOKUP($A79,Council_Data!$A$3:$AB$840,5,0)),0,VLOOKUP($A79,Council_Data!$A$3:$AB$840,5,0))</f>
        <v>138</v>
      </c>
      <c r="E79" s="93">
        <f>IF(ISNA(VLOOKUP($A79,Council_Data!$A$3:$AB$840,6,0)),0,VLOOKUP($A79,Council_Data!$A$3:$AB$840,6,0))</f>
        <v>7</v>
      </c>
      <c r="F79" s="93">
        <f>IF(ISNA(VLOOKUP($A79,Council_Data!$A$3:$AB$840,7,0)),0,VLOOKUP($A79,Council_Data!$A$3:$AB$840,7,0))</f>
        <v>2</v>
      </c>
      <c r="G79" s="93">
        <f>IF(ISNA(VLOOKUP($A79,Council_Data!$A$3:$AB$840,8,0)),0,VLOOKUP($A79,Council_Data!$A$3:$AB$840,8,0))</f>
        <v>0</v>
      </c>
      <c r="H79" s="93">
        <f>IF(ISNA(VLOOKUP($A79,Council_Data!$A$3:$AB$840,9,0)),0,VLOOKUP($A79,Council_Data!$A$3:$AB$840,9,0))</f>
        <v>2</v>
      </c>
      <c r="I79" s="93">
        <f>IF(ISNA(VLOOKUP($A79,Council_Data!$A$3:$AB$840,10,0)),0,VLOOKUP($A79,Council_Data!$A$3:$AB$840,10,0))</f>
        <v>3</v>
      </c>
      <c r="J79" s="93">
        <f>IF(ISNA(VLOOKUP($A79,Council_Data!$A$3:$AB$840,11,0)),0,VLOOKUP($A79,Council_Data!$A$3:$AB$840,11,0))</f>
        <v>0</v>
      </c>
      <c r="K79" s="93">
        <f>IF(ISNA(VLOOKUP($A79,Council_Data!$A$3:$AB$840,12,0)),0,VLOOKUP($A79,Council_Data!$A$3:$AB$840,12,0))</f>
        <v>3</v>
      </c>
      <c r="L79" s="94">
        <f>IF(ISNA(VLOOKUP($A79,Council_Data!$A$3:$AB$840,13,0)),0,VLOOKUP($A79,Council_Data!$A$3:$AB$840,13,0))</f>
        <v>42.86</v>
      </c>
      <c r="M79" s="93">
        <f>IF(ISNA(VLOOKUP($A79,Council_Data!$A$3:$AB$840,14,0)),0,VLOOKUP($A79,Council_Data!$A$3:$AB$840,14,0))</f>
        <v>0</v>
      </c>
      <c r="N79" s="93">
        <f>IF(ISNA(VLOOKUP($A79,Council_Data!$A$3:$AB$840,15,0)),0,VLOOKUP($A79,Council_Data!$A$3:$AB$840,15,0))</f>
        <v>0</v>
      </c>
      <c r="O79" s="93">
        <f>IF(ISNA(VLOOKUP($A79,Council_Data!$A$3:$AB$840,16,0)),0,VLOOKUP($A79,Council_Data!$A$3:$AB$840,16,0))</f>
        <v>0</v>
      </c>
      <c r="P79" s="93">
        <f>IF(ISNA(VLOOKUP($A79,Council_Data!$A$3:$AB$840,17,0)),0,VLOOKUP($A79,Council_Data!$A$3:$AB$840,17,0))</f>
        <v>0</v>
      </c>
      <c r="Q79" s="93">
        <f>IF(ISNA(VLOOKUP($A79,Council_Data!$A$3:$AB$840,18,0)),0,VLOOKUP($A79,Council_Data!$A$3:$AB$840,18,0))</f>
        <v>0</v>
      </c>
      <c r="R79" s="93">
        <f>IF(ISNA(VLOOKUP($A79,Council_Data!$A$3:$AB$840,19,0)),0,VLOOKUP($A79,Council_Data!$A$3:$AB$840,19,0))</f>
        <v>0</v>
      </c>
      <c r="S79" s="93">
        <f>IF(ISNA(VLOOKUP($A79,Council_Data!$A$3:$AB$840,20,0)),0,VLOOKUP($A79,Council_Data!$A$3:$AB$840,20,0))</f>
        <v>0</v>
      </c>
      <c r="T79" s="94">
        <f>IF(ISNA(VLOOKUP($A79,Council_Data!$A$3:$AB$840,21,0)),0,VLOOKUP($A79,Council_Data!$A$3:$AB$840,21,0))</f>
        <v>0</v>
      </c>
      <c r="U79" s="93">
        <f>IF(ISNA(VLOOKUP($A79,Council_Data!$A$3:$AB$840,23,0)),0,VLOOKUP($A79,Council_Data!$A$3:$AB$840,23,0))</f>
        <v>2</v>
      </c>
      <c r="V79" s="50" t="str">
        <f>IF(ISNA(VLOOKUP($A79,Council_Data!$A$3:$AB$840,24,0)),0,VLOOKUP($A79,Council_Data!$A$3:$AB$840,24,0))</f>
        <v>Dougherty</v>
      </c>
    </row>
    <row r="80" spans="1:22">
      <c r="A80" s="93">
        <v>10270</v>
      </c>
      <c r="B80" s="50" t="str">
        <f>IF(ISNA(VLOOKUP($A80,Council_Data!$A$3:$AB$840,2,0)),0,VLOOKUP($A80,Council_Data!$A$3:$AB$840,2,0))</f>
        <v>055</v>
      </c>
      <c r="C80" s="50" t="str">
        <f>IF(ISNA(VLOOKUP($A80,Council_Data!$A$3:$AB$840,3,0)),0,VLOOKUP($A80,Council_Data!$A$3:$AB$840,3,0))</f>
        <v>San Antonio</v>
      </c>
      <c r="D80" s="93">
        <f>IF(ISNA(VLOOKUP($A80,Council_Data!$A$3:$AB$840,5,0)),0,VLOOKUP($A80,Council_Data!$A$3:$AB$840,5,0))</f>
        <v>62</v>
      </c>
      <c r="E80" s="93">
        <f>IF(ISNA(VLOOKUP($A80,Council_Data!$A$3:$AB$840,6,0)),0,VLOOKUP($A80,Council_Data!$A$3:$AB$840,6,0))</f>
        <v>3</v>
      </c>
      <c r="F80" s="93">
        <f>IF(ISNA(VLOOKUP($A80,Council_Data!$A$3:$AB$840,7,0)),0,VLOOKUP($A80,Council_Data!$A$3:$AB$840,7,0))</f>
        <v>0</v>
      </c>
      <c r="G80" s="93">
        <f>IF(ISNA(VLOOKUP($A80,Council_Data!$A$3:$AB$840,8,0)),0,VLOOKUP($A80,Council_Data!$A$3:$AB$840,8,0))</f>
        <v>0</v>
      </c>
      <c r="H80" s="93">
        <f>IF(ISNA(VLOOKUP($A80,Council_Data!$A$3:$AB$840,9,0)),0,VLOOKUP($A80,Council_Data!$A$3:$AB$840,9,0))</f>
        <v>0</v>
      </c>
      <c r="I80" s="93">
        <f>IF(ISNA(VLOOKUP($A80,Council_Data!$A$3:$AB$840,10,0)),0,VLOOKUP($A80,Council_Data!$A$3:$AB$840,10,0))</f>
        <v>0</v>
      </c>
      <c r="J80" s="93">
        <f>IF(ISNA(VLOOKUP($A80,Council_Data!$A$3:$AB$840,11,0)),0,VLOOKUP($A80,Council_Data!$A$3:$AB$840,11,0))</f>
        <v>0</v>
      </c>
      <c r="K80" s="93">
        <f>IF(ISNA(VLOOKUP($A80,Council_Data!$A$3:$AB$840,12,0)),0,VLOOKUP($A80,Council_Data!$A$3:$AB$840,12,0))</f>
        <v>0</v>
      </c>
      <c r="L80" s="94">
        <f>IF(ISNA(VLOOKUP($A80,Council_Data!$A$3:$AB$840,13,0)),0,VLOOKUP($A80,Council_Data!$A$3:$AB$840,13,0))</f>
        <v>0</v>
      </c>
      <c r="M80" s="93">
        <f>IF(ISNA(VLOOKUP($A80,Council_Data!$A$3:$AB$840,14,0)),0,VLOOKUP($A80,Council_Data!$A$3:$AB$840,14,0))</f>
        <v>0</v>
      </c>
      <c r="N80" s="93">
        <f>IF(ISNA(VLOOKUP($A80,Council_Data!$A$3:$AB$840,15,0)),0,VLOOKUP($A80,Council_Data!$A$3:$AB$840,15,0))</f>
        <v>0</v>
      </c>
      <c r="O80" s="93">
        <f>IF(ISNA(VLOOKUP($A80,Council_Data!$A$3:$AB$840,16,0)),0,VLOOKUP($A80,Council_Data!$A$3:$AB$840,16,0))</f>
        <v>0</v>
      </c>
      <c r="P80" s="93">
        <f>IF(ISNA(VLOOKUP($A80,Council_Data!$A$3:$AB$840,17,0)),0,VLOOKUP($A80,Council_Data!$A$3:$AB$840,17,0))</f>
        <v>0</v>
      </c>
      <c r="Q80" s="93">
        <f>IF(ISNA(VLOOKUP($A80,Council_Data!$A$3:$AB$840,18,0)),0,VLOOKUP($A80,Council_Data!$A$3:$AB$840,18,0))</f>
        <v>1</v>
      </c>
      <c r="R80" s="93">
        <f>IF(ISNA(VLOOKUP($A80,Council_Data!$A$3:$AB$840,19,0)),0,VLOOKUP($A80,Council_Data!$A$3:$AB$840,19,0))</f>
        <v>0</v>
      </c>
      <c r="S80" s="93">
        <f>IF(ISNA(VLOOKUP($A80,Council_Data!$A$3:$AB$840,20,0)),0,VLOOKUP($A80,Council_Data!$A$3:$AB$840,20,0))</f>
        <v>1</v>
      </c>
      <c r="T80" s="94">
        <f>IF(ISNA(VLOOKUP($A80,Council_Data!$A$3:$AB$840,21,0)),0,VLOOKUP($A80,Council_Data!$A$3:$AB$840,21,0))</f>
        <v>0</v>
      </c>
      <c r="U80" s="93">
        <f>IF(ISNA(VLOOKUP($A80,Council_Data!$A$3:$AB$840,23,0)),0,VLOOKUP($A80,Council_Data!$A$3:$AB$840,23,0))</f>
        <v>3</v>
      </c>
      <c r="V80" s="50" t="str">
        <f>IF(ISNA(VLOOKUP($A80,Council_Data!$A$3:$AB$840,24,0)),0,VLOOKUP($A80,Council_Data!$A$3:$AB$840,24,0))</f>
        <v>Dougherty</v>
      </c>
    </row>
    <row r="81" spans="1:22">
      <c r="A81" s="93">
        <v>10295</v>
      </c>
      <c r="B81" s="50" t="str">
        <f>IF(ISNA(VLOOKUP($A81,Council_Data!$A$3:$AB$840,2,0)),0,VLOOKUP($A81,Council_Data!$A$3:$AB$840,2,0))</f>
        <v>063</v>
      </c>
      <c r="C81" s="50" t="str">
        <f>IF(ISNA(VLOOKUP($A81,Council_Data!$A$3:$AB$840,3,0)),0,VLOOKUP($A81,Council_Data!$A$3:$AB$840,3,0))</f>
        <v>San Antonio</v>
      </c>
      <c r="D81" s="93">
        <f>IF(ISNA(VLOOKUP($A81,Council_Data!$A$3:$AB$840,5,0)),0,VLOOKUP($A81,Council_Data!$A$3:$AB$840,5,0))</f>
        <v>55</v>
      </c>
      <c r="E81" s="93">
        <f>IF(ISNA(VLOOKUP($A81,Council_Data!$A$3:$AB$840,6,0)),0,VLOOKUP($A81,Council_Data!$A$3:$AB$840,6,0))</f>
        <v>3</v>
      </c>
      <c r="F81" s="93">
        <f>IF(ISNA(VLOOKUP($A81,Council_Data!$A$3:$AB$840,7,0)),0,VLOOKUP($A81,Council_Data!$A$3:$AB$840,7,0))</f>
        <v>0</v>
      </c>
      <c r="G81" s="93">
        <f>IF(ISNA(VLOOKUP($A81,Council_Data!$A$3:$AB$840,8,0)),0,VLOOKUP($A81,Council_Data!$A$3:$AB$840,8,0))</f>
        <v>0</v>
      </c>
      <c r="H81" s="93">
        <f>IF(ISNA(VLOOKUP($A81,Council_Data!$A$3:$AB$840,9,0)),0,VLOOKUP($A81,Council_Data!$A$3:$AB$840,9,0))</f>
        <v>0</v>
      </c>
      <c r="I81" s="93">
        <f>IF(ISNA(VLOOKUP($A81,Council_Data!$A$3:$AB$840,10,0)),0,VLOOKUP($A81,Council_Data!$A$3:$AB$840,10,0))</f>
        <v>0</v>
      </c>
      <c r="J81" s="93">
        <f>IF(ISNA(VLOOKUP($A81,Council_Data!$A$3:$AB$840,11,0)),0,VLOOKUP($A81,Council_Data!$A$3:$AB$840,11,0))</f>
        <v>0</v>
      </c>
      <c r="K81" s="93">
        <f>IF(ISNA(VLOOKUP($A81,Council_Data!$A$3:$AB$840,12,0)),0,VLOOKUP($A81,Council_Data!$A$3:$AB$840,12,0))</f>
        <v>0</v>
      </c>
      <c r="L81" s="94">
        <f>IF(ISNA(VLOOKUP($A81,Council_Data!$A$3:$AB$840,13,0)),0,VLOOKUP($A81,Council_Data!$A$3:$AB$840,13,0))</f>
        <v>0</v>
      </c>
      <c r="M81" s="93">
        <f>IF(ISNA(VLOOKUP($A81,Council_Data!$A$3:$AB$840,14,0)),0,VLOOKUP($A81,Council_Data!$A$3:$AB$840,14,0))</f>
        <v>0</v>
      </c>
      <c r="N81" s="93">
        <f>IF(ISNA(VLOOKUP($A81,Council_Data!$A$3:$AB$840,15,0)),0,VLOOKUP($A81,Council_Data!$A$3:$AB$840,15,0))</f>
        <v>0</v>
      </c>
      <c r="O81" s="93">
        <f>IF(ISNA(VLOOKUP($A81,Council_Data!$A$3:$AB$840,16,0)),0,VLOOKUP($A81,Council_Data!$A$3:$AB$840,16,0))</f>
        <v>0</v>
      </c>
      <c r="P81" s="93">
        <f>IF(ISNA(VLOOKUP($A81,Council_Data!$A$3:$AB$840,17,0)),0,VLOOKUP($A81,Council_Data!$A$3:$AB$840,17,0))</f>
        <v>0</v>
      </c>
      <c r="Q81" s="93">
        <f>IF(ISNA(VLOOKUP($A81,Council_Data!$A$3:$AB$840,18,0)),0,VLOOKUP($A81,Council_Data!$A$3:$AB$840,18,0))</f>
        <v>0</v>
      </c>
      <c r="R81" s="93">
        <f>IF(ISNA(VLOOKUP($A81,Council_Data!$A$3:$AB$840,19,0)),0,VLOOKUP($A81,Council_Data!$A$3:$AB$840,19,0))</f>
        <v>0</v>
      </c>
      <c r="S81" s="93">
        <f>IF(ISNA(VLOOKUP($A81,Council_Data!$A$3:$AB$840,20,0)),0,VLOOKUP($A81,Council_Data!$A$3:$AB$840,20,0))</f>
        <v>0</v>
      </c>
      <c r="T81" s="94">
        <f>IF(ISNA(VLOOKUP($A81,Council_Data!$A$3:$AB$840,21,0)),0,VLOOKUP($A81,Council_Data!$A$3:$AB$840,21,0))</f>
        <v>0</v>
      </c>
      <c r="U81" s="93">
        <f>IF(ISNA(VLOOKUP($A81,Council_Data!$A$3:$AB$840,23,0)),0,VLOOKUP($A81,Council_Data!$A$3:$AB$840,23,0))</f>
        <v>3</v>
      </c>
      <c r="V81" s="50" t="str">
        <f>IF(ISNA(VLOOKUP($A81,Council_Data!$A$3:$AB$840,24,0)),0,VLOOKUP($A81,Council_Data!$A$3:$AB$840,24,0))</f>
        <v>Dougherty</v>
      </c>
    </row>
    <row r="82" spans="1:22">
      <c r="A82" s="93">
        <v>10431</v>
      </c>
      <c r="B82" s="50" t="str">
        <f>IF(ISNA(VLOOKUP($A82,Council_Data!$A$3:$AB$840,2,0)),0,VLOOKUP($A82,Council_Data!$A$3:$AB$840,2,0))</f>
        <v>057</v>
      </c>
      <c r="C82" s="50" t="str">
        <f>IF(ISNA(VLOOKUP($A82,Council_Data!$A$3:$AB$840,3,0)),0,VLOOKUP($A82,Council_Data!$A$3:$AB$840,3,0))</f>
        <v>Poteet</v>
      </c>
      <c r="D82" s="93">
        <f>IF(ISNA(VLOOKUP($A82,Council_Data!$A$3:$AB$840,5,0)),0,VLOOKUP($A82,Council_Data!$A$3:$AB$840,5,0))</f>
        <v>80</v>
      </c>
      <c r="E82" s="93">
        <f>IF(ISNA(VLOOKUP($A82,Council_Data!$A$3:$AB$840,6,0)),0,VLOOKUP($A82,Council_Data!$A$3:$AB$840,6,0))</f>
        <v>4</v>
      </c>
      <c r="F82" s="93">
        <f>IF(ISNA(VLOOKUP($A82,Council_Data!$A$3:$AB$840,7,0)),0,VLOOKUP($A82,Council_Data!$A$3:$AB$840,7,0))</f>
        <v>0</v>
      </c>
      <c r="G82" s="93">
        <f>IF(ISNA(VLOOKUP($A82,Council_Data!$A$3:$AB$840,8,0)),0,VLOOKUP($A82,Council_Data!$A$3:$AB$840,8,0))</f>
        <v>0</v>
      </c>
      <c r="H82" s="93">
        <f>IF(ISNA(VLOOKUP($A82,Council_Data!$A$3:$AB$840,9,0)),0,VLOOKUP($A82,Council_Data!$A$3:$AB$840,9,0))</f>
        <v>0</v>
      </c>
      <c r="I82" s="93">
        <f>IF(ISNA(VLOOKUP($A82,Council_Data!$A$3:$AB$840,10,0)),0,VLOOKUP($A82,Council_Data!$A$3:$AB$840,10,0))</f>
        <v>0</v>
      </c>
      <c r="J82" s="93">
        <f>IF(ISNA(VLOOKUP($A82,Council_Data!$A$3:$AB$840,11,0)),0,VLOOKUP($A82,Council_Data!$A$3:$AB$840,11,0))</f>
        <v>0</v>
      </c>
      <c r="K82" s="93">
        <f>IF(ISNA(VLOOKUP($A82,Council_Data!$A$3:$AB$840,12,0)),0,VLOOKUP($A82,Council_Data!$A$3:$AB$840,12,0))</f>
        <v>0</v>
      </c>
      <c r="L82" s="94">
        <f>IF(ISNA(VLOOKUP($A82,Council_Data!$A$3:$AB$840,13,0)),0,VLOOKUP($A82,Council_Data!$A$3:$AB$840,13,0))</f>
        <v>0</v>
      </c>
      <c r="M82" s="93">
        <f>IF(ISNA(VLOOKUP($A82,Council_Data!$A$3:$AB$840,14,0)),0,VLOOKUP($A82,Council_Data!$A$3:$AB$840,14,0))</f>
        <v>0</v>
      </c>
      <c r="N82" s="93">
        <f>IF(ISNA(VLOOKUP($A82,Council_Data!$A$3:$AB$840,15,0)),0,VLOOKUP($A82,Council_Data!$A$3:$AB$840,15,0))</f>
        <v>0</v>
      </c>
      <c r="O82" s="93">
        <f>IF(ISNA(VLOOKUP($A82,Council_Data!$A$3:$AB$840,16,0)),0,VLOOKUP($A82,Council_Data!$A$3:$AB$840,16,0))</f>
        <v>0</v>
      </c>
      <c r="P82" s="93">
        <f>IF(ISNA(VLOOKUP($A82,Council_Data!$A$3:$AB$840,17,0)),0,VLOOKUP($A82,Council_Data!$A$3:$AB$840,17,0))</f>
        <v>0</v>
      </c>
      <c r="Q82" s="93">
        <f>IF(ISNA(VLOOKUP($A82,Council_Data!$A$3:$AB$840,18,0)),0,VLOOKUP($A82,Council_Data!$A$3:$AB$840,18,0))</f>
        <v>1</v>
      </c>
      <c r="R82" s="93">
        <f>IF(ISNA(VLOOKUP($A82,Council_Data!$A$3:$AB$840,19,0)),0,VLOOKUP($A82,Council_Data!$A$3:$AB$840,19,0))</f>
        <v>0</v>
      </c>
      <c r="S82" s="93">
        <f>IF(ISNA(VLOOKUP($A82,Council_Data!$A$3:$AB$840,20,0)),0,VLOOKUP($A82,Council_Data!$A$3:$AB$840,20,0))</f>
        <v>1</v>
      </c>
      <c r="T82" s="94">
        <f>IF(ISNA(VLOOKUP($A82,Council_Data!$A$3:$AB$840,21,0)),0,VLOOKUP($A82,Council_Data!$A$3:$AB$840,21,0))</f>
        <v>0</v>
      </c>
      <c r="U82" s="93">
        <f>IF(ISNA(VLOOKUP($A82,Council_Data!$A$3:$AB$840,23,0)),0,VLOOKUP($A82,Council_Data!$A$3:$AB$840,23,0))</f>
        <v>2</v>
      </c>
      <c r="V82" s="50" t="str">
        <f>IF(ISNA(VLOOKUP($A82,Council_Data!$A$3:$AB$840,24,0)),0,VLOOKUP($A82,Council_Data!$A$3:$AB$840,24,0))</f>
        <v>Dougherty</v>
      </c>
    </row>
    <row r="83" spans="1:22">
      <c r="A83" s="93">
        <v>10433</v>
      </c>
      <c r="B83" s="50" t="str">
        <f>IF(ISNA(VLOOKUP($A83,Council_Data!$A$3:$AB$840,2,0)),0,VLOOKUP($A83,Council_Data!$A$3:$AB$840,2,0))</f>
        <v>034</v>
      </c>
      <c r="C83" s="50" t="str">
        <f>IF(ISNA(VLOOKUP($A83,Council_Data!$A$3:$AB$840,3,0)),0,VLOOKUP($A83,Council_Data!$A$3:$AB$840,3,0))</f>
        <v>Stockdale</v>
      </c>
      <c r="D83" s="93">
        <f>IF(ISNA(VLOOKUP($A83,Council_Data!$A$3:$AB$840,5,0)),0,VLOOKUP($A83,Council_Data!$A$3:$AB$840,5,0))</f>
        <v>11</v>
      </c>
      <c r="E83" s="93">
        <f>IF(ISNA(VLOOKUP($A83,Council_Data!$A$3:$AB$840,6,0)),0,VLOOKUP($A83,Council_Data!$A$3:$AB$840,6,0))</f>
        <v>13</v>
      </c>
      <c r="F83" s="93">
        <f>IF(ISNA(VLOOKUP($A83,Council_Data!$A$3:$AB$840,7,0)),0,VLOOKUP($A83,Council_Data!$A$3:$AB$840,7,0))</f>
        <v>0</v>
      </c>
      <c r="G83" s="93">
        <f>IF(ISNA(VLOOKUP($A83,Council_Data!$A$3:$AB$840,8,0)),0,VLOOKUP($A83,Council_Data!$A$3:$AB$840,8,0))</f>
        <v>0</v>
      </c>
      <c r="H83" s="93">
        <f>IF(ISNA(VLOOKUP($A83,Council_Data!$A$3:$AB$840,9,0)),0,VLOOKUP($A83,Council_Data!$A$3:$AB$840,9,0))</f>
        <v>0</v>
      </c>
      <c r="I83" s="93">
        <f>IF(ISNA(VLOOKUP($A83,Council_Data!$A$3:$AB$840,10,0)),0,VLOOKUP($A83,Council_Data!$A$3:$AB$840,10,0))</f>
        <v>0</v>
      </c>
      <c r="J83" s="93">
        <f>IF(ISNA(VLOOKUP($A83,Council_Data!$A$3:$AB$840,11,0)),0,VLOOKUP($A83,Council_Data!$A$3:$AB$840,11,0))</f>
        <v>0</v>
      </c>
      <c r="K83" s="93">
        <f>IF(ISNA(VLOOKUP($A83,Council_Data!$A$3:$AB$840,12,0)),0,VLOOKUP($A83,Council_Data!$A$3:$AB$840,12,0))</f>
        <v>0</v>
      </c>
      <c r="L83" s="94">
        <f>IF(ISNA(VLOOKUP($A83,Council_Data!$A$3:$AB$840,13,0)),0,VLOOKUP($A83,Council_Data!$A$3:$AB$840,13,0))</f>
        <v>0</v>
      </c>
      <c r="M83" s="93">
        <f>IF(ISNA(VLOOKUP($A83,Council_Data!$A$3:$AB$840,14,0)),0,VLOOKUP($A83,Council_Data!$A$3:$AB$840,14,0))</f>
        <v>0</v>
      </c>
      <c r="N83" s="93">
        <f>IF(ISNA(VLOOKUP($A83,Council_Data!$A$3:$AB$840,15,0)),0,VLOOKUP($A83,Council_Data!$A$3:$AB$840,15,0))</f>
        <v>0</v>
      </c>
      <c r="O83" s="93">
        <f>IF(ISNA(VLOOKUP($A83,Council_Data!$A$3:$AB$840,16,0)),0,VLOOKUP($A83,Council_Data!$A$3:$AB$840,16,0))</f>
        <v>0</v>
      </c>
      <c r="P83" s="93">
        <f>IF(ISNA(VLOOKUP($A83,Council_Data!$A$3:$AB$840,17,0)),0,VLOOKUP($A83,Council_Data!$A$3:$AB$840,17,0))</f>
        <v>0</v>
      </c>
      <c r="Q83" s="93">
        <f>IF(ISNA(VLOOKUP($A83,Council_Data!$A$3:$AB$840,18,0)),0,VLOOKUP($A83,Council_Data!$A$3:$AB$840,18,0))</f>
        <v>0</v>
      </c>
      <c r="R83" s="93">
        <f>IF(ISNA(VLOOKUP($A83,Council_Data!$A$3:$AB$840,19,0)),0,VLOOKUP($A83,Council_Data!$A$3:$AB$840,19,0))</f>
        <v>0</v>
      </c>
      <c r="S83" s="93">
        <f>IF(ISNA(VLOOKUP($A83,Council_Data!$A$3:$AB$840,20,0)),0,VLOOKUP($A83,Council_Data!$A$3:$AB$840,20,0))</f>
        <v>0</v>
      </c>
      <c r="T83" s="94">
        <f>IF(ISNA(VLOOKUP($A83,Council_Data!$A$3:$AB$840,21,0)),0,VLOOKUP($A83,Council_Data!$A$3:$AB$840,21,0))</f>
        <v>0</v>
      </c>
      <c r="U83" s="93">
        <f>IF(ISNA(VLOOKUP($A83,Council_Data!$A$3:$AB$840,23,0)),0,VLOOKUP($A83,Council_Data!$A$3:$AB$840,23,0))</f>
        <v>3</v>
      </c>
      <c r="V83" s="50" t="str">
        <f>IF(ISNA(VLOOKUP($A83,Council_Data!$A$3:$AB$840,24,0)),0,VLOOKUP($A83,Council_Data!$A$3:$AB$840,24,0))</f>
        <v>Dougherty</v>
      </c>
    </row>
    <row r="84" spans="1:22">
      <c r="A84" s="93">
        <v>10434</v>
      </c>
      <c r="B84" s="50" t="str">
        <f>IF(ISNA(VLOOKUP($A84,Council_Data!$A$3:$AB$840,2,0)),0,VLOOKUP($A84,Council_Data!$A$3:$AB$840,2,0))</f>
        <v>055</v>
      </c>
      <c r="C84" s="50" t="str">
        <f>IF(ISNA(VLOOKUP($A84,Council_Data!$A$3:$AB$840,3,0)),0,VLOOKUP($A84,Council_Data!$A$3:$AB$840,3,0))</f>
        <v>Losoya</v>
      </c>
      <c r="D84" s="93">
        <f>IF(ISNA(VLOOKUP($A84,Council_Data!$A$3:$AB$840,5,0)),0,VLOOKUP($A84,Council_Data!$A$3:$AB$840,5,0))</f>
        <v>86</v>
      </c>
      <c r="E84" s="93">
        <f>IF(ISNA(VLOOKUP($A84,Council_Data!$A$3:$AB$840,6,0)),0,VLOOKUP($A84,Council_Data!$A$3:$AB$840,6,0))</f>
        <v>4</v>
      </c>
      <c r="F84" s="93">
        <f>IF(ISNA(VLOOKUP($A84,Council_Data!$A$3:$AB$840,7,0)),0,VLOOKUP($A84,Council_Data!$A$3:$AB$840,7,0))</f>
        <v>0</v>
      </c>
      <c r="G84" s="93">
        <f>IF(ISNA(VLOOKUP($A84,Council_Data!$A$3:$AB$840,8,0)),0,VLOOKUP($A84,Council_Data!$A$3:$AB$840,8,0))</f>
        <v>0</v>
      </c>
      <c r="H84" s="93">
        <f>IF(ISNA(VLOOKUP($A84,Council_Data!$A$3:$AB$840,9,0)),0,VLOOKUP($A84,Council_Data!$A$3:$AB$840,9,0))</f>
        <v>0</v>
      </c>
      <c r="I84" s="93">
        <f>IF(ISNA(VLOOKUP($A84,Council_Data!$A$3:$AB$840,10,0)),0,VLOOKUP($A84,Council_Data!$A$3:$AB$840,10,0))</f>
        <v>0</v>
      </c>
      <c r="J84" s="93">
        <f>IF(ISNA(VLOOKUP($A84,Council_Data!$A$3:$AB$840,11,0)),0,VLOOKUP($A84,Council_Data!$A$3:$AB$840,11,0))</f>
        <v>0</v>
      </c>
      <c r="K84" s="93">
        <f>IF(ISNA(VLOOKUP($A84,Council_Data!$A$3:$AB$840,12,0)),0,VLOOKUP($A84,Council_Data!$A$3:$AB$840,12,0))</f>
        <v>0</v>
      </c>
      <c r="L84" s="94">
        <f>IF(ISNA(VLOOKUP($A84,Council_Data!$A$3:$AB$840,13,0)),0,VLOOKUP($A84,Council_Data!$A$3:$AB$840,13,0))</f>
        <v>0</v>
      </c>
      <c r="M84" s="93">
        <f>IF(ISNA(VLOOKUP($A84,Council_Data!$A$3:$AB$840,14,0)),0,VLOOKUP($A84,Council_Data!$A$3:$AB$840,14,0))</f>
        <v>0</v>
      </c>
      <c r="N84" s="93">
        <f>IF(ISNA(VLOOKUP($A84,Council_Data!$A$3:$AB$840,15,0)),0,VLOOKUP($A84,Council_Data!$A$3:$AB$840,15,0))</f>
        <v>0</v>
      </c>
      <c r="O84" s="93">
        <f>IF(ISNA(VLOOKUP($A84,Council_Data!$A$3:$AB$840,16,0)),0,VLOOKUP($A84,Council_Data!$A$3:$AB$840,16,0))</f>
        <v>0</v>
      </c>
      <c r="P84" s="93">
        <f>IF(ISNA(VLOOKUP($A84,Council_Data!$A$3:$AB$840,17,0)),0,VLOOKUP($A84,Council_Data!$A$3:$AB$840,17,0))</f>
        <v>0</v>
      </c>
      <c r="Q84" s="93">
        <f>IF(ISNA(VLOOKUP($A84,Council_Data!$A$3:$AB$840,18,0)),0,VLOOKUP($A84,Council_Data!$A$3:$AB$840,18,0))</f>
        <v>0</v>
      </c>
      <c r="R84" s="93">
        <f>IF(ISNA(VLOOKUP($A84,Council_Data!$A$3:$AB$840,19,0)),0,VLOOKUP($A84,Council_Data!$A$3:$AB$840,19,0))</f>
        <v>0</v>
      </c>
      <c r="S84" s="93">
        <f>IF(ISNA(VLOOKUP($A84,Council_Data!$A$3:$AB$840,20,0)),0,VLOOKUP($A84,Council_Data!$A$3:$AB$840,20,0))</f>
        <v>0</v>
      </c>
      <c r="T84" s="94">
        <f>IF(ISNA(VLOOKUP($A84,Council_Data!$A$3:$AB$840,21,0)),0,VLOOKUP($A84,Council_Data!$A$3:$AB$840,21,0))</f>
        <v>0</v>
      </c>
      <c r="U84" s="93">
        <f>IF(ISNA(VLOOKUP($A84,Council_Data!$A$3:$AB$840,23,0)),0,VLOOKUP($A84,Council_Data!$A$3:$AB$840,23,0))</f>
        <v>2</v>
      </c>
      <c r="V84" s="50" t="str">
        <f>IF(ISNA(VLOOKUP($A84,Council_Data!$A$3:$AB$840,24,0)),0,VLOOKUP($A84,Council_Data!$A$3:$AB$840,24,0))</f>
        <v>Dougherty</v>
      </c>
    </row>
    <row r="85" spans="1:22">
      <c r="A85" s="93">
        <v>10593</v>
      </c>
      <c r="B85" s="50" t="str">
        <f>IF(ISNA(VLOOKUP($A85,Council_Data!$A$3:$AB$840,2,0)),0,VLOOKUP($A85,Council_Data!$A$3:$AB$840,2,0))</f>
        <v>052</v>
      </c>
      <c r="C85" s="50" t="str">
        <f>IF(ISNA(VLOOKUP($A85,Council_Data!$A$3:$AB$840,3,0)),0,VLOOKUP($A85,Council_Data!$A$3:$AB$840,3,0))</f>
        <v>Lacoste</v>
      </c>
      <c r="D85" s="93">
        <f>IF(ISNA(VLOOKUP($A85,Council_Data!$A$3:$AB$840,5,0)),0,VLOOKUP($A85,Council_Data!$A$3:$AB$840,5,0))</f>
        <v>112</v>
      </c>
      <c r="E85" s="93">
        <f>IF(ISNA(VLOOKUP($A85,Council_Data!$A$3:$AB$840,6,0)),0,VLOOKUP($A85,Council_Data!$A$3:$AB$840,6,0))</f>
        <v>6</v>
      </c>
      <c r="F85" s="93">
        <f>IF(ISNA(VLOOKUP($A85,Council_Data!$A$3:$AB$840,7,0)),0,VLOOKUP($A85,Council_Data!$A$3:$AB$840,7,0))</f>
        <v>0</v>
      </c>
      <c r="G85" s="93">
        <f>IF(ISNA(VLOOKUP($A85,Council_Data!$A$3:$AB$840,8,0)),0,VLOOKUP($A85,Council_Data!$A$3:$AB$840,8,0))</f>
        <v>0</v>
      </c>
      <c r="H85" s="93">
        <f>IF(ISNA(VLOOKUP($A85,Council_Data!$A$3:$AB$840,9,0)),0,VLOOKUP($A85,Council_Data!$A$3:$AB$840,9,0))</f>
        <v>0</v>
      </c>
      <c r="I85" s="93">
        <f>IF(ISNA(VLOOKUP($A85,Council_Data!$A$3:$AB$840,10,0)),0,VLOOKUP($A85,Council_Data!$A$3:$AB$840,10,0))</f>
        <v>0</v>
      </c>
      <c r="J85" s="93">
        <f>IF(ISNA(VLOOKUP($A85,Council_Data!$A$3:$AB$840,11,0)),0,VLOOKUP($A85,Council_Data!$A$3:$AB$840,11,0))</f>
        <v>0</v>
      </c>
      <c r="K85" s="93">
        <f>IF(ISNA(VLOOKUP($A85,Council_Data!$A$3:$AB$840,12,0)),0,VLOOKUP($A85,Council_Data!$A$3:$AB$840,12,0))</f>
        <v>0</v>
      </c>
      <c r="L85" s="94">
        <f>IF(ISNA(VLOOKUP($A85,Council_Data!$A$3:$AB$840,13,0)),0,VLOOKUP($A85,Council_Data!$A$3:$AB$840,13,0))</f>
        <v>0</v>
      </c>
      <c r="M85" s="93">
        <f>IF(ISNA(VLOOKUP($A85,Council_Data!$A$3:$AB$840,14,0)),0,VLOOKUP($A85,Council_Data!$A$3:$AB$840,14,0))</f>
        <v>0</v>
      </c>
      <c r="N85" s="93">
        <f>IF(ISNA(VLOOKUP($A85,Council_Data!$A$3:$AB$840,15,0)),0,VLOOKUP($A85,Council_Data!$A$3:$AB$840,15,0))</f>
        <v>0</v>
      </c>
      <c r="O85" s="93">
        <f>IF(ISNA(VLOOKUP($A85,Council_Data!$A$3:$AB$840,16,0)),0,VLOOKUP($A85,Council_Data!$A$3:$AB$840,16,0))</f>
        <v>0</v>
      </c>
      <c r="P85" s="93">
        <f>IF(ISNA(VLOOKUP($A85,Council_Data!$A$3:$AB$840,17,0)),0,VLOOKUP($A85,Council_Data!$A$3:$AB$840,17,0))</f>
        <v>0</v>
      </c>
      <c r="Q85" s="93">
        <f>IF(ISNA(VLOOKUP($A85,Council_Data!$A$3:$AB$840,18,0)),0,VLOOKUP($A85,Council_Data!$A$3:$AB$840,18,0))</f>
        <v>0</v>
      </c>
      <c r="R85" s="93">
        <f>IF(ISNA(VLOOKUP($A85,Council_Data!$A$3:$AB$840,19,0)),0,VLOOKUP($A85,Council_Data!$A$3:$AB$840,19,0))</f>
        <v>0</v>
      </c>
      <c r="S85" s="93">
        <f>IF(ISNA(VLOOKUP($A85,Council_Data!$A$3:$AB$840,20,0)),0,VLOOKUP($A85,Council_Data!$A$3:$AB$840,20,0))</f>
        <v>0</v>
      </c>
      <c r="T85" s="94">
        <f>IF(ISNA(VLOOKUP($A85,Council_Data!$A$3:$AB$840,21,0)),0,VLOOKUP($A85,Council_Data!$A$3:$AB$840,21,0))</f>
        <v>0</v>
      </c>
      <c r="U85" s="93">
        <f>IF(ISNA(VLOOKUP($A85,Council_Data!$A$3:$AB$840,23,0)),0,VLOOKUP($A85,Council_Data!$A$3:$AB$840,23,0))</f>
        <v>2</v>
      </c>
      <c r="V85" s="50" t="str">
        <f>IF(ISNA(VLOOKUP($A85,Council_Data!$A$3:$AB$840,24,0)),0,VLOOKUP($A85,Council_Data!$A$3:$AB$840,24,0))</f>
        <v>Dougherty</v>
      </c>
    </row>
    <row r="86" spans="1:22">
      <c r="A86" s="93">
        <v>10712</v>
      </c>
      <c r="B86" s="50" t="str">
        <f>IF(ISNA(VLOOKUP($A86,Council_Data!$A$3:$AB$840,2,0)),0,VLOOKUP($A86,Council_Data!$A$3:$AB$840,2,0))</f>
        <v>058</v>
      </c>
      <c r="C86" s="50" t="str">
        <f>IF(ISNA(VLOOKUP($A86,Council_Data!$A$3:$AB$840,3,0)),0,VLOOKUP($A86,Council_Data!$A$3:$AB$840,3,0))</f>
        <v>San Antonio</v>
      </c>
      <c r="D86" s="93">
        <f>IF(ISNA(VLOOKUP($A86,Council_Data!$A$3:$AB$840,5,0)),0,VLOOKUP($A86,Council_Data!$A$3:$AB$840,5,0))</f>
        <v>85</v>
      </c>
      <c r="E86" s="93">
        <f>IF(ISNA(VLOOKUP($A86,Council_Data!$A$3:$AB$840,6,0)),0,VLOOKUP($A86,Council_Data!$A$3:$AB$840,6,0))</f>
        <v>4</v>
      </c>
      <c r="F86" s="93">
        <f>IF(ISNA(VLOOKUP($A86,Council_Data!$A$3:$AB$840,7,0)),0,VLOOKUP($A86,Council_Data!$A$3:$AB$840,7,0))</f>
        <v>0</v>
      </c>
      <c r="G86" s="93">
        <f>IF(ISNA(VLOOKUP($A86,Council_Data!$A$3:$AB$840,8,0)),0,VLOOKUP($A86,Council_Data!$A$3:$AB$840,8,0))</f>
        <v>0</v>
      </c>
      <c r="H86" s="93">
        <f>IF(ISNA(VLOOKUP($A86,Council_Data!$A$3:$AB$840,9,0)),0,VLOOKUP($A86,Council_Data!$A$3:$AB$840,9,0))</f>
        <v>0</v>
      </c>
      <c r="I86" s="93">
        <f>IF(ISNA(VLOOKUP($A86,Council_Data!$A$3:$AB$840,10,0)),0,VLOOKUP($A86,Council_Data!$A$3:$AB$840,10,0))</f>
        <v>1</v>
      </c>
      <c r="J86" s="93">
        <f>IF(ISNA(VLOOKUP($A86,Council_Data!$A$3:$AB$840,11,0)),0,VLOOKUP($A86,Council_Data!$A$3:$AB$840,11,0))</f>
        <v>0</v>
      </c>
      <c r="K86" s="93">
        <f>IF(ISNA(VLOOKUP($A86,Council_Data!$A$3:$AB$840,12,0)),0,VLOOKUP($A86,Council_Data!$A$3:$AB$840,12,0))</f>
        <v>1</v>
      </c>
      <c r="L86" s="94">
        <f>IF(ISNA(VLOOKUP($A86,Council_Data!$A$3:$AB$840,13,0)),0,VLOOKUP($A86,Council_Data!$A$3:$AB$840,13,0))</f>
        <v>25</v>
      </c>
      <c r="M86" s="93">
        <f>IF(ISNA(VLOOKUP($A86,Council_Data!$A$3:$AB$840,14,0)),0,VLOOKUP($A86,Council_Data!$A$3:$AB$840,14,0))</f>
        <v>0</v>
      </c>
      <c r="N86" s="93">
        <f>IF(ISNA(VLOOKUP($A86,Council_Data!$A$3:$AB$840,15,0)),0,VLOOKUP($A86,Council_Data!$A$3:$AB$840,15,0))</f>
        <v>0</v>
      </c>
      <c r="O86" s="93">
        <f>IF(ISNA(VLOOKUP($A86,Council_Data!$A$3:$AB$840,16,0)),0,VLOOKUP($A86,Council_Data!$A$3:$AB$840,16,0))</f>
        <v>0</v>
      </c>
      <c r="P86" s="93">
        <f>IF(ISNA(VLOOKUP($A86,Council_Data!$A$3:$AB$840,17,0)),0,VLOOKUP($A86,Council_Data!$A$3:$AB$840,17,0))</f>
        <v>0</v>
      </c>
      <c r="Q86" s="93">
        <f>IF(ISNA(VLOOKUP($A86,Council_Data!$A$3:$AB$840,18,0)),0,VLOOKUP($A86,Council_Data!$A$3:$AB$840,18,0))</f>
        <v>1</v>
      </c>
      <c r="R86" s="93">
        <f>IF(ISNA(VLOOKUP($A86,Council_Data!$A$3:$AB$840,19,0)),0,VLOOKUP($A86,Council_Data!$A$3:$AB$840,19,0))</f>
        <v>0</v>
      </c>
      <c r="S86" s="93">
        <f>IF(ISNA(VLOOKUP($A86,Council_Data!$A$3:$AB$840,20,0)),0,VLOOKUP($A86,Council_Data!$A$3:$AB$840,20,0))</f>
        <v>1</v>
      </c>
      <c r="T86" s="94">
        <f>IF(ISNA(VLOOKUP($A86,Council_Data!$A$3:$AB$840,21,0)),0,VLOOKUP($A86,Council_Data!$A$3:$AB$840,21,0))</f>
        <v>0</v>
      </c>
      <c r="U86" s="93">
        <f>IF(ISNA(VLOOKUP($A86,Council_Data!$A$3:$AB$840,23,0)),0,VLOOKUP($A86,Council_Data!$A$3:$AB$840,23,0))</f>
        <v>2</v>
      </c>
      <c r="V86" s="50" t="str">
        <f>IF(ISNA(VLOOKUP($A86,Council_Data!$A$3:$AB$840,24,0)),0,VLOOKUP($A86,Council_Data!$A$3:$AB$840,24,0))</f>
        <v>Dougherty</v>
      </c>
    </row>
    <row r="87" spans="1:22">
      <c r="A87" s="93">
        <v>10940</v>
      </c>
      <c r="B87" s="50" t="str">
        <f>IF(ISNA(VLOOKUP($A87,Council_Data!$A$3:$AB$840,2,0)),0,VLOOKUP($A87,Council_Data!$A$3:$AB$840,2,0))</f>
        <v>042</v>
      </c>
      <c r="C87" s="50" t="str">
        <f>IF(ISNA(VLOOKUP($A87,Council_Data!$A$3:$AB$840,3,0)),0,VLOOKUP($A87,Council_Data!$A$3:$AB$840,3,0))</f>
        <v>Boerne</v>
      </c>
      <c r="D87" s="93">
        <f>IF(ISNA(VLOOKUP($A87,Council_Data!$A$3:$AB$840,5,0)),0,VLOOKUP($A87,Council_Data!$A$3:$AB$840,5,0))</f>
        <v>386</v>
      </c>
      <c r="E87" s="93">
        <f>IF(ISNA(VLOOKUP($A87,Council_Data!$A$3:$AB$840,6,0)),0,VLOOKUP($A87,Council_Data!$A$3:$AB$840,6,0))</f>
        <v>19</v>
      </c>
      <c r="F87" s="93">
        <f>IF(ISNA(VLOOKUP($A87,Council_Data!$A$3:$AB$840,7,0)),0,VLOOKUP($A87,Council_Data!$A$3:$AB$840,7,0))</f>
        <v>0</v>
      </c>
      <c r="G87" s="93">
        <f>IF(ISNA(VLOOKUP($A87,Council_Data!$A$3:$AB$840,8,0)),0,VLOOKUP($A87,Council_Data!$A$3:$AB$840,8,0))</f>
        <v>3</v>
      </c>
      <c r="H87" s="93">
        <f>IF(ISNA(VLOOKUP($A87,Council_Data!$A$3:$AB$840,9,0)),0,VLOOKUP($A87,Council_Data!$A$3:$AB$840,9,0))</f>
        <v>-3</v>
      </c>
      <c r="I87" s="93">
        <f>IF(ISNA(VLOOKUP($A87,Council_Data!$A$3:$AB$840,10,0)),0,VLOOKUP($A87,Council_Data!$A$3:$AB$840,10,0))</f>
        <v>1</v>
      </c>
      <c r="J87" s="93">
        <f>IF(ISNA(VLOOKUP($A87,Council_Data!$A$3:$AB$840,11,0)),0,VLOOKUP($A87,Council_Data!$A$3:$AB$840,11,0))</f>
        <v>23</v>
      </c>
      <c r="K87" s="93">
        <f>IF(ISNA(VLOOKUP($A87,Council_Data!$A$3:$AB$840,12,0)),0,VLOOKUP($A87,Council_Data!$A$3:$AB$840,12,0))</f>
        <v>-22</v>
      </c>
      <c r="L87" s="94">
        <f>IF(ISNA(VLOOKUP($A87,Council_Data!$A$3:$AB$840,13,0)),0,VLOOKUP($A87,Council_Data!$A$3:$AB$840,13,0))</f>
        <v>0</v>
      </c>
      <c r="M87" s="93">
        <f>IF(ISNA(VLOOKUP($A87,Council_Data!$A$3:$AB$840,14,0)),0,VLOOKUP($A87,Council_Data!$A$3:$AB$840,14,0))</f>
        <v>0</v>
      </c>
      <c r="N87" s="93">
        <f>IF(ISNA(VLOOKUP($A87,Council_Data!$A$3:$AB$840,15,0)),0,VLOOKUP($A87,Council_Data!$A$3:$AB$840,15,0))</f>
        <v>0</v>
      </c>
      <c r="O87" s="93">
        <f>IF(ISNA(VLOOKUP($A87,Council_Data!$A$3:$AB$840,16,0)),0,VLOOKUP($A87,Council_Data!$A$3:$AB$840,16,0))</f>
        <v>0</v>
      </c>
      <c r="P87" s="93">
        <f>IF(ISNA(VLOOKUP($A87,Council_Data!$A$3:$AB$840,17,0)),0,VLOOKUP($A87,Council_Data!$A$3:$AB$840,17,0))</f>
        <v>0</v>
      </c>
      <c r="Q87" s="93">
        <f>IF(ISNA(VLOOKUP($A87,Council_Data!$A$3:$AB$840,18,0)),0,VLOOKUP($A87,Council_Data!$A$3:$AB$840,18,0))</f>
        <v>5</v>
      </c>
      <c r="R87" s="93">
        <f>IF(ISNA(VLOOKUP($A87,Council_Data!$A$3:$AB$840,19,0)),0,VLOOKUP($A87,Council_Data!$A$3:$AB$840,19,0))</f>
        <v>2</v>
      </c>
      <c r="S87" s="93">
        <f>IF(ISNA(VLOOKUP($A87,Council_Data!$A$3:$AB$840,20,0)),0,VLOOKUP($A87,Council_Data!$A$3:$AB$840,20,0))</f>
        <v>3</v>
      </c>
      <c r="T87" s="94">
        <f>IF(ISNA(VLOOKUP($A87,Council_Data!$A$3:$AB$840,21,0)),0,VLOOKUP($A87,Council_Data!$A$3:$AB$840,21,0))</f>
        <v>0</v>
      </c>
      <c r="U87" s="93">
        <f>IF(ISNA(VLOOKUP($A87,Council_Data!$A$3:$AB$840,23,0)),0,VLOOKUP($A87,Council_Data!$A$3:$AB$840,23,0))</f>
        <v>1</v>
      </c>
      <c r="V87" s="50" t="str">
        <f>IF(ISNA(VLOOKUP($A87,Council_Data!$A$3:$AB$840,24,0)),0,VLOOKUP($A87,Council_Data!$A$3:$AB$840,24,0))</f>
        <v>Dougherty</v>
      </c>
    </row>
    <row r="88" spans="1:22">
      <c r="A88" s="93">
        <v>11298</v>
      </c>
      <c r="B88" s="50" t="str">
        <f>IF(ISNA(VLOOKUP($A88,Council_Data!$A$3:$AB$840,2,0)),0,VLOOKUP($A88,Council_Data!$A$3:$AB$840,2,0))</f>
        <v>050</v>
      </c>
      <c r="C88" s="50" t="str">
        <f>IF(ISNA(VLOOKUP($A88,Council_Data!$A$3:$AB$840,3,0)),0,VLOOKUP($A88,Council_Data!$A$3:$AB$840,3,0))</f>
        <v>San Antonio</v>
      </c>
      <c r="D88" s="93">
        <f>IF(ISNA(VLOOKUP($A88,Council_Data!$A$3:$AB$840,5,0)),0,VLOOKUP($A88,Council_Data!$A$3:$AB$840,5,0))</f>
        <v>35</v>
      </c>
      <c r="E88" s="93">
        <f>IF(ISNA(VLOOKUP($A88,Council_Data!$A$3:$AB$840,6,0)),0,VLOOKUP($A88,Council_Data!$A$3:$AB$840,6,0))</f>
        <v>3</v>
      </c>
      <c r="F88" s="93">
        <f>IF(ISNA(VLOOKUP($A88,Council_Data!$A$3:$AB$840,7,0)),0,VLOOKUP($A88,Council_Data!$A$3:$AB$840,7,0))</f>
        <v>0</v>
      </c>
      <c r="G88" s="93">
        <f>IF(ISNA(VLOOKUP($A88,Council_Data!$A$3:$AB$840,8,0)),0,VLOOKUP($A88,Council_Data!$A$3:$AB$840,8,0))</f>
        <v>0</v>
      </c>
      <c r="H88" s="93">
        <f>IF(ISNA(VLOOKUP($A88,Council_Data!$A$3:$AB$840,9,0)),0,VLOOKUP($A88,Council_Data!$A$3:$AB$840,9,0))</f>
        <v>0</v>
      </c>
      <c r="I88" s="93">
        <f>IF(ISNA(VLOOKUP($A88,Council_Data!$A$3:$AB$840,10,0)),0,VLOOKUP($A88,Council_Data!$A$3:$AB$840,10,0))</f>
        <v>0</v>
      </c>
      <c r="J88" s="93">
        <f>IF(ISNA(VLOOKUP($A88,Council_Data!$A$3:$AB$840,11,0)),0,VLOOKUP($A88,Council_Data!$A$3:$AB$840,11,0))</f>
        <v>0</v>
      </c>
      <c r="K88" s="93">
        <f>IF(ISNA(VLOOKUP($A88,Council_Data!$A$3:$AB$840,12,0)),0,VLOOKUP($A88,Council_Data!$A$3:$AB$840,12,0))</f>
        <v>0</v>
      </c>
      <c r="L88" s="94">
        <f>IF(ISNA(VLOOKUP($A88,Council_Data!$A$3:$AB$840,13,0)),0,VLOOKUP($A88,Council_Data!$A$3:$AB$840,13,0))</f>
        <v>0</v>
      </c>
      <c r="M88" s="93">
        <f>IF(ISNA(VLOOKUP($A88,Council_Data!$A$3:$AB$840,14,0)),0,VLOOKUP($A88,Council_Data!$A$3:$AB$840,14,0))</f>
        <v>0</v>
      </c>
      <c r="N88" s="93">
        <f>IF(ISNA(VLOOKUP($A88,Council_Data!$A$3:$AB$840,15,0)),0,VLOOKUP($A88,Council_Data!$A$3:$AB$840,15,0))</f>
        <v>0</v>
      </c>
      <c r="O88" s="93">
        <f>IF(ISNA(VLOOKUP($A88,Council_Data!$A$3:$AB$840,16,0)),0,VLOOKUP($A88,Council_Data!$A$3:$AB$840,16,0))</f>
        <v>0</v>
      </c>
      <c r="P88" s="93">
        <f>IF(ISNA(VLOOKUP($A88,Council_Data!$A$3:$AB$840,17,0)),0,VLOOKUP($A88,Council_Data!$A$3:$AB$840,17,0))</f>
        <v>0</v>
      </c>
      <c r="Q88" s="93">
        <f>IF(ISNA(VLOOKUP($A88,Council_Data!$A$3:$AB$840,18,0)),0,VLOOKUP($A88,Council_Data!$A$3:$AB$840,18,0))</f>
        <v>0</v>
      </c>
      <c r="R88" s="93">
        <f>IF(ISNA(VLOOKUP($A88,Council_Data!$A$3:$AB$840,19,0)),0,VLOOKUP($A88,Council_Data!$A$3:$AB$840,19,0))</f>
        <v>0</v>
      </c>
      <c r="S88" s="93">
        <f>IF(ISNA(VLOOKUP($A88,Council_Data!$A$3:$AB$840,20,0)),0,VLOOKUP($A88,Council_Data!$A$3:$AB$840,20,0))</f>
        <v>0</v>
      </c>
      <c r="T88" s="94">
        <f>IF(ISNA(VLOOKUP($A88,Council_Data!$A$3:$AB$840,21,0)),0,VLOOKUP($A88,Council_Data!$A$3:$AB$840,21,0))</f>
        <v>0</v>
      </c>
      <c r="U88" s="93">
        <f>IF(ISNA(VLOOKUP($A88,Council_Data!$A$3:$AB$840,23,0)),0,VLOOKUP($A88,Council_Data!$A$3:$AB$840,23,0))</f>
        <v>3</v>
      </c>
      <c r="V88" s="50" t="str">
        <f>IF(ISNA(VLOOKUP($A88,Council_Data!$A$3:$AB$840,24,0)),0,VLOOKUP($A88,Council_Data!$A$3:$AB$840,24,0))</f>
        <v>Dougherty</v>
      </c>
    </row>
    <row r="89" spans="1:22">
      <c r="A89" s="93">
        <v>11342</v>
      </c>
      <c r="B89" s="50" t="str">
        <f>IF(ISNA(VLOOKUP($A89,Council_Data!$A$3:$AB$840,2,0)),0,VLOOKUP($A89,Council_Data!$A$3:$AB$840,2,0))</f>
        <v>050</v>
      </c>
      <c r="C89" s="50" t="str">
        <f>IF(ISNA(VLOOKUP($A89,Council_Data!$A$3:$AB$840,3,0)),0,VLOOKUP($A89,Council_Data!$A$3:$AB$840,3,0))</f>
        <v>San Antonio</v>
      </c>
      <c r="D89" s="93">
        <f>IF(ISNA(VLOOKUP($A89,Council_Data!$A$3:$AB$840,5,0)),0,VLOOKUP($A89,Council_Data!$A$3:$AB$840,5,0))</f>
        <v>58</v>
      </c>
      <c r="E89" s="93">
        <f>IF(ISNA(VLOOKUP($A89,Council_Data!$A$3:$AB$840,6,0)),0,VLOOKUP($A89,Council_Data!$A$3:$AB$840,6,0))</f>
        <v>3</v>
      </c>
      <c r="F89" s="93">
        <f>IF(ISNA(VLOOKUP($A89,Council_Data!$A$3:$AB$840,7,0)),0,VLOOKUP($A89,Council_Data!$A$3:$AB$840,7,0))</f>
        <v>0</v>
      </c>
      <c r="G89" s="93">
        <f>IF(ISNA(VLOOKUP($A89,Council_Data!$A$3:$AB$840,8,0)),0,VLOOKUP($A89,Council_Data!$A$3:$AB$840,8,0))</f>
        <v>0</v>
      </c>
      <c r="H89" s="93">
        <f>IF(ISNA(VLOOKUP($A89,Council_Data!$A$3:$AB$840,9,0)),0,VLOOKUP($A89,Council_Data!$A$3:$AB$840,9,0))</f>
        <v>0</v>
      </c>
      <c r="I89" s="93">
        <f>IF(ISNA(VLOOKUP($A89,Council_Data!$A$3:$AB$840,10,0)),0,VLOOKUP($A89,Council_Data!$A$3:$AB$840,10,0))</f>
        <v>0</v>
      </c>
      <c r="J89" s="93">
        <f>IF(ISNA(VLOOKUP($A89,Council_Data!$A$3:$AB$840,11,0)),0,VLOOKUP($A89,Council_Data!$A$3:$AB$840,11,0))</f>
        <v>0</v>
      </c>
      <c r="K89" s="93">
        <f>IF(ISNA(VLOOKUP($A89,Council_Data!$A$3:$AB$840,12,0)),0,VLOOKUP($A89,Council_Data!$A$3:$AB$840,12,0))</f>
        <v>0</v>
      </c>
      <c r="L89" s="94">
        <f>IF(ISNA(VLOOKUP($A89,Council_Data!$A$3:$AB$840,13,0)),0,VLOOKUP($A89,Council_Data!$A$3:$AB$840,13,0))</f>
        <v>0</v>
      </c>
      <c r="M89" s="93">
        <f>IF(ISNA(VLOOKUP($A89,Council_Data!$A$3:$AB$840,14,0)),0,VLOOKUP($A89,Council_Data!$A$3:$AB$840,14,0))</f>
        <v>0</v>
      </c>
      <c r="N89" s="93">
        <f>IF(ISNA(VLOOKUP($A89,Council_Data!$A$3:$AB$840,15,0)),0,VLOOKUP($A89,Council_Data!$A$3:$AB$840,15,0))</f>
        <v>0</v>
      </c>
      <c r="O89" s="93">
        <f>IF(ISNA(VLOOKUP($A89,Council_Data!$A$3:$AB$840,16,0)),0,VLOOKUP($A89,Council_Data!$A$3:$AB$840,16,0))</f>
        <v>0</v>
      </c>
      <c r="P89" s="93">
        <f>IF(ISNA(VLOOKUP($A89,Council_Data!$A$3:$AB$840,17,0)),0,VLOOKUP($A89,Council_Data!$A$3:$AB$840,17,0))</f>
        <v>0</v>
      </c>
      <c r="Q89" s="93">
        <f>IF(ISNA(VLOOKUP($A89,Council_Data!$A$3:$AB$840,18,0)),0,VLOOKUP($A89,Council_Data!$A$3:$AB$840,18,0))</f>
        <v>0</v>
      </c>
      <c r="R89" s="93">
        <f>IF(ISNA(VLOOKUP($A89,Council_Data!$A$3:$AB$840,19,0)),0,VLOOKUP($A89,Council_Data!$A$3:$AB$840,19,0))</f>
        <v>0</v>
      </c>
      <c r="S89" s="93">
        <f>IF(ISNA(VLOOKUP($A89,Council_Data!$A$3:$AB$840,20,0)),0,VLOOKUP($A89,Council_Data!$A$3:$AB$840,20,0))</f>
        <v>0</v>
      </c>
      <c r="T89" s="94">
        <f>IF(ISNA(VLOOKUP($A89,Council_Data!$A$3:$AB$840,21,0)),0,VLOOKUP($A89,Council_Data!$A$3:$AB$840,21,0))</f>
        <v>0</v>
      </c>
      <c r="U89" s="93">
        <f>IF(ISNA(VLOOKUP($A89,Council_Data!$A$3:$AB$840,23,0)),0,VLOOKUP($A89,Council_Data!$A$3:$AB$840,23,0))</f>
        <v>3</v>
      </c>
      <c r="V89" s="50" t="str">
        <f>IF(ISNA(VLOOKUP($A89,Council_Data!$A$3:$AB$840,24,0)),0,VLOOKUP($A89,Council_Data!$A$3:$AB$840,24,0))</f>
        <v>Dougherty</v>
      </c>
    </row>
    <row r="90" spans="1:22">
      <c r="A90" s="93">
        <v>11596</v>
      </c>
      <c r="B90" s="50" t="str">
        <f>IF(ISNA(VLOOKUP($A90,Council_Data!$A$3:$AB$840,2,0)),0,VLOOKUP($A90,Council_Data!$A$3:$AB$840,2,0))</f>
        <v>059</v>
      </c>
      <c r="C90" s="50" t="str">
        <f>IF(ISNA(VLOOKUP($A90,Council_Data!$A$3:$AB$840,3,0)),0,VLOOKUP($A90,Council_Data!$A$3:$AB$840,3,0))</f>
        <v>San Antonio</v>
      </c>
      <c r="D90" s="93">
        <f>IF(ISNA(VLOOKUP($A90,Council_Data!$A$3:$AB$840,5,0)),0,VLOOKUP($A90,Council_Data!$A$3:$AB$840,5,0))</f>
        <v>146</v>
      </c>
      <c r="E90" s="93">
        <f>IF(ISNA(VLOOKUP($A90,Council_Data!$A$3:$AB$840,6,0)),0,VLOOKUP($A90,Council_Data!$A$3:$AB$840,6,0))</f>
        <v>7</v>
      </c>
      <c r="F90" s="93">
        <f>IF(ISNA(VLOOKUP($A90,Council_Data!$A$3:$AB$840,7,0)),0,VLOOKUP($A90,Council_Data!$A$3:$AB$840,7,0))</f>
        <v>0</v>
      </c>
      <c r="G90" s="93">
        <f>IF(ISNA(VLOOKUP($A90,Council_Data!$A$3:$AB$840,8,0)),0,VLOOKUP($A90,Council_Data!$A$3:$AB$840,8,0))</f>
        <v>0</v>
      </c>
      <c r="H90" s="93">
        <f>IF(ISNA(VLOOKUP($A90,Council_Data!$A$3:$AB$840,9,0)),0,VLOOKUP($A90,Council_Data!$A$3:$AB$840,9,0))</f>
        <v>0</v>
      </c>
      <c r="I90" s="93">
        <f>IF(ISNA(VLOOKUP($A90,Council_Data!$A$3:$AB$840,10,0)),0,VLOOKUP($A90,Council_Data!$A$3:$AB$840,10,0))</f>
        <v>0</v>
      </c>
      <c r="J90" s="93">
        <f>IF(ISNA(VLOOKUP($A90,Council_Data!$A$3:$AB$840,11,0)),0,VLOOKUP($A90,Council_Data!$A$3:$AB$840,11,0))</f>
        <v>0</v>
      </c>
      <c r="K90" s="93">
        <f>IF(ISNA(VLOOKUP($A90,Council_Data!$A$3:$AB$840,12,0)),0,VLOOKUP($A90,Council_Data!$A$3:$AB$840,12,0))</f>
        <v>0</v>
      </c>
      <c r="L90" s="94">
        <f>IF(ISNA(VLOOKUP($A90,Council_Data!$A$3:$AB$840,13,0)),0,VLOOKUP($A90,Council_Data!$A$3:$AB$840,13,0))</f>
        <v>0</v>
      </c>
      <c r="M90" s="93">
        <f>IF(ISNA(VLOOKUP($A90,Council_Data!$A$3:$AB$840,14,0)),0,VLOOKUP($A90,Council_Data!$A$3:$AB$840,14,0))</f>
        <v>0</v>
      </c>
      <c r="N90" s="93">
        <f>IF(ISNA(VLOOKUP($A90,Council_Data!$A$3:$AB$840,15,0)),0,VLOOKUP($A90,Council_Data!$A$3:$AB$840,15,0))</f>
        <v>0</v>
      </c>
      <c r="O90" s="93">
        <f>IF(ISNA(VLOOKUP($A90,Council_Data!$A$3:$AB$840,16,0)),0,VLOOKUP($A90,Council_Data!$A$3:$AB$840,16,0))</f>
        <v>0</v>
      </c>
      <c r="P90" s="93">
        <f>IF(ISNA(VLOOKUP($A90,Council_Data!$A$3:$AB$840,17,0)),0,VLOOKUP($A90,Council_Data!$A$3:$AB$840,17,0))</f>
        <v>0</v>
      </c>
      <c r="Q90" s="93">
        <f>IF(ISNA(VLOOKUP($A90,Council_Data!$A$3:$AB$840,18,0)),0,VLOOKUP($A90,Council_Data!$A$3:$AB$840,18,0))</f>
        <v>0</v>
      </c>
      <c r="R90" s="93">
        <f>IF(ISNA(VLOOKUP($A90,Council_Data!$A$3:$AB$840,19,0)),0,VLOOKUP($A90,Council_Data!$A$3:$AB$840,19,0))</f>
        <v>0</v>
      </c>
      <c r="S90" s="93">
        <f>IF(ISNA(VLOOKUP($A90,Council_Data!$A$3:$AB$840,20,0)),0,VLOOKUP($A90,Council_Data!$A$3:$AB$840,20,0))</f>
        <v>0</v>
      </c>
      <c r="T90" s="94">
        <f>IF(ISNA(VLOOKUP($A90,Council_Data!$A$3:$AB$840,21,0)),0,VLOOKUP($A90,Council_Data!$A$3:$AB$840,21,0))</f>
        <v>0</v>
      </c>
      <c r="U90" s="93">
        <f>IF(ISNA(VLOOKUP($A90,Council_Data!$A$3:$AB$840,23,0)),0,VLOOKUP($A90,Council_Data!$A$3:$AB$840,23,0))</f>
        <v>1</v>
      </c>
      <c r="V90" s="50" t="str">
        <f>IF(ISNA(VLOOKUP($A90,Council_Data!$A$3:$AB$840,24,0)),0,VLOOKUP($A90,Council_Data!$A$3:$AB$840,24,0))</f>
        <v>Dougherty</v>
      </c>
    </row>
    <row r="91" spans="1:22">
      <c r="A91" s="93">
        <v>11599</v>
      </c>
      <c r="B91" s="50" t="str">
        <f>IF(ISNA(VLOOKUP($A91,Council_Data!$A$3:$AB$840,2,0)),0,VLOOKUP($A91,Council_Data!$A$3:$AB$840,2,0))</f>
        <v>039</v>
      </c>
      <c r="C91" s="50" t="str">
        <f>IF(ISNA(VLOOKUP($A91,Council_Data!$A$3:$AB$840,3,0)),0,VLOOKUP($A91,Council_Data!$A$3:$AB$840,3,0))</f>
        <v>San Antonio</v>
      </c>
      <c r="D91" s="93">
        <f>IF(ISNA(VLOOKUP($A91,Council_Data!$A$3:$AB$840,5,0)),0,VLOOKUP($A91,Council_Data!$A$3:$AB$840,5,0))</f>
        <v>171</v>
      </c>
      <c r="E91" s="93">
        <f>IF(ISNA(VLOOKUP($A91,Council_Data!$A$3:$AB$840,6,0)),0,VLOOKUP($A91,Council_Data!$A$3:$AB$840,6,0))</f>
        <v>8</v>
      </c>
      <c r="F91" s="93">
        <f>IF(ISNA(VLOOKUP($A91,Council_Data!$A$3:$AB$840,7,0)),0,VLOOKUP($A91,Council_Data!$A$3:$AB$840,7,0))</f>
        <v>0</v>
      </c>
      <c r="G91" s="93">
        <f>IF(ISNA(VLOOKUP($A91,Council_Data!$A$3:$AB$840,8,0)),0,VLOOKUP($A91,Council_Data!$A$3:$AB$840,8,0))</f>
        <v>0</v>
      </c>
      <c r="H91" s="93">
        <f>IF(ISNA(VLOOKUP($A91,Council_Data!$A$3:$AB$840,9,0)),0,VLOOKUP($A91,Council_Data!$A$3:$AB$840,9,0))</f>
        <v>0</v>
      </c>
      <c r="I91" s="93">
        <f>IF(ISNA(VLOOKUP($A91,Council_Data!$A$3:$AB$840,10,0)),0,VLOOKUP($A91,Council_Data!$A$3:$AB$840,10,0))</f>
        <v>0</v>
      </c>
      <c r="J91" s="93">
        <f>IF(ISNA(VLOOKUP($A91,Council_Data!$A$3:$AB$840,11,0)),0,VLOOKUP($A91,Council_Data!$A$3:$AB$840,11,0))</f>
        <v>0</v>
      </c>
      <c r="K91" s="93">
        <f>IF(ISNA(VLOOKUP($A91,Council_Data!$A$3:$AB$840,12,0)),0,VLOOKUP($A91,Council_Data!$A$3:$AB$840,12,0))</f>
        <v>0</v>
      </c>
      <c r="L91" s="94">
        <f>IF(ISNA(VLOOKUP($A91,Council_Data!$A$3:$AB$840,13,0)),0,VLOOKUP($A91,Council_Data!$A$3:$AB$840,13,0))</f>
        <v>0</v>
      </c>
      <c r="M91" s="93">
        <f>IF(ISNA(VLOOKUP($A91,Council_Data!$A$3:$AB$840,14,0)),0,VLOOKUP($A91,Council_Data!$A$3:$AB$840,14,0))</f>
        <v>0</v>
      </c>
      <c r="N91" s="93">
        <f>IF(ISNA(VLOOKUP($A91,Council_Data!$A$3:$AB$840,15,0)),0,VLOOKUP($A91,Council_Data!$A$3:$AB$840,15,0))</f>
        <v>0</v>
      </c>
      <c r="O91" s="93">
        <f>IF(ISNA(VLOOKUP($A91,Council_Data!$A$3:$AB$840,16,0)),0,VLOOKUP($A91,Council_Data!$A$3:$AB$840,16,0))</f>
        <v>0</v>
      </c>
      <c r="P91" s="93">
        <f>IF(ISNA(VLOOKUP($A91,Council_Data!$A$3:$AB$840,17,0)),0,VLOOKUP($A91,Council_Data!$A$3:$AB$840,17,0))</f>
        <v>0</v>
      </c>
      <c r="Q91" s="93">
        <f>IF(ISNA(VLOOKUP($A91,Council_Data!$A$3:$AB$840,18,0)),0,VLOOKUP($A91,Council_Data!$A$3:$AB$840,18,0))</f>
        <v>0</v>
      </c>
      <c r="R91" s="93">
        <f>IF(ISNA(VLOOKUP($A91,Council_Data!$A$3:$AB$840,19,0)),0,VLOOKUP($A91,Council_Data!$A$3:$AB$840,19,0))</f>
        <v>1</v>
      </c>
      <c r="S91" s="93">
        <f>IF(ISNA(VLOOKUP($A91,Council_Data!$A$3:$AB$840,20,0)),0,VLOOKUP($A91,Council_Data!$A$3:$AB$840,20,0))</f>
        <v>-1</v>
      </c>
      <c r="T91" s="94">
        <f>IF(ISNA(VLOOKUP($A91,Council_Data!$A$3:$AB$840,21,0)),0,VLOOKUP($A91,Council_Data!$A$3:$AB$840,21,0))</f>
        <v>0</v>
      </c>
      <c r="U91" s="93">
        <f>IF(ISNA(VLOOKUP($A91,Council_Data!$A$3:$AB$840,23,0)),0,VLOOKUP($A91,Council_Data!$A$3:$AB$840,23,0))</f>
        <v>1</v>
      </c>
      <c r="V91" s="50" t="str">
        <f>IF(ISNA(VLOOKUP($A91,Council_Data!$A$3:$AB$840,24,0)),0,VLOOKUP($A91,Council_Data!$A$3:$AB$840,24,0))</f>
        <v>Dougherty</v>
      </c>
    </row>
    <row r="92" spans="1:22">
      <c r="A92" s="93">
        <v>12208</v>
      </c>
      <c r="B92" s="50" t="str">
        <f>IF(ISNA(VLOOKUP($A92,Council_Data!$A$3:$AB$840,2,0)),0,VLOOKUP($A92,Council_Data!$A$3:$AB$840,2,0))</f>
        <v>046</v>
      </c>
      <c r="C92" s="50" t="str">
        <f>IF(ISNA(VLOOKUP($A92,Council_Data!$A$3:$AB$840,3,0)),0,VLOOKUP($A92,Council_Data!$A$3:$AB$840,3,0))</f>
        <v>La Vernia</v>
      </c>
      <c r="D92" s="93">
        <f>IF(ISNA(VLOOKUP($A92,Council_Data!$A$3:$AB$840,5,0)),0,VLOOKUP($A92,Council_Data!$A$3:$AB$840,5,0))</f>
        <v>145</v>
      </c>
      <c r="E92" s="93">
        <f>IF(ISNA(VLOOKUP($A92,Council_Data!$A$3:$AB$840,6,0)),0,VLOOKUP($A92,Council_Data!$A$3:$AB$840,6,0))</f>
        <v>7</v>
      </c>
      <c r="F92" s="93">
        <f>IF(ISNA(VLOOKUP($A92,Council_Data!$A$3:$AB$840,7,0)),0,VLOOKUP($A92,Council_Data!$A$3:$AB$840,7,0))</f>
        <v>0</v>
      </c>
      <c r="G92" s="93">
        <f>IF(ISNA(VLOOKUP($A92,Council_Data!$A$3:$AB$840,8,0)),0,VLOOKUP($A92,Council_Data!$A$3:$AB$840,8,0))</f>
        <v>0</v>
      </c>
      <c r="H92" s="93">
        <f>IF(ISNA(VLOOKUP($A92,Council_Data!$A$3:$AB$840,9,0)),0,VLOOKUP($A92,Council_Data!$A$3:$AB$840,9,0))</f>
        <v>0</v>
      </c>
      <c r="I92" s="93">
        <f>IF(ISNA(VLOOKUP($A92,Council_Data!$A$3:$AB$840,10,0)),0,VLOOKUP($A92,Council_Data!$A$3:$AB$840,10,0))</f>
        <v>0</v>
      </c>
      <c r="J92" s="93">
        <f>IF(ISNA(VLOOKUP($A92,Council_Data!$A$3:$AB$840,11,0)),0,VLOOKUP($A92,Council_Data!$A$3:$AB$840,11,0))</f>
        <v>0</v>
      </c>
      <c r="K92" s="93">
        <f>IF(ISNA(VLOOKUP($A92,Council_Data!$A$3:$AB$840,12,0)),0,VLOOKUP($A92,Council_Data!$A$3:$AB$840,12,0))</f>
        <v>0</v>
      </c>
      <c r="L92" s="94">
        <f>IF(ISNA(VLOOKUP($A92,Council_Data!$A$3:$AB$840,13,0)),0,VLOOKUP($A92,Council_Data!$A$3:$AB$840,13,0))</f>
        <v>0</v>
      </c>
      <c r="M92" s="93">
        <f>IF(ISNA(VLOOKUP($A92,Council_Data!$A$3:$AB$840,14,0)),0,VLOOKUP($A92,Council_Data!$A$3:$AB$840,14,0))</f>
        <v>0</v>
      </c>
      <c r="N92" s="93">
        <f>IF(ISNA(VLOOKUP($A92,Council_Data!$A$3:$AB$840,15,0)),0,VLOOKUP($A92,Council_Data!$A$3:$AB$840,15,0))</f>
        <v>0</v>
      </c>
      <c r="O92" s="93">
        <f>IF(ISNA(VLOOKUP($A92,Council_Data!$A$3:$AB$840,16,0)),0,VLOOKUP($A92,Council_Data!$A$3:$AB$840,16,0))</f>
        <v>1</v>
      </c>
      <c r="P92" s="93">
        <f>IF(ISNA(VLOOKUP($A92,Council_Data!$A$3:$AB$840,17,0)),0,VLOOKUP($A92,Council_Data!$A$3:$AB$840,17,0))</f>
        <v>-1</v>
      </c>
      <c r="Q92" s="93">
        <f>IF(ISNA(VLOOKUP($A92,Council_Data!$A$3:$AB$840,18,0)),0,VLOOKUP($A92,Council_Data!$A$3:$AB$840,18,0))</f>
        <v>0</v>
      </c>
      <c r="R92" s="93">
        <f>IF(ISNA(VLOOKUP($A92,Council_Data!$A$3:$AB$840,19,0)),0,VLOOKUP($A92,Council_Data!$A$3:$AB$840,19,0))</f>
        <v>1</v>
      </c>
      <c r="S92" s="93">
        <f>IF(ISNA(VLOOKUP($A92,Council_Data!$A$3:$AB$840,20,0)),0,VLOOKUP($A92,Council_Data!$A$3:$AB$840,20,0))</f>
        <v>-1</v>
      </c>
      <c r="T92" s="94">
        <f>IF(ISNA(VLOOKUP($A92,Council_Data!$A$3:$AB$840,21,0)),0,VLOOKUP($A92,Council_Data!$A$3:$AB$840,21,0))</f>
        <v>0</v>
      </c>
      <c r="U92" s="93">
        <f>IF(ISNA(VLOOKUP($A92,Council_Data!$A$3:$AB$840,23,0)),0,VLOOKUP($A92,Council_Data!$A$3:$AB$840,23,0))</f>
        <v>1</v>
      </c>
      <c r="V92" s="50" t="str">
        <f>IF(ISNA(VLOOKUP($A92,Council_Data!$A$3:$AB$840,24,0)),0,VLOOKUP($A92,Council_Data!$A$3:$AB$840,24,0))</f>
        <v>Dougherty</v>
      </c>
    </row>
    <row r="93" spans="1:22">
      <c r="A93" s="93">
        <v>12367</v>
      </c>
      <c r="B93" s="50" t="str">
        <f>IF(ISNA(VLOOKUP($A93,Council_Data!$A$3:$AB$840,2,0)),0,VLOOKUP($A93,Council_Data!$A$3:$AB$840,2,0))</f>
        <v>037</v>
      </c>
      <c r="C93" s="50" t="str">
        <f>IF(ISNA(VLOOKUP($A93,Council_Data!$A$3:$AB$840,3,0)),0,VLOOKUP($A93,Council_Data!$A$3:$AB$840,3,0))</f>
        <v>Dilley</v>
      </c>
      <c r="D93" s="93">
        <f>IF(ISNA(VLOOKUP($A93,Council_Data!$A$3:$AB$840,5,0)),0,VLOOKUP($A93,Council_Data!$A$3:$AB$840,5,0))</f>
        <v>76</v>
      </c>
      <c r="E93" s="93">
        <f>IF(ISNA(VLOOKUP($A93,Council_Data!$A$3:$AB$840,6,0)),0,VLOOKUP($A93,Council_Data!$A$3:$AB$840,6,0))</f>
        <v>4</v>
      </c>
      <c r="F93" s="93">
        <f>IF(ISNA(VLOOKUP($A93,Council_Data!$A$3:$AB$840,7,0)),0,VLOOKUP($A93,Council_Data!$A$3:$AB$840,7,0))</f>
        <v>0</v>
      </c>
      <c r="G93" s="93">
        <f>IF(ISNA(VLOOKUP($A93,Council_Data!$A$3:$AB$840,8,0)),0,VLOOKUP($A93,Council_Data!$A$3:$AB$840,8,0))</f>
        <v>0</v>
      </c>
      <c r="H93" s="93">
        <f>IF(ISNA(VLOOKUP($A93,Council_Data!$A$3:$AB$840,9,0)),0,VLOOKUP($A93,Council_Data!$A$3:$AB$840,9,0))</f>
        <v>0</v>
      </c>
      <c r="I93" s="93">
        <f>IF(ISNA(VLOOKUP($A93,Council_Data!$A$3:$AB$840,10,0)),0,VLOOKUP($A93,Council_Data!$A$3:$AB$840,10,0))</f>
        <v>0</v>
      </c>
      <c r="J93" s="93">
        <f>IF(ISNA(VLOOKUP($A93,Council_Data!$A$3:$AB$840,11,0)),0,VLOOKUP($A93,Council_Data!$A$3:$AB$840,11,0))</f>
        <v>0</v>
      </c>
      <c r="K93" s="93">
        <f>IF(ISNA(VLOOKUP($A93,Council_Data!$A$3:$AB$840,12,0)),0,VLOOKUP($A93,Council_Data!$A$3:$AB$840,12,0))</f>
        <v>0</v>
      </c>
      <c r="L93" s="94">
        <f>IF(ISNA(VLOOKUP($A93,Council_Data!$A$3:$AB$840,13,0)),0,VLOOKUP($A93,Council_Data!$A$3:$AB$840,13,0))</f>
        <v>0</v>
      </c>
      <c r="M93" s="93">
        <f>IF(ISNA(VLOOKUP($A93,Council_Data!$A$3:$AB$840,14,0)),0,VLOOKUP($A93,Council_Data!$A$3:$AB$840,14,0))</f>
        <v>0</v>
      </c>
      <c r="N93" s="93">
        <f>IF(ISNA(VLOOKUP($A93,Council_Data!$A$3:$AB$840,15,0)),0,VLOOKUP($A93,Council_Data!$A$3:$AB$840,15,0))</f>
        <v>0</v>
      </c>
      <c r="O93" s="93">
        <f>IF(ISNA(VLOOKUP($A93,Council_Data!$A$3:$AB$840,16,0)),0,VLOOKUP($A93,Council_Data!$A$3:$AB$840,16,0))</f>
        <v>0</v>
      </c>
      <c r="P93" s="93">
        <f>IF(ISNA(VLOOKUP($A93,Council_Data!$A$3:$AB$840,17,0)),0,VLOOKUP($A93,Council_Data!$A$3:$AB$840,17,0))</f>
        <v>0</v>
      </c>
      <c r="Q93" s="93">
        <f>IF(ISNA(VLOOKUP($A93,Council_Data!$A$3:$AB$840,18,0)),0,VLOOKUP($A93,Council_Data!$A$3:$AB$840,18,0))</f>
        <v>0</v>
      </c>
      <c r="R93" s="93">
        <f>IF(ISNA(VLOOKUP($A93,Council_Data!$A$3:$AB$840,19,0)),0,VLOOKUP($A93,Council_Data!$A$3:$AB$840,19,0))</f>
        <v>0</v>
      </c>
      <c r="S93" s="93">
        <f>IF(ISNA(VLOOKUP($A93,Council_Data!$A$3:$AB$840,20,0)),0,VLOOKUP($A93,Council_Data!$A$3:$AB$840,20,0))</f>
        <v>0</v>
      </c>
      <c r="T93" s="94">
        <f>IF(ISNA(VLOOKUP($A93,Council_Data!$A$3:$AB$840,21,0)),0,VLOOKUP($A93,Council_Data!$A$3:$AB$840,21,0))</f>
        <v>0</v>
      </c>
      <c r="U93" s="93">
        <f>IF(ISNA(VLOOKUP($A93,Council_Data!$A$3:$AB$840,23,0)),0,VLOOKUP($A93,Council_Data!$A$3:$AB$840,23,0))</f>
        <v>2</v>
      </c>
      <c r="V93" s="50" t="str">
        <f>IF(ISNA(VLOOKUP($A93,Council_Data!$A$3:$AB$840,24,0)),0,VLOOKUP($A93,Council_Data!$A$3:$AB$840,24,0))</f>
        <v>Dougherty</v>
      </c>
    </row>
    <row r="94" spans="1:22">
      <c r="A94" s="93">
        <v>12521</v>
      </c>
      <c r="B94" s="50" t="str">
        <f>IF(ISNA(VLOOKUP($A94,Council_Data!$A$3:$AB$840,2,0)),0,VLOOKUP($A94,Council_Data!$A$3:$AB$840,2,0))</f>
        <v>039</v>
      </c>
      <c r="C94" s="50" t="str">
        <f>IF(ISNA(VLOOKUP($A94,Council_Data!$A$3:$AB$840,3,0)),0,VLOOKUP($A94,Council_Data!$A$3:$AB$840,3,0))</f>
        <v>San Antonio</v>
      </c>
      <c r="D94" s="93">
        <f>IF(ISNA(VLOOKUP($A94,Council_Data!$A$3:$AB$840,5,0)),0,VLOOKUP($A94,Council_Data!$A$3:$AB$840,5,0))</f>
        <v>28</v>
      </c>
      <c r="E94" s="93">
        <f>IF(ISNA(VLOOKUP($A94,Council_Data!$A$3:$AB$840,6,0)),0,VLOOKUP($A94,Council_Data!$A$3:$AB$840,6,0))</f>
        <v>3</v>
      </c>
      <c r="F94" s="93">
        <f>IF(ISNA(VLOOKUP($A94,Council_Data!$A$3:$AB$840,7,0)),0,VLOOKUP($A94,Council_Data!$A$3:$AB$840,7,0))</f>
        <v>0</v>
      </c>
      <c r="G94" s="93">
        <f>IF(ISNA(VLOOKUP($A94,Council_Data!$A$3:$AB$840,8,0)),0,VLOOKUP($A94,Council_Data!$A$3:$AB$840,8,0))</f>
        <v>0</v>
      </c>
      <c r="H94" s="93">
        <f>IF(ISNA(VLOOKUP($A94,Council_Data!$A$3:$AB$840,9,0)),0,VLOOKUP($A94,Council_Data!$A$3:$AB$840,9,0))</f>
        <v>0</v>
      </c>
      <c r="I94" s="93">
        <f>IF(ISNA(VLOOKUP($A94,Council_Data!$A$3:$AB$840,10,0)),0,VLOOKUP($A94,Council_Data!$A$3:$AB$840,10,0))</f>
        <v>0</v>
      </c>
      <c r="J94" s="93">
        <f>IF(ISNA(VLOOKUP($A94,Council_Data!$A$3:$AB$840,11,0)),0,VLOOKUP($A94,Council_Data!$A$3:$AB$840,11,0))</f>
        <v>0</v>
      </c>
      <c r="K94" s="93">
        <f>IF(ISNA(VLOOKUP($A94,Council_Data!$A$3:$AB$840,12,0)),0,VLOOKUP($A94,Council_Data!$A$3:$AB$840,12,0))</f>
        <v>0</v>
      </c>
      <c r="L94" s="94">
        <f>IF(ISNA(VLOOKUP($A94,Council_Data!$A$3:$AB$840,13,0)),0,VLOOKUP($A94,Council_Data!$A$3:$AB$840,13,0))</f>
        <v>0</v>
      </c>
      <c r="M94" s="93">
        <f>IF(ISNA(VLOOKUP($A94,Council_Data!$A$3:$AB$840,14,0)),0,VLOOKUP($A94,Council_Data!$A$3:$AB$840,14,0))</f>
        <v>0</v>
      </c>
      <c r="N94" s="93">
        <f>IF(ISNA(VLOOKUP($A94,Council_Data!$A$3:$AB$840,15,0)),0,VLOOKUP($A94,Council_Data!$A$3:$AB$840,15,0))</f>
        <v>0</v>
      </c>
      <c r="O94" s="93">
        <f>IF(ISNA(VLOOKUP($A94,Council_Data!$A$3:$AB$840,16,0)),0,VLOOKUP($A94,Council_Data!$A$3:$AB$840,16,0))</f>
        <v>0</v>
      </c>
      <c r="P94" s="93">
        <f>IF(ISNA(VLOOKUP($A94,Council_Data!$A$3:$AB$840,17,0)),0,VLOOKUP($A94,Council_Data!$A$3:$AB$840,17,0))</f>
        <v>0</v>
      </c>
      <c r="Q94" s="93">
        <f>IF(ISNA(VLOOKUP($A94,Council_Data!$A$3:$AB$840,18,0)),0,VLOOKUP($A94,Council_Data!$A$3:$AB$840,18,0))</f>
        <v>0</v>
      </c>
      <c r="R94" s="93">
        <f>IF(ISNA(VLOOKUP($A94,Council_Data!$A$3:$AB$840,19,0)),0,VLOOKUP($A94,Council_Data!$A$3:$AB$840,19,0))</f>
        <v>0</v>
      </c>
      <c r="S94" s="93">
        <f>IF(ISNA(VLOOKUP($A94,Council_Data!$A$3:$AB$840,20,0)),0,VLOOKUP($A94,Council_Data!$A$3:$AB$840,20,0))</f>
        <v>0</v>
      </c>
      <c r="T94" s="94">
        <f>IF(ISNA(VLOOKUP($A94,Council_Data!$A$3:$AB$840,21,0)),0,VLOOKUP($A94,Council_Data!$A$3:$AB$840,21,0))</f>
        <v>0</v>
      </c>
      <c r="U94" s="93">
        <f>IF(ISNA(VLOOKUP($A94,Council_Data!$A$3:$AB$840,23,0)),0,VLOOKUP($A94,Council_Data!$A$3:$AB$840,23,0))</f>
        <v>3</v>
      </c>
      <c r="V94" s="50" t="str">
        <f>IF(ISNA(VLOOKUP($A94,Council_Data!$A$3:$AB$840,24,0)),0,VLOOKUP($A94,Council_Data!$A$3:$AB$840,24,0))</f>
        <v>Dougherty</v>
      </c>
    </row>
    <row r="95" spans="1:22" ht="13.5" customHeight="1">
      <c r="A95" s="93">
        <v>13041</v>
      </c>
      <c r="B95" s="50" t="str">
        <f>IF(ISNA(VLOOKUP($A95,Council_Data!$A$3:$AB$840,2,0)),0,VLOOKUP($A95,Council_Data!$A$3:$AB$840,2,0))</f>
        <v>062</v>
      </c>
      <c r="C95" s="50" t="str">
        <f>IF(ISNA(VLOOKUP($A95,Council_Data!$A$3:$AB$840,3,0)),0,VLOOKUP($A95,Council_Data!$A$3:$AB$840,3,0))</f>
        <v>San Antonio</v>
      </c>
      <c r="D95" s="93">
        <f>IF(ISNA(VLOOKUP($A95,Council_Data!$A$3:$AB$840,5,0)),0,VLOOKUP($A95,Council_Data!$A$3:$AB$840,5,0))</f>
        <v>43</v>
      </c>
      <c r="E95" s="93">
        <f>IF(ISNA(VLOOKUP($A95,Council_Data!$A$3:$AB$840,6,0)),0,VLOOKUP($A95,Council_Data!$A$3:$AB$840,6,0))</f>
        <v>3</v>
      </c>
      <c r="F95" s="93">
        <f>IF(ISNA(VLOOKUP($A95,Council_Data!$A$3:$AB$840,7,0)),0,VLOOKUP($A95,Council_Data!$A$3:$AB$840,7,0))</f>
        <v>0</v>
      </c>
      <c r="G95" s="93">
        <f>IF(ISNA(VLOOKUP($A95,Council_Data!$A$3:$AB$840,8,0)),0,VLOOKUP($A95,Council_Data!$A$3:$AB$840,8,0))</f>
        <v>0</v>
      </c>
      <c r="H95" s="93">
        <f>IF(ISNA(VLOOKUP($A95,Council_Data!$A$3:$AB$840,9,0)),0,VLOOKUP($A95,Council_Data!$A$3:$AB$840,9,0))</f>
        <v>0</v>
      </c>
      <c r="I95" s="93">
        <f>IF(ISNA(VLOOKUP($A95,Council_Data!$A$3:$AB$840,10,0)),0,VLOOKUP($A95,Council_Data!$A$3:$AB$840,10,0))</f>
        <v>0</v>
      </c>
      <c r="J95" s="93">
        <f>IF(ISNA(VLOOKUP($A95,Council_Data!$A$3:$AB$840,11,0)),0,VLOOKUP($A95,Council_Data!$A$3:$AB$840,11,0))</f>
        <v>0</v>
      </c>
      <c r="K95" s="93">
        <f>IF(ISNA(VLOOKUP($A95,Council_Data!$A$3:$AB$840,12,0)),0,VLOOKUP($A95,Council_Data!$A$3:$AB$840,12,0))</f>
        <v>0</v>
      </c>
      <c r="L95" s="94">
        <f>IF(ISNA(VLOOKUP($A95,Council_Data!$A$3:$AB$840,13,0)),0,VLOOKUP($A95,Council_Data!$A$3:$AB$840,13,0))</f>
        <v>0</v>
      </c>
      <c r="M95" s="93">
        <f>IF(ISNA(VLOOKUP($A95,Council_Data!$A$3:$AB$840,14,0)),0,VLOOKUP($A95,Council_Data!$A$3:$AB$840,14,0))</f>
        <v>0</v>
      </c>
      <c r="N95" s="93">
        <f>IF(ISNA(VLOOKUP($A95,Council_Data!$A$3:$AB$840,15,0)),0,VLOOKUP($A95,Council_Data!$A$3:$AB$840,15,0))</f>
        <v>0</v>
      </c>
      <c r="O95" s="93">
        <f>IF(ISNA(VLOOKUP($A95,Council_Data!$A$3:$AB$840,16,0)),0,VLOOKUP($A95,Council_Data!$A$3:$AB$840,16,0))</f>
        <v>0</v>
      </c>
      <c r="P95" s="93">
        <f>IF(ISNA(VLOOKUP($A95,Council_Data!$A$3:$AB$840,17,0)),0,VLOOKUP($A95,Council_Data!$A$3:$AB$840,17,0))</f>
        <v>0</v>
      </c>
      <c r="Q95" s="93">
        <f>IF(ISNA(VLOOKUP($A95,Council_Data!$A$3:$AB$840,18,0)),0,VLOOKUP($A95,Council_Data!$A$3:$AB$840,18,0))</f>
        <v>0</v>
      </c>
      <c r="R95" s="93">
        <f>IF(ISNA(VLOOKUP($A95,Council_Data!$A$3:$AB$840,19,0)),0,VLOOKUP($A95,Council_Data!$A$3:$AB$840,19,0))</f>
        <v>0</v>
      </c>
      <c r="S95" s="93">
        <f>IF(ISNA(VLOOKUP($A95,Council_Data!$A$3:$AB$840,20,0)),0,VLOOKUP($A95,Council_Data!$A$3:$AB$840,20,0))</f>
        <v>0</v>
      </c>
      <c r="T95" s="94">
        <f>IF(ISNA(VLOOKUP($A95,Council_Data!$A$3:$AB$840,21,0)),0,VLOOKUP($A95,Council_Data!$A$3:$AB$840,21,0))</f>
        <v>0</v>
      </c>
      <c r="U95" s="93">
        <f>IF(ISNA(VLOOKUP($A95,Council_Data!$A$3:$AB$840,23,0)),0,VLOOKUP($A95,Council_Data!$A$3:$AB$840,23,0))</f>
        <v>3</v>
      </c>
      <c r="V95" s="50" t="str">
        <f>IF(ISNA(VLOOKUP($A95,Council_Data!$A$3:$AB$840,24,0)),0,VLOOKUP($A95,Council_Data!$A$3:$AB$840,24,0))</f>
        <v>Dougherty</v>
      </c>
    </row>
    <row r="96" spans="1:22">
      <c r="A96" s="93">
        <v>13523</v>
      </c>
      <c r="B96" s="50" t="str">
        <f>IF(ISNA(VLOOKUP($A96,Council_Data!$A$3:$AB$840,2,0)),0,VLOOKUP($A96,Council_Data!$A$3:$AB$840,2,0))</f>
        <v>044</v>
      </c>
      <c r="C96" s="50" t="str">
        <f>IF(ISNA(VLOOKUP($A96,Council_Data!$A$3:$AB$840,3,0)),0,VLOOKUP($A96,Council_Data!$A$3:$AB$840,3,0))</f>
        <v>San Antonio</v>
      </c>
      <c r="D96" s="93">
        <f>IF(ISNA(VLOOKUP($A96,Council_Data!$A$3:$AB$840,5,0)),0,VLOOKUP($A96,Council_Data!$A$3:$AB$840,5,0))</f>
        <v>96</v>
      </c>
      <c r="E96" s="93">
        <f>IF(ISNA(VLOOKUP($A96,Council_Data!$A$3:$AB$840,6,0)),0,VLOOKUP($A96,Council_Data!$A$3:$AB$840,6,0))</f>
        <v>5</v>
      </c>
      <c r="F96" s="93">
        <f>IF(ISNA(VLOOKUP($A96,Council_Data!$A$3:$AB$840,7,0)),0,VLOOKUP($A96,Council_Data!$A$3:$AB$840,7,0))</f>
        <v>0</v>
      </c>
      <c r="G96" s="93">
        <f>IF(ISNA(VLOOKUP($A96,Council_Data!$A$3:$AB$840,8,0)),0,VLOOKUP($A96,Council_Data!$A$3:$AB$840,8,0))</f>
        <v>0</v>
      </c>
      <c r="H96" s="93">
        <f>IF(ISNA(VLOOKUP($A96,Council_Data!$A$3:$AB$840,9,0)),0,VLOOKUP($A96,Council_Data!$A$3:$AB$840,9,0))</f>
        <v>0</v>
      </c>
      <c r="I96" s="93">
        <f>IF(ISNA(VLOOKUP($A96,Council_Data!$A$3:$AB$840,10,0)),0,VLOOKUP($A96,Council_Data!$A$3:$AB$840,10,0))</f>
        <v>0</v>
      </c>
      <c r="J96" s="93">
        <f>IF(ISNA(VLOOKUP($A96,Council_Data!$A$3:$AB$840,11,0)),0,VLOOKUP($A96,Council_Data!$A$3:$AB$840,11,0))</f>
        <v>0</v>
      </c>
      <c r="K96" s="93">
        <f>IF(ISNA(VLOOKUP($A96,Council_Data!$A$3:$AB$840,12,0)),0,VLOOKUP($A96,Council_Data!$A$3:$AB$840,12,0))</f>
        <v>0</v>
      </c>
      <c r="L96" s="94">
        <f>IF(ISNA(VLOOKUP($A96,Council_Data!$A$3:$AB$840,13,0)),0,VLOOKUP($A96,Council_Data!$A$3:$AB$840,13,0))</f>
        <v>0</v>
      </c>
      <c r="M96" s="93">
        <f>IF(ISNA(VLOOKUP($A96,Council_Data!$A$3:$AB$840,14,0)),0,VLOOKUP($A96,Council_Data!$A$3:$AB$840,14,0))</f>
        <v>0</v>
      </c>
      <c r="N96" s="93">
        <f>IF(ISNA(VLOOKUP($A96,Council_Data!$A$3:$AB$840,15,0)),0,VLOOKUP($A96,Council_Data!$A$3:$AB$840,15,0))</f>
        <v>0</v>
      </c>
      <c r="O96" s="93">
        <f>IF(ISNA(VLOOKUP($A96,Council_Data!$A$3:$AB$840,16,0)),0,VLOOKUP($A96,Council_Data!$A$3:$AB$840,16,0))</f>
        <v>0</v>
      </c>
      <c r="P96" s="93">
        <f>IF(ISNA(VLOOKUP($A96,Council_Data!$A$3:$AB$840,17,0)),0,VLOOKUP($A96,Council_Data!$A$3:$AB$840,17,0))</f>
        <v>0</v>
      </c>
      <c r="Q96" s="93">
        <f>IF(ISNA(VLOOKUP($A96,Council_Data!$A$3:$AB$840,18,0)),0,VLOOKUP($A96,Council_Data!$A$3:$AB$840,18,0))</f>
        <v>0</v>
      </c>
      <c r="R96" s="93">
        <f>IF(ISNA(VLOOKUP($A96,Council_Data!$A$3:$AB$840,19,0)),0,VLOOKUP($A96,Council_Data!$A$3:$AB$840,19,0))</f>
        <v>0</v>
      </c>
      <c r="S96" s="93">
        <f>IF(ISNA(VLOOKUP($A96,Council_Data!$A$3:$AB$840,20,0)),0,VLOOKUP($A96,Council_Data!$A$3:$AB$840,20,0))</f>
        <v>0</v>
      </c>
      <c r="T96" s="94">
        <f>IF(ISNA(VLOOKUP($A96,Council_Data!$A$3:$AB$840,21,0)),0,VLOOKUP($A96,Council_Data!$A$3:$AB$840,21,0))</f>
        <v>0</v>
      </c>
      <c r="U96" s="93">
        <f>IF(ISNA(VLOOKUP($A96,Council_Data!$A$3:$AB$840,23,0)),0,VLOOKUP($A96,Council_Data!$A$3:$AB$840,23,0))</f>
        <v>2</v>
      </c>
      <c r="V96" s="50" t="str">
        <f>IF(ISNA(VLOOKUP($A96,Council_Data!$A$3:$AB$840,24,0)),0,VLOOKUP($A96,Council_Data!$A$3:$AB$840,24,0))</f>
        <v>Dougherty</v>
      </c>
    </row>
    <row r="97" spans="1:22" ht="25.5">
      <c r="A97" s="93">
        <v>13572</v>
      </c>
      <c r="B97" s="50" t="str">
        <f>IF(ISNA(VLOOKUP($A97,Council_Data!$A$3:$AB$840,2,0)),0,VLOOKUP($A97,Council_Data!$A$3:$AB$840,2,0))</f>
        <v>061</v>
      </c>
      <c r="C97" s="50" t="str">
        <f>IF(ISNA(VLOOKUP($A97,Council_Data!$A$3:$AB$840,3,0)),0,VLOOKUP($A97,Council_Data!$A$3:$AB$840,3,0))</f>
        <v>Alamo Hts, San Antonio</v>
      </c>
      <c r="D97" s="93">
        <f>IF(ISNA(VLOOKUP($A97,Council_Data!$A$3:$AB$840,5,0)),0,VLOOKUP($A97,Council_Data!$A$3:$AB$840,5,0))</f>
        <v>55</v>
      </c>
      <c r="E97" s="93">
        <f>IF(ISNA(VLOOKUP($A97,Council_Data!$A$3:$AB$840,6,0)),0,VLOOKUP($A97,Council_Data!$A$3:$AB$840,6,0))</f>
        <v>3</v>
      </c>
      <c r="F97" s="93">
        <f>IF(ISNA(VLOOKUP($A97,Council_Data!$A$3:$AB$840,7,0)),0,VLOOKUP($A97,Council_Data!$A$3:$AB$840,7,0))</f>
        <v>0</v>
      </c>
      <c r="G97" s="93">
        <f>IF(ISNA(VLOOKUP($A97,Council_Data!$A$3:$AB$840,8,0)),0,VLOOKUP($A97,Council_Data!$A$3:$AB$840,8,0))</f>
        <v>0</v>
      </c>
      <c r="H97" s="93">
        <f>IF(ISNA(VLOOKUP($A97,Council_Data!$A$3:$AB$840,9,0)),0,VLOOKUP($A97,Council_Data!$A$3:$AB$840,9,0))</f>
        <v>0</v>
      </c>
      <c r="I97" s="93">
        <f>IF(ISNA(VLOOKUP($A97,Council_Data!$A$3:$AB$840,10,0)),0,VLOOKUP($A97,Council_Data!$A$3:$AB$840,10,0))</f>
        <v>0</v>
      </c>
      <c r="J97" s="93">
        <f>IF(ISNA(VLOOKUP($A97,Council_Data!$A$3:$AB$840,11,0)),0,VLOOKUP($A97,Council_Data!$A$3:$AB$840,11,0))</f>
        <v>0</v>
      </c>
      <c r="K97" s="93">
        <f>IF(ISNA(VLOOKUP($A97,Council_Data!$A$3:$AB$840,12,0)),0,VLOOKUP($A97,Council_Data!$A$3:$AB$840,12,0))</f>
        <v>0</v>
      </c>
      <c r="L97" s="94">
        <f>IF(ISNA(VLOOKUP($A97,Council_Data!$A$3:$AB$840,13,0)),0,VLOOKUP($A97,Council_Data!$A$3:$AB$840,13,0))</f>
        <v>0</v>
      </c>
      <c r="M97" s="93">
        <f>IF(ISNA(VLOOKUP($A97,Council_Data!$A$3:$AB$840,14,0)),0,VLOOKUP($A97,Council_Data!$A$3:$AB$840,14,0))</f>
        <v>0</v>
      </c>
      <c r="N97" s="93">
        <f>IF(ISNA(VLOOKUP($A97,Council_Data!$A$3:$AB$840,15,0)),0,VLOOKUP($A97,Council_Data!$A$3:$AB$840,15,0))</f>
        <v>0</v>
      </c>
      <c r="O97" s="93">
        <f>IF(ISNA(VLOOKUP($A97,Council_Data!$A$3:$AB$840,16,0)),0,VLOOKUP($A97,Council_Data!$A$3:$AB$840,16,0))</f>
        <v>0</v>
      </c>
      <c r="P97" s="93">
        <f>IF(ISNA(VLOOKUP($A97,Council_Data!$A$3:$AB$840,17,0)),0,VLOOKUP($A97,Council_Data!$A$3:$AB$840,17,0))</f>
        <v>0</v>
      </c>
      <c r="Q97" s="93">
        <f>IF(ISNA(VLOOKUP($A97,Council_Data!$A$3:$AB$840,18,0)),0,VLOOKUP($A97,Council_Data!$A$3:$AB$840,18,0))</f>
        <v>0</v>
      </c>
      <c r="R97" s="93">
        <f>IF(ISNA(VLOOKUP($A97,Council_Data!$A$3:$AB$840,19,0)),0,VLOOKUP($A97,Council_Data!$A$3:$AB$840,19,0))</f>
        <v>1</v>
      </c>
      <c r="S97" s="93">
        <f>IF(ISNA(VLOOKUP($A97,Council_Data!$A$3:$AB$840,20,0)),0,VLOOKUP($A97,Council_Data!$A$3:$AB$840,20,0))</f>
        <v>-1</v>
      </c>
      <c r="T97" s="94">
        <f>IF(ISNA(VLOOKUP($A97,Council_Data!$A$3:$AB$840,21,0)),0,VLOOKUP($A97,Council_Data!$A$3:$AB$840,21,0))</f>
        <v>0</v>
      </c>
      <c r="U97" s="93">
        <f>IF(ISNA(VLOOKUP($A97,Council_Data!$A$3:$AB$840,23,0)),0,VLOOKUP($A97,Council_Data!$A$3:$AB$840,23,0))</f>
        <v>3</v>
      </c>
      <c r="V97" s="50" t="str">
        <f>IF(ISNA(VLOOKUP($A97,Council_Data!$A$3:$AB$840,24,0)),0,VLOOKUP($A97,Council_Data!$A$3:$AB$840,24,0))</f>
        <v>Dougherty</v>
      </c>
    </row>
    <row r="98" spans="1:22">
      <c r="A98" s="93">
        <v>13704</v>
      </c>
      <c r="B98" s="50" t="str">
        <f>IF(ISNA(VLOOKUP($A98,Council_Data!$A$3:$AB$840,2,0)),0,VLOOKUP($A98,Council_Data!$A$3:$AB$840,2,0))</f>
        <v>044</v>
      </c>
      <c r="C98" s="50" t="str">
        <f>IF(ISNA(VLOOKUP($A98,Council_Data!$A$3:$AB$840,3,0)),0,VLOOKUP($A98,Council_Data!$A$3:$AB$840,3,0))</f>
        <v>San Antonio</v>
      </c>
      <c r="D98" s="93">
        <f>IF(ISNA(VLOOKUP($A98,Council_Data!$A$3:$AB$840,5,0)),0,VLOOKUP($A98,Council_Data!$A$3:$AB$840,5,0))</f>
        <v>168</v>
      </c>
      <c r="E98" s="93">
        <f>IF(ISNA(VLOOKUP($A98,Council_Data!$A$3:$AB$840,6,0)),0,VLOOKUP($A98,Council_Data!$A$3:$AB$840,6,0))</f>
        <v>8</v>
      </c>
      <c r="F98" s="93">
        <f>IF(ISNA(VLOOKUP($A98,Council_Data!$A$3:$AB$840,7,0)),0,VLOOKUP($A98,Council_Data!$A$3:$AB$840,7,0))</f>
        <v>0</v>
      </c>
      <c r="G98" s="93">
        <f>IF(ISNA(VLOOKUP($A98,Council_Data!$A$3:$AB$840,8,0)),0,VLOOKUP($A98,Council_Data!$A$3:$AB$840,8,0))</f>
        <v>18</v>
      </c>
      <c r="H98" s="93">
        <f>IF(ISNA(VLOOKUP($A98,Council_Data!$A$3:$AB$840,9,0)),0,VLOOKUP($A98,Council_Data!$A$3:$AB$840,9,0))</f>
        <v>-18</v>
      </c>
      <c r="I98" s="93">
        <f>IF(ISNA(VLOOKUP($A98,Council_Data!$A$3:$AB$840,10,0)),0,VLOOKUP($A98,Council_Data!$A$3:$AB$840,10,0))</f>
        <v>2</v>
      </c>
      <c r="J98" s="93">
        <f>IF(ISNA(VLOOKUP($A98,Council_Data!$A$3:$AB$840,11,0)),0,VLOOKUP($A98,Council_Data!$A$3:$AB$840,11,0))</f>
        <v>18</v>
      </c>
      <c r="K98" s="93">
        <f>IF(ISNA(VLOOKUP($A98,Council_Data!$A$3:$AB$840,12,0)),0,VLOOKUP($A98,Council_Data!$A$3:$AB$840,12,0))</f>
        <v>-16</v>
      </c>
      <c r="L98" s="94">
        <f>IF(ISNA(VLOOKUP($A98,Council_Data!$A$3:$AB$840,13,0)),0,VLOOKUP($A98,Council_Data!$A$3:$AB$840,13,0))</f>
        <v>0</v>
      </c>
      <c r="M98" s="93">
        <f>IF(ISNA(VLOOKUP($A98,Council_Data!$A$3:$AB$840,14,0)),0,VLOOKUP($A98,Council_Data!$A$3:$AB$840,14,0))</f>
        <v>0</v>
      </c>
      <c r="N98" s="93">
        <f>IF(ISNA(VLOOKUP($A98,Council_Data!$A$3:$AB$840,15,0)),0,VLOOKUP($A98,Council_Data!$A$3:$AB$840,15,0))</f>
        <v>0</v>
      </c>
      <c r="O98" s="93">
        <f>IF(ISNA(VLOOKUP($A98,Council_Data!$A$3:$AB$840,16,0)),0,VLOOKUP($A98,Council_Data!$A$3:$AB$840,16,0))</f>
        <v>1</v>
      </c>
      <c r="P98" s="93">
        <f>IF(ISNA(VLOOKUP($A98,Council_Data!$A$3:$AB$840,17,0)),0,VLOOKUP($A98,Council_Data!$A$3:$AB$840,17,0))</f>
        <v>-1</v>
      </c>
      <c r="Q98" s="93">
        <f>IF(ISNA(VLOOKUP($A98,Council_Data!$A$3:$AB$840,18,0)),0,VLOOKUP($A98,Council_Data!$A$3:$AB$840,18,0))</f>
        <v>2</v>
      </c>
      <c r="R98" s="93">
        <f>IF(ISNA(VLOOKUP($A98,Council_Data!$A$3:$AB$840,19,0)),0,VLOOKUP($A98,Council_Data!$A$3:$AB$840,19,0))</f>
        <v>2</v>
      </c>
      <c r="S98" s="93">
        <f>IF(ISNA(VLOOKUP($A98,Council_Data!$A$3:$AB$840,20,0)),0,VLOOKUP($A98,Council_Data!$A$3:$AB$840,20,0))</f>
        <v>0</v>
      </c>
      <c r="T98" s="94">
        <f>IF(ISNA(VLOOKUP($A98,Council_Data!$A$3:$AB$840,21,0)),0,VLOOKUP($A98,Council_Data!$A$3:$AB$840,21,0))</f>
        <v>0</v>
      </c>
      <c r="U98" s="93">
        <f>IF(ISNA(VLOOKUP($A98,Council_Data!$A$3:$AB$840,23,0)),0,VLOOKUP($A98,Council_Data!$A$3:$AB$840,23,0))</f>
        <v>1</v>
      </c>
      <c r="V98" s="50" t="str">
        <f>IF(ISNA(VLOOKUP($A98,Council_Data!$A$3:$AB$840,24,0)),0,VLOOKUP($A98,Council_Data!$A$3:$AB$840,24,0))</f>
        <v>Dougherty</v>
      </c>
    </row>
    <row r="99" spans="1:22" ht="13.5" customHeight="1">
      <c r="A99" s="93">
        <v>13957</v>
      </c>
      <c r="B99" s="50" t="str">
        <f>IF(ISNA(VLOOKUP($A99,Council_Data!$A$3:$AB$840,2,0)),0,VLOOKUP($A99,Council_Data!$A$3:$AB$840,2,0))</f>
        <v>057</v>
      </c>
      <c r="C99" s="50" t="str">
        <f>IF(ISNA(VLOOKUP($A99,Council_Data!$A$3:$AB$840,3,0)),0,VLOOKUP($A99,Council_Data!$A$3:$AB$840,3,0))</f>
        <v>Leming</v>
      </c>
      <c r="D99" s="93">
        <f>IF(ISNA(VLOOKUP($A99,Council_Data!$A$3:$AB$840,5,0)),0,VLOOKUP($A99,Council_Data!$A$3:$AB$840,5,0))</f>
        <v>35</v>
      </c>
      <c r="E99" s="93">
        <f>IF(ISNA(VLOOKUP($A99,Council_Data!$A$3:$AB$840,6,0)),0,VLOOKUP($A99,Council_Data!$A$3:$AB$840,6,0))</f>
        <v>3</v>
      </c>
      <c r="F99" s="93">
        <f>IF(ISNA(VLOOKUP($A99,Council_Data!$A$3:$AB$840,7,0)),0,VLOOKUP($A99,Council_Data!$A$3:$AB$840,7,0))</f>
        <v>0</v>
      </c>
      <c r="G99" s="93">
        <f>IF(ISNA(VLOOKUP($A99,Council_Data!$A$3:$AB$840,8,0)),0,VLOOKUP($A99,Council_Data!$A$3:$AB$840,8,0))</f>
        <v>0</v>
      </c>
      <c r="H99" s="93">
        <f>IF(ISNA(VLOOKUP($A99,Council_Data!$A$3:$AB$840,9,0)),0,VLOOKUP($A99,Council_Data!$A$3:$AB$840,9,0))</f>
        <v>0</v>
      </c>
      <c r="I99" s="93">
        <f>IF(ISNA(VLOOKUP($A99,Council_Data!$A$3:$AB$840,10,0)),0,VLOOKUP($A99,Council_Data!$A$3:$AB$840,10,0))</f>
        <v>0</v>
      </c>
      <c r="J99" s="93">
        <f>IF(ISNA(VLOOKUP($A99,Council_Data!$A$3:$AB$840,11,0)),0,VLOOKUP($A99,Council_Data!$A$3:$AB$840,11,0))</f>
        <v>0</v>
      </c>
      <c r="K99" s="93">
        <f>IF(ISNA(VLOOKUP($A99,Council_Data!$A$3:$AB$840,12,0)),0,VLOOKUP($A99,Council_Data!$A$3:$AB$840,12,0))</f>
        <v>0</v>
      </c>
      <c r="L99" s="94">
        <f>IF(ISNA(VLOOKUP($A99,Council_Data!$A$3:$AB$840,13,0)),0,VLOOKUP($A99,Council_Data!$A$3:$AB$840,13,0))</f>
        <v>0</v>
      </c>
      <c r="M99" s="93">
        <f>IF(ISNA(VLOOKUP($A99,Council_Data!$A$3:$AB$840,14,0)),0,VLOOKUP($A99,Council_Data!$A$3:$AB$840,14,0))</f>
        <v>0</v>
      </c>
      <c r="N99" s="93">
        <f>IF(ISNA(VLOOKUP($A99,Council_Data!$A$3:$AB$840,15,0)),0,VLOOKUP($A99,Council_Data!$A$3:$AB$840,15,0))</f>
        <v>0</v>
      </c>
      <c r="O99" s="93">
        <f>IF(ISNA(VLOOKUP($A99,Council_Data!$A$3:$AB$840,16,0)),0,VLOOKUP($A99,Council_Data!$A$3:$AB$840,16,0))</f>
        <v>0</v>
      </c>
      <c r="P99" s="93">
        <f>IF(ISNA(VLOOKUP($A99,Council_Data!$A$3:$AB$840,17,0)),0,VLOOKUP($A99,Council_Data!$A$3:$AB$840,17,0))</f>
        <v>0</v>
      </c>
      <c r="Q99" s="93">
        <f>IF(ISNA(VLOOKUP($A99,Council_Data!$A$3:$AB$840,18,0)),0,VLOOKUP($A99,Council_Data!$A$3:$AB$840,18,0))</f>
        <v>0</v>
      </c>
      <c r="R99" s="93">
        <f>IF(ISNA(VLOOKUP($A99,Council_Data!$A$3:$AB$840,19,0)),0,VLOOKUP($A99,Council_Data!$A$3:$AB$840,19,0))</f>
        <v>0</v>
      </c>
      <c r="S99" s="93">
        <f>IF(ISNA(VLOOKUP($A99,Council_Data!$A$3:$AB$840,20,0)),0,VLOOKUP($A99,Council_Data!$A$3:$AB$840,20,0))</f>
        <v>0</v>
      </c>
      <c r="T99" s="94">
        <f>IF(ISNA(VLOOKUP($A99,Council_Data!$A$3:$AB$840,21,0)),0,VLOOKUP($A99,Council_Data!$A$3:$AB$840,21,0))</f>
        <v>0</v>
      </c>
      <c r="U99" s="93">
        <f>IF(ISNA(VLOOKUP($A99,Council_Data!$A$3:$AB$840,23,0)),0,VLOOKUP($A99,Council_Data!$A$3:$AB$840,23,0))</f>
        <v>3</v>
      </c>
      <c r="V99" s="50" t="str">
        <f>IF(ISNA(VLOOKUP($A99,Council_Data!$A$3:$AB$840,24,0)),0,VLOOKUP($A99,Council_Data!$A$3:$AB$840,24,0))</f>
        <v>Dougherty</v>
      </c>
    </row>
    <row r="100" spans="1:22">
      <c r="A100" s="93">
        <v>14190</v>
      </c>
      <c r="B100" s="50" t="str">
        <f>IF(ISNA(VLOOKUP($A100,Council_Data!$A$3:$AB$840,2,0)),0,VLOOKUP($A100,Council_Data!$A$3:$AB$840,2,0))</f>
        <v>058</v>
      </c>
      <c r="C100" s="50" t="str">
        <f>IF(ISNA(VLOOKUP($A100,Council_Data!$A$3:$AB$840,3,0)),0,VLOOKUP($A100,Council_Data!$A$3:$AB$840,3,0))</f>
        <v>San Antonio</v>
      </c>
      <c r="D100" s="93">
        <f>IF(ISNA(VLOOKUP($A100,Council_Data!$A$3:$AB$840,5,0)),0,VLOOKUP($A100,Council_Data!$A$3:$AB$840,5,0))</f>
        <v>67</v>
      </c>
      <c r="E100" s="93">
        <f>IF(ISNA(VLOOKUP($A100,Council_Data!$A$3:$AB$840,6,0)),0,VLOOKUP($A100,Council_Data!$A$3:$AB$840,6,0))</f>
        <v>3</v>
      </c>
      <c r="F100" s="93">
        <f>IF(ISNA(VLOOKUP($A100,Council_Data!$A$3:$AB$840,7,0)),0,VLOOKUP($A100,Council_Data!$A$3:$AB$840,7,0))</f>
        <v>0</v>
      </c>
      <c r="G100" s="93">
        <f>IF(ISNA(VLOOKUP($A100,Council_Data!$A$3:$AB$840,8,0)),0,VLOOKUP($A100,Council_Data!$A$3:$AB$840,8,0))</f>
        <v>0</v>
      </c>
      <c r="H100" s="93">
        <f>IF(ISNA(VLOOKUP($A100,Council_Data!$A$3:$AB$840,9,0)),0,VLOOKUP($A100,Council_Data!$A$3:$AB$840,9,0))</f>
        <v>0</v>
      </c>
      <c r="I100" s="93">
        <f>IF(ISNA(VLOOKUP($A100,Council_Data!$A$3:$AB$840,10,0)),0,VLOOKUP($A100,Council_Data!$A$3:$AB$840,10,0))</f>
        <v>0</v>
      </c>
      <c r="J100" s="93">
        <f>IF(ISNA(VLOOKUP($A100,Council_Data!$A$3:$AB$840,11,0)),0,VLOOKUP($A100,Council_Data!$A$3:$AB$840,11,0))</f>
        <v>0</v>
      </c>
      <c r="K100" s="93">
        <f>IF(ISNA(VLOOKUP($A100,Council_Data!$A$3:$AB$840,12,0)),0,VLOOKUP($A100,Council_Data!$A$3:$AB$840,12,0))</f>
        <v>0</v>
      </c>
      <c r="L100" s="94">
        <f>IF(ISNA(VLOOKUP($A100,Council_Data!$A$3:$AB$840,13,0)),0,VLOOKUP($A100,Council_Data!$A$3:$AB$840,13,0))</f>
        <v>0</v>
      </c>
      <c r="M100" s="93">
        <f>IF(ISNA(VLOOKUP($A100,Council_Data!$A$3:$AB$840,14,0)),0,VLOOKUP($A100,Council_Data!$A$3:$AB$840,14,0))</f>
        <v>0</v>
      </c>
      <c r="N100" s="93">
        <f>IF(ISNA(VLOOKUP($A100,Council_Data!$A$3:$AB$840,15,0)),0,VLOOKUP($A100,Council_Data!$A$3:$AB$840,15,0))</f>
        <v>1</v>
      </c>
      <c r="O100" s="93">
        <f>IF(ISNA(VLOOKUP($A100,Council_Data!$A$3:$AB$840,16,0)),0,VLOOKUP($A100,Council_Data!$A$3:$AB$840,16,0))</f>
        <v>0</v>
      </c>
      <c r="P100" s="93">
        <f>IF(ISNA(VLOOKUP($A100,Council_Data!$A$3:$AB$840,17,0)),0,VLOOKUP($A100,Council_Data!$A$3:$AB$840,17,0))</f>
        <v>1</v>
      </c>
      <c r="Q100" s="93">
        <f>IF(ISNA(VLOOKUP($A100,Council_Data!$A$3:$AB$840,18,0)),0,VLOOKUP($A100,Council_Data!$A$3:$AB$840,18,0))</f>
        <v>1</v>
      </c>
      <c r="R100" s="93">
        <f>IF(ISNA(VLOOKUP($A100,Council_Data!$A$3:$AB$840,19,0)),0,VLOOKUP($A100,Council_Data!$A$3:$AB$840,19,0))</f>
        <v>0</v>
      </c>
      <c r="S100" s="93">
        <f>IF(ISNA(VLOOKUP($A100,Council_Data!$A$3:$AB$840,20,0)),0,VLOOKUP($A100,Council_Data!$A$3:$AB$840,20,0))</f>
        <v>1</v>
      </c>
      <c r="T100" s="94">
        <f>IF(ISNA(VLOOKUP($A100,Council_Data!$A$3:$AB$840,21,0)),0,VLOOKUP($A100,Council_Data!$A$3:$AB$840,21,0))</f>
        <v>0</v>
      </c>
      <c r="U100" s="93">
        <f>IF(ISNA(VLOOKUP($A100,Council_Data!$A$3:$AB$840,23,0)),0,VLOOKUP($A100,Council_Data!$A$3:$AB$840,23,0))</f>
        <v>2</v>
      </c>
      <c r="V100" s="50" t="str">
        <f>IF(ISNA(VLOOKUP($A100,Council_Data!$A$3:$AB$840,24,0)),0,VLOOKUP($A100,Council_Data!$A$3:$AB$840,24,0))</f>
        <v>Dougherty</v>
      </c>
    </row>
    <row r="101" spans="1:22">
      <c r="A101" s="93">
        <v>14690</v>
      </c>
      <c r="B101" s="50" t="str">
        <f>IF(ISNA(VLOOKUP($A101,Council_Data!$A$3:$AB$840,2,0)),0,VLOOKUP($A101,Council_Data!$A$3:$AB$840,2,0))</f>
        <v>042</v>
      </c>
      <c r="C101" s="50" t="str">
        <f>IF(ISNA(VLOOKUP($A101,Council_Data!$A$3:$AB$840,3,0)),0,VLOOKUP($A101,Council_Data!$A$3:$AB$840,3,0))</f>
        <v>Leon Springs</v>
      </c>
      <c r="D101" s="93">
        <f>IF(ISNA(VLOOKUP($A101,Council_Data!$A$3:$AB$840,5,0)),0,VLOOKUP($A101,Council_Data!$A$3:$AB$840,5,0))</f>
        <v>151</v>
      </c>
      <c r="E101" s="93">
        <f>IF(ISNA(VLOOKUP($A101,Council_Data!$A$3:$AB$840,6,0)),0,VLOOKUP($A101,Council_Data!$A$3:$AB$840,6,0))</f>
        <v>7</v>
      </c>
      <c r="F101" s="93">
        <f>IF(ISNA(VLOOKUP($A101,Council_Data!$A$3:$AB$840,7,0)),0,VLOOKUP($A101,Council_Data!$A$3:$AB$840,7,0))</f>
        <v>0</v>
      </c>
      <c r="G101" s="93">
        <f>IF(ISNA(VLOOKUP($A101,Council_Data!$A$3:$AB$840,8,0)),0,VLOOKUP($A101,Council_Data!$A$3:$AB$840,8,0))</f>
        <v>0</v>
      </c>
      <c r="H101" s="93">
        <f>IF(ISNA(VLOOKUP($A101,Council_Data!$A$3:$AB$840,9,0)),0,VLOOKUP($A101,Council_Data!$A$3:$AB$840,9,0))</f>
        <v>0</v>
      </c>
      <c r="I101" s="93">
        <f>IF(ISNA(VLOOKUP($A101,Council_Data!$A$3:$AB$840,10,0)),0,VLOOKUP($A101,Council_Data!$A$3:$AB$840,10,0))</f>
        <v>2</v>
      </c>
      <c r="J101" s="93">
        <f>IF(ISNA(VLOOKUP($A101,Council_Data!$A$3:$AB$840,11,0)),0,VLOOKUP($A101,Council_Data!$A$3:$AB$840,11,0))</f>
        <v>0</v>
      </c>
      <c r="K101" s="93">
        <f>IF(ISNA(VLOOKUP($A101,Council_Data!$A$3:$AB$840,12,0)),0,VLOOKUP($A101,Council_Data!$A$3:$AB$840,12,0))</f>
        <v>2</v>
      </c>
      <c r="L101" s="94">
        <f>IF(ISNA(VLOOKUP($A101,Council_Data!$A$3:$AB$840,13,0)),0,VLOOKUP($A101,Council_Data!$A$3:$AB$840,13,0))</f>
        <v>28.57</v>
      </c>
      <c r="M101" s="93">
        <f>IF(ISNA(VLOOKUP($A101,Council_Data!$A$3:$AB$840,14,0)),0,VLOOKUP($A101,Council_Data!$A$3:$AB$840,14,0))</f>
        <v>0</v>
      </c>
      <c r="N101" s="93">
        <f>IF(ISNA(VLOOKUP($A101,Council_Data!$A$3:$AB$840,15,0)),0,VLOOKUP($A101,Council_Data!$A$3:$AB$840,15,0))</f>
        <v>0</v>
      </c>
      <c r="O101" s="93">
        <f>IF(ISNA(VLOOKUP($A101,Council_Data!$A$3:$AB$840,16,0)),0,VLOOKUP($A101,Council_Data!$A$3:$AB$840,16,0))</f>
        <v>0</v>
      </c>
      <c r="P101" s="93">
        <f>IF(ISNA(VLOOKUP($A101,Council_Data!$A$3:$AB$840,17,0)),0,VLOOKUP($A101,Council_Data!$A$3:$AB$840,17,0))</f>
        <v>0</v>
      </c>
      <c r="Q101" s="93">
        <f>IF(ISNA(VLOOKUP($A101,Council_Data!$A$3:$AB$840,18,0)),0,VLOOKUP($A101,Council_Data!$A$3:$AB$840,18,0))</f>
        <v>1</v>
      </c>
      <c r="R101" s="93">
        <f>IF(ISNA(VLOOKUP($A101,Council_Data!$A$3:$AB$840,19,0)),0,VLOOKUP($A101,Council_Data!$A$3:$AB$840,19,0))</f>
        <v>1</v>
      </c>
      <c r="S101" s="93">
        <f>IF(ISNA(VLOOKUP($A101,Council_Data!$A$3:$AB$840,20,0)),0,VLOOKUP($A101,Council_Data!$A$3:$AB$840,20,0))</f>
        <v>0</v>
      </c>
      <c r="T101" s="94">
        <f>IF(ISNA(VLOOKUP($A101,Council_Data!$A$3:$AB$840,21,0)),0,VLOOKUP($A101,Council_Data!$A$3:$AB$840,21,0))</f>
        <v>0</v>
      </c>
      <c r="U101" s="93">
        <f>IF(ISNA(VLOOKUP($A101,Council_Data!$A$3:$AB$840,23,0)),0,VLOOKUP($A101,Council_Data!$A$3:$AB$840,23,0))</f>
        <v>1</v>
      </c>
      <c r="V101" s="50" t="str">
        <f>IF(ISNA(VLOOKUP($A101,Council_Data!$A$3:$AB$840,24,0)),0,VLOOKUP($A101,Council_Data!$A$3:$AB$840,24,0))</f>
        <v>Dougherty</v>
      </c>
    </row>
    <row r="102" spans="1:22">
      <c r="A102" s="93">
        <v>15053</v>
      </c>
      <c r="B102" s="50" t="str">
        <f>IF(ISNA(VLOOKUP($A102,Council_Data!$A$3:$AB$840,2,0)),0,VLOOKUP($A102,Council_Data!$A$3:$AB$840,2,0))</f>
        <v>039</v>
      </c>
      <c r="C102" s="50" t="str">
        <f>IF(ISNA(VLOOKUP($A102,Council_Data!$A$3:$AB$840,3,0)),0,VLOOKUP($A102,Council_Data!$A$3:$AB$840,3,0))</f>
        <v>San Antonio</v>
      </c>
      <c r="D102" s="93">
        <f>IF(ISNA(VLOOKUP($A102,Council_Data!$A$3:$AB$840,5,0)),0,VLOOKUP($A102,Council_Data!$A$3:$AB$840,5,0))</f>
        <v>38</v>
      </c>
      <c r="E102" s="93">
        <f>IF(ISNA(VLOOKUP($A102,Council_Data!$A$3:$AB$840,6,0)),0,VLOOKUP($A102,Council_Data!$A$3:$AB$840,6,0))</f>
        <v>3</v>
      </c>
      <c r="F102" s="93">
        <f>IF(ISNA(VLOOKUP($A102,Council_Data!$A$3:$AB$840,7,0)),0,VLOOKUP($A102,Council_Data!$A$3:$AB$840,7,0))</f>
        <v>0</v>
      </c>
      <c r="G102" s="93">
        <f>IF(ISNA(VLOOKUP($A102,Council_Data!$A$3:$AB$840,8,0)),0,VLOOKUP($A102,Council_Data!$A$3:$AB$840,8,0))</f>
        <v>0</v>
      </c>
      <c r="H102" s="93">
        <f>IF(ISNA(VLOOKUP($A102,Council_Data!$A$3:$AB$840,9,0)),0,VLOOKUP($A102,Council_Data!$A$3:$AB$840,9,0))</f>
        <v>0</v>
      </c>
      <c r="I102" s="93">
        <f>IF(ISNA(VLOOKUP($A102,Council_Data!$A$3:$AB$840,10,0)),0,VLOOKUP($A102,Council_Data!$A$3:$AB$840,10,0))</f>
        <v>0</v>
      </c>
      <c r="J102" s="93">
        <f>IF(ISNA(VLOOKUP($A102,Council_Data!$A$3:$AB$840,11,0)),0,VLOOKUP($A102,Council_Data!$A$3:$AB$840,11,0))</f>
        <v>0</v>
      </c>
      <c r="K102" s="93">
        <f>IF(ISNA(VLOOKUP($A102,Council_Data!$A$3:$AB$840,12,0)),0,VLOOKUP($A102,Council_Data!$A$3:$AB$840,12,0))</f>
        <v>0</v>
      </c>
      <c r="L102" s="94">
        <f>IF(ISNA(VLOOKUP($A102,Council_Data!$A$3:$AB$840,13,0)),0,VLOOKUP($A102,Council_Data!$A$3:$AB$840,13,0))</f>
        <v>0</v>
      </c>
      <c r="M102" s="93">
        <f>IF(ISNA(VLOOKUP($A102,Council_Data!$A$3:$AB$840,14,0)),0,VLOOKUP($A102,Council_Data!$A$3:$AB$840,14,0))</f>
        <v>0</v>
      </c>
      <c r="N102" s="93">
        <f>IF(ISNA(VLOOKUP($A102,Council_Data!$A$3:$AB$840,15,0)),0,VLOOKUP($A102,Council_Data!$A$3:$AB$840,15,0))</f>
        <v>0</v>
      </c>
      <c r="O102" s="93">
        <f>IF(ISNA(VLOOKUP($A102,Council_Data!$A$3:$AB$840,16,0)),0,VLOOKUP($A102,Council_Data!$A$3:$AB$840,16,0))</f>
        <v>0</v>
      </c>
      <c r="P102" s="93">
        <f>IF(ISNA(VLOOKUP($A102,Council_Data!$A$3:$AB$840,17,0)),0,VLOOKUP($A102,Council_Data!$A$3:$AB$840,17,0))</f>
        <v>0</v>
      </c>
      <c r="Q102" s="93">
        <f>IF(ISNA(VLOOKUP($A102,Council_Data!$A$3:$AB$840,18,0)),0,VLOOKUP($A102,Council_Data!$A$3:$AB$840,18,0))</f>
        <v>0</v>
      </c>
      <c r="R102" s="93">
        <f>IF(ISNA(VLOOKUP($A102,Council_Data!$A$3:$AB$840,19,0)),0,VLOOKUP($A102,Council_Data!$A$3:$AB$840,19,0))</f>
        <v>0</v>
      </c>
      <c r="S102" s="93">
        <f>IF(ISNA(VLOOKUP($A102,Council_Data!$A$3:$AB$840,20,0)),0,VLOOKUP($A102,Council_Data!$A$3:$AB$840,20,0))</f>
        <v>0</v>
      </c>
      <c r="T102" s="94">
        <f>IF(ISNA(VLOOKUP($A102,Council_Data!$A$3:$AB$840,21,0)),0,VLOOKUP($A102,Council_Data!$A$3:$AB$840,21,0))</f>
        <v>0</v>
      </c>
      <c r="U102" s="93">
        <f>IF(ISNA(VLOOKUP($A102,Council_Data!$A$3:$AB$840,23,0)),0,VLOOKUP($A102,Council_Data!$A$3:$AB$840,23,0))</f>
        <v>3</v>
      </c>
      <c r="V102" s="50" t="str">
        <f>IF(ISNA(VLOOKUP($A102,Council_Data!$A$3:$AB$840,24,0)),0,VLOOKUP($A102,Council_Data!$A$3:$AB$840,24,0))</f>
        <v>Dougherty</v>
      </c>
    </row>
    <row r="103" spans="1:22">
      <c r="A103" s="93">
        <v>15240</v>
      </c>
      <c r="B103" s="50" t="str">
        <f>IF(ISNA(VLOOKUP($A103,Council_Data!$A$3:$AB$840,2,0)),0,VLOOKUP($A103,Council_Data!$A$3:$AB$840,2,0))</f>
        <v>041</v>
      </c>
      <c r="C103" s="50" t="str">
        <f>IF(ISNA(VLOOKUP($A103,Council_Data!$A$3:$AB$840,3,0)),0,VLOOKUP($A103,Council_Data!$A$3:$AB$840,3,0))</f>
        <v>San Antonio</v>
      </c>
      <c r="D103" s="93">
        <f>IF(ISNA(VLOOKUP($A103,Council_Data!$A$3:$AB$840,5,0)),0,VLOOKUP($A103,Council_Data!$A$3:$AB$840,5,0))</f>
        <v>216</v>
      </c>
      <c r="E103" s="93">
        <f>IF(ISNA(VLOOKUP($A103,Council_Data!$A$3:$AB$840,6,0)),0,VLOOKUP($A103,Council_Data!$A$3:$AB$840,6,0))</f>
        <v>11</v>
      </c>
      <c r="F103" s="93">
        <f>IF(ISNA(VLOOKUP($A103,Council_Data!$A$3:$AB$840,7,0)),0,VLOOKUP($A103,Council_Data!$A$3:$AB$840,7,0))</f>
        <v>0</v>
      </c>
      <c r="G103" s="93">
        <f>IF(ISNA(VLOOKUP($A103,Council_Data!$A$3:$AB$840,8,0)),0,VLOOKUP($A103,Council_Data!$A$3:$AB$840,8,0))</f>
        <v>0</v>
      </c>
      <c r="H103" s="93">
        <f>IF(ISNA(VLOOKUP($A103,Council_Data!$A$3:$AB$840,9,0)),0,VLOOKUP($A103,Council_Data!$A$3:$AB$840,9,0))</f>
        <v>0</v>
      </c>
      <c r="I103" s="93">
        <f>IF(ISNA(VLOOKUP($A103,Council_Data!$A$3:$AB$840,10,0)),0,VLOOKUP($A103,Council_Data!$A$3:$AB$840,10,0))</f>
        <v>3</v>
      </c>
      <c r="J103" s="93">
        <f>IF(ISNA(VLOOKUP($A103,Council_Data!$A$3:$AB$840,11,0)),0,VLOOKUP($A103,Council_Data!$A$3:$AB$840,11,0))</f>
        <v>34</v>
      </c>
      <c r="K103" s="93">
        <f>IF(ISNA(VLOOKUP($A103,Council_Data!$A$3:$AB$840,12,0)),0,VLOOKUP($A103,Council_Data!$A$3:$AB$840,12,0))</f>
        <v>-31</v>
      </c>
      <c r="L103" s="94">
        <f>IF(ISNA(VLOOKUP($A103,Council_Data!$A$3:$AB$840,13,0)),0,VLOOKUP($A103,Council_Data!$A$3:$AB$840,13,0))</f>
        <v>0</v>
      </c>
      <c r="M103" s="93">
        <f>IF(ISNA(VLOOKUP($A103,Council_Data!$A$3:$AB$840,14,0)),0,VLOOKUP($A103,Council_Data!$A$3:$AB$840,14,0))</f>
        <v>0</v>
      </c>
      <c r="N103" s="93">
        <f>IF(ISNA(VLOOKUP($A103,Council_Data!$A$3:$AB$840,15,0)),0,VLOOKUP($A103,Council_Data!$A$3:$AB$840,15,0))</f>
        <v>0</v>
      </c>
      <c r="O103" s="93">
        <f>IF(ISNA(VLOOKUP($A103,Council_Data!$A$3:$AB$840,16,0)),0,VLOOKUP($A103,Council_Data!$A$3:$AB$840,16,0))</f>
        <v>0</v>
      </c>
      <c r="P103" s="93">
        <f>IF(ISNA(VLOOKUP($A103,Council_Data!$A$3:$AB$840,17,0)),0,VLOOKUP($A103,Council_Data!$A$3:$AB$840,17,0))</f>
        <v>0</v>
      </c>
      <c r="Q103" s="93">
        <f>IF(ISNA(VLOOKUP($A103,Council_Data!$A$3:$AB$840,18,0)),0,VLOOKUP($A103,Council_Data!$A$3:$AB$840,18,0))</f>
        <v>1</v>
      </c>
      <c r="R103" s="93">
        <f>IF(ISNA(VLOOKUP($A103,Council_Data!$A$3:$AB$840,19,0)),0,VLOOKUP($A103,Council_Data!$A$3:$AB$840,19,0))</f>
        <v>4</v>
      </c>
      <c r="S103" s="93">
        <f>IF(ISNA(VLOOKUP($A103,Council_Data!$A$3:$AB$840,20,0)),0,VLOOKUP($A103,Council_Data!$A$3:$AB$840,20,0))</f>
        <v>-3</v>
      </c>
      <c r="T103" s="94">
        <f>IF(ISNA(VLOOKUP($A103,Council_Data!$A$3:$AB$840,21,0)),0,VLOOKUP($A103,Council_Data!$A$3:$AB$840,21,0))</f>
        <v>0</v>
      </c>
      <c r="U103" s="93">
        <f>IF(ISNA(VLOOKUP($A103,Council_Data!$A$3:$AB$840,23,0)),0,VLOOKUP($A103,Council_Data!$A$3:$AB$840,23,0))</f>
        <v>1</v>
      </c>
      <c r="V103" s="50" t="str">
        <f>IF(ISNA(VLOOKUP($A103,Council_Data!$A$3:$AB$840,24,0)),0,VLOOKUP($A103,Council_Data!$A$3:$AB$840,24,0))</f>
        <v>Dougherty</v>
      </c>
    </row>
    <row r="104" spans="1:22">
      <c r="A104" s="93">
        <v>15343</v>
      </c>
      <c r="B104" s="50" t="str">
        <f>IF(ISNA(VLOOKUP($A104,Council_Data!$A$3:$AB$840,2,0)),0,VLOOKUP($A104,Council_Data!$A$3:$AB$840,2,0))</f>
        <v>053</v>
      </c>
      <c r="C104" s="50" t="str">
        <f>IF(ISNA(VLOOKUP($A104,Council_Data!$A$3:$AB$840,3,0)),0,VLOOKUP($A104,Council_Data!$A$3:$AB$840,3,0))</f>
        <v>San Antonio</v>
      </c>
      <c r="D104" s="93">
        <f>IF(ISNA(VLOOKUP($A104,Council_Data!$A$3:$AB$840,5,0)),0,VLOOKUP($A104,Council_Data!$A$3:$AB$840,5,0))</f>
        <v>74</v>
      </c>
      <c r="E104" s="93">
        <f>IF(ISNA(VLOOKUP($A104,Council_Data!$A$3:$AB$840,6,0)),0,VLOOKUP($A104,Council_Data!$A$3:$AB$840,6,0))</f>
        <v>4</v>
      </c>
      <c r="F104" s="93">
        <f>IF(ISNA(VLOOKUP($A104,Council_Data!$A$3:$AB$840,7,0)),0,VLOOKUP($A104,Council_Data!$A$3:$AB$840,7,0))</f>
        <v>0</v>
      </c>
      <c r="G104" s="93">
        <f>IF(ISNA(VLOOKUP($A104,Council_Data!$A$3:$AB$840,8,0)),0,VLOOKUP($A104,Council_Data!$A$3:$AB$840,8,0))</f>
        <v>0</v>
      </c>
      <c r="H104" s="93">
        <f>IF(ISNA(VLOOKUP($A104,Council_Data!$A$3:$AB$840,9,0)),0,VLOOKUP($A104,Council_Data!$A$3:$AB$840,9,0))</f>
        <v>0</v>
      </c>
      <c r="I104" s="93">
        <f>IF(ISNA(VLOOKUP($A104,Council_Data!$A$3:$AB$840,10,0)),0,VLOOKUP($A104,Council_Data!$A$3:$AB$840,10,0))</f>
        <v>3</v>
      </c>
      <c r="J104" s="93">
        <f>IF(ISNA(VLOOKUP($A104,Council_Data!$A$3:$AB$840,11,0)),0,VLOOKUP($A104,Council_Data!$A$3:$AB$840,11,0))</f>
        <v>0</v>
      </c>
      <c r="K104" s="93">
        <f>IF(ISNA(VLOOKUP($A104,Council_Data!$A$3:$AB$840,12,0)),0,VLOOKUP($A104,Council_Data!$A$3:$AB$840,12,0))</f>
        <v>3</v>
      </c>
      <c r="L104" s="94">
        <f>IF(ISNA(VLOOKUP($A104,Council_Data!$A$3:$AB$840,13,0)),0,VLOOKUP($A104,Council_Data!$A$3:$AB$840,13,0))</f>
        <v>75</v>
      </c>
      <c r="M104" s="93">
        <f>IF(ISNA(VLOOKUP($A104,Council_Data!$A$3:$AB$840,14,0)),0,VLOOKUP($A104,Council_Data!$A$3:$AB$840,14,0))</f>
        <v>0</v>
      </c>
      <c r="N104" s="93">
        <f>IF(ISNA(VLOOKUP($A104,Council_Data!$A$3:$AB$840,15,0)),0,VLOOKUP($A104,Council_Data!$A$3:$AB$840,15,0))</f>
        <v>0</v>
      </c>
      <c r="O104" s="93">
        <f>IF(ISNA(VLOOKUP($A104,Council_Data!$A$3:$AB$840,16,0)),0,VLOOKUP($A104,Council_Data!$A$3:$AB$840,16,0))</f>
        <v>0</v>
      </c>
      <c r="P104" s="93">
        <f>IF(ISNA(VLOOKUP($A104,Council_Data!$A$3:$AB$840,17,0)),0,VLOOKUP($A104,Council_Data!$A$3:$AB$840,17,0))</f>
        <v>0</v>
      </c>
      <c r="Q104" s="93">
        <f>IF(ISNA(VLOOKUP($A104,Council_Data!$A$3:$AB$840,18,0)),0,VLOOKUP($A104,Council_Data!$A$3:$AB$840,18,0))</f>
        <v>3</v>
      </c>
      <c r="R104" s="93">
        <f>IF(ISNA(VLOOKUP($A104,Council_Data!$A$3:$AB$840,19,0)),0,VLOOKUP($A104,Council_Data!$A$3:$AB$840,19,0))</f>
        <v>0</v>
      </c>
      <c r="S104" s="93">
        <f>IF(ISNA(VLOOKUP($A104,Council_Data!$A$3:$AB$840,20,0)),0,VLOOKUP($A104,Council_Data!$A$3:$AB$840,20,0))</f>
        <v>3</v>
      </c>
      <c r="T104" s="94">
        <f>IF(ISNA(VLOOKUP($A104,Council_Data!$A$3:$AB$840,21,0)),0,VLOOKUP($A104,Council_Data!$A$3:$AB$840,21,0))</f>
        <v>0</v>
      </c>
      <c r="U104" s="93">
        <f>IF(ISNA(VLOOKUP($A104,Council_Data!$A$3:$AB$840,23,0)),0,VLOOKUP($A104,Council_Data!$A$3:$AB$840,23,0))</f>
        <v>2</v>
      </c>
      <c r="V104" s="50" t="str">
        <f>IF(ISNA(VLOOKUP($A104,Council_Data!$A$3:$AB$840,24,0)),0,VLOOKUP($A104,Council_Data!$A$3:$AB$840,24,0))</f>
        <v>Dougherty</v>
      </c>
    </row>
    <row r="105" spans="1:22">
      <c r="A105" s="93">
        <v>16063</v>
      </c>
      <c r="B105" s="50" t="str">
        <f>IF(ISNA(VLOOKUP($A105,Council_Data!$A$3:$AB$840,2,0)),0,VLOOKUP($A105,Council_Data!$A$3:$AB$840,2,0))</f>
        <v>034</v>
      </c>
      <c r="C105" s="50" t="str">
        <f>IF(ISNA(VLOOKUP($A105,Council_Data!$A$3:$AB$840,3,0)),0,VLOOKUP($A105,Council_Data!$A$3:$AB$840,3,0))</f>
        <v>San Antonio</v>
      </c>
      <c r="D105" s="93">
        <f>IF(ISNA(VLOOKUP($A105,Council_Data!$A$3:$AB$840,5,0)),0,VLOOKUP($A105,Council_Data!$A$3:$AB$840,5,0))</f>
        <v>25</v>
      </c>
      <c r="E105" s="93">
        <f>IF(ISNA(VLOOKUP($A105,Council_Data!$A$3:$AB$840,6,0)),0,VLOOKUP($A105,Council_Data!$A$3:$AB$840,6,0))</f>
        <v>3</v>
      </c>
      <c r="F105" s="93">
        <f>IF(ISNA(VLOOKUP($A105,Council_Data!$A$3:$AB$840,7,0)),0,VLOOKUP($A105,Council_Data!$A$3:$AB$840,7,0))</f>
        <v>0</v>
      </c>
      <c r="G105" s="93">
        <f>IF(ISNA(VLOOKUP($A105,Council_Data!$A$3:$AB$840,8,0)),0,VLOOKUP($A105,Council_Data!$A$3:$AB$840,8,0))</f>
        <v>0</v>
      </c>
      <c r="H105" s="93">
        <f>IF(ISNA(VLOOKUP($A105,Council_Data!$A$3:$AB$840,9,0)),0,VLOOKUP($A105,Council_Data!$A$3:$AB$840,9,0))</f>
        <v>0</v>
      </c>
      <c r="I105" s="93">
        <f>IF(ISNA(VLOOKUP($A105,Council_Data!$A$3:$AB$840,10,0)),0,VLOOKUP($A105,Council_Data!$A$3:$AB$840,10,0))</f>
        <v>0</v>
      </c>
      <c r="J105" s="93">
        <f>IF(ISNA(VLOOKUP($A105,Council_Data!$A$3:$AB$840,11,0)),0,VLOOKUP($A105,Council_Data!$A$3:$AB$840,11,0))</f>
        <v>0</v>
      </c>
      <c r="K105" s="93">
        <f>IF(ISNA(VLOOKUP($A105,Council_Data!$A$3:$AB$840,12,0)),0,VLOOKUP($A105,Council_Data!$A$3:$AB$840,12,0))</f>
        <v>0</v>
      </c>
      <c r="L105" s="94">
        <f>IF(ISNA(VLOOKUP($A105,Council_Data!$A$3:$AB$840,13,0)),0,VLOOKUP($A105,Council_Data!$A$3:$AB$840,13,0))</f>
        <v>0</v>
      </c>
      <c r="M105" s="93">
        <f>IF(ISNA(VLOOKUP($A105,Council_Data!$A$3:$AB$840,14,0)),0,VLOOKUP($A105,Council_Data!$A$3:$AB$840,14,0))</f>
        <v>0</v>
      </c>
      <c r="N105" s="93">
        <f>IF(ISNA(VLOOKUP($A105,Council_Data!$A$3:$AB$840,15,0)),0,VLOOKUP($A105,Council_Data!$A$3:$AB$840,15,0))</f>
        <v>0</v>
      </c>
      <c r="O105" s="93">
        <f>IF(ISNA(VLOOKUP($A105,Council_Data!$A$3:$AB$840,16,0)),0,VLOOKUP($A105,Council_Data!$A$3:$AB$840,16,0))</f>
        <v>0</v>
      </c>
      <c r="P105" s="93">
        <f>IF(ISNA(VLOOKUP($A105,Council_Data!$A$3:$AB$840,17,0)),0,VLOOKUP($A105,Council_Data!$A$3:$AB$840,17,0))</f>
        <v>0</v>
      </c>
      <c r="Q105" s="93">
        <f>IF(ISNA(VLOOKUP($A105,Council_Data!$A$3:$AB$840,18,0)),0,VLOOKUP($A105,Council_Data!$A$3:$AB$840,18,0))</f>
        <v>1</v>
      </c>
      <c r="R105" s="93">
        <f>IF(ISNA(VLOOKUP($A105,Council_Data!$A$3:$AB$840,19,0)),0,VLOOKUP($A105,Council_Data!$A$3:$AB$840,19,0))</f>
        <v>0</v>
      </c>
      <c r="S105" s="93">
        <f>IF(ISNA(VLOOKUP($A105,Council_Data!$A$3:$AB$840,20,0)),0,VLOOKUP($A105,Council_Data!$A$3:$AB$840,20,0))</f>
        <v>1</v>
      </c>
      <c r="T105" s="94">
        <f>IF(ISNA(VLOOKUP($A105,Council_Data!$A$3:$AB$840,21,0)),0,VLOOKUP($A105,Council_Data!$A$3:$AB$840,21,0))</f>
        <v>0</v>
      </c>
      <c r="U105" s="93">
        <f>IF(ISNA(VLOOKUP($A105,Council_Data!$A$3:$AB$840,23,0)),0,VLOOKUP($A105,Council_Data!$A$3:$AB$840,23,0))</f>
        <v>3</v>
      </c>
      <c r="V105" s="50" t="str">
        <f>IF(ISNA(VLOOKUP($A105,Council_Data!$A$3:$AB$840,24,0)),0,VLOOKUP($A105,Council_Data!$A$3:$AB$840,24,0))</f>
        <v>Dougherty</v>
      </c>
    </row>
    <row r="106" spans="1:22" ht="12" customHeight="1">
      <c r="A106" s="93">
        <v>16180</v>
      </c>
      <c r="B106" s="50" t="str">
        <f>IF(ISNA(VLOOKUP($A106,Council_Data!$A$3:$AB$840,2,0)),0,VLOOKUP($A106,Council_Data!$A$3:$AB$840,2,0))</f>
        <v>041</v>
      </c>
      <c r="C106" s="50" t="str">
        <f>IF(ISNA(VLOOKUP($A106,Council_Data!$A$3:$AB$840,3,0)),0,VLOOKUP($A106,Council_Data!$A$3:$AB$840,3,0))</f>
        <v>Comfort</v>
      </c>
      <c r="D106" s="93">
        <f>IF(ISNA(VLOOKUP($A106,Council_Data!$A$3:$AB$840,5,0)),0,VLOOKUP($A106,Council_Data!$A$3:$AB$840,5,0))</f>
        <v>33</v>
      </c>
      <c r="E106" s="93">
        <f>IF(ISNA(VLOOKUP($A106,Council_Data!$A$3:$AB$840,6,0)),0,VLOOKUP($A106,Council_Data!$A$3:$AB$840,6,0))</f>
        <v>3</v>
      </c>
      <c r="F106" s="93">
        <f>IF(ISNA(VLOOKUP($A106,Council_Data!$A$3:$AB$840,7,0)),0,VLOOKUP($A106,Council_Data!$A$3:$AB$840,7,0))</f>
        <v>0</v>
      </c>
      <c r="G106" s="93">
        <f>IF(ISNA(VLOOKUP($A106,Council_Data!$A$3:$AB$840,8,0)),0,VLOOKUP($A106,Council_Data!$A$3:$AB$840,8,0))</f>
        <v>0</v>
      </c>
      <c r="H106" s="93">
        <f>IF(ISNA(VLOOKUP($A106,Council_Data!$A$3:$AB$840,9,0)),0,VLOOKUP($A106,Council_Data!$A$3:$AB$840,9,0))</f>
        <v>0</v>
      </c>
      <c r="I106" s="93">
        <f>IF(ISNA(VLOOKUP($A106,Council_Data!$A$3:$AB$840,10,0)),0,VLOOKUP($A106,Council_Data!$A$3:$AB$840,10,0))</f>
        <v>0</v>
      </c>
      <c r="J106" s="93">
        <f>IF(ISNA(VLOOKUP($A106,Council_Data!$A$3:$AB$840,11,0)),0,VLOOKUP($A106,Council_Data!$A$3:$AB$840,11,0))</f>
        <v>0</v>
      </c>
      <c r="K106" s="93">
        <f>IF(ISNA(VLOOKUP($A106,Council_Data!$A$3:$AB$840,12,0)),0,VLOOKUP($A106,Council_Data!$A$3:$AB$840,12,0))</f>
        <v>0</v>
      </c>
      <c r="L106" s="94">
        <f>IF(ISNA(VLOOKUP($A106,Council_Data!$A$3:$AB$840,13,0)),0,VLOOKUP($A106,Council_Data!$A$3:$AB$840,13,0))</f>
        <v>0</v>
      </c>
      <c r="M106" s="93">
        <f>IF(ISNA(VLOOKUP($A106,Council_Data!$A$3:$AB$840,14,0)),0,VLOOKUP($A106,Council_Data!$A$3:$AB$840,14,0))</f>
        <v>0</v>
      </c>
      <c r="N106" s="93">
        <f>IF(ISNA(VLOOKUP($A106,Council_Data!$A$3:$AB$840,15,0)),0,VLOOKUP($A106,Council_Data!$A$3:$AB$840,15,0))</f>
        <v>0</v>
      </c>
      <c r="O106" s="93">
        <f>IF(ISNA(VLOOKUP($A106,Council_Data!$A$3:$AB$840,16,0)),0,VLOOKUP($A106,Council_Data!$A$3:$AB$840,16,0))</f>
        <v>0</v>
      </c>
      <c r="P106" s="93">
        <f>IF(ISNA(VLOOKUP($A106,Council_Data!$A$3:$AB$840,17,0)),0,VLOOKUP($A106,Council_Data!$A$3:$AB$840,17,0))</f>
        <v>0</v>
      </c>
      <c r="Q106" s="93">
        <f>IF(ISNA(VLOOKUP($A106,Council_Data!$A$3:$AB$840,18,0)),0,VLOOKUP($A106,Council_Data!$A$3:$AB$840,18,0))</f>
        <v>0</v>
      </c>
      <c r="R106" s="93">
        <f>IF(ISNA(VLOOKUP($A106,Council_Data!$A$3:$AB$840,19,0)),0,VLOOKUP($A106,Council_Data!$A$3:$AB$840,19,0))</f>
        <v>0</v>
      </c>
      <c r="S106" s="93">
        <f>IF(ISNA(VLOOKUP($A106,Council_Data!$A$3:$AB$840,20,0)),0,VLOOKUP($A106,Council_Data!$A$3:$AB$840,20,0))</f>
        <v>0</v>
      </c>
      <c r="T106" s="94">
        <f>IF(ISNA(VLOOKUP($A106,Council_Data!$A$3:$AB$840,21,0)),0,VLOOKUP($A106,Council_Data!$A$3:$AB$840,21,0))</f>
        <v>0</v>
      </c>
      <c r="U106" s="93">
        <f>IF(ISNA(VLOOKUP($A106,Council_Data!$A$3:$AB$840,23,0)),0,VLOOKUP($A106,Council_Data!$A$3:$AB$840,23,0))</f>
        <v>3</v>
      </c>
      <c r="V106" s="50" t="str">
        <f>IF(ISNA(VLOOKUP($A106,Council_Data!$A$3:$AB$840,24,0)),0,VLOOKUP($A106,Council_Data!$A$3:$AB$840,24,0))</f>
        <v>Dougherty</v>
      </c>
    </row>
    <row r="107" spans="1:22" ht="12" customHeight="1">
      <c r="A107" s="93">
        <v>16730</v>
      </c>
      <c r="B107" s="50" t="str">
        <f>IF(ISNA(VLOOKUP($A107,Council_Data!$A$3:$AB$840,2,0)),0,VLOOKUP($A107,Council_Data!$A$3:$AB$840,2,0))</f>
        <v>040</v>
      </c>
      <c r="C107" s="50" t="str">
        <f>IF(ISNA(VLOOKUP($A107,Council_Data!$A$3:$AB$840,3,0)),0,VLOOKUP($A107,Council_Data!$A$3:$AB$840,3,0))</f>
        <v>San Antonio</v>
      </c>
      <c r="D107" s="93">
        <f>IF(ISNA(VLOOKUP($A107,Council_Data!$A$3:$AB$840,5,0)),0,VLOOKUP($A107,Council_Data!$A$3:$AB$840,5,0))</f>
        <v>155</v>
      </c>
      <c r="E107" s="93">
        <f>IF(ISNA(VLOOKUP($A107,Council_Data!$A$3:$AB$840,6,0)),0,VLOOKUP($A107,Council_Data!$A$3:$AB$840,6,0))</f>
        <v>7</v>
      </c>
      <c r="F107" s="93">
        <f>IF(ISNA(VLOOKUP($A107,Council_Data!$A$3:$AB$840,7,0)),0,VLOOKUP($A107,Council_Data!$A$3:$AB$840,7,0))</f>
        <v>1</v>
      </c>
      <c r="G107" s="93">
        <f>IF(ISNA(VLOOKUP($A107,Council_Data!$A$3:$AB$840,8,0)),0,VLOOKUP($A107,Council_Data!$A$3:$AB$840,8,0))</f>
        <v>0</v>
      </c>
      <c r="H107" s="93">
        <f>IF(ISNA(VLOOKUP($A107,Council_Data!$A$3:$AB$840,9,0)),0,VLOOKUP($A107,Council_Data!$A$3:$AB$840,9,0))</f>
        <v>1</v>
      </c>
      <c r="I107" s="93">
        <f>IF(ISNA(VLOOKUP($A107,Council_Data!$A$3:$AB$840,10,0)),0,VLOOKUP($A107,Council_Data!$A$3:$AB$840,10,0))</f>
        <v>6</v>
      </c>
      <c r="J107" s="93">
        <f>IF(ISNA(VLOOKUP($A107,Council_Data!$A$3:$AB$840,11,0)),0,VLOOKUP($A107,Council_Data!$A$3:$AB$840,11,0))</f>
        <v>1</v>
      </c>
      <c r="K107" s="93">
        <f>IF(ISNA(VLOOKUP($A107,Council_Data!$A$3:$AB$840,12,0)),0,VLOOKUP($A107,Council_Data!$A$3:$AB$840,12,0))</f>
        <v>5</v>
      </c>
      <c r="L107" s="94">
        <f>IF(ISNA(VLOOKUP($A107,Council_Data!$A$3:$AB$840,13,0)),0,VLOOKUP($A107,Council_Data!$A$3:$AB$840,13,0))</f>
        <v>71.430000000000007</v>
      </c>
      <c r="M107" s="93">
        <f>IF(ISNA(VLOOKUP($A107,Council_Data!$A$3:$AB$840,14,0)),0,VLOOKUP($A107,Council_Data!$A$3:$AB$840,14,0))</f>
        <v>0</v>
      </c>
      <c r="N107" s="93">
        <f>IF(ISNA(VLOOKUP($A107,Council_Data!$A$3:$AB$840,15,0)),0,VLOOKUP($A107,Council_Data!$A$3:$AB$840,15,0))</f>
        <v>0</v>
      </c>
      <c r="O107" s="93">
        <f>IF(ISNA(VLOOKUP($A107,Council_Data!$A$3:$AB$840,16,0)),0,VLOOKUP($A107,Council_Data!$A$3:$AB$840,16,0))</f>
        <v>0</v>
      </c>
      <c r="P107" s="93">
        <f>IF(ISNA(VLOOKUP($A107,Council_Data!$A$3:$AB$840,17,0)),0,VLOOKUP($A107,Council_Data!$A$3:$AB$840,17,0))</f>
        <v>0</v>
      </c>
      <c r="Q107" s="93">
        <f>IF(ISNA(VLOOKUP($A107,Council_Data!$A$3:$AB$840,18,0)),0,VLOOKUP($A107,Council_Data!$A$3:$AB$840,18,0))</f>
        <v>6</v>
      </c>
      <c r="R107" s="93">
        <f>IF(ISNA(VLOOKUP($A107,Council_Data!$A$3:$AB$840,19,0)),0,VLOOKUP($A107,Council_Data!$A$3:$AB$840,19,0))</f>
        <v>2</v>
      </c>
      <c r="S107" s="93">
        <f>IF(ISNA(VLOOKUP($A107,Council_Data!$A$3:$AB$840,20,0)),0,VLOOKUP($A107,Council_Data!$A$3:$AB$840,20,0))</f>
        <v>4</v>
      </c>
      <c r="T107" s="94">
        <f>IF(ISNA(VLOOKUP($A107,Council_Data!$A$3:$AB$840,21,0)),0,VLOOKUP($A107,Council_Data!$A$3:$AB$840,21,0))</f>
        <v>0</v>
      </c>
      <c r="U107" s="93">
        <f>IF(ISNA(VLOOKUP($A107,Council_Data!$A$3:$AB$840,23,0)),0,VLOOKUP($A107,Council_Data!$A$3:$AB$840,23,0))</f>
        <v>1</v>
      </c>
      <c r="V107" s="50" t="str">
        <f>IF(ISNA(VLOOKUP($A107,Council_Data!$A$3:$AB$840,24,0)),0,VLOOKUP($A107,Council_Data!$A$3:$AB$840,24,0))</f>
        <v>Dougherty</v>
      </c>
    </row>
    <row r="108" spans="1:22">
      <c r="A108" s="93">
        <v>16854</v>
      </c>
      <c r="B108" s="50" t="str">
        <f>IF(ISNA(VLOOKUP($A108,Council_Data!$A$3:$AB$840,2,0)),0,VLOOKUP($A108,Council_Data!$A$3:$AB$840,2,0))</f>
        <v>054</v>
      </c>
      <c r="C108" s="50" t="str">
        <f>IF(ISNA(VLOOKUP($A108,Council_Data!$A$3:$AB$840,3,0)),0,VLOOKUP($A108,Council_Data!$A$3:$AB$840,3,0))</f>
        <v>San Antonio</v>
      </c>
      <c r="D108" s="93">
        <f>IF(ISNA(VLOOKUP($A108,Council_Data!$A$3:$AB$840,5,0)),0,VLOOKUP($A108,Council_Data!$A$3:$AB$840,5,0))</f>
        <v>44</v>
      </c>
      <c r="E108" s="93">
        <f>IF(ISNA(VLOOKUP($A108,Council_Data!$A$3:$AB$840,6,0)),0,VLOOKUP($A108,Council_Data!$A$3:$AB$840,6,0))</f>
        <v>3</v>
      </c>
      <c r="F108" s="93">
        <f>IF(ISNA(VLOOKUP($A108,Council_Data!$A$3:$AB$840,7,0)),0,VLOOKUP($A108,Council_Data!$A$3:$AB$840,7,0))</f>
        <v>0</v>
      </c>
      <c r="G108" s="93">
        <f>IF(ISNA(VLOOKUP($A108,Council_Data!$A$3:$AB$840,8,0)),0,VLOOKUP($A108,Council_Data!$A$3:$AB$840,8,0))</f>
        <v>0</v>
      </c>
      <c r="H108" s="93">
        <f>IF(ISNA(VLOOKUP($A108,Council_Data!$A$3:$AB$840,9,0)),0,VLOOKUP($A108,Council_Data!$A$3:$AB$840,9,0))</f>
        <v>0</v>
      </c>
      <c r="I108" s="93">
        <f>IF(ISNA(VLOOKUP($A108,Council_Data!$A$3:$AB$840,10,0)),0,VLOOKUP($A108,Council_Data!$A$3:$AB$840,10,0))</f>
        <v>0</v>
      </c>
      <c r="J108" s="93">
        <f>IF(ISNA(VLOOKUP($A108,Council_Data!$A$3:$AB$840,11,0)),0,VLOOKUP($A108,Council_Data!$A$3:$AB$840,11,0))</f>
        <v>0</v>
      </c>
      <c r="K108" s="93">
        <f>IF(ISNA(VLOOKUP($A108,Council_Data!$A$3:$AB$840,12,0)),0,VLOOKUP($A108,Council_Data!$A$3:$AB$840,12,0))</f>
        <v>0</v>
      </c>
      <c r="L108" s="94">
        <f>IF(ISNA(VLOOKUP($A108,Council_Data!$A$3:$AB$840,13,0)),0,VLOOKUP($A108,Council_Data!$A$3:$AB$840,13,0))</f>
        <v>0</v>
      </c>
      <c r="M108" s="93">
        <f>IF(ISNA(VLOOKUP($A108,Council_Data!$A$3:$AB$840,14,0)),0,VLOOKUP($A108,Council_Data!$A$3:$AB$840,14,0))</f>
        <v>0</v>
      </c>
      <c r="N108" s="93">
        <f>IF(ISNA(VLOOKUP($A108,Council_Data!$A$3:$AB$840,15,0)),0,VLOOKUP($A108,Council_Data!$A$3:$AB$840,15,0))</f>
        <v>0</v>
      </c>
      <c r="O108" s="93">
        <f>IF(ISNA(VLOOKUP($A108,Council_Data!$A$3:$AB$840,16,0)),0,VLOOKUP($A108,Council_Data!$A$3:$AB$840,16,0))</f>
        <v>0</v>
      </c>
      <c r="P108" s="93">
        <f>IF(ISNA(VLOOKUP($A108,Council_Data!$A$3:$AB$840,17,0)),0,VLOOKUP($A108,Council_Data!$A$3:$AB$840,17,0))</f>
        <v>0</v>
      </c>
      <c r="Q108" s="93">
        <f>IF(ISNA(VLOOKUP($A108,Council_Data!$A$3:$AB$840,18,0)),0,VLOOKUP($A108,Council_Data!$A$3:$AB$840,18,0))</f>
        <v>0</v>
      </c>
      <c r="R108" s="93">
        <f>IF(ISNA(VLOOKUP($A108,Council_Data!$A$3:$AB$840,19,0)),0,VLOOKUP($A108,Council_Data!$A$3:$AB$840,19,0))</f>
        <v>0</v>
      </c>
      <c r="S108" s="93">
        <f>IF(ISNA(VLOOKUP($A108,Council_Data!$A$3:$AB$840,20,0)),0,VLOOKUP($A108,Council_Data!$A$3:$AB$840,20,0))</f>
        <v>0</v>
      </c>
      <c r="T108" s="94">
        <f>IF(ISNA(VLOOKUP($A108,Council_Data!$A$3:$AB$840,21,0)),0,VLOOKUP($A108,Council_Data!$A$3:$AB$840,21,0))</f>
        <v>0</v>
      </c>
      <c r="U108" s="93">
        <f>IF(ISNA(VLOOKUP($A108,Council_Data!$A$3:$AB$840,23,0)),0,VLOOKUP($A108,Council_Data!$A$3:$AB$840,23,0))</f>
        <v>3</v>
      </c>
      <c r="V108" s="50" t="str">
        <f>IF(ISNA(VLOOKUP($A108,Council_Data!$A$3:$AB$840,24,0)),0,VLOOKUP($A108,Council_Data!$A$3:$AB$840,24,0))</f>
        <v>Dougherty</v>
      </c>
    </row>
    <row r="109" spans="1:22">
      <c r="A109" s="93">
        <v>17314</v>
      </c>
      <c r="B109" s="50" t="str">
        <f>IF(ISNA(VLOOKUP($A109,Council_Data!$A$3:$AB$840,2,0)),0,VLOOKUP($A109,Council_Data!$A$3:$AB$840,2,0))</f>
        <v>054</v>
      </c>
      <c r="C109" s="50" t="str">
        <f>IF(ISNA(VLOOKUP($A109,Council_Data!$A$3:$AB$840,3,0)),0,VLOOKUP($A109,Council_Data!$A$3:$AB$840,3,0))</f>
        <v>San Antonio</v>
      </c>
      <c r="D109" s="93">
        <f>IF(ISNA(VLOOKUP($A109,Council_Data!$A$3:$AB$840,5,0)),0,VLOOKUP($A109,Council_Data!$A$3:$AB$840,5,0))</f>
        <v>31</v>
      </c>
      <c r="E109" s="93">
        <f>IF(ISNA(VLOOKUP($A109,Council_Data!$A$3:$AB$840,6,0)),0,VLOOKUP($A109,Council_Data!$A$3:$AB$840,6,0))</f>
        <v>3</v>
      </c>
      <c r="F109" s="93">
        <f>IF(ISNA(VLOOKUP($A109,Council_Data!$A$3:$AB$840,7,0)),0,VLOOKUP($A109,Council_Data!$A$3:$AB$840,7,0))</f>
        <v>0</v>
      </c>
      <c r="G109" s="93">
        <f>IF(ISNA(VLOOKUP($A109,Council_Data!$A$3:$AB$840,8,0)),0,VLOOKUP($A109,Council_Data!$A$3:$AB$840,8,0))</f>
        <v>0</v>
      </c>
      <c r="H109" s="93">
        <f>IF(ISNA(VLOOKUP($A109,Council_Data!$A$3:$AB$840,9,0)),0,VLOOKUP($A109,Council_Data!$A$3:$AB$840,9,0))</f>
        <v>0</v>
      </c>
      <c r="I109" s="93">
        <f>IF(ISNA(VLOOKUP($A109,Council_Data!$A$3:$AB$840,10,0)),0,VLOOKUP($A109,Council_Data!$A$3:$AB$840,10,0))</f>
        <v>3</v>
      </c>
      <c r="J109" s="93">
        <f>IF(ISNA(VLOOKUP($A109,Council_Data!$A$3:$AB$840,11,0)),0,VLOOKUP($A109,Council_Data!$A$3:$AB$840,11,0))</f>
        <v>0</v>
      </c>
      <c r="K109" s="93">
        <f>IF(ISNA(VLOOKUP($A109,Council_Data!$A$3:$AB$840,12,0)),0,VLOOKUP($A109,Council_Data!$A$3:$AB$840,12,0))</f>
        <v>3</v>
      </c>
      <c r="L109" s="94">
        <f>IF(ISNA(VLOOKUP($A109,Council_Data!$A$3:$AB$840,13,0)),0,VLOOKUP($A109,Council_Data!$A$3:$AB$840,13,0))</f>
        <v>100</v>
      </c>
      <c r="M109" s="93">
        <f>IF(ISNA(VLOOKUP($A109,Council_Data!$A$3:$AB$840,14,0)),0,VLOOKUP($A109,Council_Data!$A$3:$AB$840,14,0))</f>
        <v>0</v>
      </c>
      <c r="N109" s="93">
        <f>IF(ISNA(VLOOKUP($A109,Council_Data!$A$3:$AB$840,15,0)),0,VLOOKUP($A109,Council_Data!$A$3:$AB$840,15,0))</f>
        <v>0</v>
      </c>
      <c r="O109" s="93">
        <f>IF(ISNA(VLOOKUP($A109,Council_Data!$A$3:$AB$840,16,0)),0,VLOOKUP($A109,Council_Data!$A$3:$AB$840,16,0))</f>
        <v>0</v>
      </c>
      <c r="P109" s="93">
        <f>IF(ISNA(VLOOKUP($A109,Council_Data!$A$3:$AB$840,17,0)),0,VLOOKUP($A109,Council_Data!$A$3:$AB$840,17,0))</f>
        <v>0</v>
      </c>
      <c r="Q109" s="93">
        <f>IF(ISNA(VLOOKUP($A109,Council_Data!$A$3:$AB$840,18,0)),0,VLOOKUP($A109,Council_Data!$A$3:$AB$840,18,0))</f>
        <v>1</v>
      </c>
      <c r="R109" s="93">
        <f>IF(ISNA(VLOOKUP($A109,Council_Data!$A$3:$AB$840,19,0)),0,VLOOKUP($A109,Council_Data!$A$3:$AB$840,19,0))</f>
        <v>0</v>
      </c>
      <c r="S109" s="93">
        <f>IF(ISNA(VLOOKUP($A109,Council_Data!$A$3:$AB$840,20,0)),0,VLOOKUP($A109,Council_Data!$A$3:$AB$840,20,0))</f>
        <v>1</v>
      </c>
      <c r="T109" s="94">
        <f>IF(ISNA(VLOOKUP($A109,Council_Data!$A$3:$AB$840,21,0)),0,VLOOKUP($A109,Council_Data!$A$3:$AB$840,21,0))</f>
        <v>0</v>
      </c>
      <c r="U109" s="93">
        <f>IF(ISNA(VLOOKUP($A109,Council_Data!$A$3:$AB$840,23,0)),0,VLOOKUP($A109,Council_Data!$A$3:$AB$840,23,0))</f>
        <v>3</v>
      </c>
      <c r="V109" s="50" t="str">
        <f>IF(ISNA(VLOOKUP($A109,Council_Data!$A$3:$AB$840,24,0)),0,VLOOKUP($A109,Council_Data!$A$3:$AB$840,24,0))</f>
        <v>Dougherty</v>
      </c>
    </row>
    <row r="110" spans="1:22">
      <c r="A110" s="93">
        <v>17492</v>
      </c>
      <c r="B110" s="50" t="str">
        <f>IF(ISNA(VLOOKUP($A110,Council_Data!$A$3:$AB$840,2,0)),0,VLOOKUP($A110,Council_Data!$A$3:$AB$840,2,0))</f>
        <v>044</v>
      </c>
      <c r="C110" s="50" t="str">
        <f>IF(ISNA(VLOOKUP($A110,Council_Data!$A$3:$AB$840,3,0)),0,VLOOKUP($A110,Council_Data!$A$3:$AB$840,3,0))</f>
        <v>San Antonio</v>
      </c>
      <c r="D110" s="93">
        <f>IF(ISNA(VLOOKUP($A110,Council_Data!$A$3:$AB$840,5,0)),0,VLOOKUP($A110,Council_Data!$A$3:$AB$840,5,0))</f>
        <v>32</v>
      </c>
      <c r="E110" s="93">
        <f>IF(ISNA(VLOOKUP($A110,Council_Data!$A$3:$AB$840,6,0)),0,VLOOKUP($A110,Council_Data!$A$3:$AB$840,6,0))</f>
        <v>3</v>
      </c>
      <c r="F110" s="93">
        <f>IF(ISNA(VLOOKUP($A110,Council_Data!$A$3:$AB$840,7,0)),0,VLOOKUP($A110,Council_Data!$A$3:$AB$840,7,0))</f>
        <v>0</v>
      </c>
      <c r="G110" s="93">
        <f>IF(ISNA(VLOOKUP($A110,Council_Data!$A$3:$AB$840,8,0)),0,VLOOKUP($A110,Council_Data!$A$3:$AB$840,8,0))</f>
        <v>0</v>
      </c>
      <c r="H110" s="93">
        <f>IF(ISNA(VLOOKUP($A110,Council_Data!$A$3:$AB$840,9,0)),0,VLOOKUP($A110,Council_Data!$A$3:$AB$840,9,0))</f>
        <v>0</v>
      </c>
      <c r="I110" s="93">
        <f>IF(ISNA(VLOOKUP($A110,Council_Data!$A$3:$AB$840,10,0)),0,VLOOKUP($A110,Council_Data!$A$3:$AB$840,10,0))</f>
        <v>0</v>
      </c>
      <c r="J110" s="93">
        <f>IF(ISNA(VLOOKUP($A110,Council_Data!$A$3:$AB$840,11,0)),0,VLOOKUP($A110,Council_Data!$A$3:$AB$840,11,0))</f>
        <v>0</v>
      </c>
      <c r="K110" s="93">
        <f>IF(ISNA(VLOOKUP($A110,Council_Data!$A$3:$AB$840,12,0)),0,VLOOKUP($A110,Council_Data!$A$3:$AB$840,12,0))</f>
        <v>0</v>
      </c>
      <c r="L110" s="94">
        <f>IF(ISNA(VLOOKUP($A110,Council_Data!$A$3:$AB$840,13,0)),0,VLOOKUP($A110,Council_Data!$A$3:$AB$840,13,0))</f>
        <v>0</v>
      </c>
      <c r="M110" s="93">
        <f>IF(ISNA(VLOOKUP($A110,Council_Data!$A$3:$AB$840,14,0)),0,VLOOKUP($A110,Council_Data!$A$3:$AB$840,14,0))</f>
        <v>0</v>
      </c>
      <c r="N110" s="93">
        <f>IF(ISNA(VLOOKUP($A110,Council_Data!$A$3:$AB$840,15,0)),0,VLOOKUP($A110,Council_Data!$A$3:$AB$840,15,0))</f>
        <v>0</v>
      </c>
      <c r="O110" s="93">
        <f>IF(ISNA(VLOOKUP($A110,Council_Data!$A$3:$AB$840,16,0)),0,VLOOKUP($A110,Council_Data!$A$3:$AB$840,16,0))</f>
        <v>0</v>
      </c>
      <c r="P110" s="93">
        <f>IF(ISNA(VLOOKUP($A110,Council_Data!$A$3:$AB$840,17,0)),0,VLOOKUP($A110,Council_Data!$A$3:$AB$840,17,0))</f>
        <v>0</v>
      </c>
      <c r="Q110" s="93">
        <f>IF(ISNA(VLOOKUP($A110,Council_Data!$A$3:$AB$840,18,0)),0,VLOOKUP($A110,Council_Data!$A$3:$AB$840,18,0))</f>
        <v>0</v>
      </c>
      <c r="R110" s="93">
        <f>IF(ISNA(VLOOKUP($A110,Council_Data!$A$3:$AB$840,19,0)),0,VLOOKUP($A110,Council_Data!$A$3:$AB$840,19,0))</f>
        <v>0</v>
      </c>
      <c r="S110" s="93">
        <f>IF(ISNA(VLOOKUP($A110,Council_Data!$A$3:$AB$840,20,0)),0,VLOOKUP($A110,Council_Data!$A$3:$AB$840,20,0))</f>
        <v>0</v>
      </c>
      <c r="T110" s="94">
        <f>IF(ISNA(VLOOKUP($A110,Council_Data!$A$3:$AB$840,21,0)),0,VLOOKUP($A110,Council_Data!$A$3:$AB$840,21,0))</f>
        <v>0</v>
      </c>
      <c r="U110" s="93">
        <f>IF(ISNA(VLOOKUP($A110,Council_Data!$A$3:$AB$840,23,0)),0,VLOOKUP($A110,Council_Data!$A$3:$AB$840,23,0))</f>
        <v>3</v>
      </c>
      <c r="V110" s="50" t="str">
        <f>IF(ISNA(VLOOKUP($A110,Council_Data!$A$3:$AB$840,24,0)),0,VLOOKUP($A110,Council_Data!$A$3:$AB$840,24,0))</f>
        <v>Dougherty</v>
      </c>
    </row>
  </sheetData>
  <sortState xmlns:xlrd2="http://schemas.microsoft.com/office/spreadsheetml/2017/richdata2" ref="A4:V109">
    <sortCondition ref="A4"/>
  </sortState>
  <hyperlinks>
    <hyperlink ref="A1" location="SNG!A2" tooltip="Go back to SNG DDs" display="Display SNG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4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93">
        <v>8806</v>
      </c>
      <c r="B4" s="50" t="str">
        <f>IF(ISNA(VLOOKUP($A4,Council_Data!$A$3:$AB$840,2,0)),0,VLOOKUP($A4,Council_Data!$A$3:$AB$840,2,0))</f>
        <v>131</v>
      </c>
      <c r="C4" s="50" t="str">
        <f>IF(ISNA(VLOOKUP($A4,Council_Data!$A$3:$AB$840,3,0)),0,VLOOKUP($A4,Council_Data!$A$3:$AB$840,3,0))</f>
        <v>Gun Barrel City</v>
      </c>
      <c r="D4" s="93">
        <f>IF(ISNA(VLOOKUP($A4,Council_Data!$A$3:$AB$840,5,0)),0,VLOOKUP($A4,Council_Data!$A$3:$AB$840,5,0))</f>
        <v>68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Regan</v>
      </c>
    </row>
    <row r="5" spans="1:22">
      <c r="A5" s="93">
        <v>10524</v>
      </c>
      <c r="B5" s="50" t="str">
        <f>IF(ISNA(VLOOKUP($A5,Council_Data!$A$3:$AB$840,2,0)),0,VLOOKUP($A5,Council_Data!$A$3:$AB$840,2,0))</f>
        <v>131</v>
      </c>
      <c r="C5" s="50" t="str">
        <f>IF(ISNA(VLOOKUP($A5,Council_Data!$A$3:$AB$840,3,0)),0,VLOOKUP($A5,Council_Data!$A$3:$AB$840,3,0))</f>
        <v>Athens</v>
      </c>
      <c r="D5" s="93">
        <f>IF(ISNA(VLOOKUP($A5,Council_Data!$A$3:$AB$840,5,0)),0,VLOOKUP($A5,Council_Data!$A$3:$AB$840,5,0))</f>
        <v>97</v>
      </c>
      <c r="E5" s="93">
        <f>IF(ISNA(VLOOKUP($A5,Council_Data!$A$3:$AB$840,6,0)),0,VLOOKUP($A5,Council_Data!$A$3:$AB$840,6,0))</f>
        <v>5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1</v>
      </c>
      <c r="J5" s="93">
        <f>IF(ISNA(VLOOKUP($A5,Council_Data!$A$3:$AB$840,11,0)),0,VLOOKUP($A5,Council_Data!$A$3:$AB$840,11,0))</f>
        <v>2</v>
      </c>
      <c r="K5" s="93">
        <f>IF(ISNA(VLOOKUP($A5,Council_Data!$A$3:$AB$840,12,0)),0,VLOOKUP($A5,Council_Data!$A$3:$AB$840,12,0))</f>
        <v>-1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Regan</v>
      </c>
    </row>
    <row r="6" spans="1:22">
      <c r="A6" s="93">
        <v>11978</v>
      </c>
      <c r="B6" s="50" t="str">
        <f>IF(ISNA(VLOOKUP($A6,Council_Data!$A$3:$AB$840,2,0)),0,VLOOKUP($A6,Council_Data!$A$3:$AB$840,2,0))</f>
        <v>131</v>
      </c>
      <c r="C6" s="50" t="str">
        <f>IF(ISNA(VLOOKUP($A6,Council_Data!$A$3:$AB$840,3,0)),0,VLOOKUP($A6,Council_Data!$A$3:$AB$840,3,0))</f>
        <v>Canton</v>
      </c>
      <c r="D6" s="93">
        <f>IF(ISNA(VLOOKUP($A6,Council_Data!$A$3:$AB$840,5,0)),0,VLOOKUP($A6,Council_Data!$A$3:$AB$840,5,0))</f>
        <v>54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5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5</v>
      </c>
      <c r="L6" s="94">
        <f>IF(ISNA(VLOOKUP($A6,Council_Data!$A$3:$AB$840,13,0)),0,VLOOKUP($A6,Council_Data!$A$3:$AB$840,13,0))</f>
        <v>166.67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Regan</v>
      </c>
    </row>
    <row r="7" spans="1:22">
      <c r="A7" s="93">
        <v>12253</v>
      </c>
      <c r="B7" s="50" t="str">
        <f>IF(ISNA(VLOOKUP($A7,Council_Data!$A$3:$AB$840,2,0)),0,VLOOKUP($A7,Council_Data!$A$3:$AB$840,2,0))</f>
        <v>131</v>
      </c>
      <c r="C7" s="50" t="str">
        <f>IF(ISNA(VLOOKUP($A7,Council_Data!$A$3:$AB$840,3,0)),0,VLOOKUP($A7,Council_Data!$A$3:$AB$840,3,0))</f>
        <v>Malakoff</v>
      </c>
      <c r="D7" s="93">
        <f>IF(ISNA(VLOOKUP($A7,Council_Data!$A$3:$AB$840,5,0)),0,VLOOKUP($A7,Council_Data!$A$3:$AB$840,5,0))</f>
        <v>46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1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1</v>
      </c>
      <c r="L7" s="94">
        <f>IF(ISNA(VLOOKUP($A7,Council_Data!$A$3:$AB$840,13,0)),0,VLOOKUP($A7,Council_Data!$A$3:$AB$840,13,0))</f>
        <v>33.33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1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Regan</v>
      </c>
    </row>
    <row r="8" spans="1:22">
      <c r="A8" s="93">
        <v>7696</v>
      </c>
      <c r="B8" s="50" t="str">
        <f>IF(ISNA(VLOOKUP($A8,Council_Data!$A$3:$AB$840,2,0)),0,VLOOKUP($A8,Council_Data!$A$3:$AB$840,2,0))</f>
        <v>132</v>
      </c>
      <c r="C8" s="50" t="str">
        <f>IF(ISNA(VLOOKUP($A8,Council_Data!$A$3:$AB$840,3,0)),0,VLOOKUP($A8,Council_Data!$A$3:$AB$840,3,0))</f>
        <v>Paris</v>
      </c>
      <c r="D8" s="93">
        <f>IF(ISNA(VLOOKUP($A8,Council_Data!$A$3:$AB$840,5,0)),0,VLOOKUP($A8,Council_Data!$A$3:$AB$840,5,0))</f>
        <v>79</v>
      </c>
      <c r="E8" s="93">
        <f>IF(ISNA(VLOOKUP($A8,Council_Data!$A$3:$AB$840,6,0)),0,VLOOKUP($A8,Council_Data!$A$3:$AB$840,6,0))</f>
        <v>4</v>
      </c>
      <c r="F8" s="93">
        <f>IF(ISNA(VLOOKUP($A8,Council_Data!$A$3:$AB$840,7,0)),0,VLOOKUP($A8,Council_Data!$A$3:$AB$840,7,0))</f>
        <v>1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1</v>
      </c>
      <c r="I8" s="93">
        <f>IF(ISNA(VLOOKUP($A8,Council_Data!$A$3:$AB$840,10,0)),0,VLOOKUP($A8,Council_Data!$A$3:$AB$840,10,0))</f>
        <v>1</v>
      </c>
      <c r="J8" s="93">
        <f>IF(ISNA(VLOOKUP($A8,Council_Data!$A$3:$AB$840,11,0)),0,VLOOKUP($A8,Council_Data!$A$3:$AB$840,11,0))</f>
        <v>1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Regan</v>
      </c>
    </row>
    <row r="9" spans="1:22" ht="25.5">
      <c r="A9" s="93">
        <v>8975</v>
      </c>
      <c r="B9" s="50" t="str">
        <f>IF(ISNA(VLOOKUP($A9,Council_Data!$A$3:$AB$840,2,0)),0,VLOOKUP($A9,Council_Data!$A$3:$AB$840,2,0))</f>
        <v>132</v>
      </c>
      <c r="C9" s="50" t="str">
        <f>IF(ISNA(VLOOKUP($A9,Council_Data!$A$3:$AB$840,3,0)),0,VLOOKUP($A9,Council_Data!$A$3:$AB$840,3,0))</f>
        <v>Sulphur Springs</v>
      </c>
      <c r="D9" s="93">
        <f>IF(ISNA(VLOOKUP($A9,Council_Data!$A$3:$AB$840,5,0)),0,VLOOKUP($A9,Council_Data!$A$3:$AB$840,5,0))</f>
        <v>60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2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2</v>
      </c>
      <c r="L9" s="94">
        <f>IF(ISNA(VLOOKUP($A9,Council_Data!$A$3:$AB$840,13,0)),0,VLOOKUP($A9,Council_Data!$A$3:$AB$840,13,0))</f>
        <v>66.67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1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1</v>
      </c>
      <c r="Q9" s="93">
        <f>IF(ISNA(VLOOKUP($A9,Council_Data!$A$3:$AB$840,18,0)),0,VLOOKUP($A9,Council_Data!$A$3:$AB$840,18,0))</f>
        <v>1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1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Regan</v>
      </c>
    </row>
    <row r="10" spans="1:22" ht="25.5">
      <c r="A10" s="93">
        <v>15174</v>
      </c>
      <c r="B10" s="50" t="str">
        <f>IF(ISNA(VLOOKUP($A10,Council_Data!$A$3:$AB$840,2,0)),0,VLOOKUP($A10,Council_Data!$A$3:$AB$840,2,0))</f>
        <v>132</v>
      </c>
      <c r="C10" s="50" t="str">
        <f>IF(ISNA(VLOOKUP($A10,Council_Data!$A$3:$AB$840,3,0)),0,VLOOKUP($A10,Council_Data!$A$3:$AB$840,3,0))</f>
        <v>Holly Lake Ranch</v>
      </c>
      <c r="D10" s="93">
        <f>IF(ISNA(VLOOKUP($A10,Council_Data!$A$3:$AB$840,5,0)),0,VLOOKUP($A10,Council_Data!$A$3:$AB$840,5,0))</f>
        <v>56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1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1</v>
      </c>
      <c r="L10" s="94">
        <f>IF(ISNA(VLOOKUP($A10,Council_Data!$A$3:$AB$840,13,0)),0,VLOOKUP($A10,Council_Data!$A$3:$AB$840,13,0))</f>
        <v>33.33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Regan</v>
      </c>
    </row>
    <row r="11" spans="1:22">
      <c r="A11" s="93">
        <v>16078</v>
      </c>
      <c r="B11" s="50" t="str">
        <f>IF(ISNA(VLOOKUP($A11,Council_Data!$A$3:$AB$840,2,0)),0,VLOOKUP($A11,Council_Data!$A$3:$AB$840,2,0))</f>
        <v>132</v>
      </c>
      <c r="C11" s="50" t="str">
        <f>IF(ISNA(VLOOKUP($A11,Council_Data!$A$3:$AB$840,3,0)),0,VLOOKUP($A11,Council_Data!$A$3:$AB$840,3,0))</f>
        <v>Emory</v>
      </c>
      <c r="D11" s="93">
        <f>IF(ISNA(VLOOKUP($A11,Council_Data!$A$3:$AB$840,5,0)),0,VLOOKUP($A11,Council_Data!$A$3:$AB$840,5,0))</f>
        <v>59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1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1</v>
      </c>
      <c r="I11" s="93">
        <f>IF(ISNA(VLOOKUP($A11,Council_Data!$A$3:$AB$840,10,0)),0,VLOOKUP($A11,Council_Data!$A$3:$AB$840,10,0))</f>
        <v>3</v>
      </c>
      <c r="J11" s="93">
        <f>IF(ISNA(VLOOKUP($A11,Council_Data!$A$3:$AB$840,11,0)),0,VLOOKUP($A11,Council_Data!$A$3:$AB$840,11,0))</f>
        <v>2</v>
      </c>
      <c r="K11" s="93">
        <f>IF(ISNA(VLOOKUP($A11,Council_Data!$A$3:$AB$840,12,0)),0,VLOOKUP($A11,Council_Data!$A$3:$AB$840,12,0))</f>
        <v>1</v>
      </c>
      <c r="L11" s="94">
        <f>IF(ISNA(VLOOKUP($A11,Council_Data!$A$3:$AB$840,13,0)),0,VLOOKUP($A11,Council_Data!$A$3:$AB$840,13,0))</f>
        <v>33.33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Regan</v>
      </c>
    </row>
    <row r="12" spans="1:22">
      <c r="A12" s="93">
        <v>1422</v>
      </c>
      <c r="B12" s="50" t="str">
        <f>IF(ISNA(VLOOKUP($A12,Council_Data!$A$3:$AB$840,2,0)),0,VLOOKUP($A12,Council_Data!$A$3:$AB$840,2,0))</f>
        <v>133</v>
      </c>
      <c r="C12" s="50" t="str">
        <f>IF(ISNA(VLOOKUP($A12,Council_Data!$A$3:$AB$840,3,0)),0,VLOOKUP($A12,Council_Data!$A$3:$AB$840,3,0))</f>
        <v>Marshall</v>
      </c>
      <c r="D12" s="93">
        <f>IF(ISNA(VLOOKUP($A12,Council_Data!$A$3:$AB$840,5,0)),0,VLOOKUP($A12,Council_Data!$A$3:$AB$840,5,0))</f>
        <v>196</v>
      </c>
      <c r="E12" s="93">
        <f>IF(ISNA(VLOOKUP($A12,Council_Data!$A$3:$AB$840,6,0)),0,VLOOKUP($A12,Council_Data!$A$3:$AB$840,6,0))</f>
        <v>10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Regan</v>
      </c>
    </row>
    <row r="13" spans="1:22">
      <c r="A13" s="93">
        <v>2771</v>
      </c>
      <c r="B13" s="50" t="str">
        <f>IF(ISNA(VLOOKUP($A13,Council_Data!$A$3:$AB$840,2,0)),0,VLOOKUP($A13,Council_Data!$A$3:$AB$840,2,0))</f>
        <v>133</v>
      </c>
      <c r="C13" s="50" t="str">
        <f>IF(ISNA(VLOOKUP($A13,Council_Data!$A$3:$AB$840,3,0)),0,VLOOKUP($A13,Council_Data!$A$3:$AB$840,3,0))</f>
        <v>Longview</v>
      </c>
      <c r="D13" s="93">
        <f>IF(ISNA(VLOOKUP($A13,Council_Data!$A$3:$AB$840,5,0)),0,VLOOKUP($A13,Council_Data!$A$3:$AB$840,5,0))</f>
        <v>166</v>
      </c>
      <c r="E13" s="93">
        <f>IF(ISNA(VLOOKUP($A13,Council_Data!$A$3:$AB$840,6,0)),0,VLOOKUP($A13,Council_Data!$A$3:$AB$840,6,0))</f>
        <v>8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9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9</v>
      </c>
      <c r="L13" s="94">
        <f>IF(ISNA(VLOOKUP($A13,Council_Data!$A$3:$AB$840,13,0)),0,VLOOKUP($A13,Council_Data!$A$3:$AB$840,13,0))</f>
        <v>112.5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Regan</v>
      </c>
    </row>
    <row r="14" spans="1:22">
      <c r="A14" s="93">
        <v>3952</v>
      </c>
      <c r="B14" s="50" t="str">
        <f>IF(ISNA(VLOOKUP($A14,Council_Data!$A$3:$AB$840,2,0)),0,VLOOKUP($A14,Council_Data!$A$3:$AB$840,2,0))</f>
        <v>133</v>
      </c>
      <c r="C14" s="50" t="str">
        <f>IF(ISNA(VLOOKUP($A14,Council_Data!$A$3:$AB$840,3,0)),0,VLOOKUP($A14,Council_Data!$A$3:$AB$840,3,0))</f>
        <v>Kilgore</v>
      </c>
      <c r="D14" s="93">
        <f>IF(ISNA(VLOOKUP($A14,Council_Data!$A$3:$AB$840,5,0)),0,VLOOKUP($A14,Council_Data!$A$3:$AB$840,5,0))</f>
        <v>42</v>
      </c>
      <c r="E14" s="93">
        <f>IF(ISNA(VLOOKUP($A14,Council_Data!$A$3:$AB$840,6,0)),0,VLOOKUP($A14,Council_Data!$A$3:$AB$840,6,0))</f>
        <v>3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3</v>
      </c>
      <c r="V14" s="50" t="str">
        <f>IF(ISNA(VLOOKUP($A14,Council_Data!$A$3:$AB$840,24,0)),0,VLOOKUP($A14,Council_Data!$A$3:$AB$840,24,0))</f>
        <v>Regan</v>
      </c>
    </row>
    <row r="15" spans="1:22">
      <c r="A15" s="93">
        <v>11026</v>
      </c>
      <c r="B15" s="50" t="str">
        <f>IF(ISNA(VLOOKUP($A15,Council_Data!$A$3:$AB$840,2,0)),0,VLOOKUP($A15,Council_Data!$A$3:$AB$840,2,0))</f>
        <v>133</v>
      </c>
      <c r="C15" s="50" t="str">
        <f>IF(ISNA(VLOOKUP($A15,Council_Data!$A$3:$AB$840,3,0)),0,VLOOKUP($A15,Council_Data!$A$3:$AB$840,3,0))</f>
        <v>Carthage</v>
      </c>
      <c r="D15" s="93">
        <f>IF(ISNA(VLOOKUP($A15,Council_Data!$A$3:$AB$840,5,0)),0,VLOOKUP($A15,Council_Data!$A$3:$AB$840,5,0))</f>
        <v>76</v>
      </c>
      <c r="E15" s="93">
        <f>IF(ISNA(VLOOKUP($A15,Council_Data!$A$3:$AB$840,6,0)),0,VLOOKUP($A15,Council_Data!$A$3:$AB$840,6,0))</f>
        <v>4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Regan</v>
      </c>
    </row>
    <row r="16" spans="1:22">
      <c r="A16" s="93">
        <v>11093</v>
      </c>
      <c r="B16" s="50" t="str">
        <f>IF(ISNA(VLOOKUP($A16,Council_Data!$A$3:$AB$840,2,0)),0,VLOOKUP($A16,Council_Data!$A$3:$AB$840,2,0))</f>
        <v>133</v>
      </c>
      <c r="C16" s="50" t="str">
        <f>IF(ISNA(VLOOKUP($A16,Council_Data!$A$3:$AB$840,3,0)),0,VLOOKUP($A16,Council_Data!$A$3:$AB$840,3,0))</f>
        <v>Longview</v>
      </c>
      <c r="D16" s="93">
        <f>IF(ISNA(VLOOKUP($A16,Council_Data!$A$3:$AB$840,5,0)),0,VLOOKUP($A16,Council_Data!$A$3:$AB$840,5,0))</f>
        <v>175</v>
      </c>
      <c r="E16" s="93">
        <f>IF(ISNA(VLOOKUP($A16,Council_Data!$A$3:$AB$840,6,0)),0,VLOOKUP($A16,Council_Data!$A$3:$AB$840,6,0))</f>
        <v>8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1</v>
      </c>
      <c r="H16" s="93">
        <f>IF(ISNA(VLOOKUP($A16,Council_Data!$A$3:$AB$840,9,0)),0,VLOOKUP($A16,Council_Data!$A$3:$AB$840,9,0))</f>
        <v>-1</v>
      </c>
      <c r="I16" s="93">
        <f>IF(ISNA(VLOOKUP($A16,Council_Data!$A$3:$AB$840,10,0)),0,VLOOKUP($A16,Council_Data!$A$3:$AB$840,10,0))</f>
        <v>3</v>
      </c>
      <c r="J16" s="93">
        <f>IF(ISNA(VLOOKUP($A16,Council_Data!$A$3:$AB$840,11,0)),0,VLOOKUP($A16,Council_Data!$A$3:$AB$840,11,0))</f>
        <v>1</v>
      </c>
      <c r="K16" s="93">
        <f>IF(ISNA(VLOOKUP($A16,Council_Data!$A$3:$AB$840,12,0)),0,VLOOKUP($A16,Council_Data!$A$3:$AB$840,12,0))</f>
        <v>2</v>
      </c>
      <c r="L16" s="94">
        <f>IF(ISNA(VLOOKUP($A16,Council_Data!$A$3:$AB$840,13,0)),0,VLOOKUP($A16,Council_Data!$A$3:$AB$840,13,0))</f>
        <v>25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Regan</v>
      </c>
    </row>
    <row r="17" spans="1:22">
      <c r="A17" s="93">
        <v>3404</v>
      </c>
      <c r="B17" s="50" t="str">
        <f>IF(ISNA(VLOOKUP($A17,Council_Data!$A$3:$AB$840,2,0)),0,VLOOKUP($A17,Council_Data!$A$3:$AB$840,2,0))</f>
        <v>134</v>
      </c>
      <c r="C17" s="50" t="str">
        <f>IF(ISNA(VLOOKUP($A17,Council_Data!$A$3:$AB$840,3,0)),0,VLOOKUP($A17,Council_Data!$A$3:$AB$840,3,0))</f>
        <v>Lufkin</v>
      </c>
      <c r="D17" s="93">
        <f>IF(ISNA(VLOOKUP($A17,Council_Data!$A$3:$AB$840,5,0)),0,VLOOKUP($A17,Council_Data!$A$3:$AB$840,5,0))</f>
        <v>190</v>
      </c>
      <c r="E17" s="93">
        <f>IF(ISNA(VLOOKUP($A17,Council_Data!$A$3:$AB$840,6,0)),0,VLOOKUP($A17,Council_Data!$A$3:$AB$840,6,0))</f>
        <v>9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42</v>
      </c>
      <c r="K17" s="93">
        <f>IF(ISNA(VLOOKUP($A17,Council_Data!$A$3:$AB$840,12,0)),0,VLOOKUP($A17,Council_Data!$A$3:$AB$840,12,0))</f>
        <v>-42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1</v>
      </c>
      <c r="P17" s="93">
        <f>IF(ISNA(VLOOKUP($A17,Council_Data!$A$3:$AB$840,17,0)),0,VLOOKUP($A17,Council_Data!$A$3:$AB$840,17,0))</f>
        <v>-1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3</v>
      </c>
      <c r="S17" s="93">
        <f>IF(ISNA(VLOOKUP($A17,Council_Data!$A$3:$AB$840,20,0)),0,VLOOKUP($A17,Council_Data!$A$3:$AB$840,20,0))</f>
        <v>-3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Regan</v>
      </c>
    </row>
    <row r="18" spans="1:22">
      <c r="A18" s="93">
        <v>7553</v>
      </c>
      <c r="B18" s="50" t="str">
        <f>IF(ISNA(VLOOKUP($A18,Council_Data!$A$3:$AB$840,2,0)),0,VLOOKUP($A18,Council_Data!$A$3:$AB$840,2,0))</f>
        <v>134</v>
      </c>
      <c r="C18" s="50" t="str">
        <f>IF(ISNA(VLOOKUP($A18,Council_Data!$A$3:$AB$840,3,0)),0,VLOOKUP($A18,Council_Data!$A$3:$AB$840,3,0))</f>
        <v>Nacogdoches</v>
      </c>
      <c r="D18" s="93">
        <f>IF(ISNA(VLOOKUP($A18,Council_Data!$A$3:$AB$840,5,0)),0,VLOOKUP($A18,Council_Data!$A$3:$AB$840,5,0))</f>
        <v>97</v>
      </c>
      <c r="E18" s="93">
        <f>IF(ISNA(VLOOKUP($A18,Council_Data!$A$3:$AB$840,6,0)),0,VLOOKUP($A18,Council_Data!$A$3:$AB$840,6,0))</f>
        <v>5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1</v>
      </c>
      <c r="L18" s="94">
        <f>IF(ISNA(VLOOKUP($A18,Council_Data!$A$3:$AB$840,13,0)),0,VLOOKUP($A18,Council_Data!$A$3:$AB$840,13,0))</f>
        <v>20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1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1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Regan</v>
      </c>
    </row>
    <row r="19" spans="1:22">
      <c r="A19" s="93">
        <v>10790</v>
      </c>
      <c r="B19" s="50" t="str">
        <f>IF(ISNA(VLOOKUP($A19,Council_Data!$A$3:$AB$840,2,0)),0,VLOOKUP($A19,Council_Data!$A$3:$AB$840,2,0))</f>
        <v>134</v>
      </c>
      <c r="C19" s="50" t="str">
        <f>IF(ISNA(VLOOKUP($A19,Council_Data!$A$3:$AB$840,3,0)),0,VLOOKUP($A19,Council_Data!$A$3:$AB$840,3,0))</f>
        <v>Nacogdoches</v>
      </c>
      <c r="D19" s="93">
        <f>IF(ISNA(VLOOKUP($A19,Council_Data!$A$3:$AB$840,5,0)),0,VLOOKUP($A19,Council_Data!$A$3:$AB$840,5,0))</f>
        <v>43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8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8</v>
      </c>
      <c r="L19" s="94">
        <f>IF(ISNA(VLOOKUP($A19,Council_Data!$A$3:$AB$840,13,0)),0,VLOOKUP($A19,Council_Data!$A$3:$AB$840,13,0))</f>
        <v>266.67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1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Regan</v>
      </c>
    </row>
    <row r="20" spans="1:22">
      <c r="A20" s="93">
        <v>10875</v>
      </c>
      <c r="B20" s="50" t="str">
        <f>IF(ISNA(VLOOKUP($A20,Council_Data!$A$3:$AB$840,2,0)),0,VLOOKUP($A20,Council_Data!$A$3:$AB$840,2,0))</f>
        <v>134</v>
      </c>
      <c r="C20" s="50" t="str">
        <f>IF(ISNA(VLOOKUP($A20,Council_Data!$A$3:$AB$840,3,0)),0,VLOOKUP($A20,Council_Data!$A$3:$AB$840,3,0))</f>
        <v>San Augustine</v>
      </c>
      <c r="D20" s="93">
        <f>IF(ISNA(VLOOKUP($A20,Council_Data!$A$3:$AB$840,5,0)),0,VLOOKUP($A20,Council_Data!$A$3:$AB$840,5,0))</f>
        <v>56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Regan</v>
      </c>
    </row>
    <row r="21" spans="1:22">
      <c r="A21" s="93">
        <v>1323</v>
      </c>
      <c r="B21" s="50" t="str">
        <f>IF(ISNA(VLOOKUP($A21,Council_Data!$A$3:$AB$840,2,0)),0,VLOOKUP($A21,Council_Data!$A$3:$AB$840,2,0))</f>
        <v>138</v>
      </c>
      <c r="C21" s="50" t="str">
        <f>IF(ISNA(VLOOKUP($A21,Council_Data!$A$3:$AB$840,3,0)),0,VLOOKUP($A21,Council_Data!$A$3:$AB$840,3,0))</f>
        <v>Palestine</v>
      </c>
      <c r="D21" s="93">
        <f>IF(ISNA(VLOOKUP($A21,Council_Data!$A$3:$AB$840,5,0)),0,VLOOKUP($A21,Council_Data!$A$3:$AB$840,5,0))</f>
        <v>99</v>
      </c>
      <c r="E21" s="93">
        <f>IF(ISNA(VLOOKUP($A21,Council_Data!$A$3:$AB$840,6,0)),0,VLOOKUP($A21,Council_Data!$A$3:$AB$840,6,0))</f>
        <v>5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1</v>
      </c>
      <c r="J21" s="93">
        <f>IF(ISNA(VLOOKUP($A21,Council_Data!$A$3:$AB$840,11,0)),0,VLOOKUP($A21,Council_Data!$A$3:$AB$840,11,0))</f>
        <v>3</v>
      </c>
      <c r="K21" s="93">
        <f>IF(ISNA(VLOOKUP($A21,Council_Data!$A$3:$AB$840,12,0)),0,VLOOKUP($A21,Council_Data!$A$3:$AB$840,12,0))</f>
        <v>-2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2</v>
      </c>
      <c r="V21" s="50" t="str">
        <f>IF(ISNA(VLOOKUP($A21,Council_Data!$A$3:$AB$840,24,0)),0,VLOOKUP($A21,Council_Data!$A$3:$AB$840,24,0))</f>
        <v>Regan</v>
      </c>
    </row>
    <row r="22" spans="1:22">
      <c r="A22" s="93">
        <v>11462</v>
      </c>
      <c r="B22" s="50" t="str">
        <f>IF(ISNA(VLOOKUP($A22,Council_Data!$A$3:$AB$840,2,0)),0,VLOOKUP($A22,Council_Data!$A$3:$AB$840,2,0))</f>
        <v>135</v>
      </c>
      <c r="C22" s="50" t="str">
        <f>IF(ISNA(VLOOKUP($A22,Council_Data!$A$3:$AB$840,3,0)),0,VLOOKUP($A22,Council_Data!$A$3:$AB$840,3,0))</f>
        <v>Henderson</v>
      </c>
      <c r="D22" s="93">
        <f>IF(ISNA(VLOOKUP($A22,Council_Data!$A$3:$AB$840,5,0)),0,VLOOKUP($A22,Council_Data!$A$3:$AB$840,5,0))</f>
        <v>46</v>
      </c>
      <c r="E22" s="93">
        <f>IF(ISNA(VLOOKUP($A22,Council_Data!$A$3:$AB$840,6,0)),0,VLOOKUP($A22,Council_Data!$A$3:$AB$840,6,0))</f>
        <v>3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1</v>
      </c>
      <c r="K22" s="93">
        <f>IF(ISNA(VLOOKUP($A22,Council_Data!$A$3:$AB$840,12,0)),0,VLOOKUP($A22,Council_Data!$A$3:$AB$840,12,0))</f>
        <v>-1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3</v>
      </c>
      <c r="V22" s="50" t="str">
        <f>IF(ISNA(VLOOKUP($A22,Council_Data!$A$3:$AB$840,24,0)),0,VLOOKUP($A22,Council_Data!$A$3:$AB$840,24,0))</f>
        <v>Regan</v>
      </c>
    </row>
    <row r="23" spans="1:22">
      <c r="A23" s="93">
        <v>11530</v>
      </c>
      <c r="B23" s="50" t="str">
        <f>IF(ISNA(VLOOKUP($A23,Council_Data!$A$3:$AB$840,2,0)),0,VLOOKUP($A23,Council_Data!$A$3:$AB$840,2,0))</f>
        <v>135</v>
      </c>
      <c r="C23" s="50" t="str">
        <f>IF(ISNA(VLOOKUP($A23,Council_Data!$A$3:$AB$840,3,0)),0,VLOOKUP($A23,Council_Data!$A$3:$AB$840,3,0))</f>
        <v>Jacksonville</v>
      </c>
      <c r="D23" s="93">
        <f>IF(ISNA(VLOOKUP($A23,Council_Data!$A$3:$AB$840,5,0)),0,VLOOKUP($A23,Council_Data!$A$3:$AB$840,5,0))</f>
        <v>74</v>
      </c>
      <c r="E23" s="93">
        <f>IF(ISNA(VLOOKUP($A23,Council_Data!$A$3:$AB$840,6,0)),0,VLOOKUP($A23,Council_Data!$A$3:$AB$840,6,0))</f>
        <v>4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3</v>
      </c>
      <c r="H23" s="93">
        <f>IF(ISNA(VLOOKUP($A23,Council_Data!$A$3:$AB$840,9,0)),0,VLOOKUP($A23,Council_Data!$A$3:$AB$840,9,0))</f>
        <v>-3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21</v>
      </c>
      <c r="K23" s="93">
        <f>IF(ISNA(VLOOKUP($A23,Council_Data!$A$3:$AB$840,12,0)),0,VLOOKUP($A23,Council_Data!$A$3:$AB$840,12,0))</f>
        <v>-21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1</v>
      </c>
      <c r="P23" s="93">
        <f>IF(ISNA(VLOOKUP($A23,Council_Data!$A$3:$AB$840,17,0)),0,VLOOKUP($A23,Council_Data!$A$3:$AB$840,17,0))</f>
        <v>-1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2</v>
      </c>
      <c r="S23" s="93">
        <f>IF(ISNA(VLOOKUP($A23,Council_Data!$A$3:$AB$840,20,0)),0,VLOOKUP($A23,Council_Data!$A$3:$AB$840,20,0))</f>
        <v>-2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Regan</v>
      </c>
    </row>
    <row r="24" spans="1:22">
      <c r="A24" s="93">
        <v>13136</v>
      </c>
      <c r="B24" s="50" t="str">
        <f>IF(ISNA(VLOOKUP($A24,Council_Data!$A$3:$AB$840,2,0)),0,VLOOKUP($A24,Council_Data!$A$3:$AB$840,2,0))</f>
        <v>138</v>
      </c>
      <c r="C24" s="50" t="str">
        <f>IF(ISNA(VLOOKUP($A24,Council_Data!$A$3:$AB$840,3,0)),0,VLOOKUP($A24,Council_Data!$A$3:$AB$840,3,0))</f>
        <v>Trinity</v>
      </c>
      <c r="D24" s="93">
        <f>IF(ISNA(VLOOKUP($A24,Council_Data!$A$3:$AB$840,5,0)),0,VLOOKUP($A24,Council_Data!$A$3:$AB$840,5,0))</f>
        <v>36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Regan</v>
      </c>
    </row>
    <row r="25" spans="1:22">
      <c r="A25" s="93">
        <v>17154</v>
      </c>
      <c r="B25" s="50" t="str">
        <f>IF(ISNA(VLOOKUP($A25,Council_Data!$A$3:$AB$840,2,0)),0,VLOOKUP($A25,Council_Data!$A$3:$AB$840,2,0))</f>
        <v>138</v>
      </c>
      <c r="C25" s="50" t="str">
        <f>IF(ISNA(VLOOKUP($A25,Council_Data!$A$3:$AB$840,3,0)),0,VLOOKUP($A25,Council_Data!$A$3:$AB$840,3,0))</f>
        <v>Madisonville</v>
      </c>
      <c r="D25" s="93">
        <f>IF(ISNA(VLOOKUP($A25,Council_Data!$A$3:$AB$840,5,0)),0,VLOOKUP($A25,Council_Data!$A$3:$AB$840,5,0))</f>
        <v>24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Regan</v>
      </c>
    </row>
    <row r="26" spans="1:22">
      <c r="A26" s="93">
        <v>1003</v>
      </c>
      <c r="B26" s="50" t="str">
        <f>IF(ISNA(VLOOKUP($A26,Council_Data!$A$3:$AB$840,2,0)),0,VLOOKUP($A26,Council_Data!$A$3:$AB$840,2,0))</f>
        <v>136</v>
      </c>
      <c r="C26" s="50" t="str">
        <f>IF(ISNA(VLOOKUP($A26,Council_Data!$A$3:$AB$840,3,0)),0,VLOOKUP($A26,Council_Data!$A$3:$AB$840,3,0))</f>
        <v>Texarkana</v>
      </c>
      <c r="D26" s="93">
        <f>IF(ISNA(VLOOKUP($A26,Council_Data!$A$3:$AB$840,5,0)),0,VLOOKUP($A26,Council_Data!$A$3:$AB$840,5,0))</f>
        <v>193</v>
      </c>
      <c r="E26" s="93">
        <f>IF(ISNA(VLOOKUP($A26,Council_Data!$A$3:$AB$840,6,0)),0,VLOOKUP($A26,Council_Data!$A$3:$AB$840,6,0))</f>
        <v>10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1</v>
      </c>
      <c r="P26" s="93">
        <f>IF(ISNA(VLOOKUP($A26,Council_Data!$A$3:$AB$840,17,0)),0,VLOOKUP($A26,Council_Data!$A$3:$AB$840,17,0))</f>
        <v>-1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2</v>
      </c>
      <c r="S26" s="93">
        <f>IF(ISNA(VLOOKUP($A26,Council_Data!$A$3:$AB$840,20,0)),0,VLOOKUP($A26,Council_Data!$A$3:$AB$840,20,0))</f>
        <v>-1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Regan</v>
      </c>
    </row>
    <row r="27" spans="1:22" ht="25.5">
      <c r="A27" s="93">
        <v>6699</v>
      </c>
      <c r="B27" s="50" t="str">
        <f>IF(ISNA(VLOOKUP($A27,Council_Data!$A$3:$AB$840,2,0)),0,VLOOKUP($A27,Council_Data!$A$3:$AB$840,2,0))</f>
        <v>136</v>
      </c>
      <c r="C27" s="50" t="str">
        <f>IF(ISNA(VLOOKUP($A27,Council_Data!$A$3:$AB$840,3,0)),0,VLOOKUP($A27,Council_Data!$A$3:$AB$840,3,0))</f>
        <v>Dangfld-Mtplesnt-Pitsbg-Mtvern</v>
      </c>
      <c r="D27" s="93">
        <f>IF(ISNA(VLOOKUP($A27,Council_Data!$A$3:$AB$840,5,0)),0,VLOOKUP($A27,Council_Data!$A$3:$AB$840,5,0))</f>
        <v>57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1</v>
      </c>
      <c r="H27" s="93">
        <f>IF(ISNA(VLOOKUP($A27,Council_Data!$A$3:$AB$840,9,0)),0,VLOOKUP($A27,Council_Data!$A$3:$AB$840,9,0))</f>
        <v>-1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1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1</v>
      </c>
      <c r="P27" s="93">
        <f>IF(ISNA(VLOOKUP($A27,Council_Data!$A$3:$AB$840,17,0)),0,VLOOKUP($A27,Council_Data!$A$3:$AB$840,17,0))</f>
        <v>-1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-1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Regan</v>
      </c>
    </row>
    <row r="28" spans="1:22">
      <c r="A28" s="93">
        <v>10660</v>
      </c>
      <c r="B28" s="50" t="str">
        <f>IF(ISNA(VLOOKUP($A28,Council_Data!$A$3:$AB$840,2,0)),0,VLOOKUP($A28,Council_Data!$A$3:$AB$840,2,0))</f>
        <v>136</v>
      </c>
      <c r="C28" s="50" t="str">
        <f>IF(ISNA(VLOOKUP($A28,Council_Data!$A$3:$AB$840,3,0)),0,VLOOKUP($A28,Council_Data!$A$3:$AB$840,3,0))</f>
        <v>Atlanta</v>
      </c>
      <c r="D28" s="93">
        <f>IF(ISNA(VLOOKUP($A28,Council_Data!$A$3:$AB$840,5,0)),0,VLOOKUP($A28,Council_Data!$A$3:$AB$840,5,0))</f>
        <v>38</v>
      </c>
      <c r="E28" s="93">
        <f>IF(ISNA(VLOOKUP($A28,Council_Data!$A$3:$AB$840,6,0)),0,VLOOKUP($A28,Council_Data!$A$3:$AB$840,6,0))</f>
        <v>3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3</v>
      </c>
      <c r="V28" s="50" t="str">
        <f>IF(ISNA(VLOOKUP($A28,Council_Data!$A$3:$AB$840,24,0)),0,VLOOKUP($A28,Council_Data!$A$3:$AB$840,24,0))</f>
        <v>Regan</v>
      </c>
    </row>
    <row r="29" spans="1:22">
      <c r="A29" s="93">
        <v>1502</v>
      </c>
      <c r="B29" s="50" t="str">
        <f>IF(ISNA(VLOOKUP($A29,Council_Data!$A$3:$AB$840,2,0)),0,VLOOKUP($A29,Council_Data!$A$3:$AB$840,2,0))</f>
        <v>137</v>
      </c>
      <c r="C29" s="50" t="str">
        <f>IF(ISNA(VLOOKUP($A29,Council_Data!$A$3:$AB$840,3,0)),0,VLOOKUP($A29,Council_Data!$A$3:$AB$840,3,0))</f>
        <v>Tyler</v>
      </c>
      <c r="D29" s="93">
        <f>IF(ISNA(VLOOKUP($A29,Council_Data!$A$3:$AB$840,5,0)),0,VLOOKUP($A29,Council_Data!$A$3:$AB$840,5,0))</f>
        <v>203</v>
      </c>
      <c r="E29" s="93">
        <f>IF(ISNA(VLOOKUP($A29,Council_Data!$A$3:$AB$840,6,0)),0,VLOOKUP($A29,Council_Data!$A$3:$AB$840,6,0))</f>
        <v>10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7</v>
      </c>
      <c r="H29" s="93">
        <f>IF(ISNA(VLOOKUP($A29,Council_Data!$A$3:$AB$840,9,0)),0,VLOOKUP($A29,Council_Data!$A$3:$AB$840,9,0))</f>
        <v>-7</v>
      </c>
      <c r="I29" s="93">
        <f>IF(ISNA(VLOOKUP($A29,Council_Data!$A$3:$AB$840,10,0)),0,VLOOKUP($A29,Council_Data!$A$3:$AB$840,10,0))</f>
        <v>6</v>
      </c>
      <c r="J29" s="93">
        <f>IF(ISNA(VLOOKUP($A29,Council_Data!$A$3:$AB$840,11,0)),0,VLOOKUP($A29,Council_Data!$A$3:$AB$840,11,0))</f>
        <v>7</v>
      </c>
      <c r="K29" s="93">
        <f>IF(ISNA(VLOOKUP($A29,Council_Data!$A$3:$AB$840,12,0)),0,VLOOKUP($A29,Council_Data!$A$3:$AB$840,12,0))</f>
        <v>-1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1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Regan</v>
      </c>
    </row>
    <row r="30" spans="1:22">
      <c r="A30" s="93">
        <v>11865</v>
      </c>
      <c r="B30" s="50" t="str">
        <f>IF(ISNA(VLOOKUP($A30,Council_Data!$A$3:$AB$840,2,0)),0,VLOOKUP($A30,Council_Data!$A$3:$AB$840,2,0))</f>
        <v>135</v>
      </c>
      <c r="C30" s="50" t="str">
        <f>IF(ISNA(VLOOKUP($A30,Council_Data!$A$3:$AB$840,3,0)),0,VLOOKUP($A30,Council_Data!$A$3:$AB$840,3,0))</f>
        <v>Whitehouse</v>
      </c>
      <c r="D30" s="93">
        <f>IF(ISNA(VLOOKUP($A30,Council_Data!$A$3:$AB$840,5,0)),0,VLOOKUP($A30,Council_Data!$A$3:$AB$840,5,0))</f>
        <v>53</v>
      </c>
      <c r="E30" s="93">
        <f>IF(ISNA(VLOOKUP($A30,Council_Data!$A$3:$AB$840,6,0)),0,VLOOKUP($A30,Council_Data!$A$3:$AB$840,6,0))</f>
        <v>3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1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3</v>
      </c>
      <c r="V30" s="50" t="str">
        <f>IF(ISNA(VLOOKUP($A30,Council_Data!$A$3:$AB$840,24,0)),0,VLOOKUP($A30,Council_Data!$A$3:$AB$840,24,0))</f>
        <v>Regan</v>
      </c>
    </row>
    <row r="31" spans="1:22">
      <c r="A31" s="93">
        <v>11933</v>
      </c>
      <c r="B31" s="50" t="str">
        <f>IF(ISNA(VLOOKUP($A31,Council_Data!$A$3:$AB$840,2,0)),0,VLOOKUP($A31,Council_Data!$A$3:$AB$840,2,0))</f>
        <v>137</v>
      </c>
      <c r="C31" s="50" t="str">
        <f>IF(ISNA(VLOOKUP($A31,Council_Data!$A$3:$AB$840,3,0)),0,VLOOKUP($A31,Council_Data!$A$3:$AB$840,3,0))</f>
        <v>Mineola</v>
      </c>
      <c r="D31" s="93">
        <f>IF(ISNA(VLOOKUP($A31,Council_Data!$A$3:$AB$840,5,0)),0,VLOOKUP($A31,Council_Data!$A$3:$AB$840,5,0))</f>
        <v>44</v>
      </c>
      <c r="E31" s="93">
        <f>IF(ISNA(VLOOKUP($A31,Council_Data!$A$3:$AB$840,6,0)),0,VLOOKUP($A31,Council_Data!$A$3:$AB$840,6,0))</f>
        <v>3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3</v>
      </c>
      <c r="V31" s="50" t="str">
        <f>IF(ISNA(VLOOKUP($A31,Council_Data!$A$3:$AB$840,24,0)),0,VLOOKUP($A31,Council_Data!$A$3:$AB$840,24,0))</f>
        <v>Regan</v>
      </c>
    </row>
    <row r="32" spans="1:22">
      <c r="A32" s="93">
        <v>12711</v>
      </c>
      <c r="B32" s="50" t="str">
        <f>IF(ISNA(VLOOKUP($A32,Council_Data!$A$3:$AB$840,2,0)),0,VLOOKUP($A32,Council_Data!$A$3:$AB$840,2,0))</f>
        <v>137</v>
      </c>
      <c r="C32" s="50" t="str">
        <f>IF(ISNA(VLOOKUP($A32,Council_Data!$A$3:$AB$840,3,0)),0,VLOOKUP($A32,Council_Data!$A$3:$AB$840,3,0))</f>
        <v>Lindale</v>
      </c>
      <c r="D32" s="93">
        <f>IF(ISNA(VLOOKUP($A32,Council_Data!$A$3:$AB$840,5,0)),0,VLOOKUP($A32,Council_Data!$A$3:$AB$840,5,0))</f>
        <v>67</v>
      </c>
      <c r="E32" s="93">
        <f>IF(ISNA(VLOOKUP($A32,Council_Data!$A$3:$AB$840,6,0)),0,VLOOKUP($A32,Council_Data!$A$3:$AB$840,6,0))</f>
        <v>3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-1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Regan</v>
      </c>
    </row>
    <row r="33" spans="1:22">
      <c r="A33" s="93">
        <v>14636</v>
      </c>
      <c r="B33" s="50" t="str">
        <f>IF(ISNA(VLOOKUP($A33,Council_Data!$A$3:$AB$840,2,0)),0,VLOOKUP($A33,Council_Data!$A$3:$AB$840,2,0))</f>
        <v>135</v>
      </c>
      <c r="C33" s="50" t="str">
        <f>IF(ISNA(VLOOKUP($A33,Council_Data!$A$3:$AB$840,3,0)),0,VLOOKUP($A33,Council_Data!$A$3:$AB$840,3,0))</f>
        <v>Flint</v>
      </c>
      <c r="D33" s="93">
        <f>IF(ISNA(VLOOKUP($A33,Council_Data!$A$3:$AB$840,5,0)),0,VLOOKUP($A33,Council_Data!$A$3:$AB$840,5,0))</f>
        <v>119</v>
      </c>
      <c r="E33" s="93">
        <f>IF(ISNA(VLOOKUP($A33,Council_Data!$A$3:$AB$840,6,0)),0,VLOOKUP($A33,Council_Data!$A$3:$AB$840,6,0))</f>
        <v>6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2</v>
      </c>
      <c r="J33" s="93">
        <f>IF(ISNA(VLOOKUP($A33,Council_Data!$A$3:$AB$840,11,0)),0,VLOOKUP($A33,Council_Data!$A$3:$AB$840,11,0))</f>
        <v>2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1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Regan</v>
      </c>
    </row>
    <row r="34" spans="1:22">
      <c r="A34" s="93">
        <v>12122</v>
      </c>
      <c r="B34" s="50" t="str">
        <f>IF(ISNA(VLOOKUP($A34,Council_Data!$A$3:$AB$840,2,0)),0,VLOOKUP($A34,Council_Data!$A$3:$AB$840,2,0))</f>
        <v>134</v>
      </c>
      <c r="C34" s="50" t="str">
        <f>IF(ISNA(VLOOKUP($A34,Council_Data!$A$3:$AB$840,3,0)),0,VLOOKUP($A34,Council_Data!$A$3:$AB$840,3,0))</f>
        <v>Diboll</v>
      </c>
      <c r="D34" s="93">
        <f>IF(ISNA(VLOOKUP($A34,Council_Data!$A$3:$AB$840,5,0)),0,VLOOKUP($A34,Council_Data!$A$3:$AB$840,5,0))</f>
        <v>47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Regan</v>
      </c>
    </row>
  </sheetData>
  <sortState xmlns:xlrd2="http://schemas.microsoft.com/office/spreadsheetml/2017/richdata2" ref="A4:V34">
    <sortCondition ref="B4:B34"/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863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3204</v>
      </c>
      <c r="B4" s="50" t="str">
        <f>IF(ISNA(VLOOKUP($A4,Council_Data!$A$3:$AB$840,2,0)),0,VLOOKUP($A4,Council_Data!$A$3:$AB$840,2,0))</f>
        <v>186</v>
      </c>
      <c r="C4" s="50" t="str">
        <f>IF(ISNA(VLOOKUP($A4,Council_Data!$A$3:$AB$840,3,0)),0,VLOOKUP($A4,Council_Data!$A$3:$AB$840,3,0))</f>
        <v>Ganado</v>
      </c>
      <c r="D4" s="93">
        <f>IF(ISNA(VLOOKUP($A4,Council_Data!$A$3:$AB$840,5,0)),0,VLOOKUP($A4,Council_Data!$A$3:$AB$840,5,0))</f>
        <v>150</v>
      </c>
      <c r="E4" s="93">
        <f>IF(ISNA(VLOOKUP($A4,Council_Data!$A$3:$AB$840,6,0)),0,VLOOKUP($A4,Council_Data!$A$3:$AB$840,6,0))</f>
        <v>7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4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4</v>
      </c>
      <c r="L4" s="94">
        <f>IF(ISNA(VLOOKUP($A4,Council_Data!$A$3:$AB$840,13,0)),0,VLOOKUP($A4,Council_Data!$A$3:$AB$840,13,0))</f>
        <v>57.14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1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Supak</v>
      </c>
    </row>
    <row r="5" spans="1:22">
      <c r="A5" s="50">
        <v>3253</v>
      </c>
      <c r="B5" s="50" t="str">
        <f>IF(ISNA(VLOOKUP($A5,Council_Data!$A$3:$AB$840,2,0)),0,VLOOKUP($A5,Council_Data!$A$3:$AB$840,2,0))</f>
        <v>186</v>
      </c>
      <c r="C5" s="50" t="str">
        <f>IF(ISNA(VLOOKUP($A5,Council_Data!$A$3:$AB$840,3,0)),0,VLOOKUP($A5,Council_Data!$A$3:$AB$840,3,0))</f>
        <v>Port Lavaca</v>
      </c>
      <c r="D5" s="93">
        <f>IF(ISNA(VLOOKUP($A5,Council_Data!$A$3:$AB$840,5,0)),0,VLOOKUP($A5,Council_Data!$A$3:$AB$840,5,0))</f>
        <v>201</v>
      </c>
      <c r="E5" s="93">
        <f>IF(ISNA(VLOOKUP($A5,Council_Data!$A$3:$AB$840,6,0)),0,VLOOKUP($A5,Council_Data!$A$3:$AB$840,6,0))</f>
        <v>10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5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5</v>
      </c>
      <c r="L5" s="94">
        <f>IF(ISNA(VLOOKUP($A5,Council_Data!$A$3:$AB$840,13,0)),0,VLOOKUP($A5,Council_Data!$A$3:$AB$840,13,0))</f>
        <v>50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2</v>
      </c>
      <c r="P5" s="93">
        <f>IF(ISNA(VLOOKUP($A5,Council_Data!$A$3:$AB$840,17,0)),0,VLOOKUP($A5,Council_Data!$A$3:$AB$840,17,0))</f>
        <v>-2</v>
      </c>
      <c r="Q5" s="93">
        <f>IF(ISNA(VLOOKUP($A5,Council_Data!$A$3:$AB$840,18,0)),0,VLOOKUP($A5,Council_Data!$A$3:$AB$840,18,0))</f>
        <v>2</v>
      </c>
      <c r="R5" s="93">
        <f>IF(ISNA(VLOOKUP($A5,Council_Data!$A$3:$AB$840,19,0)),0,VLOOKUP($A5,Council_Data!$A$3:$AB$840,19,0))</f>
        <v>2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Supak</v>
      </c>
    </row>
    <row r="6" spans="1:22">
      <c r="A6" s="50">
        <v>3421</v>
      </c>
      <c r="B6" s="50" t="str">
        <f>IF(ISNA(VLOOKUP($A6,Council_Data!$A$3:$AB$840,2,0)),0,VLOOKUP($A6,Council_Data!$A$3:$AB$840,2,0))</f>
        <v>186</v>
      </c>
      <c r="C6" s="50" t="str">
        <f>IF(ISNA(VLOOKUP($A6,Council_Data!$A$3:$AB$840,3,0)),0,VLOOKUP($A6,Council_Data!$A$3:$AB$840,3,0))</f>
        <v>Edna</v>
      </c>
      <c r="D6" s="93">
        <f>IF(ISNA(VLOOKUP($A6,Council_Data!$A$3:$AB$840,5,0)),0,VLOOKUP($A6,Council_Data!$A$3:$AB$840,5,0))</f>
        <v>97</v>
      </c>
      <c r="E6" s="93">
        <f>IF(ISNA(VLOOKUP($A6,Council_Data!$A$3:$AB$840,6,0)),0,VLOOKUP($A6,Council_Data!$A$3:$AB$840,6,0))</f>
        <v>5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5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5</v>
      </c>
      <c r="L6" s="94">
        <f>IF(ISNA(VLOOKUP($A6,Council_Data!$A$3:$AB$840,13,0)),0,VLOOKUP($A6,Council_Data!$A$3:$AB$840,13,0))</f>
        <v>100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1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1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Supak</v>
      </c>
    </row>
    <row r="7" spans="1:22">
      <c r="A7" s="50">
        <v>11351</v>
      </c>
      <c r="B7" s="50" t="str">
        <f>IF(ISNA(VLOOKUP($A7,Council_Data!$A$3:$AB$840,2,0)),0,VLOOKUP($A7,Council_Data!$A$3:$AB$840,2,0))</f>
        <v>186</v>
      </c>
      <c r="C7" s="50" t="str">
        <f>IF(ISNA(VLOOKUP($A7,Council_Data!$A$3:$AB$840,3,0)),0,VLOOKUP($A7,Council_Data!$A$3:$AB$840,3,0))</f>
        <v>Inez</v>
      </c>
      <c r="D7" s="93">
        <f>IF(ISNA(VLOOKUP($A7,Council_Data!$A$3:$AB$840,5,0)),0,VLOOKUP($A7,Council_Data!$A$3:$AB$840,5,0))</f>
        <v>62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Supak</v>
      </c>
    </row>
    <row r="8" spans="1:22">
      <c r="A8" s="50">
        <v>3070</v>
      </c>
      <c r="B8" s="50" t="str">
        <f>IF(ISNA(VLOOKUP($A8,Council_Data!$A$3:$AB$840,2,0)),0,VLOOKUP($A8,Council_Data!$A$3:$AB$840,2,0))</f>
        <v>187</v>
      </c>
      <c r="C8" s="50" t="str">
        <f>IF(ISNA(VLOOKUP($A8,Council_Data!$A$3:$AB$840,3,0)),0,VLOOKUP($A8,Council_Data!$A$3:$AB$840,3,0))</f>
        <v>Bay City</v>
      </c>
      <c r="D8" s="93">
        <f>IF(ISNA(VLOOKUP($A8,Council_Data!$A$3:$AB$840,5,0)),0,VLOOKUP($A8,Council_Data!$A$3:$AB$840,5,0))</f>
        <v>169</v>
      </c>
      <c r="E8" s="93">
        <f>IF(ISNA(VLOOKUP($A8,Council_Data!$A$3:$AB$840,6,0)),0,VLOOKUP($A8,Council_Data!$A$3:$AB$840,6,0))</f>
        <v>8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5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5</v>
      </c>
      <c r="L8" s="94">
        <f>IF(ISNA(VLOOKUP($A8,Council_Data!$A$3:$AB$840,13,0)),0,VLOOKUP($A8,Council_Data!$A$3:$AB$840,13,0))</f>
        <v>62.5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Supak</v>
      </c>
    </row>
    <row r="9" spans="1:22">
      <c r="A9" s="50">
        <v>4307</v>
      </c>
      <c r="B9" s="50" t="str">
        <f>IF(ISNA(VLOOKUP($A9,Council_Data!$A$3:$AB$840,2,0)),0,VLOOKUP($A9,Council_Data!$A$3:$AB$840,2,0))</f>
        <v>187</v>
      </c>
      <c r="C9" s="50" t="str">
        <f>IF(ISNA(VLOOKUP($A9,Council_Data!$A$3:$AB$840,3,0)),0,VLOOKUP($A9,Council_Data!$A$3:$AB$840,3,0))</f>
        <v>Blessing</v>
      </c>
      <c r="D9" s="93">
        <f>IF(ISNA(VLOOKUP($A9,Council_Data!$A$3:$AB$840,5,0)),0,VLOOKUP($A9,Council_Data!$A$3:$AB$840,5,0))</f>
        <v>99</v>
      </c>
      <c r="E9" s="93">
        <f>IF(ISNA(VLOOKUP($A9,Council_Data!$A$3:$AB$840,6,0)),0,VLOOKUP($A9,Council_Data!$A$3:$AB$840,6,0))</f>
        <v>5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1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1</v>
      </c>
      <c r="L9" s="94">
        <f>IF(ISNA(VLOOKUP($A9,Council_Data!$A$3:$AB$840,13,0)),0,VLOOKUP($A9,Council_Data!$A$3:$AB$840,13,0))</f>
        <v>20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1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1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Supak</v>
      </c>
    </row>
    <row r="10" spans="1:22">
      <c r="A10" s="50">
        <v>6889</v>
      </c>
      <c r="B10" s="50" t="str">
        <f>IF(ISNA(VLOOKUP($A10,Council_Data!$A$3:$AB$840,2,0)),0,VLOOKUP($A10,Council_Data!$A$3:$AB$840,2,0))</f>
        <v>187</v>
      </c>
      <c r="C10" s="50" t="str">
        <f>IF(ISNA(VLOOKUP($A10,Council_Data!$A$3:$AB$840,3,0)),0,VLOOKUP($A10,Council_Data!$A$3:$AB$840,3,0))</f>
        <v>Palacios</v>
      </c>
      <c r="D10" s="93">
        <f>IF(ISNA(VLOOKUP($A10,Council_Data!$A$3:$AB$840,5,0)),0,VLOOKUP($A10,Council_Data!$A$3:$AB$840,5,0))</f>
        <v>101</v>
      </c>
      <c r="E10" s="93">
        <f>IF(ISNA(VLOOKUP($A10,Council_Data!$A$3:$AB$840,6,0)),0,VLOOKUP($A10,Council_Data!$A$3:$AB$840,6,0))</f>
        <v>5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Supak</v>
      </c>
    </row>
    <row r="11" spans="1:22">
      <c r="A11" s="50">
        <v>2490</v>
      </c>
      <c r="B11" s="50" t="str">
        <f>IF(ISNA(VLOOKUP($A11,Council_Data!$A$3:$AB$840,2,0)),0,VLOOKUP($A11,Council_Data!$A$3:$AB$840,2,0))</f>
        <v>188</v>
      </c>
      <c r="C11" s="50" t="str">
        <f>IF(ISNA(VLOOKUP($A11,Council_Data!$A$3:$AB$840,3,0)),0,VLOOKUP($A11,Council_Data!$A$3:$AB$840,3,0))</f>
        <v>El Campo</v>
      </c>
      <c r="D11" s="93">
        <f>IF(ISNA(VLOOKUP($A11,Council_Data!$A$3:$AB$840,5,0)),0,VLOOKUP($A11,Council_Data!$A$3:$AB$840,5,0))</f>
        <v>491</v>
      </c>
      <c r="E11" s="93">
        <f>IF(ISNA(VLOOKUP($A11,Council_Data!$A$3:$AB$840,6,0)),0,VLOOKUP($A11,Council_Data!$A$3:$AB$840,6,0))</f>
        <v>20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2</v>
      </c>
      <c r="K11" s="93">
        <f>IF(ISNA(VLOOKUP($A11,Council_Data!$A$3:$AB$840,12,0)),0,VLOOKUP($A11,Council_Data!$A$3:$AB$840,12,0))</f>
        <v>-2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1</v>
      </c>
      <c r="P11" s="93">
        <f>IF(ISNA(VLOOKUP($A11,Council_Data!$A$3:$AB$840,17,0)),0,VLOOKUP($A11,Council_Data!$A$3:$AB$840,17,0))</f>
        <v>-1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Supak</v>
      </c>
    </row>
    <row r="12" spans="1:22">
      <c r="A12" s="50">
        <v>3371</v>
      </c>
      <c r="B12" s="50" t="str">
        <f>IF(ISNA(VLOOKUP($A12,Council_Data!$A$3:$AB$840,2,0)),0,VLOOKUP($A12,Council_Data!$A$3:$AB$840,2,0))</f>
        <v>188</v>
      </c>
      <c r="C12" s="50" t="str">
        <f>IF(ISNA(VLOOKUP($A12,Council_Data!$A$3:$AB$840,3,0)),0,VLOOKUP($A12,Council_Data!$A$3:$AB$840,3,0))</f>
        <v>Nada</v>
      </c>
      <c r="D12" s="93">
        <f>IF(ISNA(VLOOKUP($A12,Council_Data!$A$3:$AB$840,5,0)),0,VLOOKUP($A12,Council_Data!$A$3:$AB$840,5,0))</f>
        <v>323</v>
      </c>
      <c r="E12" s="93">
        <f>IF(ISNA(VLOOKUP($A12,Council_Data!$A$3:$AB$840,6,0)),0,VLOOKUP($A12,Council_Data!$A$3:$AB$840,6,0))</f>
        <v>16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1</v>
      </c>
      <c r="P12" s="93">
        <f>IF(ISNA(VLOOKUP($A12,Council_Data!$A$3:$AB$840,17,0)),0,VLOOKUP($A12,Council_Data!$A$3:$AB$840,17,0))</f>
        <v>-1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Supak</v>
      </c>
    </row>
    <row r="13" spans="1:22">
      <c r="A13" s="50">
        <v>9393</v>
      </c>
      <c r="B13" s="50" t="str">
        <f>IF(ISNA(VLOOKUP($A13,Council_Data!$A$3:$AB$840,2,0)),0,VLOOKUP($A13,Council_Data!$A$3:$AB$840,2,0))</f>
        <v>188</v>
      </c>
      <c r="C13" s="50" t="str">
        <f>IF(ISNA(VLOOKUP($A13,Council_Data!$A$3:$AB$840,3,0)),0,VLOOKUP($A13,Council_Data!$A$3:$AB$840,3,0))</f>
        <v>El Campo</v>
      </c>
      <c r="D13" s="93">
        <f>IF(ISNA(VLOOKUP($A13,Council_Data!$A$3:$AB$840,5,0)),0,VLOOKUP($A13,Council_Data!$A$3:$AB$840,5,0))</f>
        <v>155</v>
      </c>
      <c r="E13" s="93">
        <f>IF(ISNA(VLOOKUP($A13,Council_Data!$A$3:$AB$840,6,0)),0,VLOOKUP($A13,Council_Data!$A$3:$AB$840,6,0))</f>
        <v>8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2</v>
      </c>
      <c r="P13" s="93">
        <f>IF(ISNA(VLOOKUP($A13,Council_Data!$A$3:$AB$840,17,0)),0,VLOOKUP($A13,Council_Data!$A$3:$AB$840,17,0))</f>
        <v>-2</v>
      </c>
      <c r="Q13" s="93">
        <f>IF(ISNA(VLOOKUP($A13,Council_Data!$A$3:$AB$840,18,0)),0,VLOOKUP($A13,Council_Data!$A$3:$AB$840,18,0))</f>
        <v>2</v>
      </c>
      <c r="R13" s="93">
        <f>IF(ISNA(VLOOKUP($A13,Council_Data!$A$3:$AB$840,19,0)),0,VLOOKUP($A13,Council_Data!$A$3:$AB$840,19,0))</f>
        <v>3</v>
      </c>
      <c r="S13" s="93">
        <f>IF(ISNA(VLOOKUP($A13,Council_Data!$A$3:$AB$840,20,0)),0,VLOOKUP($A13,Council_Data!$A$3:$AB$840,20,0))</f>
        <v>-1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Supak</v>
      </c>
    </row>
    <row r="14" spans="1:22">
      <c r="A14" s="50">
        <v>9394</v>
      </c>
      <c r="B14" s="50" t="str">
        <f>IF(ISNA(VLOOKUP($A14,Council_Data!$A$3:$AB$840,2,0)),0,VLOOKUP($A14,Council_Data!$A$3:$AB$840,2,0))</f>
        <v>188</v>
      </c>
      <c r="C14" s="50" t="str">
        <f>IF(ISNA(VLOOKUP($A14,Council_Data!$A$3:$AB$840,3,0)),0,VLOOKUP($A14,Council_Data!$A$3:$AB$840,3,0))</f>
        <v>Louise-Hillje</v>
      </c>
      <c r="D14" s="93">
        <f>IF(ISNA(VLOOKUP($A14,Council_Data!$A$3:$AB$840,5,0)),0,VLOOKUP($A14,Council_Data!$A$3:$AB$840,5,0))</f>
        <v>100</v>
      </c>
      <c r="E14" s="93">
        <f>IF(ISNA(VLOOKUP($A14,Council_Data!$A$3:$AB$840,6,0)),0,VLOOKUP($A14,Council_Data!$A$3:$AB$840,6,0))</f>
        <v>5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1</v>
      </c>
      <c r="P14" s="93">
        <f>IF(ISNA(VLOOKUP($A14,Council_Data!$A$3:$AB$840,17,0)),0,VLOOKUP($A14,Council_Data!$A$3:$AB$840,17,0))</f>
        <v>-1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Supak</v>
      </c>
    </row>
    <row r="15" spans="1:22" ht="25.5">
      <c r="A15" s="50">
        <v>2500</v>
      </c>
      <c r="B15" s="50" t="str">
        <f>IF(ISNA(VLOOKUP($A15,Council_Data!$A$3:$AB$840,2,0)),0,VLOOKUP($A15,Council_Data!$A$3:$AB$840,2,0))</f>
        <v>189</v>
      </c>
      <c r="C15" s="50" t="str">
        <f>IF(ISNA(VLOOKUP($A15,Council_Data!$A$3:$AB$840,3,0)),0,VLOOKUP($A15,Council_Data!$A$3:$AB$840,3,0))</f>
        <v>East Bernard</v>
      </c>
      <c r="D15" s="93">
        <f>IF(ISNA(VLOOKUP($A15,Council_Data!$A$3:$AB$840,5,0)),0,VLOOKUP($A15,Council_Data!$A$3:$AB$840,5,0))</f>
        <v>253</v>
      </c>
      <c r="E15" s="93">
        <f>IF(ISNA(VLOOKUP($A15,Council_Data!$A$3:$AB$840,6,0)),0,VLOOKUP($A15,Council_Data!$A$3:$AB$840,6,0))</f>
        <v>12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2</v>
      </c>
      <c r="S15" s="93">
        <f>IF(ISNA(VLOOKUP($A15,Council_Data!$A$3:$AB$840,20,0)),0,VLOOKUP($A15,Council_Data!$A$3:$AB$840,20,0))</f>
        <v>-2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Supak</v>
      </c>
    </row>
    <row r="16" spans="1:22">
      <c r="A16" s="50">
        <v>3262</v>
      </c>
      <c r="B16" s="50" t="str">
        <f>IF(ISNA(VLOOKUP($A16,Council_Data!$A$3:$AB$840,2,0)),0,VLOOKUP($A16,Council_Data!$A$3:$AB$840,2,0))</f>
        <v>189</v>
      </c>
      <c r="C16" s="50" t="str">
        <f>IF(ISNA(VLOOKUP($A16,Council_Data!$A$3:$AB$840,3,0)),0,VLOOKUP($A16,Council_Data!$A$3:$AB$840,3,0))</f>
        <v>Wharton</v>
      </c>
      <c r="D16" s="93">
        <f>IF(ISNA(VLOOKUP($A16,Council_Data!$A$3:$AB$840,5,0)),0,VLOOKUP($A16,Council_Data!$A$3:$AB$840,5,0))</f>
        <v>294</v>
      </c>
      <c r="E16" s="93">
        <f>IF(ISNA(VLOOKUP($A16,Council_Data!$A$3:$AB$840,6,0)),0,VLOOKUP($A16,Council_Data!$A$3:$AB$840,6,0))</f>
        <v>14</v>
      </c>
      <c r="F16" s="93">
        <f>IF(ISNA(VLOOKUP($A16,Council_Data!$A$3:$AB$840,7,0)),0,VLOOKUP($A16,Council_Data!$A$3:$AB$840,7,0))</f>
        <v>1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1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7.14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1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2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Supak</v>
      </c>
    </row>
    <row r="17" spans="1:22">
      <c r="A17" s="50">
        <v>4843</v>
      </c>
      <c r="B17" s="50" t="str">
        <f>IF(ISNA(VLOOKUP($A17,Council_Data!$A$3:$AB$840,2,0)),0,VLOOKUP($A17,Council_Data!$A$3:$AB$840,2,0))</f>
        <v>189</v>
      </c>
      <c r="C17" s="50" t="str">
        <f>IF(ISNA(VLOOKUP($A17,Council_Data!$A$3:$AB$840,3,0)),0,VLOOKUP($A17,Council_Data!$A$3:$AB$840,3,0))</f>
        <v>Eagle Lake</v>
      </c>
      <c r="D17" s="93">
        <f>IF(ISNA(VLOOKUP($A17,Council_Data!$A$3:$AB$840,5,0)),0,VLOOKUP($A17,Council_Data!$A$3:$AB$840,5,0))</f>
        <v>140</v>
      </c>
      <c r="E17" s="93">
        <f>IF(ISNA(VLOOKUP($A17,Council_Data!$A$3:$AB$840,6,0)),0,VLOOKUP($A17,Council_Data!$A$3:$AB$840,6,0))</f>
        <v>7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3</v>
      </c>
      <c r="J17" s="93">
        <f>IF(ISNA(VLOOKUP($A17,Council_Data!$A$3:$AB$840,11,0)),0,VLOOKUP($A17,Council_Data!$A$3:$AB$840,11,0))</f>
        <v>1</v>
      </c>
      <c r="K17" s="93">
        <f>IF(ISNA(VLOOKUP($A17,Council_Data!$A$3:$AB$840,12,0)),0,VLOOKUP($A17,Council_Data!$A$3:$AB$840,12,0))</f>
        <v>2</v>
      </c>
      <c r="L17" s="94">
        <f>IF(ISNA(VLOOKUP($A17,Council_Data!$A$3:$AB$840,13,0)),0,VLOOKUP($A17,Council_Data!$A$3:$AB$840,13,0))</f>
        <v>28.57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1</v>
      </c>
      <c r="P17" s="93">
        <f>IF(ISNA(VLOOKUP($A17,Council_Data!$A$3:$AB$840,17,0)),0,VLOOKUP($A17,Council_Data!$A$3:$AB$840,17,0))</f>
        <v>-1</v>
      </c>
      <c r="Q17" s="93">
        <f>IF(ISNA(VLOOKUP($A17,Council_Data!$A$3:$AB$840,18,0)),0,VLOOKUP($A17,Council_Data!$A$3:$AB$840,18,0))</f>
        <v>2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Supak</v>
      </c>
    </row>
    <row r="18" spans="1:22">
      <c r="A18" s="50">
        <v>10249</v>
      </c>
      <c r="B18" s="50" t="str">
        <f>IF(ISNA(VLOOKUP($A18,Council_Data!$A$3:$AB$840,2,0)),0,VLOOKUP($A18,Council_Data!$A$3:$AB$840,2,0))</f>
        <v>189</v>
      </c>
      <c r="C18" s="50" t="str">
        <f>IF(ISNA(VLOOKUP($A18,Council_Data!$A$3:$AB$840,3,0)),0,VLOOKUP($A18,Council_Data!$A$3:$AB$840,3,0))</f>
        <v>Mentz</v>
      </c>
      <c r="D18" s="93">
        <f>IF(ISNA(VLOOKUP($A18,Council_Data!$A$3:$AB$840,5,0)),0,VLOOKUP($A18,Council_Data!$A$3:$AB$840,5,0))</f>
        <v>109</v>
      </c>
      <c r="E18" s="93">
        <f>IF(ISNA(VLOOKUP($A18,Council_Data!$A$3:$AB$840,6,0)),0,VLOOKUP($A18,Council_Data!$A$3:$AB$840,6,0))</f>
        <v>5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Supak</v>
      </c>
    </row>
    <row r="19" spans="1:22">
      <c r="A19" s="50">
        <v>2153</v>
      </c>
      <c r="B19" s="50" t="str">
        <f>IF(ISNA(VLOOKUP($A19,Council_Data!$A$3:$AB$840,2,0)),0,VLOOKUP($A19,Council_Data!$A$3:$AB$840,2,0))</f>
        <v>190</v>
      </c>
      <c r="C19" s="50" t="str">
        <f>IF(ISNA(VLOOKUP($A19,Council_Data!$A$3:$AB$840,3,0)),0,VLOOKUP($A19,Council_Data!$A$3:$AB$840,3,0))</f>
        <v>Weimar</v>
      </c>
      <c r="D19" s="93">
        <f>IF(ISNA(VLOOKUP($A19,Council_Data!$A$3:$AB$840,5,0)),0,VLOOKUP($A19,Council_Data!$A$3:$AB$840,5,0))</f>
        <v>262</v>
      </c>
      <c r="E19" s="93">
        <f>IF(ISNA(VLOOKUP($A19,Council_Data!$A$3:$AB$840,6,0)),0,VLOOKUP($A19,Council_Data!$A$3:$AB$840,6,0))</f>
        <v>13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1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1</v>
      </c>
      <c r="L19" s="94">
        <f>IF(ISNA(VLOOKUP($A19,Council_Data!$A$3:$AB$840,13,0)),0,VLOOKUP($A19,Council_Data!$A$3:$AB$840,13,0))</f>
        <v>7.69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1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Supak</v>
      </c>
    </row>
    <row r="20" spans="1:22">
      <c r="A20" s="50">
        <v>2902</v>
      </c>
      <c r="B20" s="50" t="str">
        <f>IF(ISNA(VLOOKUP($A20,Council_Data!$A$3:$AB$840,2,0)),0,VLOOKUP($A20,Council_Data!$A$3:$AB$840,2,0))</f>
        <v>190</v>
      </c>
      <c r="C20" s="50" t="str">
        <f>IF(ISNA(VLOOKUP($A20,Council_Data!$A$3:$AB$840,3,0)),0,VLOOKUP($A20,Council_Data!$A$3:$AB$840,3,0))</f>
        <v>Schulenburg</v>
      </c>
      <c r="D20" s="93">
        <f>IF(ISNA(VLOOKUP($A20,Council_Data!$A$3:$AB$840,5,0)),0,VLOOKUP($A20,Council_Data!$A$3:$AB$840,5,0))</f>
        <v>289</v>
      </c>
      <c r="E20" s="93">
        <f>IF(ISNA(VLOOKUP($A20,Council_Data!$A$3:$AB$840,6,0)),0,VLOOKUP($A20,Council_Data!$A$3:$AB$840,6,0))</f>
        <v>14</v>
      </c>
      <c r="F20" s="93">
        <f>IF(ISNA(VLOOKUP($A20,Council_Data!$A$3:$AB$840,7,0)),0,VLOOKUP($A20,Council_Data!$A$3:$AB$840,7,0))</f>
        <v>1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1</v>
      </c>
      <c r="I20" s="93">
        <f>IF(ISNA(VLOOKUP($A20,Council_Data!$A$3:$AB$840,10,0)),0,VLOOKUP($A20,Council_Data!$A$3:$AB$840,10,0))</f>
        <v>3</v>
      </c>
      <c r="J20" s="93">
        <f>IF(ISNA(VLOOKUP($A20,Council_Data!$A$3:$AB$840,11,0)),0,VLOOKUP($A20,Council_Data!$A$3:$AB$840,11,0))</f>
        <v>10</v>
      </c>
      <c r="K20" s="93">
        <f>IF(ISNA(VLOOKUP($A20,Council_Data!$A$3:$AB$840,12,0)),0,VLOOKUP($A20,Council_Data!$A$3:$AB$840,12,0))</f>
        <v>-7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1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1</v>
      </c>
      <c r="Q20" s="93">
        <f>IF(ISNA(VLOOKUP($A20,Council_Data!$A$3:$AB$840,18,0)),0,VLOOKUP($A20,Council_Data!$A$3:$AB$840,18,0))</f>
        <v>4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3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1</v>
      </c>
      <c r="V20" s="50" t="str">
        <f>IF(ISNA(VLOOKUP($A20,Council_Data!$A$3:$AB$840,24,0)),0,VLOOKUP($A20,Council_Data!$A$3:$AB$840,24,0))</f>
        <v>Supak</v>
      </c>
    </row>
    <row r="21" spans="1:22">
      <c r="A21" s="50">
        <v>2971</v>
      </c>
      <c r="B21" s="50" t="str">
        <f>IF(ISNA(VLOOKUP($A21,Council_Data!$A$3:$AB$840,2,0)),0,VLOOKUP($A21,Council_Data!$A$3:$AB$840,2,0))</f>
        <v>190</v>
      </c>
      <c r="C21" s="50" t="str">
        <f>IF(ISNA(VLOOKUP($A21,Council_Data!$A$3:$AB$840,3,0)),0,VLOOKUP($A21,Council_Data!$A$3:$AB$840,3,0))</f>
        <v>Columbus</v>
      </c>
      <c r="D21" s="93">
        <f>IF(ISNA(VLOOKUP($A21,Council_Data!$A$3:$AB$840,5,0)),0,VLOOKUP($A21,Council_Data!$A$3:$AB$840,5,0))</f>
        <v>204</v>
      </c>
      <c r="E21" s="93">
        <f>IF(ISNA(VLOOKUP($A21,Council_Data!$A$3:$AB$840,6,0)),0,VLOOKUP($A21,Council_Data!$A$3:$AB$840,6,0))</f>
        <v>10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-1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Supak</v>
      </c>
    </row>
    <row r="22" spans="1:22">
      <c r="A22" s="50">
        <v>5157</v>
      </c>
      <c r="B22" s="50" t="str">
        <f>IF(ISNA(VLOOKUP($A22,Council_Data!$A$3:$AB$840,2,0)),0,VLOOKUP($A22,Council_Data!$A$3:$AB$840,2,0))</f>
        <v>190</v>
      </c>
      <c r="C22" s="50" t="str">
        <f>IF(ISNA(VLOOKUP($A22,Council_Data!$A$3:$AB$840,3,0)),0,VLOOKUP($A22,Council_Data!$A$3:$AB$840,3,0))</f>
        <v>Frelsburg</v>
      </c>
      <c r="D22" s="93">
        <f>IF(ISNA(VLOOKUP($A22,Council_Data!$A$3:$AB$840,5,0)),0,VLOOKUP($A22,Council_Data!$A$3:$AB$840,5,0))</f>
        <v>86</v>
      </c>
      <c r="E22" s="93">
        <f>IF(ISNA(VLOOKUP($A22,Council_Data!$A$3:$AB$840,6,0)),0,VLOOKUP($A22,Council_Data!$A$3:$AB$840,6,0))</f>
        <v>4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1</v>
      </c>
      <c r="P22" s="93">
        <f>IF(ISNA(VLOOKUP($A22,Council_Data!$A$3:$AB$840,17,0)),0,VLOOKUP($A22,Council_Data!$A$3:$AB$840,17,0))</f>
        <v>-1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Supak</v>
      </c>
    </row>
    <row r="23" spans="1:22">
      <c r="A23" s="50">
        <v>2433</v>
      </c>
      <c r="B23" s="50" t="str">
        <f>IF(ISNA(VLOOKUP($A23,Council_Data!$A$3:$AB$840,2,0)),0,VLOOKUP($A23,Council_Data!$A$3:$AB$840,2,0))</f>
        <v>191</v>
      </c>
      <c r="C23" s="50" t="str">
        <f>IF(ISNA(VLOOKUP($A23,Council_Data!$A$3:$AB$840,3,0)),0,VLOOKUP($A23,Council_Data!$A$3:$AB$840,3,0))</f>
        <v>Hallettsville</v>
      </c>
      <c r="D23" s="93">
        <f>IF(ISNA(VLOOKUP($A23,Council_Data!$A$3:$AB$840,5,0)),0,VLOOKUP($A23,Council_Data!$A$3:$AB$840,5,0))</f>
        <v>655</v>
      </c>
      <c r="E23" s="93">
        <f>IF(ISNA(VLOOKUP($A23,Council_Data!$A$3:$AB$840,6,0)),0,VLOOKUP($A23,Council_Data!$A$3:$AB$840,6,0))</f>
        <v>20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2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2</v>
      </c>
      <c r="L23" s="94">
        <f>IF(ISNA(VLOOKUP($A23,Council_Data!$A$3:$AB$840,13,0)),0,VLOOKUP($A23,Council_Data!$A$3:$AB$840,13,0))</f>
        <v>10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1</v>
      </c>
      <c r="R23" s="93">
        <f>IF(ISNA(VLOOKUP($A23,Council_Data!$A$3:$AB$840,19,0)),0,VLOOKUP($A23,Council_Data!$A$3:$AB$840,19,0))</f>
        <v>1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Supak</v>
      </c>
    </row>
    <row r="24" spans="1:22">
      <c r="A24" s="50">
        <v>3081</v>
      </c>
      <c r="B24" s="50" t="str">
        <f>IF(ISNA(VLOOKUP($A24,Council_Data!$A$3:$AB$840,2,0)),0,VLOOKUP($A24,Council_Data!$A$3:$AB$840,2,0))</f>
        <v>191</v>
      </c>
      <c r="C24" s="50" t="str">
        <f>IF(ISNA(VLOOKUP($A24,Council_Data!$A$3:$AB$840,3,0)),0,VLOOKUP($A24,Council_Data!$A$3:$AB$840,3,0))</f>
        <v>Shiner</v>
      </c>
      <c r="D24" s="93">
        <f>IF(ISNA(VLOOKUP($A24,Council_Data!$A$3:$AB$840,5,0)),0,VLOOKUP($A24,Council_Data!$A$3:$AB$840,5,0))</f>
        <v>301</v>
      </c>
      <c r="E24" s="93">
        <f>IF(ISNA(VLOOKUP($A24,Council_Data!$A$3:$AB$840,6,0)),0,VLOOKUP($A24,Council_Data!$A$3:$AB$840,6,0))</f>
        <v>15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1</v>
      </c>
      <c r="H24" s="93">
        <f>IF(ISNA(VLOOKUP($A24,Council_Data!$A$3:$AB$840,9,0)),0,VLOOKUP($A24,Council_Data!$A$3:$AB$840,9,0))</f>
        <v>-1</v>
      </c>
      <c r="I24" s="93">
        <f>IF(ISNA(VLOOKUP($A24,Council_Data!$A$3:$AB$840,10,0)),0,VLOOKUP($A24,Council_Data!$A$3:$AB$840,10,0))</f>
        <v>2</v>
      </c>
      <c r="J24" s="93">
        <f>IF(ISNA(VLOOKUP($A24,Council_Data!$A$3:$AB$840,11,0)),0,VLOOKUP($A24,Council_Data!$A$3:$AB$840,11,0))</f>
        <v>2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1</v>
      </c>
      <c r="P24" s="93">
        <f>IF(ISNA(VLOOKUP($A24,Council_Data!$A$3:$AB$840,17,0)),0,VLOOKUP($A24,Council_Data!$A$3:$AB$840,17,0))</f>
        <v>-1</v>
      </c>
      <c r="Q24" s="93">
        <f>IF(ISNA(VLOOKUP($A24,Council_Data!$A$3:$AB$840,18,0)),0,VLOOKUP($A24,Council_Data!$A$3:$AB$840,18,0))</f>
        <v>3</v>
      </c>
      <c r="R24" s="93">
        <f>IF(ISNA(VLOOKUP($A24,Council_Data!$A$3:$AB$840,19,0)),0,VLOOKUP($A24,Council_Data!$A$3:$AB$840,19,0))</f>
        <v>4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Supak</v>
      </c>
    </row>
    <row r="25" spans="1:22">
      <c r="A25" s="50">
        <v>3244</v>
      </c>
      <c r="B25" s="50" t="str">
        <f>IF(ISNA(VLOOKUP($A25,Council_Data!$A$3:$AB$840,2,0)),0,VLOOKUP($A25,Council_Data!$A$3:$AB$840,2,0))</f>
        <v>191</v>
      </c>
      <c r="C25" s="50" t="str">
        <f>IF(ISNA(VLOOKUP($A25,Council_Data!$A$3:$AB$840,3,0)),0,VLOOKUP($A25,Council_Data!$A$3:$AB$840,3,0))</f>
        <v>Moulton</v>
      </c>
      <c r="D25" s="93">
        <f>IF(ISNA(VLOOKUP($A25,Council_Data!$A$3:$AB$840,5,0)),0,VLOOKUP($A25,Council_Data!$A$3:$AB$840,5,0))</f>
        <v>167</v>
      </c>
      <c r="E25" s="93">
        <f>IF(ISNA(VLOOKUP($A25,Council_Data!$A$3:$AB$840,6,0)),0,VLOOKUP($A25,Council_Data!$A$3:$AB$840,6,0))</f>
        <v>8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Supak</v>
      </c>
    </row>
    <row r="26" spans="1:22">
      <c r="A26" s="77">
        <v>3295</v>
      </c>
      <c r="B26" s="50" t="str">
        <f>IF(ISNA(VLOOKUP($A26,Council_Data!$A$3:$AB$840,2,0)),0,VLOOKUP($A26,Council_Data!$A$3:$AB$840,2,0))</f>
        <v>191</v>
      </c>
      <c r="C26" s="50" t="str">
        <f>IF(ISNA(VLOOKUP($A26,Council_Data!$A$3:$AB$840,3,0)),0,VLOOKUP($A26,Council_Data!$A$3:$AB$840,3,0))</f>
        <v>Flatonia</v>
      </c>
      <c r="D26" s="93">
        <f>IF(ISNA(VLOOKUP($A26,Council_Data!$A$3:$AB$840,5,0)),0,VLOOKUP($A26,Council_Data!$A$3:$AB$840,5,0))</f>
        <v>179</v>
      </c>
      <c r="E26" s="93">
        <f>IF(ISNA(VLOOKUP($A26,Council_Data!$A$3:$AB$840,6,0)),0,VLOOKUP($A26,Council_Data!$A$3:$AB$840,6,0))</f>
        <v>9</v>
      </c>
      <c r="F26" s="93">
        <f>IF(ISNA(VLOOKUP($A26,Council_Data!$A$3:$AB$840,7,0)),0,VLOOKUP($A26,Council_Data!$A$3:$AB$840,7,0))</f>
        <v>1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1</v>
      </c>
      <c r="I26" s="93">
        <f>IF(ISNA(VLOOKUP($A26,Council_Data!$A$3:$AB$840,10,0)),0,VLOOKUP($A26,Council_Data!$A$3:$AB$840,10,0))</f>
        <v>1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1</v>
      </c>
      <c r="L26" s="94">
        <f>IF(ISNA(VLOOKUP($A26,Council_Data!$A$3:$AB$840,13,0)),0,VLOOKUP($A26,Council_Data!$A$3:$AB$840,13,0))</f>
        <v>11.11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Supak</v>
      </c>
    </row>
    <row r="27" spans="1:22">
      <c r="A27" s="77">
        <v>1582</v>
      </c>
      <c r="B27" s="50" t="str">
        <f>IF(ISNA(VLOOKUP($A27,Council_Data!$A$3:$AB$840,2,0)),0,VLOOKUP($A27,Council_Data!$A$3:$AB$840,2,0))</f>
        <v>192</v>
      </c>
      <c r="C27" s="50" t="str">
        <f>IF(ISNA(VLOOKUP($A27,Council_Data!$A$3:$AB$840,3,0)),0,VLOOKUP($A27,Council_Data!$A$3:$AB$840,3,0))</f>
        <v>Yoakum</v>
      </c>
      <c r="D27" s="93">
        <f>IF(ISNA(VLOOKUP($A27,Council_Data!$A$3:$AB$840,5,0)),0,VLOOKUP($A27,Council_Data!$A$3:$AB$840,5,0))</f>
        <v>317</v>
      </c>
      <c r="E27" s="93">
        <f>IF(ISNA(VLOOKUP($A27,Council_Data!$A$3:$AB$840,6,0)),0,VLOOKUP($A27,Council_Data!$A$3:$AB$840,6,0))</f>
        <v>16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1</v>
      </c>
      <c r="K27" s="93">
        <f>IF(ISNA(VLOOKUP($A27,Council_Data!$A$3:$AB$840,12,0)),0,VLOOKUP($A27,Council_Data!$A$3:$AB$840,12,0))</f>
        <v>-1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Supak</v>
      </c>
    </row>
    <row r="28" spans="1:22">
      <c r="A28" s="77">
        <v>1682</v>
      </c>
      <c r="B28" s="50" t="str">
        <f>IF(ISNA(VLOOKUP($A28,Council_Data!$A$3:$AB$840,2,0)),0,VLOOKUP($A28,Council_Data!$A$3:$AB$840,2,0))</f>
        <v>192</v>
      </c>
      <c r="C28" s="50" t="str">
        <f>IF(ISNA(VLOOKUP($A28,Council_Data!$A$3:$AB$840,3,0)),0,VLOOKUP($A28,Council_Data!$A$3:$AB$840,3,0))</f>
        <v>Cuero</v>
      </c>
      <c r="D28" s="93">
        <f>IF(ISNA(VLOOKUP($A28,Council_Data!$A$3:$AB$840,5,0)),0,VLOOKUP($A28,Council_Data!$A$3:$AB$840,5,0))</f>
        <v>98</v>
      </c>
      <c r="E28" s="93">
        <f>IF(ISNA(VLOOKUP($A28,Council_Data!$A$3:$AB$840,6,0)),0,VLOOKUP($A28,Council_Data!$A$3:$AB$840,6,0))</f>
        <v>5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-1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Supak</v>
      </c>
    </row>
    <row r="29" spans="1:22">
      <c r="A29" s="77">
        <v>2480</v>
      </c>
      <c r="B29" s="50" t="str">
        <f>IF(ISNA(VLOOKUP($A29,Council_Data!$A$3:$AB$840,2,0)),0,VLOOKUP($A29,Council_Data!$A$3:$AB$840,2,0))</f>
        <v>192</v>
      </c>
      <c r="C29" s="50" t="str">
        <f>IF(ISNA(VLOOKUP($A29,Council_Data!$A$3:$AB$840,3,0)),0,VLOOKUP($A29,Council_Data!$A$3:$AB$840,3,0))</f>
        <v>Yorktown</v>
      </c>
      <c r="D29" s="93">
        <f>IF(ISNA(VLOOKUP($A29,Council_Data!$A$3:$AB$840,5,0)),0,VLOOKUP($A29,Council_Data!$A$3:$AB$840,5,0))</f>
        <v>57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1</v>
      </c>
      <c r="S29" s="93">
        <f>IF(ISNA(VLOOKUP($A29,Council_Data!$A$3:$AB$840,20,0)),0,VLOOKUP($A29,Council_Data!$A$3:$AB$840,20,0))</f>
        <v>-1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Supak</v>
      </c>
    </row>
    <row r="30" spans="1:22">
      <c r="A30" s="77">
        <v>13010</v>
      </c>
      <c r="B30" s="50" t="str">
        <f>IF(ISNA(VLOOKUP($A30,Council_Data!$A$3:$AB$840,2,0)),0,VLOOKUP($A30,Council_Data!$A$3:$AB$840,2,0))</f>
        <v>192</v>
      </c>
      <c r="C30" s="50" t="str">
        <f>IF(ISNA(VLOOKUP($A30,Council_Data!$A$3:$AB$840,3,0)),0,VLOOKUP($A30,Council_Data!$A$3:$AB$840,3,0))</f>
        <v>Meyersville</v>
      </c>
      <c r="D30" s="93">
        <f>IF(ISNA(VLOOKUP($A30,Council_Data!$A$3:$AB$840,5,0)),0,VLOOKUP($A30,Council_Data!$A$3:$AB$840,5,0))</f>
        <v>52</v>
      </c>
      <c r="E30" s="93">
        <f>IF(ISNA(VLOOKUP($A30,Council_Data!$A$3:$AB$840,6,0)),0,VLOOKUP($A30,Council_Data!$A$3:$AB$840,6,0))</f>
        <v>3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3</v>
      </c>
      <c r="V30" s="50" t="str">
        <f>IF(ISNA(VLOOKUP($A30,Council_Data!$A$3:$AB$840,24,0)),0,VLOOKUP($A30,Council_Data!$A$3:$AB$840,24,0))</f>
        <v>Supak</v>
      </c>
    </row>
    <row r="31" spans="1:22">
      <c r="A31" s="77">
        <v>1329</v>
      </c>
      <c r="B31" s="50" t="str">
        <f>IF(ISNA(VLOOKUP($A31,Council_Data!$A$3:$AB$840,2,0)),0,VLOOKUP($A31,Council_Data!$A$3:$AB$840,2,0))</f>
        <v>193</v>
      </c>
      <c r="C31" s="50" t="str">
        <f>IF(ISNA(VLOOKUP($A31,Council_Data!$A$3:$AB$840,3,0)),0,VLOOKUP($A31,Council_Data!$A$3:$AB$840,3,0))</f>
        <v>Victoria</v>
      </c>
      <c r="D31" s="93">
        <f>IF(ISNA(VLOOKUP($A31,Council_Data!$A$3:$AB$840,5,0)),0,VLOOKUP($A31,Council_Data!$A$3:$AB$840,5,0))</f>
        <v>419</v>
      </c>
      <c r="E31" s="93">
        <f>IF(ISNA(VLOOKUP($A31,Council_Data!$A$3:$AB$840,6,0)),0,VLOOKUP($A31,Council_Data!$A$3:$AB$840,6,0))</f>
        <v>20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3</v>
      </c>
      <c r="H31" s="93">
        <f>IF(ISNA(VLOOKUP($A31,Council_Data!$A$3:$AB$840,9,0)),0,VLOOKUP($A31,Council_Data!$A$3:$AB$840,9,0))</f>
        <v>-3</v>
      </c>
      <c r="I31" s="93">
        <f>IF(ISNA(VLOOKUP($A31,Council_Data!$A$3:$AB$840,10,0)),0,VLOOKUP($A31,Council_Data!$A$3:$AB$840,10,0))</f>
        <v>2</v>
      </c>
      <c r="J31" s="93">
        <f>IF(ISNA(VLOOKUP($A31,Council_Data!$A$3:$AB$840,11,0)),0,VLOOKUP($A31,Council_Data!$A$3:$AB$840,11,0))</f>
        <v>3</v>
      </c>
      <c r="K31" s="93">
        <f>IF(ISNA(VLOOKUP($A31,Council_Data!$A$3:$AB$840,12,0)),0,VLOOKUP($A31,Council_Data!$A$3:$AB$840,12,0))</f>
        <v>-1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2</v>
      </c>
      <c r="P31" s="93">
        <f>IF(ISNA(VLOOKUP($A31,Council_Data!$A$3:$AB$840,17,0)),0,VLOOKUP($A31,Council_Data!$A$3:$AB$840,17,0))</f>
        <v>-2</v>
      </c>
      <c r="Q31" s="93">
        <f>IF(ISNA(VLOOKUP($A31,Council_Data!$A$3:$AB$840,18,0)),0,VLOOKUP($A31,Council_Data!$A$3:$AB$840,18,0))</f>
        <v>2</v>
      </c>
      <c r="R31" s="93">
        <f>IF(ISNA(VLOOKUP($A31,Council_Data!$A$3:$AB$840,19,0)),0,VLOOKUP($A31,Council_Data!$A$3:$AB$840,19,0))</f>
        <v>5</v>
      </c>
      <c r="S31" s="93">
        <f>IF(ISNA(VLOOKUP($A31,Council_Data!$A$3:$AB$840,20,0)),0,VLOOKUP($A31,Council_Data!$A$3:$AB$840,20,0))</f>
        <v>-3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Supak</v>
      </c>
    </row>
    <row r="32" spans="1:22">
      <c r="A32" s="77">
        <v>7512</v>
      </c>
      <c r="B32" s="50" t="str">
        <f>IF(ISNA(VLOOKUP($A32,Council_Data!$A$3:$AB$840,2,0)),0,VLOOKUP($A32,Council_Data!$A$3:$AB$840,2,0))</f>
        <v>193</v>
      </c>
      <c r="C32" s="50" t="str">
        <f>IF(ISNA(VLOOKUP($A32,Council_Data!$A$3:$AB$840,3,0)),0,VLOOKUP($A32,Council_Data!$A$3:$AB$840,3,0))</f>
        <v>Goliad</v>
      </c>
      <c r="D32" s="93">
        <f>IF(ISNA(VLOOKUP($A32,Council_Data!$A$3:$AB$840,5,0)),0,VLOOKUP($A32,Council_Data!$A$3:$AB$840,5,0))</f>
        <v>101</v>
      </c>
      <c r="E32" s="93">
        <f>IF(ISNA(VLOOKUP($A32,Council_Data!$A$3:$AB$840,6,0)),0,VLOOKUP($A32,Council_Data!$A$3:$AB$840,6,0))</f>
        <v>5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1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Supak</v>
      </c>
    </row>
    <row r="33" spans="1:22">
      <c r="A33" s="77">
        <v>8388</v>
      </c>
      <c r="B33" s="50" t="str">
        <f>IF(ISNA(VLOOKUP($A33,Council_Data!$A$3:$AB$840,2,0)),0,VLOOKUP($A33,Council_Data!$A$3:$AB$840,2,0))</f>
        <v>193</v>
      </c>
      <c r="C33" s="50" t="str">
        <f>IF(ISNA(VLOOKUP($A33,Council_Data!$A$3:$AB$840,3,0)),0,VLOOKUP($A33,Council_Data!$A$3:$AB$840,3,0))</f>
        <v>Victoria</v>
      </c>
      <c r="D33" s="93">
        <f>IF(ISNA(VLOOKUP($A33,Council_Data!$A$3:$AB$840,5,0)),0,VLOOKUP($A33,Council_Data!$A$3:$AB$840,5,0))</f>
        <v>121</v>
      </c>
      <c r="E33" s="93">
        <f>IF(ISNA(VLOOKUP($A33,Council_Data!$A$3:$AB$840,6,0)),0,VLOOKUP($A33,Council_Data!$A$3:$AB$840,6,0))</f>
        <v>6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1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1</v>
      </c>
      <c r="L33" s="94">
        <f>IF(ISNA(VLOOKUP($A33,Council_Data!$A$3:$AB$840,13,0)),0,VLOOKUP($A33,Council_Data!$A$3:$AB$840,13,0))</f>
        <v>16.670000000000002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1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Supak</v>
      </c>
    </row>
    <row r="34" spans="1:22">
      <c r="A34" s="77">
        <v>9088</v>
      </c>
      <c r="B34" s="50" t="str">
        <f>IF(ISNA(VLOOKUP($A34,Council_Data!$A$3:$AB$840,2,0)),0,VLOOKUP($A34,Council_Data!$A$3:$AB$840,2,0))</f>
        <v>193</v>
      </c>
      <c r="C34" s="50" t="str">
        <f>IF(ISNA(VLOOKUP($A34,Council_Data!$A$3:$AB$840,3,0)),0,VLOOKUP($A34,Council_Data!$A$3:$AB$840,3,0))</f>
        <v>Victoria</v>
      </c>
      <c r="D34" s="93">
        <f>IF(ISNA(VLOOKUP($A34,Council_Data!$A$3:$AB$840,5,0)),0,VLOOKUP($A34,Council_Data!$A$3:$AB$840,5,0))</f>
        <v>512</v>
      </c>
      <c r="E34" s="93">
        <f>IF(ISNA(VLOOKUP($A34,Council_Data!$A$3:$AB$840,6,0)),0,VLOOKUP($A34,Council_Data!$A$3:$AB$840,6,0))</f>
        <v>20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3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3</v>
      </c>
      <c r="L34" s="94">
        <f>IF(ISNA(VLOOKUP($A34,Council_Data!$A$3:$AB$840,13,0)),0,VLOOKUP($A34,Council_Data!$A$3:$AB$840,13,0))</f>
        <v>15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1</v>
      </c>
      <c r="P34" s="93">
        <f>IF(ISNA(VLOOKUP($A34,Council_Data!$A$3:$AB$840,17,0)),0,VLOOKUP($A34,Council_Data!$A$3:$AB$840,17,0))</f>
        <v>-1</v>
      </c>
      <c r="Q34" s="93">
        <f>IF(ISNA(VLOOKUP($A34,Council_Data!$A$3:$AB$840,18,0)),0,VLOOKUP($A34,Council_Data!$A$3:$AB$840,18,0))</f>
        <v>1</v>
      </c>
      <c r="R34" s="93">
        <f>IF(ISNA(VLOOKUP($A34,Council_Data!$A$3:$AB$840,19,0)),0,VLOOKUP($A34,Council_Data!$A$3:$AB$840,19,0))</f>
        <v>3</v>
      </c>
      <c r="S34" s="93">
        <f>IF(ISNA(VLOOKUP($A34,Council_Data!$A$3:$AB$840,20,0)),0,VLOOKUP($A34,Council_Data!$A$3:$AB$840,20,0))</f>
        <v>-2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1</v>
      </c>
      <c r="V34" s="50" t="str">
        <f>IF(ISNA(VLOOKUP($A34,Council_Data!$A$3:$AB$840,24,0)),0,VLOOKUP($A34,Council_Data!$A$3:$AB$840,24,0))</f>
        <v>Supak</v>
      </c>
    </row>
    <row r="35" spans="1:22">
      <c r="A35" s="77">
        <v>10751</v>
      </c>
      <c r="B35" s="50" t="str">
        <f>IF(ISNA(VLOOKUP($A35,Council_Data!$A$3:$AB$840,2,0)),0,VLOOKUP($A35,Council_Data!$A$3:$AB$840,2,0))</f>
        <v>193</v>
      </c>
      <c r="C35" s="50" t="str">
        <f>IF(ISNA(VLOOKUP($A35,Council_Data!$A$3:$AB$840,3,0)),0,VLOOKUP($A35,Council_Data!$A$3:$AB$840,3,0))</f>
        <v>Bloomington</v>
      </c>
      <c r="D35" s="93">
        <f>IF(ISNA(VLOOKUP($A35,Council_Data!$A$3:$AB$840,5,0)),0,VLOOKUP($A35,Council_Data!$A$3:$AB$840,5,0))</f>
        <v>62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>
      <selection activeCell="C1" sqref="C1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5">
        <v>638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91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56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56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365">
        <v>6711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118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56">
        <f>IF(ISNA(VLOOKUP($A4,Councils!$B$6:$AE$841,12,0)),0,VLOOKUP($A4,Councils!$B$6:$AE$841,12,0))</f>
        <v>16.670000000000002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56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365">
        <v>15727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36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56">
        <f>IF(ISNA(VLOOKUP($A5,Councils!$B$6:$AE$841,12,0)),0,VLOOKUP($A5,Councils!$B$6:$AE$841,12,0))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56">
        <f t="shared" ref="T5:T6" si="0"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365">
        <v>16041</v>
      </c>
      <c r="B6" t="str">
        <f>IF(ISNA(VLOOKUP($A6,Councils!$B$6:$AE$841,3,0)),0,VLOOKUP($A6,Councils!$B$6:$AE$841,3,0))</f>
        <v>El Paso</v>
      </c>
      <c r="C6">
        <f>IF(ISNA(VLOOKUP($A6,Councils!$B$6:$AE$841,4,0)),0,VLOOKUP($A6,Councils!$B$6:$AE$841,4,0))</f>
        <v>48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1</v>
      </c>
      <c r="G6">
        <f>IF(ISNA(VLOOKUP($A6,Councils!$B$6:$AE$80023,0)),0,VLOOKUP($A6,Councils!$B$6:$AE$841,8,0))</f>
        <v>-1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1</v>
      </c>
      <c r="K6" s="56">
        <f>IF(ISNA(VLOOKUP($A6,Councils!$B$6:$AE$841,12,0)),0,VLOOKUP($A6,Councils!$B$6:$AE$841,12,0))</f>
        <v>33.33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56">
        <f t="shared" si="0"/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:A4">
    <cfRule type="expression" dxfId="208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7563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313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4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4</v>
      </c>
      <c r="H3">
        <f>IF(ISNA(VLOOKUP($A3,Councils!$B$6:$AE$841,9,0)),0,VLOOKUP($A3,Councils!$B$6:$AE$841,9,0))</f>
        <v>8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8</v>
      </c>
      <c r="K3" s="63">
        <f>IFERROR(J3/D3,0)</f>
        <v>0.5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366">
        <v>11926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88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366">
        <v>12360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173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</sheetData>
  <conditionalFormatting sqref="A5">
    <cfRule type="expression" dxfId="207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T3" sqref="T3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10420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326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1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IF(ISNA(VLOOKUP($A3,Councils!$B$6:$AE$841,12,0)),0,VLOOKUP($A3,Councils!$B$6:$AE$841,12,0))</f>
        <v>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12084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69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1.3333333333333333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17449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24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3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3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1.3333333333333333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4"/>
  <sheetViews>
    <sheetView zoomScaleNormal="100" workbookViewId="0">
      <selection activeCell="A3" sqref="A3:A4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12697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30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13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13</v>
      </c>
      <c r="K3" s="63">
        <f t="shared" ref="K3:K4" si="0">IFERROR(J3/D3,0)</f>
        <v>4.333333333333333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 t="shared" ref="T3:T4" si="1"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366">
        <v>16778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67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2</v>
      </c>
      <c r="H4">
        <f>IF(ISNA(VLOOKUP($A4,Councils!$B$6:$AE$841,9,0)),0,VLOOKUP($A4,Councils!$B$6:$AE$841,9,0))</f>
        <v>11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11</v>
      </c>
      <c r="K4" s="63">
        <f t="shared" si="0"/>
        <v>3.6666666666666665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 t="shared" si="1"/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</sheetData>
  <conditionalFormatting sqref="A3:A4">
    <cfRule type="expression" dxfId="202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C6" sqref="C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44227</v>
      </c>
    </row>
    <row r="2" spans="1:19" ht="35.25" customHeight="1">
      <c r="A2" s="53" t="s">
        <v>602</v>
      </c>
      <c r="B2" s="53"/>
      <c r="C2" s="303" t="s">
        <v>763</v>
      </c>
      <c r="D2" s="303" t="s">
        <v>728</v>
      </c>
      <c r="E2" s="303" t="s">
        <v>1027</v>
      </c>
      <c r="F2" s="53" t="s">
        <v>1028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603</v>
      </c>
      <c r="C4" s="304">
        <f>SUM(C6:C45)</f>
        <v>5000</v>
      </c>
      <c r="D4" s="304">
        <f>SUM(D6:D45)</f>
        <v>1143</v>
      </c>
      <c r="E4" s="304">
        <f>D4-C4</f>
        <v>-3857</v>
      </c>
      <c r="F4" s="305">
        <f>D4/C4</f>
        <v>0.2286</v>
      </c>
      <c r="Q4" t="s">
        <v>603</v>
      </c>
      <c r="R4" s="24" t="s">
        <v>931</v>
      </c>
    </row>
    <row r="5" spans="1:19">
      <c r="C5" s="304"/>
      <c r="D5" s="304"/>
      <c r="E5" s="304"/>
      <c r="F5" s="305"/>
    </row>
    <row r="6" spans="1:19">
      <c r="A6" s="24" t="s">
        <v>40</v>
      </c>
      <c r="C6" s="304">
        <f>'Goals-1'!M73</f>
        <v>599</v>
      </c>
      <c r="D6" s="304">
        <f>'State Summary'!I6</f>
        <v>160</v>
      </c>
      <c r="E6" s="304">
        <f t="shared" ref="E6:E22" si="0">D6-C6</f>
        <v>-439</v>
      </c>
      <c r="F6" s="305">
        <f t="shared" ref="F6:F22" si="1">D6/C6</f>
        <v>0.26711185308848079</v>
      </c>
      <c r="G6" s="54"/>
      <c r="P6" s="54"/>
      <c r="Q6" t="s">
        <v>40</v>
      </c>
      <c r="R6" s="24" t="s">
        <v>932</v>
      </c>
      <c r="S6" t="e">
        <f>IF(#REF!&lt;=#REF!,"Y","N")</f>
        <v>#REF!</v>
      </c>
    </row>
    <row r="7" spans="1:19">
      <c r="A7" s="24" t="s">
        <v>31</v>
      </c>
      <c r="C7" s="304">
        <f>'Goals-1'!M77</f>
        <v>571</v>
      </c>
      <c r="D7" s="304">
        <f>'State Summary'!I7</f>
        <v>109</v>
      </c>
      <c r="E7" s="304">
        <f t="shared" si="0"/>
        <v>-462</v>
      </c>
      <c r="F7" s="305">
        <f t="shared" si="1"/>
        <v>0.19089316987740806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4">
        <f>'Goals-1'!M79</f>
        <v>459</v>
      </c>
      <c r="D8" s="304">
        <f>'State Summary'!I8</f>
        <v>129</v>
      </c>
      <c r="E8" s="304">
        <f t="shared" si="0"/>
        <v>-330</v>
      </c>
      <c r="F8" s="305">
        <f t="shared" si="1"/>
        <v>0.28104575163398693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623</v>
      </c>
      <c r="C9" s="304">
        <f>'Goals-1'!M80</f>
        <v>1080</v>
      </c>
      <c r="D9" s="304">
        <f>'State Summary'!I9</f>
        <v>226</v>
      </c>
      <c r="E9" s="304">
        <f t="shared" si="0"/>
        <v>-854</v>
      </c>
      <c r="F9" s="305">
        <f t="shared" si="1"/>
        <v>0.20925925925925926</v>
      </c>
      <c r="G9" s="54"/>
      <c r="P9" s="54"/>
      <c r="Q9" t="s">
        <v>623</v>
      </c>
      <c r="S9" t="e">
        <f>IF(#REF!&lt;=#REF!,"Y","N")</f>
        <v>#REF!</v>
      </c>
    </row>
    <row r="10" spans="1:19">
      <c r="A10" s="24" t="s">
        <v>27</v>
      </c>
      <c r="C10" s="304">
        <f>'Goals-1'!M84</f>
        <v>667</v>
      </c>
      <c r="D10" s="304">
        <f>'State Summary'!I10</f>
        <v>121</v>
      </c>
      <c r="E10" s="304">
        <f t="shared" si="0"/>
        <v>-546</v>
      </c>
      <c r="F10" s="305">
        <f t="shared" si="1"/>
        <v>0.18140929535232383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4"/>
      <c r="D11" s="304"/>
      <c r="E11" s="304"/>
      <c r="F11" s="305"/>
      <c r="G11" s="54"/>
    </row>
    <row r="12" spans="1:19">
      <c r="A12" s="24" t="s">
        <v>37</v>
      </c>
      <c r="C12" s="304">
        <f>'Goals-1'!M74</f>
        <v>159</v>
      </c>
      <c r="D12" s="304">
        <f>'State Summary'!I12</f>
        <v>28</v>
      </c>
      <c r="E12" s="304">
        <f t="shared" si="0"/>
        <v>-131</v>
      </c>
      <c r="F12" s="305">
        <f t="shared" si="1"/>
        <v>0.1761006289308176</v>
      </c>
      <c r="G12" s="54"/>
      <c r="H12" t="s">
        <v>21</v>
      </c>
      <c r="P12" s="63"/>
      <c r="Q12" t="s">
        <v>37</v>
      </c>
      <c r="R12" s="24" t="s">
        <v>933</v>
      </c>
      <c r="S12" t="e">
        <f>IF(#REF!&lt;=#REF!,"Y","N")</f>
        <v>#REF!</v>
      </c>
    </row>
    <row r="13" spans="1:19">
      <c r="A13" s="24" t="s">
        <v>66</v>
      </c>
      <c r="C13" s="304">
        <f>'Goals-1'!M75</f>
        <v>253</v>
      </c>
      <c r="D13" s="304">
        <f>'State Summary'!I13</f>
        <v>48</v>
      </c>
      <c r="E13" s="304">
        <f t="shared" si="0"/>
        <v>-205</v>
      </c>
      <c r="F13" s="305">
        <f t="shared" si="1"/>
        <v>0.18972332015810275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4">
        <f>'Goals-1'!M76</f>
        <v>241</v>
      </c>
      <c r="D14" s="304">
        <f>'State Summary'!I14</f>
        <v>68</v>
      </c>
      <c r="E14" s="304">
        <f t="shared" si="0"/>
        <v>-173</v>
      </c>
      <c r="F14" s="305">
        <f t="shared" si="1"/>
        <v>0.28215767634854771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4">
        <f>'Goals-1'!M83</f>
        <v>166</v>
      </c>
      <c r="D15" s="304">
        <f>'State Summary'!I15</f>
        <v>23</v>
      </c>
      <c r="E15" s="304">
        <f t="shared" si="0"/>
        <v>-143</v>
      </c>
      <c r="F15" s="305">
        <f t="shared" si="1"/>
        <v>0.13855421686746988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4">
        <f>'Goals-1'!M86</f>
        <v>225</v>
      </c>
      <c r="D16" s="304">
        <f>'State Summary'!I16</f>
        <v>39</v>
      </c>
      <c r="E16" s="304">
        <f t="shared" si="0"/>
        <v>-186</v>
      </c>
      <c r="F16" s="305">
        <f t="shared" si="1"/>
        <v>0.17333333333333334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4"/>
      <c r="D17" s="304"/>
      <c r="E17" s="304"/>
      <c r="F17" s="305"/>
      <c r="G17" s="54"/>
    </row>
    <row r="18" spans="1:19">
      <c r="A18" s="24" t="s">
        <v>59</v>
      </c>
      <c r="C18" s="304">
        <f>'Goals-1'!M72</f>
        <v>111</v>
      </c>
      <c r="D18" s="304">
        <f>'State Summary'!I18</f>
        <v>12</v>
      </c>
      <c r="E18" s="304">
        <f t="shared" si="0"/>
        <v>-99</v>
      </c>
      <c r="F18" s="305">
        <f t="shared" si="1"/>
        <v>0.10810810810810811</v>
      </c>
      <c r="G18" s="54"/>
      <c r="P18" s="63"/>
      <c r="Q18" t="s">
        <v>59</v>
      </c>
      <c r="R18" s="24" t="s">
        <v>934</v>
      </c>
      <c r="S18" t="e">
        <f>IF(#REF!&lt;=#REF!,"Y","N")</f>
        <v>#REF!</v>
      </c>
    </row>
    <row r="19" spans="1:19">
      <c r="A19" s="24" t="s">
        <v>23</v>
      </c>
      <c r="C19" s="304">
        <f>'Goals-1'!M78</f>
        <v>147</v>
      </c>
      <c r="D19" s="304">
        <f>'State Summary'!I19</f>
        <v>67</v>
      </c>
      <c r="E19" s="304">
        <f t="shared" si="0"/>
        <v>-80</v>
      </c>
      <c r="F19" s="305">
        <f t="shared" si="1"/>
        <v>0.45578231292517007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4">
        <f>'Goals-1'!M81</f>
        <v>91</v>
      </c>
      <c r="D20" s="304">
        <f>'State Summary'!I20</f>
        <v>20</v>
      </c>
      <c r="E20" s="304">
        <f t="shared" si="0"/>
        <v>-71</v>
      </c>
      <c r="F20" s="305">
        <f t="shared" si="1"/>
        <v>0.21978021978021978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4">
        <f>'Goals-1'!M82</f>
        <v>104</v>
      </c>
      <c r="D21" s="304">
        <f>'State Summary'!I21</f>
        <v>48</v>
      </c>
      <c r="E21" s="304">
        <f t="shared" si="0"/>
        <v>-56</v>
      </c>
      <c r="F21" s="305">
        <f t="shared" si="1"/>
        <v>0.46153846153846156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4">
        <f>'Goals-1'!M85</f>
        <v>127</v>
      </c>
      <c r="D22" s="304">
        <f>'State Summary'!I22</f>
        <v>45</v>
      </c>
      <c r="E22" s="304">
        <f t="shared" si="0"/>
        <v>-82</v>
      </c>
      <c r="F22" s="305">
        <f t="shared" si="1"/>
        <v>0.3543307086614173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909</v>
      </c>
      <c r="B49" s="305">
        <f t="shared" ref="B49:B64" si="2">D49/C49</f>
        <v>0.2286</v>
      </c>
      <c r="C49" s="306">
        <f>SUM(C50:C64)</f>
        <v>5000</v>
      </c>
      <c r="D49" s="306">
        <f>SUM(D50:D64)</f>
        <v>1143</v>
      </c>
      <c r="E49" s="304">
        <f t="shared" ref="E49:E64" si="3">D49-C49</f>
        <v>-3857</v>
      </c>
    </row>
    <row r="50" spans="1:5">
      <c r="A50" s="24" t="s">
        <v>40</v>
      </c>
      <c r="B50" s="305">
        <f t="shared" si="2"/>
        <v>0.26711185308848079</v>
      </c>
      <c r="C50" s="304">
        <f>C6</f>
        <v>599</v>
      </c>
      <c r="D50" s="304">
        <f>D6</f>
        <v>160</v>
      </c>
      <c r="E50" s="304">
        <f t="shared" si="3"/>
        <v>-439</v>
      </c>
    </row>
    <row r="51" spans="1:5">
      <c r="A51" s="24" t="s">
        <v>31</v>
      </c>
      <c r="B51" s="305">
        <f t="shared" si="2"/>
        <v>0.19089316987740806</v>
      </c>
      <c r="C51" s="304">
        <f>C7</f>
        <v>571</v>
      </c>
      <c r="D51" s="304">
        <f t="shared" ref="D51:D54" si="4">D7</f>
        <v>109</v>
      </c>
      <c r="E51" s="304">
        <f t="shared" si="3"/>
        <v>-462</v>
      </c>
    </row>
    <row r="52" spans="1:5">
      <c r="A52" s="24" t="s">
        <v>143</v>
      </c>
      <c r="B52" s="305">
        <f t="shared" si="2"/>
        <v>0.28104575163398693</v>
      </c>
      <c r="C52" s="304">
        <f>C8</f>
        <v>459</v>
      </c>
      <c r="D52" s="304">
        <f t="shared" si="4"/>
        <v>129</v>
      </c>
      <c r="E52" s="304">
        <f t="shared" si="3"/>
        <v>-330</v>
      </c>
    </row>
    <row r="53" spans="1:5">
      <c r="A53" s="24" t="s">
        <v>623</v>
      </c>
      <c r="B53" s="305">
        <f t="shared" si="2"/>
        <v>0.20925925925925926</v>
      </c>
      <c r="C53" s="304">
        <f>C9</f>
        <v>1080</v>
      </c>
      <c r="D53" s="304">
        <f t="shared" si="4"/>
        <v>226</v>
      </c>
      <c r="E53" s="304">
        <f t="shared" si="3"/>
        <v>-854</v>
      </c>
    </row>
    <row r="54" spans="1:5">
      <c r="A54" s="24" t="s">
        <v>27</v>
      </c>
      <c r="B54" s="305">
        <f t="shared" si="2"/>
        <v>0.18140929535232383</v>
      </c>
      <c r="C54" s="304">
        <f>C10</f>
        <v>667</v>
      </c>
      <c r="D54" s="304">
        <f t="shared" si="4"/>
        <v>121</v>
      </c>
      <c r="E54" s="304">
        <f t="shared" si="3"/>
        <v>-546</v>
      </c>
    </row>
    <row r="55" spans="1:5">
      <c r="A55" s="24" t="s">
        <v>37</v>
      </c>
      <c r="B55" s="305">
        <f t="shared" si="2"/>
        <v>0.1761006289308176</v>
      </c>
      <c r="C55" s="304">
        <f>C12</f>
        <v>159</v>
      </c>
      <c r="D55" s="304">
        <f>D12</f>
        <v>28</v>
      </c>
      <c r="E55" s="304">
        <f t="shared" si="3"/>
        <v>-131</v>
      </c>
    </row>
    <row r="56" spans="1:5">
      <c r="A56" s="24" t="s">
        <v>66</v>
      </c>
      <c r="B56" s="305">
        <f t="shared" si="2"/>
        <v>0.18972332015810275</v>
      </c>
      <c r="C56" s="304">
        <f>C13</f>
        <v>253</v>
      </c>
      <c r="D56" s="304">
        <f t="shared" ref="D56:D59" si="5">D13</f>
        <v>48</v>
      </c>
      <c r="E56" s="304">
        <f t="shared" si="3"/>
        <v>-205</v>
      </c>
    </row>
    <row r="57" spans="1:5">
      <c r="A57" s="24" t="s">
        <v>43</v>
      </c>
      <c r="B57" s="305">
        <f t="shared" si="2"/>
        <v>0.28215767634854771</v>
      </c>
      <c r="C57" s="304">
        <f>C14</f>
        <v>241</v>
      </c>
      <c r="D57" s="304">
        <f t="shared" si="5"/>
        <v>68</v>
      </c>
      <c r="E57" s="304">
        <f t="shared" si="3"/>
        <v>-173</v>
      </c>
    </row>
    <row r="58" spans="1:5">
      <c r="A58" s="24" t="s">
        <v>85</v>
      </c>
      <c r="B58" s="305">
        <f t="shared" si="2"/>
        <v>0.13855421686746988</v>
      </c>
      <c r="C58" s="304">
        <f>C15</f>
        <v>166</v>
      </c>
      <c r="D58" s="304">
        <f t="shared" si="5"/>
        <v>23</v>
      </c>
      <c r="E58" s="304">
        <f t="shared" si="3"/>
        <v>-143</v>
      </c>
    </row>
    <row r="59" spans="1:5">
      <c r="A59" s="24" t="s">
        <v>51</v>
      </c>
      <c r="B59" s="305">
        <f t="shared" si="2"/>
        <v>0.17333333333333334</v>
      </c>
      <c r="C59" s="304">
        <f>C16</f>
        <v>225</v>
      </c>
      <c r="D59" s="304">
        <f t="shared" si="5"/>
        <v>39</v>
      </c>
      <c r="E59" s="304">
        <f t="shared" si="3"/>
        <v>-186</v>
      </c>
    </row>
    <row r="60" spans="1:5">
      <c r="A60" s="24" t="s">
        <v>59</v>
      </c>
      <c r="B60" s="305">
        <f t="shared" si="2"/>
        <v>0.10810810810810811</v>
      </c>
      <c r="C60" s="304">
        <f>C18</f>
        <v>111</v>
      </c>
      <c r="D60" s="304">
        <f>D18</f>
        <v>12</v>
      </c>
      <c r="E60" s="304">
        <f t="shared" si="3"/>
        <v>-99</v>
      </c>
    </row>
    <row r="61" spans="1:5">
      <c r="A61" s="24" t="s">
        <v>23</v>
      </c>
      <c r="B61" s="305">
        <f t="shared" si="2"/>
        <v>0.45578231292517007</v>
      </c>
      <c r="C61" s="304">
        <f>C19</f>
        <v>147</v>
      </c>
      <c r="D61" s="304">
        <f t="shared" ref="D61:D64" si="6">D19</f>
        <v>67</v>
      </c>
      <c r="E61" s="304">
        <f t="shared" si="3"/>
        <v>-80</v>
      </c>
    </row>
    <row r="62" spans="1:5">
      <c r="A62" s="24" t="s">
        <v>90</v>
      </c>
      <c r="B62" s="305">
        <f t="shared" si="2"/>
        <v>0.21978021978021978</v>
      </c>
      <c r="C62" s="304">
        <f>C20</f>
        <v>91</v>
      </c>
      <c r="D62" s="304">
        <f t="shared" si="6"/>
        <v>20</v>
      </c>
      <c r="E62" s="304">
        <f t="shared" si="3"/>
        <v>-71</v>
      </c>
    </row>
    <row r="63" spans="1:5">
      <c r="A63" s="24" t="s">
        <v>150</v>
      </c>
      <c r="B63" s="305">
        <f t="shared" si="2"/>
        <v>0.46153846153846156</v>
      </c>
      <c r="C63" s="304">
        <f>C21</f>
        <v>104</v>
      </c>
      <c r="D63" s="304">
        <f t="shared" si="6"/>
        <v>48</v>
      </c>
      <c r="E63" s="304">
        <f t="shared" si="3"/>
        <v>-56</v>
      </c>
    </row>
    <row r="64" spans="1:5">
      <c r="A64" s="24" t="s">
        <v>64</v>
      </c>
      <c r="B64" s="305">
        <f t="shared" si="2"/>
        <v>0.3543307086614173</v>
      </c>
      <c r="C64" s="304">
        <f>C22</f>
        <v>127</v>
      </c>
      <c r="D64" s="304">
        <f t="shared" si="6"/>
        <v>45</v>
      </c>
      <c r="E64" s="304">
        <f t="shared" si="3"/>
        <v>-82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4497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81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9129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63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10862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44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367">
        <v>14584</v>
      </c>
      <c r="B6" t="str">
        <f>IF(ISNA(VLOOKUP($A6,Councils!$B$6:$AE$841,3,0)),0,VLOOKUP($A6,Councils!$B$6:$AE$841,3,0))</f>
        <v>Ft Bliss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IF(ISNA(VLOOKUP($A6,Councils!$B$6:$AE$80023,0)),0,VLOOKUP($A6,Councils!$B$6:$AE$841,8,0))</f>
        <v>0</v>
      </c>
      <c r="H6">
        <f>IF(ISNA(VLOOKUP($A6,Councils!$B$6:$AE$841,9,0)),0,VLOOKUP($A6,Councils!$B$6:$AE$841,9,0))</f>
        <v>4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3</v>
      </c>
      <c r="K6" s="63">
        <f>IFERROR(J6/D6,0)</f>
        <v>0.75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201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8044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60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11613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36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5</v>
      </c>
      <c r="J4">
        <f>IF(ISNA(VLOOKUP($A4,Councils!$B$6:$AE$841,11,0)),0,VLOOKUP($A4,Councils!$B$6:$AE$841,11,0))</f>
        <v>-3</v>
      </c>
      <c r="K4" s="63">
        <f>IFERROR(J4/D4,0)</f>
        <v>-1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15017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137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3</v>
      </c>
      <c r="J5">
        <f>IF(ISNA(VLOOKUP($A5,Councils!$B$6:$AE$841,11,0)),0,VLOOKUP($A5,Councils!$B$6:$AE$841,11,0))</f>
        <v>-1</v>
      </c>
      <c r="K5" s="63">
        <f>IFERROR(J5/D5,0)</f>
        <v>-0.14285714285714285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</sheetData>
  <conditionalFormatting sqref="A5 A3">
    <cfRule type="expression" dxfId="199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2592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91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-1</v>
      </c>
      <c r="K3" s="63">
        <f>IFERROR(J3/D3,0)</f>
        <v>-0.25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3686</v>
      </c>
      <c r="B4" t="str">
        <f>IF(ISNA(VLOOKUP($A4,Councils!$B$6:$AE$841,3,0)),0,VLOOKUP($A4,Councils!$B$6:$AE$841,3,0))</f>
        <v>Ysleta</v>
      </c>
      <c r="C4">
        <f>IF(ISNA(VLOOKUP($A4,Councils!$B$6:$AE$841,4,0)),0,VLOOKUP($A4,Councils!$B$6:$AE$841,4,0))</f>
        <v>85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</sheetData>
  <conditionalFormatting sqref="A3:A4">
    <cfRule type="expression" dxfId="197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12160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138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0.16666666666666666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14413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77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3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17420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:A5">
    <cfRule type="expression" dxfId="196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15799</v>
      </c>
      <c r="B3" t="str">
        <f>IF(ISNA(VLOOKUP($A3,Councils!$B$6:$AE$841,3,0)),0,VLOOKUP($A3,Councils!$B$6:$AE$841,3,0))</f>
        <v>Fabens</v>
      </c>
      <c r="C3">
        <f>IF(ISNA(VLOOKUP($A3,Councils!$B$6:$AE$841,4,0)),0,VLOOKUP($A3,Councils!$B$6:$AE$841,4,0))</f>
        <v>27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16287</v>
      </c>
      <c r="B4" t="str">
        <f>IF(ISNA(VLOOKUP($A4,Councils!$B$6:$AE$841,3,0)),0,VLOOKUP($A4,Councils!$B$6:$AE$841,3,0))</f>
        <v>Horizon City</v>
      </c>
      <c r="C4">
        <f>IF(ISNA(VLOOKUP($A4,Councils!$B$6:$AE$841,4,0)),0,VLOOKUP($A4,Councils!$B$6:$AE$841,4,0))</f>
        <v>42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</sheetData>
  <conditionalFormatting sqref="A3:A4">
    <cfRule type="expression" dxfId="195" priority="2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6914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11864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68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-2</v>
      </c>
      <c r="K4" s="63">
        <f>IFERROR(J4/D4,0)</f>
        <v>-0.66666666666666663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13342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5">
    <cfRule type="expression" dxfId="194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7720</v>
      </c>
      <c r="B3" t="str">
        <f>IF(ISNA(VLOOKUP($A3,Councils!$B$6:$AE$841,3,0)),0,VLOOKUP($A3,Councils!$B$6:$AE$841,3,0))</f>
        <v>Pecos</v>
      </c>
      <c r="C3">
        <f>IF(ISNA(VLOOKUP($A3,Councils!$B$6:$AE$841,4,0)),0,VLOOKUP($A3,Councils!$B$6:$AE$841,4,0))</f>
        <v>68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1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5</v>
      </c>
      <c r="K3" s="63">
        <f>IFERROR(J3/D3,0)</f>
        <v>1.6666666666666667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10256</v>
      </c>
      <c r="B4" t="str">
        <f>IF(ISNA(VLOOKUP($A4,Councils!$B$6:$AE$841,3,0)),0,VLOOKUP($A4,Councils!$B$6:$AE$841,3,0))</f>
        <v>Monahans</v>
      </c>
      <c r="C4">
        <f>IF(ISNA(VLOOKUP($A4,Councils!$B$6:$AE$841,4,0)),0,VLOOKUP($A4,Councils!$B$6:$AE$841,4,0))</f>
        <v>61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IF(ISNA(VLOOKUP($A4,Councils!$B$6:$AE$81423,0)),0,VLOOKUP($A4,Councils!$B$6:$AE$841,8,0))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10509</v>
      </c>
      <c r="B5" t="str">
        <f>IF(ISNA(VLOOKUP($A5,Councils!$B$6:$AE$841,3,0)),0,VLOOKUP($A5,Councils!$B$6:$AE$841,3,0))</f>
        <v>Kermit</v>
      </c>
      <c r="C5">
        <f>IF(ISNA(VLOOKUP($A5,Councils!$B$6:$AE$841,4,0)),0,VLOOKUP($A5,Councils!$B$6:$AE$841,4,0))</f>
        <v>43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IF(ISNA(VLOOKUP($A5,Councils!$B$6:$AE$81423,0)),0,VLOOKUP($A5,Councils!$B$6:$AE$841,8,0))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:A4">
    <cfRule type="expression" dxfId="192" priority="4">
      <formula>IF(AND($H3="*"),($R3="*"))</formula>
    </cfRule>
  </conditionalFormatting>
  <conditionalFormatting sqref="A5">
    <cfRule type="expression" dxfId="191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V5"/>
  <sheetViews>
    <sheetView zoomScaleNormal="100" workbookViewId="0">
      <selection activeCell="B3" sqref="B3:V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5096</v>
      </c>
      <c r="B3" t="str">
        <f>IF(ISNA(VLOOKUP($A3,Councils!$B$6:$AE$841,3,0)),0,VLOOKUP($A3,Councils!$B$6:$AE$841,3,0))</f>
        <v>Alpine</v>
      </c>
      <c r="C3">
        <f>IF(ISNA(VLOOKUP($A3,Councils!$B$6:$AE$841,4,0)),0,VLOOKUP($A3,Councils!$B$6:$AE$841,4,0))</f>
        <v>143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IF(ISNA(VLOOKUP($A3,Councils!$B$6:$AE$81423,0)),0,VLOOKUP($A3,Councils!$B$6:$AE$841,8,0))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10129</v>
      </c>
      <c r="B4" t="str">
        <f>IF(ISNA(VLOOKUP($A4,Councils!$B$6:$AE$841,3,0)),0,VLOOKUP($A4,Councils!$B$6:$AE$841,3,0))</f>
        <v>Presidio</v>
      </c>
      <c r="C4">
        <f>IF(ISNA(VLOOKUP($A4,Councils!$B$6:$AE$841,4,0)),0,VLOOKUP($A4,Councils!$B$6:$AE$841,4,0))</f>
        <v>41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IF(ISNA(VLOOKUP($A4,Councils!$B$6:$AE$81423,0)),0,VLOOKUP($A4,Councils!$B$6:$AE$841,8,0))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298">
        <v>11344</v>
      </c>
      <c r="B5" t="str">
        <f>IF(ISNA(VLOOKUP($A5,Councils!$B$6:$AE$841,3,0)),0,VLOOKUP($A5,Councils!$B$6:$AE$841,3,0))</f>
        <v>Van Horn</v>
      </c>
      <c r="C5">
        <f>IF(ISNA(VLOOKUP($A5,Councils!$B$6:$AE$841,4,0)),0,VLOOKUP($A5,Councils!$B$6:$AE$841,4,0))</f>
        <v>62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IF(ISNA(VLOOKUP($A5,Councils!$B$6:$AE$81423,0)),0,VLOOKUP($A5,Councils!$B$6:$AE$841,8,0))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190" priority="3">
      <formula>IF(AND($H3="*"),($R3="*"))</formula>
    </cfRule>
  </conditionalFormatting>
  <conditionalFormatting sqref="A4">
    <cfRule type="expression" dxfId="189" priority="1">
      <formula>IF(AND($H4="*"),($R4="*"))</formula>
    </cfRule>
  </conditionalFormatting>
  <hyperlinks>
    <hyperlink ref="A1" location="ELP!A1" tooltip="Back to ELP DD Page" display="ELP DDs" xr:uid="{00000000-0004-0000-4100-000000000000}"/>
    <hyperlink ref="C1" location="'State Summary'!A1" tooltip="Link back to Diocesan Page" display="Diocesan Page" xr:uid="{00000000-0004-0000-4100-000001000000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V6"/>
  <sheetViews>
    <sheetView zoomScaleNormal="100" workbookViewId="0">
      <selection activeCell="B3" sqref="B3:V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>
        <v>7713</v>
      </c>
      <c r="B3" t="str">
        <f>IF(ISNA(VLOOKUP($A3,Councils!$B$6:$AE$841,3,0)),0,VLOOKUP($A3,Councils!$B$6:$AE$841,3,0))</f>
        <v>San Elizario</v>
      </c>
      <c r="C3">
        <f>IF(ISNA(VLOOKUP($A3,Councils!$B$6:$AE$841,4,0)),0,VLOOKUP($A3,Councils!$B$6:$AE$841,4,0))</f>
        <v>22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IF(ISNA(VLOOKUP($A3,Councils!$B$6:$AE$81423,0)),0,VLOOKUP($A3,Councils!$B$6:$AE$841,8,0))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>
        <v>9067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19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IF(ISNA(VLOOKUP($A4,Councils!$B$6:$AE$81423,0)),0,VLOOKUP($A4,Councils!$B$6:$AE$841,8,0))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 t="shared" ref="K4:K6" si="0"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 t="shared" ref="T4:T6" si="1"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>
        <v>10788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50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IF(ISNA(VLOOKUP($A5,Councils!$B$6:$AE$81423,0)),0,VLOOKUP($A5,Councils!$B$6:$AE$841,8,0))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si="0"/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 t="shared" si="1"/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>
        <v>10997</v>
      </c>
      <c r="B6" t="str">
        <f>IF(ISNA(VLOOKUP($A6,Councils!$B$6:$AE$841,3,0)),0,VLOOKUP($A6,Councils!$B$6:$AE$841,3,0))</f>
        <v>El Paso</v>
      </c>
      <c r="C6">
        <f>IF(ISNA(VLOOKUP($A6,Councils!$B$6:$AE$841,4,0)),0,VLOOKUP($A6,Councils!$B$6:$AE$841,4,0))</f>
        <v>54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IF(ISNA(VLOOKUP($A6,Councils!$B$6:$AE$81423,0)),0,VLOOKUP($A6,Councils!$B$6:$AE$841,8,0))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 t="shared" si="1"/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hyperlinks>
    <hyperlink ref="A1" location="ELP!A1" tooltip="Back to ELP DD Page" display="ELP DDs" xr:uid="{00000000-0004-0000-4200-000000000000}"/>
    <hyperlink ref="C1" location="'State Summary'!A1" tooltip="Link back to Diocesan Page" display="Diocesan Page" xr:uid="{00000000-0004-0000-42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V2"/>
  <sheetViews>
    <sheetView zoomScaleNormal="100" workbookViewId="0">
      <selection activeCell="B3" sqref="B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ELP!A1" tooltip="Back to ELP DD Page" display="ELP DDs" xr:uid="{00000000-0004-0000-4300-000000000000}"/>
    <hyperlink ref="C1" location="'State Summary'!A1" tooltip="Link back to Diocesan Page" display="Diocesan Page" xr:uid="{00000000-0004-0000-43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topLeftCell="A60" zoomScaleNormal="100" workbookViewId="0">
      <selection activeCell="H63" sqref="H63:H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1279</v>
      </c>
    </row>
    <row r="2" spans="1:17">
      <c r="A2" s="101">
        <f>RptDate</f>
        <v>44227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JAN</v>
      </c>
    </row>
    <row r="3" spans="1:17" s="26" customFormat="1">
      <c r="A3" s="26" t="s">
        <v>935</v>
      </c>
      <c r="P3" s="98"/>
    </row>
    <row r="4" spans="1:17" ht="25.5">
      <c r="A4" s="27" t="s">
        <v>602</v>
      </c>
      <c r="B4" s="28" t="s">
        <v>642</v>
      </c>
      <c r="C4" s="28" t="s">
        <v>643</v>
      </c>
      <c r="D4" s="28" t="s">
        <v>644</v>
      </c>
      <c r="E4" s="28" t="s">
        <v>645</v>
      </c>
      <c r="F4" s="28" t="s">
        <v>646</v>
      </c>
      <c r="G4" s="28" t="s">
        <v>647</v>
      </c>
      <c r="H4" s="28" t="s">
        <v>648</v>
      </c>
      <c r="I4" s="28" t="s">
        <v>649</v>
      </c>
      <c r="J4" s="28" t="s">
        <v>650</v>
      </c>
      <c r="K4" s="28" t="s">
        <v>651</v>
      </c>
      <c r="L4" s="28" t="s">
        <v>652</v>
      </c>
      <c r="M4" s="28" t="s">
        <v>653</v>
      </c>
      <c r="N4" s="29" t="s">
        <v>654</v>
      </c>
      <c r="O4" s="206" t="s">
        <v>936</v>
      </c>
      <c r="P4" s="271" t="s">
        <v>1013</v>
      </c>
      <c r="Q4" s="273"/>
    </row>
    <row r="5" spans="1:17">
      <c r="A5" s="99" t="s">
        <v>40</v>
      </c>
      <c r="B5" s="31">
        <v>17</v>
      </c>
      <c r="C5" s="31">
        <v>20</v>
      </c>
      <c r="D5" s="31">
        <v>46</v>
      </c>
      <c r="E5" s="31">
        <v>22</v>
      </c>
      <c r="F5" s="31">
        <v>25</v>
      </c>
      <c r="G5" s="31">
        <v>15</v>
      </c>
      <c r="H5" s="31">
        <v>15</v>
      </c>
      <c r="I5" s="31"/>
      <c r="J5" s="31"/>
      <c r="K5" s="31"/>
      <c r="L5" s="31"/>
      <c r="M5" s="31"/>
      <c r="N5" s="32">
        <f>SUM(B5:M5)</f>
        <v>160</v>
      </c>
      <c r="O5" s="207">
        <f>'Goals-1'!R5</f>
        <v>599</v>
      </c>
      <c r="P5" s="272">
        <f>IFERROR($N5/$O5,"")</f>
        <v>0.26711185308848079</v>
      </c>
    </row>
    <row r="6" spans="1:17">
      <c r="A6" s="99" t="s">
        <v>31</v>
      </c>
      <c r="B6" s="31">
        <v>7</v>
      </c>
      <c r="C6" s="31">
        <v>20</v>
      </c>
      <c r="D6" s="31">
        <v>24</v>
      </c>
      <c r="E6" s="31">
        <v>6</v>
      </c>
      <c r="F6" s="31">
        <v>28</v>
      </c>
      <c r="G6" s="31">
        <v>13</v>
      </c>
      <c r="H6" s="31">
        <v>11</v>
      </c>
      <c r="I6" s="31"/>
      <c r="J6" s="31"/>
      <c r="K6" s="31"/>
      <c r="L6" s="31"/>
      <c r="M6" s="31"/>
      <c r="N6" s="32">
        <f t="shared" ref="N6:N21" si="0">SUM(B6:M6)</f>
        <v>109</v>
      </c>
      <c r="O6" s="207">
        <f>'Goals-1'!R9</f>
        <v>571</v>
      </c>
      <c r="P6" s="272">
        <f t="shared" ref="P6:P23" si="1">IFERROR($N6/$O6,"")</f>
        <v>0.19089316987740806</v>
      </c>
    </row>
    <row r="7" spans="1:17">
      <c r="A7" s="99" t="s">
        <v>143</v>
      </c>
      <c r="B7" s="31">
        <v>12</v>
      </c>
      <c r="C7" s="31">
        <v>15</v>
      </c>
      <c r="D7" s="31">
        <v>27</v>
      </c>
      <c r="E7" s="31">
        <v>17</v>
      </c>
      <c r="F7" s="31">
        <v>18</v>
      </c>
      <c r="G7" s="31">
        <v>24</v>
      </c>
      <c r="H7" s="31">
        <v>16</v>
      </c>
      <c r="I7" s="31"/>
      <c r="J7" s="31"/>
      <c r="K7" s="31"/>
      <c r="L7" s="31"/>
      <c r="M7" s="31"/>
      <c r="N7" s="32">
        <f t="shared" si="0"/>
        <v>129</v>
      </c>
      <c r="O7" s="207">
        <f>'Goals-1'!R11</f>
        <v>459</v>
      </c>
      <c r="P7" s="272">
        <f t="shared" si="1"/>
        <v>0.28104575163398693</v>
      </c>
    </row>
    <row r="8" spans="1:17">
      <c r="A8" s="99" t="s">
        <v>623</v>
      </c>
      <c r="B8" s="31">
        <v>24</v>
      </c>
      <c r="C8" s="31">
        <v>23</v>
      </c>
      <c r="D8" s="31">
        <v>8</v>
      </c>
      <c r="E8" s="31">
        <v>33</v>
      </c>
      <c r="F8" s="31">
        <v>57</v>
      </c>
      <c r="G8" s="31">
        <v>50</v>
      </c>
      <c r="H8" s="31">
        <v>31</v>
      </c>
      <c r="I8" s="31"/>
      <c r="J8" s="31"/>
      <c r="K8" s="31"/>
      <c r="L8" s="31"/>
      <c r="M8" s="31"/>
      <c r="N8" s="32">
        <f t="shared" si="0"/>
        <v>226</v>
      </c>
      <c r="O8" s="207">
        <f>'Goals-1'!R12</f>
        <v>1080</v>
      </c>
      <c r="P8" s="272">
        <f t="shared" si="1"/>
        <v>0.20925925925925926</v>
      </c>
    </row>
    <row r="9" spans="1:17">
      <c r="A9" s="99" t="s">
        <v>27</v>
      </c>
      <c r="B9" s="31">
        <v>18</v>
      </c>
      <c r="C9" s="31">
        <v>20</v>
      </c>
      <c r="D9" s="31">
        <v>18</v>
      </c>
      <c r="E9" s="31">
        <v>18</v>
      </c>
      <c r="F9" s="31">
        <v>29</v>
      </c>
      <c r="G9" s="31">
        <v>9</v>
      </c>
      <c r="H9" s="31">
        <v>9</v>
      </c>
      <c r="I9" s="31"/>
      <c r="J9" s="31"/>
      <c r="K9" s="31"/>
      <c r="L9" s="31"/>
      <c r="M9" s="31"/>
      <c r="N9" s="32">
        <f t="shared" si="0"/>
        <v>121</v>
      </c>
      <c r="O9" s="207">
        <f>'Goals-1'!R16</f>
        <v>667</v>
      </c>
      <c r="P9" s="272">
        <f t="shared" si="1"/>
        <v>0.18140929535232383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2" t="str">
        <f t="shared" si="1"/>
        <v/>
      </c>
    </row>
    <row r="11" spans="1:17">
      <c r="A11" s="99" t="s">
        <v>37</v>
      </c>
      <c r="B11" s="31">
        <v>2</v>
      </c>
      <c r="C11" s="31">
        <v>1</v>
      </c>
      <c r="D11" s="31">
        <v>3</v>
      </c>
      <c r="E11" s="31">
        <v>4</v>
      </c>
      <c r="F11" s="31">
        <v>9</v>
      </c>
      <c r="G11" s="31">
        <v>8</v>
      </c>
      <c r="H11" s="31">
        <v>1</v>
      </c>
      <c r="I11" s="31"/>
      <c r="J11" s="31"/>
      <c r="K11" s="31"/>
      <c r="L11" s="31"/>
      <c r="M11" s="31"/>
      <c r="N11" s="32">
        <f t="shared" si="0"/>
        <v>28</v>
      </c>
      <c r="O11" s="207">
        <f>'Goals-1'!R6</f>
        <v>159</v>
      </c>
      <c r="P11" s="272">
        <f t="shared" si="1"/>
        <v>0.1761006289308176</v>
      </c>
    </row>
    <row r="12" spans="1:17">
      <c r="A12" s="99" t="s">
        <v>66</v>
      </c>
      <c r="B12" s="31">
        <v>8</v>
      </c>
      <c r="C12" s="31">
        <v>6</v>
      </c>
      <c r="D12" s="31">
        <v>9</v>
      </c>
      <c r="E12" s="31">
        <v>8</v>
      </c>
      <c r="F12" s="31">
        <v>7</v>
      </c>
      <c r="G12" s="31">
        <v>5</v>
      </c>
      <c r="H12" s="31">
        <v>5</v>
      </c>
      <c r="I12" s="31"/>
      <c r="J12" s="31"/>
      <c r="K12" s="31"/>
      <c r="L12" s="31"/>
      <c r="M12" s="31"/>
      <c r="N12" s="32">
        <f t="shared" si="0"/>
        <v>48</v>
      </c>
      <c r="O12" s="207">
        <f>'Goals-1'!R7</f>
        <v>253</v>
      </c>
      <c r="P12" s="272">
        <f t="shared" si="1"/>
        <v>0.18972332015810275</v>
      </c>
    </row>
    <row r="13" spans="1:17">
      <c r="A13" s="99" t="s">
        <v>43</v>
      </c>
      <c r="B13" s="31">
        <v>11</v>
      </c>
      <c r="C13" s="31">
        <v>5</v>
      </c>
      <c r="D13" s="31">
        <v>4</v>
      </c>
      <c r="E13" s="31">
        <v>24</v>
      </c>
      <c r="F13" s="31">
        <v>11</v>
      </c>
      <c r="G13" s="31">
        <v>12</v>
      </c>
      <c r="H13" s="31">
        <v>1</v>
      </c>
      <c r="I13" s="31"/>
      <c r="J13" s="31"/>
      <c r="K13" s="31"/>
      <c r="L13" s="31"/>
      <c r="M13" s="31"/>
      <c r="N13" s="32">
        <f t="shared" si="0"/>
        <v>68</v>
      </c>
      <c r="O13" s="207">
        <f>'Goals-1'!R8</f>
        <v>241</v>
      </c>
      <c r="P13" s="272">
        <f t="shared" si="1"/>
        <v>0.28215767634854771</v>
      </c>
    </row>
    <row r="14" spans="1:17">
      <c r="A14" s="99" t="s">
        <v>85</v>
      </c>
      <c r="B14" s="31">
        <v>2</v>
      </c>
      <c r="C14" s="31">
        <v>17</v>
      </c>
      <c r="D14" s="31">
        <v>1</v>
      </c>
      <c r="E14" s="31">
        <v>0</v>
      </c>
      <c r="F14" s="31">
        <v>1</v>
      </c>
      <c r="G14" s="31">
        <v>0</v>
      </c>
      <c r="H14" s="31">
        <v>2</v>
      </c>
      <c r="I14" s="31"/>
      <c r="J14" s="31"/>
      <c r="K14" s="31"/>
      <c r="L14" s="31"/>
      <c r="M14" s="31"/>
      <c r="N14" s="32">
        <f t="shared" si="0"/>
        <v>23</v>
      </c>
      <c r="O14" s="207">
        <f>'Goals-1'!R15</f>
        <v>166</v>
      </c>
      <c r="P14" s="272">
        <f t="shared" si="1"/>
        <v>0.13855421686746988</v>
      </c>
    </row>
    <row r="15" spans="1:17">
      <c r="A15" s="99" t="s">
        <v>51</v>
      </c>
      <c r="B15" s="31">
        <v>4</v>
      </c>
      <c r="C15" s="31">
        <v>16</v>
      </c>
      <c r="D15" s="31">
        <v>5</v>
      </c>
      <c r="E15" s="31">
        <v>5</v>
      </c>
      <c r="F15" s="31">
        <v>0</v>
      </c>
      <c r="G15" s="31">
        <v>6</v>
      </c>
      <c r="H15" s="31">
        <v>3</v>
      </c>
      <c r="I15" s="31"/>
      <c r="J15" s="31"/>
      <c r="K15" s="31"/>
      <c r="L15" s="31"/>
      <c r="M15" s="31"/>
      <c r="N15" s="32">
        <f t="shared" si="0"/>
        <v>39</v>
      </c>
      <c r="O15" s="207">
        <f>'Goals-1'!R18</f>
        <v>225</v>
      </c>
      <c r="P15" s="272">
        <f t="shared" si="1"/>
        <v>0.17333333333333334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2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>
        <v>0</v>
      </c>
      <c r="E17" s="31">
        <v>0</v>
      </c>
      <c r="F17" s="31">
        <v>8</v>
      </c>
      <c r="G17" s="31">
        <v>1</v>
      </c>
      <c r="H17" s="31">
        <v>1</v>
      </c>
      <c r="I17" s="31"/>
      <c r="J17" s="31"/>
      <c r="K17" s="31"/>
      <c r="L17" s="31"/>
      <c r="M17" s="31"/>
      <c r="N17" s="32">
        <f t="shared" si="0"/>
        <v>12</v>
      </c>
      <c r="O17" s="207">
        <f>'Goals-1'!R4</f>
        <v>111</v>
      </c>
      <c r="P17" s="272">
        <f t="shared" si="1"/>
        <v>0.10810810810810811</v>
      </c>
    </row>
    <row r="18" spans="1:16">
      <c r="A18" s="99" t="s">
        <v>23</v>
      </c>
      <c r="B18" s="31">
        <v>6</v>
      </c>
      <c r="C18" s="31">
        <v>10</v>
      </c>
      <c r="D18" s="31">
        <v>12</v>
      </c>
      <c r="E18" s="31">
        <v>11</v>
      </c>
      <c r="F18" s="31">
        <v>9</v>
      </c>
      <c r="G18" s="31">
        <v>7</v>
      </c>
      <c r="H18" s="31">
        <v>12</v>
      </c>
      <c r="I18" s="31"/>
      <c r="J18" s="31"/>
      <c r="K18" s="31"/>
      <c r="L18" s="31"/>
      <c r="M18" s="31"/>
      <c r="N18" s="32">
        <f t="shared" si="0"/>
        <v>67</v>
      </c>
      <c r="O18" s="207">
        <f>'Goals-1'!R10</f>
        <v>147</v>
      </c>
      <c r="P18" s="272">
        <f t="shared" si="1"/>
        <v>0.45578231292517007</v>
      </c>
    </row>
    <row r="19" spans="1:16">
      <c r="A19" s="99" t="s">
        <v>90</v>
      </c>
      <c r="B19" s="31">
        <v>4</v>
      </c>
      <c r="C19" s="31">
        <v>0</v>
      </c>
      <c r="D19" s="31">
        <v>6</v>
      </c>
      <c r="E19" s="31">
        <v>8</v>
      </c>
      <c r="F19" s="31">
        <v>1</v>
      </c>
      <c r="G19" s="31">
        <v>1</v>
      </c>
      <c r="H19" s="31">
        <v>0</v>
      </c>
      <c r="I19" s="31"/>
      <c r="J19" s="31"/>
      <c r="K19" s="31"/>
      <c r="L19" s="31"/>
      <c r="M19" s="31"/>
      <c r="N19" s="32">
        <f t="shared" si="0"/>
        <v>20</v>
      </c>
      <c r="O19" s="207">
        <f>'Goals-1'!R13</f>
        <v>91</v>
      </c>
      <c r="P19" s="272">
        <f t="shared" si="1"/>
        <v>0.21978021978021978</v>
      </c>
    </row>
    <row r="20" spans="1:16">
      <c r="A20" s="99" t="s">
        <v>150</v>
      </c>
      <c r="B20" s="31">
        <v>0</v>
      </c>
      <c r="C20" s="31">
        <v>4</v>
      </c>
      <c r="D20" s="31">
        <v>15</v>
      </c>
      <c r="E20" s="31">
        <v>19</v>
      </c>
      <c r="F20" s="31">
        <v>1</v>
      </c>
      <c r="G20" s="31">
        <v>2</v>
      </c>
      <c r="H20" s="31">
        <v>7</v>
      </c>
      <c r="I20" s="31"/>
      <c r="J20" s="31"/>
      <c r="K20" s="31"/>
      <c r="L20" s="31"/>
      <c r="M20" s="31"/>
      <c r="N20" s="32">
        <f t="shared" si="0"/>
        <v>48</v>
      </c>
      <c r="O20" s="207">
        <f>'Goals-1'!R14</f>
        <v>104</v>
      </c>
      <c r="P20" s="272">
        <f t="shared" si="1"/>
        <v>0.46153846153846156</v>
      </c>
    </row>
    <row r="21" spans="1:16">
      <c r="A21" s="99" t="s">
        <v>64</v>
      </c>
      <c r="B21" s="31">
        <v>3</v>
      </c>
      <c r="C21" s="31">
        <v>5</v>
      </c>
      <c r="D21" s="31">
        <v>10</v>
      </c>
      <c r="E21" s="31">
        <v>4</v>
      </c>
      <c r="F21" s="31">
        <v>7</v>
      </c>
      <c r="G21" s="31">
        <v>14</v>
      </c>
      <c r="H21" s="31">
        <v>2</v>
      </c>
      <c r="I21" s="31"/>
      <c r="J21" s="31"/>
      <c r="K21" s="31"/>
      <c r="L21" s="31"/>
      <c r="M21" s="31"/>
      <c r="N21" s="32">
        <f t="shared" si="0"/>
        <v>45</v>
      </c>
      <c r="O21" s="207">
        <f>'Goals-1'!R17</f>
        <v>127</v>
      </c>
      <c r="P21" s="272">
        <f t="shared" si="1"/>
        <v>0.3543307086614173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2" t="str">
        <f>IFERROR($N22/$O22,"")</f>
        <v/>
      </c>
    </row>
    <row r="23" spans="1:16">
      <c r="A23" s="27" t="s">
        <v>619</v>
      </c>
      <c r="B23" s="32">
        <f>IF(B5="","",SUM(B5:B21))</f>
        <v>118</v>
      </c>
      <c r="C23" s="32">
        <f t="shared" ref="C23:M23" si="2">IF(C5="","",SUM(C5:C21))</f>
        <v>164</v>
      </c>
      <c r="D23" s="32">
        <f t="shared" si="2"/>
        <v>188</v>
      </c>
      <c r="E23" s="32">
        <f t="shared" si="2"/>
        <v>179</v>
      </c>
      <c r="F23" s="32">
        <f t="shared" si="2"/>
        <v>211</v>
      </c>
      <c r="G23" s="32">
        <f t="shared" si="2"/>
        <v>167</v>
      </c>
      <c r="H23" s="32">
        <f t="shared" si="2"/>
        <v>116</v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1143</v>
      </c>
      <c r="O23" s="207">
        <f>SUM(O5:O22)</f>
        <v>5000</v>
      </c>
      <c r="P23" s="272">
        <f t="shared" si="1"/>
        <v>0.2286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January</v>
      </c>
    </row>
    <row r="31" spans="1:16">
      <c r="A31" s="208" t="s">
        <v>937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602</v>
      </c>
      <c r="B32" s="28" t="s">
        <v>642</v>
      </c>
      <c r="C32" s="28" t="s">
        <v>643</v>
      </c>
      <c r="D32" s="28" t="s">
        <v>644</v>
      </c>
      <c r="E32" s="28" t="s">
        <v>645</v>
      </c>
      <c r="F32" s="28" t="s">
        <v>646</v>
      </c>
      <c r="G32" s="28" t="s">
        <v>647</v>
      </c>
      <c r="H32" s="28" t="s">
        <v>648</v>
      </c>
      <c r="I32" s="28" t="s">
        <v>649</v>
      </c>
      <c r="J32" s="28" t="s">
        <v>650</v>
      </c>
      <c r="K32" s="28" t="s">
        <v>651</v>
      </c>
      <c r="L32" s="28" t="s">
        <v>652</v>
      </c>
      <c r="M32" s="28" t="s">
        <v>653</v>
      </c>
      <c r="N32" s="29" t="s">
        <v>654</v>
      </c>
      <c r="O32" s="109" t="s">
        <v>936</v>
      </c>
      <c r="P32" s="271" t="s">
        <v>1014</v>
      </c>
    </row>
    <row r="33" spans="1:16" s="26" customFormat="1">
      <c r="A33" s="99" t="s">
        <v>40</v>
      </c>
      <c r="B33" s="31">
        <v>0</v>
      </c>
      <c r="C33" s="31">
        <v>11</v>
      </c>
      <c r="D33" s="31">
        <v>1</v>
      </c>
      <c r="E33" s="31">
        <v>3</v>
      </c>
      <c r="F33" s="31">
        <v>5</v>
      </c>
      <c r="G33" s="31">
        <v>7</v>
      </c>
      <c r="H33" s="31">
        <v>5</v>
      </c>
      <c r="I33" s="31"/>
      <c r="J33" s="31"/>
      <c r="K33" s="31"/>
      <c r="L33" s="31"/>
      <c r="M33" s="31"/>
      <c r="N33" s="32">
        <f>SUM(B33:M33)</f>
        <v>32</v>
      </c>
      <c r="O33" s="100">
        <f>'Goals-1'!S5</f>
        <v>188</v>
      </c>
      <c r="P33" s="272">
        <f t="shared" ref="P33:P51" si="3">IFERROR($N33/$O33,"")</f>
        <v>0.1702127659574468</v>
      </c>
    </row>
    <row r="34" spans="1:16">
      <c r="A34" s="99" t="s">
        <v>31</v>
      </c>
      <c r="B34" s="31">
        <v>2</v>
      </c>
      <c r="C34" s="31">
        <v>9</v>
      </c>
      <c r="D34" s="31">
        <v>93</v>
      </c>
      <c r="E34" s="31">
        <v>0</v>
      </c>
      <c r="F34" s="31">
        <v>4</v>
      </c>
      <c r="G34" s="31">
        <v>6</v>
      </c>
      <c r="H34" s="31">
        <v>66</v>
      </c>
      <c r="I34" s="31"/>
      <c r="J34" s="31"/>
      <c r="K34" s="31"/>
      <c r="L34" s="31"/>
      <c r="M34" s="31"/>
      <c r="N34" s="32">
        <f t="shared" ref="N34:N49" si="4">SUM(B34:M34)</f>
        <v>180</v>
      </c>
      <c r="O34" s="209">
        <f>'Goals-1'!S9</f>
        <v>188</v>
      </c>
      <c r="P34" s="272">
        <f t="shared" si="3"/>
        <v>0.95744680851063835</v>
      </c>
    </row>
    <row r="35" spans="1:16">
      <c r="A35" s="99" t="s">
        <v>143</v>
      </c>
      <c r="B35" s="31">
        <v>1</v>
      </c>
      <c r="C35" s="31">
        <v>3</v>
      </c>
      <c r="D35" s="31">
        <v>0</v>
      </c>
      <c r="E35" s="31">
        <v>23</v>
      </c>
      <c r="F35" s="31">
        <v>35</v>
      </c>
      <c r="G35" s="31">
        <v>5</v>
      </c>
      <c r="H35" s="31">
        <v>11</v>
      </c>
      <c r="I35" s="31"/>
      <c r="J35" s="31"/>
      <c r="K35" s="31"/>
      <c r="L35" s="31"/>
      <c r="M35" s="31"/>
      <c r="N35" s="32">
        <f t="shared" si="4"/>
        <v>78</v>
      </c>
      <c r="O35" s="100">
        <f>'Goals-1'!S11</f>
        <v>155</v>
      </c>
      <c r="P35" s="272">
        <f t="shared" si="3"/>
        <v>0.50322580645161286</v>
      </c>
    </row>
    <row r="36" spans="1:16">
      <c r="A36" s="99" t="s">
        <v>623</v>
      </c>
      <c r="B36" s="31">
        <v>4</v>
      </c>
      <c r="C36" s="31">
        <v>49</v>
      </c>
      <c r="D36" s="31">
        <v>63</v>
      </c>
      <c r="E36" s="31">
        <v>17</v>
      </c>
      <c r="F36" s="31">
        <v>25</v>
      </c>
      <c r="G36" s="31">
        <v>33</v>
      </c>
      <c r="H36" s="31">
        <v>34</v>
      </c>
      <c r="I36" s="31"/>
      <c r="J36" s="31"/>
      <c r="K36" s="31"/>
      <c r="L36" s="31"/>
      <c r="M36" s="31"/>
      <c r="N36" s="32">
        <f t="shared" si="4"/>
        <v>225</v>
      </c>
      <c r="O36" s="100">
        <f>'Goals-1'!S12</f>
        <v>326</v>
      </c>
      <c r="P36" s="272">
        <f t="shared" si="3"/>
        <v>0.69018404907975461</v>
      </c>
    </row>
    <row r="37" spans="1:16">
      <c r="A37" s="99" t="s">
        <v>27</v>
      </c>
      <c r="B37" s="31">
        <v>0</v>
      </c>
      <c r="C37" s="31">
        <v>30</v>
      </c>
      <c r="D37" s="31">
        <v>14</v>
      </c>
      <c r="E37" s="31">
        <v>3</v>
      </c>
      <c r="F37" s="31">
        <v>39</v>
      </c>
      <c r="G37" s="31">
        <v>21</v>
      </c>
      <c r="H37" s="31">
        <v>35</v>
      </c>
      <c r="I37" s="31"/>
      <c r="J37" s="31"/>
      <c r="K37" s="31"/>
      <c r="L37" s="31"/>
      <c r="M37" s="31"/>
      <c r="N37" s="32">
        <f t="shared" si="4"/>
        <v>142</v>
      </c>
      <c r="O37" s="100">
        <f>'Goals-1'!S16</f>
        <v>223</v>
      </c>
      <c r="P37" s="272">
        <f t="shared" si="3"/>
        <v>0.63677130044843044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2" t="str">
        <f t="shared" si="3"/>
        <v/>
      </c>
    </row>
    <row r="39" spans="1:16">
      <c r="A39" s="99" t="s">
        <v>37</v>
      </c>
      <c r="B39" s="31">
        <v>1</v>
      </c>
      <c r="C39" s="31">
        <v>2</v>
      </c>
      <c r="D39" s="31">
        <v>1</v>
      </c>
      <c r="E39" s="31">
        <v>1</v>
      </c>
      <c r="F39" s="31">
        <v>1</v>
      </c>
      <c r="G39" s="31">
        <v>2</v>
      </c>
      <c r="H39" s="31">
        <v>2</v>
      </c>
      <c r="I39" s="31"/>
      <c r="J39" s="31"/>
      <c r="K39" s="31"/>
      <c r="L39" s="31"/>
      <c r="M39" s="31"/>
      <c r="N39" s="32">
        <f t="shared" si="4"/>
        <v>10</v>
      </c>
      <c r="O39" s="100">
        <f>'Goals-1'!S6</f>
        <v>45</v>
      </c>
      <c r="P39" s="272">
        <f t="shared" si="3"/>
        <v>0.22222222222222221</v>
      </c>
    </row>
    <row r="40" spans="1:16">
      <c r="A40" s="99" t="s">
        <v>66</v>
      </c>
      <c r="B40" s="31">
        <v>0</v>
      </c>
      <c r="C40" s="31">
        <v>1</v>
      </c>
      <c r="D40" s="31">
        <v>7</v>
      </c>
      <c r="E40" s="31">
        <v>4</v>
      </c>
      <c r="F40" s="31">
        <v>0</v>
      </c>
      <c r="G40" s="31">
        <v>2</v>
      </c>
      <c r="H40" s="31">
        <v>4</v>
      </c>
      <c r="I40" s="31"/>
      <c r="J40" s="31"/>
      <c r="K40" s="31"/>
      <c r="L40" s="31"/>
      <c r="M40" s="31"/>
      <c r="N40" s="32">
        <f t="shared" si="4"/>
        <v>18</v>
      </c>
      <c r="O40" s="100">
        <f>'Goals-1'!S7</f>
        <v>83</v>
      </c>
      <c r="P40" s="272">
        <f t="shared" si="3"/>
        <v>0.21686746987951808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4</v>
      </c>
      <c r="I41" s="31"/>
      <c r="J41" s="31"/>
      <c r="K41" s="31"/>
      <c r="L41" s="31"/>
      <c r="M41" s="31"/>
      <c r="N41" s="32">
        <f t="shared" si="4"/>
        <v>4</v>
      </c>
      <c r="O41" s="100">
        <f>'Goals-1'!S8</f>
        <v>56</v>
      </c>
      <c r="P41" s="272">
        <f t="shared" si="3"/>
        <v>7.1428571428571425E-2</v>
      </c>
    </row>
    <row r="42" spans="1:16">
      <c r="A42" s="99" t="s">
        <v>85</v>
      </c>
      <c r="B42" s="31">
        <v>0</v>
      </c>
      <c r="C42" s="31">
        <v>1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/>
      <c r="J42" s="31"/>
      <c r="K42" s="31"/>
      <c r="L42" s="31"/>
      <c r="M42" s="31"/>
      <c r="N42" s="32">
        <f t="shared" si="4"/>
        <v>1</v>
      </c>
      <c r="O42" s="100">
        <f>'Goals-1'!S15</f>
        <v>38</v>
      </c>
      <c r="P42" s="272">
        <f t="shared" si="3"/>
        <v>2.6315789473684209E-2</v>
      </c>
    </row>
    <row r="43" spans="1:16">
      <c r="A43" s="99" t="s">
        <v>51</v>
      </c>
      <c r="B43" s="31">
        <v>0</v>
      </c>
      <c r="C43" s="31">
        <v>2</v>
      </c>
      <c r="D43" s="31">
        <v>2</v>
      </c>
      <c r="E43" s="31">
        <v>10</v>
      </c>
      <c r="F43" s="31">
        <v>0</v>
      </c>
      <c r="G43" s="31">
        <v>1</v>
      </c>
      <c r="H43" s="31">
        <v>4</v>
      </c>
      <c r="I43" s="31"/>
      <c r="J43" s="31"/>
      <c r="K43" s="31"/>
      <c r="L43" s="31"/>
      <c r="M43" s="31"/>
      <c r="N43" s="32">
        <f t="shared" si="4"/>
        <v>19</v>
      </c>
      <c r="O43" s="100">
        <f>'Goals-1'!S18</f>
        <v>41</v>
      </c>
      <c r="P43" s="272">
        <f t="shared" si="3"/>
        <v>0.46341463414634149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2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2</v>
      </c>
      <c r="E45" s="31">
        <v>2</v>
      </c>
      <c r="F45" s="31">
        <v>0</v>
      </c>
      <c r="G45" s="31">
        <v>0</v>
      </c>
      <c r="H45" s="31">
        <v>1</v>
      </c>
      <c r="I45" s="31"/>
      <c r="J45" s="31"/>
      <c r="K45" s="31"/>
      <c r="L45" s="31"/>
      <c r="M45" s="31"/>
      <c r="N45" s="32">
        <f t="shared" si="4"/>
        <v>5</v>
      </c>
      <c r="O45" s="100">
        <f>'Goals-1'!S4</f>
        <v>33</v>
      </c>
      <c r="P45" s="272">
        <f t="shared" si="3"/>
        <v>0.15151515151515152</v>
      </c>
    </row>
    <row r="46" spans="1:16">
      <c r="A46" s="99" t="s">
        <v>23</v>
      </c>
      <c r="B46" s="31">
        <v>2</v>
      </c>
      <c r="C46" s="31">
        <v>8</v>
      </c>
      <c r="D46" s="31">
        <v>1</v>
      </c>
      <c r="E46" s="31">
        <v>1</v>
      </c>
      <c r="F46" s="31">
        <v>0</v>
      </c>
      <c r="G46" s="31">
        <v>2</v>
      </c>
      <c r="H46" s="31">
        <v>1</v>
      </c>
      <c r="I46" s="31"/>
      <c r="J46" s="31"/>
      <c r="K46" s="31"/>
      <c r="L46" s="31"/>
      <c r="M46" s="31"/>
      <c r="N46" s="32">
        <f t="shared" si="4"/>
        <v>15</v>
      </c>
      <c r="O46" s="100">
        <f>'Goals-1'!S10</f>
        <v>53</v>
      </c>
      <c r="P46" s="272">
        <f t="shared" si="3"/>
        <v>0.28301886792452829</v>
      </c>
    </row>
    <row r="47" spans="1:16">
      <c r="A47" s="99" t="s">
        <v>90</v>
      </c>
      <c r="B47" s="31">
        <v>1</v>
      </c>
      <c r="C47" s="31">
        <v>0</v>
      </c>
      <c r="D47" s="31">
        <v>10</v>
      </c>
      <c r="E47" s="31">
        <v>0</v>
      </c>
      <c r="F47" s="31">
        <v>0</v>
      </c>
      <c r="G47" s="31">
        <v>10</v>
      </c>
      <c r="H47" s="31">
        <v>0</v>
      </c>
      <c r="I47" s="31"/>
      <c r="J47" s="31"/>
      <c r="K47" s="31"/>
      <c r="L47" s="31"/>
      <c r="M47" s="31"/>
      <c r="N47" s="32">
        <f t="shared" si="4"/>
        <v>21</v>
      </c>
      <c r="O47" s="100">
        <f>'Goals-1'!S13</f>
        <v>17</v>
      </c>
      <c r="P47" s="272">
        <f t="shared" si="3"/>
        <v>1.2352941176470589</v>
      </c>
    </row>
    <row r="48" spans="1:16">
      <c r="A48" s="99" t="s">
        <v>150</v>
      </c>
      <c r="B48" s="31">
        <v>0</v>
      </c>
      <c r="C48" s="31">
        <v>2</v>
      </c>
      <c r="D48" s="31">
        <v>0</v>
      </c>
      <c r="E48" s="31">
        <v>0</v>
      </c>
      <c r="F48" s="31">
        <v>0</v>
      </c>
      <c r="G48" s="31">
        <v>5</v>
      </c>
      <c r="H48" s="31">
        <v>0</v>
      </c>
      <c r="I48" s="31"/>
      <c r="J48" s="31"/>
      <c r="K48" s="31"/>
      <c r="L48" s="31"/>
      <c r="M48" s="31"/>
      <c r="N48" s="32">
        <f t="shared" si="4"/>
        <v>7</v>
      </c>
      <c r="O48" s="100">
        <f>'Goals-1'!S14</f>
        <v>22</v>
      </c>
      <c r="P48" s="272">
        <f t="shared" si="3"/>
        <v>0.31818181818181818</v>
      </c>
    </row>
    <row r="49" spans="1:16">
      <c r="A49" s="99" t="s">
        <v>64</v>
      </c>
      <c r="B49" s="31">
        <v>3</v>
      </c>
      <c r="C49" s="31">
        <v>0</v>
      </c>
      <c r="D49" s="31">
        <v>51</v>
      </c>
      <c r="E49" s="31">
        <v>4</v>
      </c>
      <c r="F49" s="31">
        <v>1</v>
      </c>
      <c r="G49" s="31">
        <v>12</v>
      </c>
      <c r="H49" s="31">
        <v>12</v>
      </c>
      <c r="I49" s="31"/>
      <c r="J49" s="31"/>
      <c r="K49" s="31"/>
      <c r="L49" s="31"/>
      <c r="M49" s="31"/>
      <c r="N49" s="32">
        <f t="shared" si="4"/>
        <v>83</v>
      </c>
      <c r="O49" s="100">
        <f>'Goals-1'!S17</f>
        <v>32</v>
      </c>
      <c r="P49" s="272">
        <f t="shared" si="3"/>
        <v>2.59375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2" t="str">
        <f t="shared" si="3"/>
        <v/>
      </c>
    </row>
    <row r="51" spans="1:16">
      <c r="A51" s="27" t="s">
        <v>619</v>
      </c>
      <c r="B51" s="32">
        <f>IF(B33="","",SUM(B33:B49))</f>
        <v>14</v>
      </c>
      <c r="C51" s="32">
        <f t="shared" ref="C51:M51" si="5">IF(C33="","",SUM(C33:C49))</f>
        <v>118</v>
      </c>
      <c r="D51" s="32">
        <f t="shared" si="5"/>
        <v>245</v>
      </c>
      <c r="E51" s="32">
        <f t="shared" si="5"/>
        <v>68</v>
      </c>
      <c r="F51" s="32">
        <f t="shared" si="5"/>
        <v>110</v>
      </c>
      <c r="G51" s="32">
        <f t="shared" si="5"/>
        <v>106</v>
      </c>
      <c r="H51" s="32">
        <f t="shared" si="5"/>
        <v>179</v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840</v>
      </c>
      <c r="O51" s="207">
        <f>SUM(O33:O50)</f>
        <v>1500</v>
      </c>
      <c r="P51" s="272">
        <f t="shared" si="3"/>
        <v>0.56000000000000005</v>
      </c>
    </row>
    <row r="61" spans="1:16" s="26" customFormat="1">
      <c r="A61" s="26" t="s">
        <v>939</v>
      </c>
      <c r="P61" s="98"/>
    </row>
    <row r="62" spans="1:16" ht="38.25">
      <c r="A62" s="27" t="s">
        <v>602</v>
      </c>
      <c r="B62" s="28" t="s">
        <v>642</v>
      </c>
      <c r="C62" s="28" t="s">
        <v>643</v>
      </c>
      <c r="D62" s="28" t="s">
        <v>644</v>
      </c>
      <c r="E62" s="28" t="s">
        <v>645</v>
      </c>
      <c r="F62" s="28" t="s">
        <v>646</v>
      </c>
      <c r="G62" s="28" t="s">
        <v>647</v>
      </c>
      <c r="H62" s="28" t="s">
        <v>648</v>
      </c>
      <c r="I62" s="28" t="s">
        <v>649</v>
      </c>
      <c r="J62" s="28" t="s">
        <v>650</v>
      </c>
      <c r="K62" s="28" t="s">
        <v>651</v>
      </c>
      <c r="L62" s="28" t="s">
        <v>652</v>
      </c>
      <c r="M62" s="28" t="s">
        <v>653</v>
      </c>
      <c r="N62" s="29" t="s">
        <v>654</v>
      </c>
      <c r="O62" s="206" t="s">
        <v>938</v>
      </c>
      <c r="P62" s="271" t="s">
        <v>1014</v>
      </c>
    </row>
    <row r="63" spans="1:16">
      <c r="A63" s="99" t="s">
        <v>40</v>
      </c>
      <c r="B63" s="31">
        <v>17</v>
      </c>
      <c r="C63" s="31">
        <v>9</v>
      </c>
      <c r="D63" s="31">
        <v>45</v>
      </c>
      <c r="E63" s="31">
        <v>19</v>
      </c>
      <c r="F63" s="31">
        <v>20</v>
      </c>
      <c r="G63" s="31">
        <v>8</v>
      </c>
      <c r="H63" s="31">
        <v>10</v>
      </c>
      <c r="I63" s="31"/>
      <c r="J63" s="31"/>
      <c r="K63" s="31"/>
      <c r="L63" s="31"/>
      <c r="M63" s="31"/>
      <c r="N63" s="32">
        <f>SUM(B63:M63)</f>
        <v>128</v>
      </c>
      <c r="O63" s="207">
        <f>'Goals-1'!T5</f>
        <v>411</v>
      </c>
      <c r="P63" s="272">
        <f t="shared" ref="P63:P81" si="6">IFERROR($N63/$O63,"")</f>
        <v>0.31143552311435524</v>
      </c>
    </row>
    <row r="64" spans="1:16">
      <c r="A64" s="99" t="s">
        <v>31</v>
      </c>
      <c r="B64" s="31">
        <v>5</v>
      </c>
      <c r="C64" s="31">
        <v>11</v>
      </c>
      <c r="D64" s="31">
        <v>-69</v>
      </c>
      <c r="E64" s="31">
        <v>6</v>
      </c>
      <c r="F64" s="31">
        <v>24</v>
      </c>
      <c r="G64" s="31">
        <v>7</v>
      </c>
      <c r="H64" s="31">
        <v>-55</v>
      </c>
      <c r="I64" s="31"/>
      <c r="J64" s="31"/>
      <c r="K64" s="31"/>
      <c r="L64" s="31"/>
      <c r="M64" s="31"/>
      <c r="N64" s="32">
        <f t="shared" ref="N64:N79" si="7">SUM(B64:M64)</f>
        <v>-71</v>
      </c>
      <c r="O64" s="207">
        <f>'Goals-1'!R57</f>
        <v>412</v>
      </c>
      <c r="P64" s="272">
        <f t="shared" si="6"/>
        <v>-0.17233009708737865</v>
      </c>
    </row>
    <row r="65" spans="1:16">
      <c r="A65" s="99" t="s">
        <v>143</v>
      </c>
      <c r="B65" s="31">
        <v>11</v>
      </c>
      <c r="C65" s="31">
        <v>12</v>
      </c>
      <c r="D65" s="31">
        <v>27</v>
      </c>
      <c r="E65" s="31">
        <v>-6</v>
      </c>
      <c r="F65" s="31">
        <v>-17</v>
      </c>
      <c r="G65" s="31">
        <v>19</v>
      </c>
      <c r="H65" s="31">
        <v>5</v>
      </c>
      <c r="I65" s="31"/>
      <c r="J65" s="31"/>
      <c r="K65" s="31"/>
      <c r="L65" s="31"/>
      <c r="M65" s="31"/>
      <c r="N65" s="32">
        <f t="shared" si="7"/>
        <v>51</v>
      </c>
      <c r="O65" s="207">
        <f>'Goals-1'!R59</f>
        <v>330</v>
      </c>
      <c r="P65" s="272">
        <f t="shared" si="6"/>
        <v>0.15454545454545454</v>
      </c>
    </row>
    <row r="66" spans="1:16">
      <c r="A66" s="99" t="s">
        <v>623</v>
      </c>
      <c r="B66" s="31">
        <v>20</v>
      </c>
      <c r="C66" s="31">
        <v>-26</v>
      </c>
      <c r="D66" s="31">
        <v>-55</v>
      </c>
      <c r="E66" s="31">
        <v>16</v>
      </c>
      <c r="F66" s="31">
        <v>32</v>
      </c>
      <c r="G66" s="31">
        <v>17</v>
      </c>
      <c r="H66" s="31">
        <v>-3</v>
      </c>
      <c r="I66" s="31"/>
      <c r="J66" s="31"/>
      <c r="K66" s="31"/>
      <c r="L66" s="31"/>
      <c r="M66" s="31"/>
      <c r="N66" s="32">
        <f t="shared" si="7"/>
        <v>1</v>
      </c>
      <c r="O66" s="207">
        <f>'Goals-1'!R60</f>
        <v>749</v>
      </c>
      <c r="P66" s="272">
        <f t="shared" si="6"/>
        <v>1.3351134846461949E-3</v>
      </c>
    </row>
    <row r="67" spans="1:16">
      <c r="A67" s="99" t="s">
        <v>27</v>
      </c>
      <c r="B67" s="31">
        <v>18</v>
      </c>
      <c r="C67" s="31">
        <v>-10</v>
      </c>
      <c r="D67" s="31">
        <v>4</v>
      </c>
      <c r="E67" s="31">
        <v>15</v>
      </c>
      <c r="F67" s="31">
        <v>-10</v>
      </c>
      <c r="G67" s="31">
        <v>-12</v>
      </c>
      <c r="H67" s="31">
        <v>-26</v>
      </c>
      <c r="I67" s="31"/>
      <c r="J67" s="31"/>
      <c r="K67" s="31"/>
      <c r="L67" s="31"/>
      <c r="M67" s="31"/>
      <c r="N67" s="32">
        <f t="shared" si="7"/>
        <v>-21</v>
      </c>
      <c r="O67" s="207">
        <f>'Goals-1'!R64</f>
        <v>482</v>
      </c>
      <c r="P67" s="272">
        <f t="shared" si="6"/>
        <v>-4.3568464730290454E-2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2" t="str">
        <f t="shared" si="6"/>
        <v/>
      </c>
    </row>
    <row r="69" spans="1:16">
      <c r="A69" s="99" t="s">
        <v>37</v>
      </c>
      <c r="B69" s="31">
        <v>1</v>
      </c>
      <c r="C69" s="31">
        <v>-1</v>
      </c>
      <c r="D69" s="31">
        <v>2</v>
      </c>
      <c r="E69" s="31">
        <v>3</v>
      </c>
      <c r="F69" s="31">
        <v>8</v>
      </c>
      <c r="G69" s="31">
        <v>6</v>
      </c>
      <c r="H69" s="31">
        <v>-1</v>
      </c>
      <c r="I69" s="31"/>
      <c r="J69" s="31"/>
      <c r="K69" s="31"/>
      <c r="L69" s="31"/>
      <c r="M69" s="31"/>
      <c r="N69" s="32">
        <f t="shared" si="7"/>
        <v>18</v>
      </c>
      <c r="O69" s="207">
        <f>'Goals-1'!R54</f>
        <v>105</v>
      </c>
      <c r="P69" s="272">
        <f t="shared" si="6"/>
        <v>0.17142857142857143</v>
      </c>
    </row>
    <row r="70" spans="1:16">
      <c r="A70" s="99" t="s">
        <v>66</v>
      </c>
      <c r="B70" s="31">
        <v>8</v>
      </c>
      <c r="C70" s="31">
        <v>5</v>
      </c>
      <c r="D70" s="31">
        <v>2</v>
      </c>
      <c r="E70" s="31">
        <v>4</v>
      </c>
      <c r="F70" s="31">
        <v>7</v>
      </c>
      <c r="G70" s="31">
        <v>3</v>
      </c>
      <c r="H70" s="31">
        <v>1</v>
      </c>
      <c r="I70" s="31"/>
      <c r="J70" s="31"/>
      <c r="K70" s="31"/>
      <c r="L70" s="31"/>
      <c r="M70" s="31"/>
      <c r="N70" s="32">
        <f t="shared" si="7"/>
        <v>30</v>
      </c>
      <c r="O70" s="207">
        <f>'Goals-1'!R55</f>
        <v>167</v>
      </c>
      <c r="P70" s="272">
        <f t="shared" si="6"/>
        <v>0.17964071856287425</v>
      </c>
    </row>
    <row r="71" spans="1:16">
      <c r="A71" s="99" t="s">
        <v>43</v>
      </c>
      <c r="B71" s="31">
        <v>11</v>
      </c>
      <c r="C71" s="31">
        <v>5</v>
      </c>
      <c r="D71" s="31">
        <v>4</v>
      </c>
      <c r="E71" s="31">
        <v>24</v>
      </c>
      <c r="F71" s="31">
        <v>11</v>
      </c>
      <c r="G71" s="31">
        <v>12</v>
      </c>
      <c r="H71" s="31">
        <v>-3</v>
      </c>
      <c r="I71" s="31"/>
      <c r="J71" s="31"/>
      <c r="K71" s="31"/>
      <c r="L71" s="31"/>
      <c r="M71" s="31"/>
      <c r="N71" s="32">
        <f t="shared" si="7"/>
        <v>64</v>
      </c>
      <c r="O71" s="207">
        <f>'Goals-1'!R56</f>
        <v>179</v>
      </c>
      <c r="P71" s="272">
        <f t="shared" si="6"/>
        <v>0.35754189944134079</v>
      </c>
    </row>
    <row r="72" spans="1:16">
      <c r="A72" s="99" t="s">
        <v>85</v>
      </c>
      <c r="B72" s="31">
        <v>2</v>
      </c>
      <c r="C72" s="31">
        <v>16</v>
      </c>
      <c r="D72" s="31">
        <v>1</v>
      </c>
      <c r="E72" s="31">
        <v>0</v>
      </c>
      <c r="F72" s="31">
        <v>1</v>
      </c>
      <c r="G72" s="31">
        <v>0</v>
      </c>
      <c r="H72" s="31">
        <v>2</v>
      </c>
      <c r="I72" s="31"/>
      <c r="J72" s="31"/>
      <c r="K72" s="31"/>
      <c r="L72" s="31"/>
      <c r="M72" s="31"/>
      <c r="N72" s="32">
        <f t="shared" si="7"/>
        <v>22</v>
      </c>
      <c r="O72" s="207">
        <f>'Goals-1'!R63</f>
        <v>117</v>
      </c>
      <c r="P72" s="272">
        <f t="shared" si="6"/>
        <v>0.18803418803418803</v>
      </c>
    </row>
    <row r="73" spans="1:16">
      <c r="A73" s="99" t="s">
        <v>51</v>
      </c>
      <c r="B73" s="31">
        <v>4</v>
      </c>
      <c r="C73" s="31">
        <v>14</v>
      </c>
      <c r="D73" s="31">
        <v>3</v>
      </c>
      <c r="E73" s="31">
        <v>-5</v>
      </c>
      <c r="F73" s="31">
        <v>0</v>
      </c>
      <c r="G73" s="31">
        <v>5</v>
      </c>
      <c r="H73" s="31">
        <v>-1</v>
      </c>
      <c r="I73" s="31"/>
      <c r="J73" s="31"/>
      <c r="K73" s="31"/>
      <c r="L73" s="31"/>
      <c r="M73" s="31"/>
      <c r="N73" s="32">
        <f t="shared" si="7"/>
        <v>20</v>
      </c>
      <c r="O73" s="207">
        <f>'Goals-1'!R66</f>
        <v>124</v>
      </c>
      <c r="P73" s="272">
        <f t="shared" si="6"/>
        <v>0.16129032258064516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2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>
        <v>-2</v>
      </c>
      <c r="E75" s="31">
        <v>-2</v>
      </c>
      <c r="F75" s="31">
        <v>8</v>
      </c>
      <c r="G75" s="31">
        <v>1</v>
      </c>
      <c r="H75" s="31">
        <v>0</v>
      </c>
      <c r="I75" s="31"/>
      <c r="J75" s="31"/>
      <c r="K75" s="31"/>
      <c r="L75" s="31"/>
      <c r="M75" s="31"/>
      <c r="N75" s="32">
        <f t="shared" si="7"/>
        <v>7</v>
      </c>
      <c r="O75" s="207">
        <f>'Goals-1'!T4</f>
        <v>78</v>
      </c>
      <c r="P75" s="272">
        <f t="shared" si="6"/>
        <v>8.9743589743589744E-2</v>
      </c>
    </row>
    <row r="76" spans="1:16">
      <c r="A76" s="99" t="s">
        <v>23</v>
      </c>
      <c r="B76" s="31">
        <v>4</v>
      </c>
      <c r="C76" s="31">
        <v>2</v>
      </c>
      <c r="D76" s="31">
        <v>11</v>
      </c>
      <c r="E76" s="31">
        <v>10</v>
      </c>
      <c r="F76" s="31">
        <v>9</v>
      </c>
      <c r="G76" s="31">
        <v>5</v>
      </c>
      <c r="H76" s="31">
        <v>11</v>
      </c>
      <c r="I76" s="31"/>
      <c r="J76" s="31"/>
      <c r="K76" s="31"/>
      <c r="L76" s="31"/>
      <c r="M76" s="31"/>
      <c r="N76" s="32">
        <f t="shared" si="7"/>
        <v>52</v>
      </c>
      <c r="O76" s="207">
        <f>'Goals-1'!T10</f>
        <v>94</v>
      </c>
      <c r="P76" s="272">
        <f t="shared" si="6"/>
        <v>0.55319148936170215</v>
      </c>
    </row>
    <row r="77" spans="1:16">
      <c r="A77" s="99" t="s">
        <v>90</v>
      </c>
      <c r="B77" s="31">
        <v>3</v>
      </c>
      <c r="C77" s="31">
        <v>0</v>
      </c>
      <c r="D77" s="31">
        <v>-4</v>
      </c>
      <c r="E77" s="31">
        <v>8</v>
      </c>
      <c r="F77" s="31">
        <v>1</v>
      </c>
      <c r="G77" s="31">
        <v>-9</v>
      </c>
      <c r="H77" s="31">
        <v>0</v>
      </c>
      <c r="I77" s="31"/>
      <c r="J77" s="31"/>
      <c r="K77" s="31"/>
      <c r="L77" s="31"/>
      <c r="M77" s="31"/>
      <c r="N77" s="32">
        <f t="shared" si="7"/>
        <v>-1</v>
      </c>
      <c r="O77" s="207">
        <f>'Goals-1'!T13</f>
        <v>74</v>
      </c>
      <c r="P77" s="272">
        <f t="shared" si="6"/>
        <v>-1.3513513513513514E-2</v>
      </c>
    </row>
    <row r="78" spans="1:16">
      <c r="A78" s="99" t="s">
        <v>150</v>
      </c>
      <c r="B78" s="31">
        <v>0</v>
      </c>
      <c r="C78" s="31">
        <v>2</v>
      </c>
      <c r="D78" s="31">
        <v>15</v>
      </c>
      <c r="E78" s="31">
        <v>19</v>
      </c>
      <c r="F78" s="31">
        <v>1</v>
      </c>
      <c r="G78" s="31">
        <v>-3</v>
      </c>
      <c r="H78" s="31">
        <v>7</v>
      </c>
      <c r="I78" s="31"/>
      <c r="J78" s="31"/>
      <c r="K78" s="31"/>
      <c r="L78" s="31"/>
      <c r="M78" s="31"/>
      <c r="N78" s="32">
        <f t="shared" si="7"/>
        <v>41</v>
      </c>
      <c r="O78" s="207">
        <f>'Goals-1'!T14</f>
        <v>82</v>
      </c>
      <c r="P78" s="272">
        <f t="shared" si="6"/>
        <v>0.5</v>
      </c>
    </row>
    <row r="79" spans="1:16">
      <c r="A79" s="99" t="s">
        <v>64</v>
      </c>
      <c r="B79" s="31">
        <v>0</v>
      </c>
      <c r="C79" s="31">
        <v>5</v>
      </c>
      <c r="D79" s="31">
        <v>-41</v>
      </c>
      <c r="E79" s="31">
        <v>0</v>
      </c>
      <c r="F79" s="31">
        <v>6</v>
      </c>
      <c r="G79" s="31">
        <v>2</v>
      </c>
      <c r="H79" s="31">
        <v>-10</v>
      </c>
      <c r="I79" s="31"/>
      <c r="J79" s="31"/>
      <c r="K79" s="31"/>
      <c r="L79" s="31"/>
      <c r="M79" s="31"/>
      <c r="N79" s="32">
        <f t="shared" si="7"/>
        <v>-38</v>
      </c>
      <c r="O79" s="207">
        <f>'Goals-1'!T17</f>
        <v>95</v>
      </c>
      <c r="P79" s="272">
        <f t="shared" si="6"/>
        <v>-0.4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2" t="str">
        <f t="shared" si="6"/>
        <v/>
      </c>
    </row>
    <row r="81" spans="1:16">
      <c r="A81" s="27" t="s">
        <v>619</v>
      </c>
      <c r="B81" s="32">
        <f>IF(B63="","",SUM(B63:B79))</f>
        <v>104</v>
      </c>
      <c r="C81" s="32">
        <f t="shared" ref="C81:M81" si="8">IF(C63="","",SUM(C63:C79))</f>
        <v>46</v>
      </c>
      <c r="D81" s="32">
        <f t="shared" si="8"/>
        <v>-57</v>
      </c>
      <c r="E81" s="32">
        <f t="shared" si="8"/>
        <v>111</v>
      </c>
      <c r="F81" s="32">
        <f t="shared" si="8"/>
        <v>101</v>
      </c>
      <c r="G81" s="32">
        <f t="shared" si="8"/>
        <v>61</v>
      </c>
      <c r="H81" s="32">
        <f t="shared" si="8"/>
        <v>-63</v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303</v>
      </c>
      <c r="O81" s="207">
        <f>SUM(O63:O80)</f>
        <v>3499</v>
      </c>
      <c r="P81" s="272">
        <f t="shared" si="6"/>
        <v>8.6596170334381245E-2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677FA-5642-4BFD-950A-9AEA0B7E665F}">
  <dimension ref="A1:V3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7819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0</v>
      </c>
      <c r="D3">
        <f>IF(ISNA(VLOOKUP($A3,Councils!$B$6:$AE$841,5,0)),0,VLOOKUP($A3,Councils!$B$6:$AE$841,5,0))</f>
        <v>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IF(ISNA(VLOOKUP($A3,Councils!$B$6:$AE$81423,0)),0,VLOOKUP($A3,Councils!$B$6:$AE$841,8,0))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</sheetData>
  <hyperlinks>
    <hyperlink ref="A1" location="ELP!A1" tooltip="Back to ELP DD Page" display="ELP DDs" xr:uid="{5CC1A689-935A-41CB-A202-EBDD4C6FC76F}"/>
    <hyperlink ref="C1" location="'State Summary'!A1" tooltip="Link back to Diocesan Page" display="Diocesan Page" xr:uid="{CF5BFF78-1498-4226-9BB1-12CF2AA8012D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9" id="{18A81472-F3D8-4FF0-9420-14E5A134C2FE}">
            <xm:f>IF(AND('DD11'!#REF!="*"),('DD11'!#REF!="*"))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2123</v>
      </c>
      <c r="B3" t="str">
        <f>IF(ISNA(VLOOKUP($A3,Councils!$B$6:$AE$841,3,0)),0,VLOOKUP($A3,Councils!$B$6:$AE$841,3,0))</f>
        <v>Ranger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3</v>
      </c>
    </row>
    <row r="4" spans="1:22">
      <c r="A4" s="50">
        <v>8464</v>
      </c>
      <c r="B4" t="str">
        <f>IF(ISNA(VLOOKUP($A4,Councils!$B$6:$AE$841,3,0)),0,VLOOKUP($A4,Councils!$B$6:$AE$841,3,0))</f>
        <v>Mineral Wells</v>
      </c>
      <c r="C4">
        <f>IF(ISNA(VLOOKUP($A4,Councils!$B$6:$AE$841,4,0)),0,VLOOKUP($A4,Councils!$B$6:$AE$841,4,0))</f>
        <v>104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9634</v>
      </c>
      <c r="B5" t="str">
        <f>IF(ISNA(VLOOKUP($A5,Councils!$B$6:$AE$841,3,0)),0,VLOOKUP($A5,Councils!$B$6:$AE$841,3,0))</f>
        <v>Graham</v>
      </c>
      <c r="C5">
        <f>IF(ISNA(VLOOKUP($A5,Councils!$B$6:$AE$841,4,0)),0,VLOOKUP($A5,Councils!$B$6:$AE$841,4,0))</f>
        <v>81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  <row r="6" spans="1:22">
      <c r="A6" s="298">
        <v>11638</v>
      </c>
      <c r="B6" t="str">
        <f>IF(ISNA(VLOOKUP($A6,Councils!$B$6:$AE$841,3,0)),0,VLOOKUP($A6,Councils!$B$6:$AE$841,3,0))</f>
        <v>Albany/Breckenridge</v>
      </c>
      <c r="C6">
        <f>IF(ISNA(VLOOKUP($A6,Councils!$B$6:$AE$841,4,0)),0,VLOOKUP($A6,Councils!$B$6:$AE$841,4,0))</f>
        <v>30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87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7264</v>
      </c>
      <c r="B3" t="str">
        <f>IF(ISNA(VLOOKUP($A3,Councils!$B$6:$AE$841,3,0)),0,VLOOKUP($A3,Councils!$B$6:$AE$841,3,0))</f>
        <v>Weatherford</v>
      </c>
      <c r="C3">
        <f>IF(ISNA(VLOOKUP($A3,Councils!$B$6:$AE$841,4,0)),0,VLOOKUP($A3,Councils!$B$6:$AE$841,4,0))</f>
        <v>189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0.22222222222222221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9748</v>
      </c>
      <c r="B4" t="str">
        <f>IF(ISNA(VLOOKUP($A4,Councils!$B$6:$AE$841,3,0)),0,VLOOKUP($A4,Councils!$B$6:$AE$841,3,0))</f>
        <v>Granbury</v>
      </c>
      <c r="C4">
        <f>IF(ISNA(VLOOKUP($A4,Councils!$B$6:$AE$841,4,0)),0,VLOOKUP($A4,Councils!$B$6:$AE$841,4,0))</f>
        <v>190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10816</v>
      </c>
      <c r="B5" t="str">
        <f>IF(ISNA(VLOOKUP($A5,Councils!$B$6:$AE$841,3,0)),0,VLOOKUP($A5,Councils!$B$6:$AE$841,3,0))</f>
        <v>Stephenville</v>
      </c>
      <c r="C5">
        <f>IF(ISNA(VLOOKUP($A5,Councils!$B$6:$AE$841,4,0)),0,VLOOKUP($A5,Councils!$B$6:$AE$841,4,0))</f>
        <v>194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15320</v>
      </c>
      <c r="B6" t="str">
        <f>IF(ISNA(VLOOKUP($A6,Councils!$B$6:$AE$841,3,0)),0,VLOOKUP($A6,Councils!$B$6:$AE$841,3,0))</f>
        <v>Glen Rose</v>
      </c>
      <c r="C6">
        <f>IF(ISNA(VLOOKUP($A6,Councils!$B$6:$AE$841,4,0)),0,VLOOKUP($A6,Councils!$B$6:$AE$841,4,0))</f>
        <v>49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86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759</v>
      </c>
      <c r="B3" t="str">
        <f>IF(ISNA(VLOOKUP($A3,Councils!$B$6:$AE$841,3,0)),0,VLOOKUP($A3,Councils!$B$6:$AE$841,3,0))</f>
        <v>Keller</v>
      </c>
      <c r="C3">
        <f>IF(ISNA(VLOOKUP($A3,Councils!$B$6:$AE$841,4,0)),0,VLOOKUP($A3,Councils!$B$6:$AE$841,4,0))</f>
        <v>561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0.3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6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5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7641</v>
      </c>
      <c r="B4" t="str">
        <f>IF(ISNA(VLOOKUP($A4,Councils!$B$6:$AE$841,3,0)),0,VLOOKUP($A4,Councils!$B$6:$AE$841,3,0))</f>
        <v>Bedford-Euless</v>
      </c>
      <c r="C4">
        <f>IF(ISNA(VLOOKUP($A4,Councils!$B$6:$AE$841,4,0)),0,VLOOKUP($A4,Councils!$B$6:$AE$841,4,0))</f>
        <v>318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2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0.13333333333333333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15882</v>
      </c>
      <c r="B5" t="str">
        <f>IF(ISNA(VLOOKUP($A5,Councils!$B$6:$AE$841,3,0)),0,VLOOKUP($A5,Councils!$B$6:$AE$841,3,0))</f>
        <v>Fort Worth</v>
      </c>
      <c r="C5">
        <f>IF(ISNA(VLOOKUP($A5,Councils!$B$6:$AE$841,4,0)),0,VLOOKUP($A5,Councils!$B$6:$AE$841,4,0))</f>
        <v>100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7736</v>
      </c>
      <c r="B3" t="str">
        <f>IF(ISNA(VLOOKUP($A3,Councils!$B$6:$AE$841,3,0)),0,VLOOKUP($A3,Councils!$B$6:$AE$841,3,0))</f>
        <v>Mansfield</v>
      </c>
      <c r="C3">
        <f>IF(ISNA(VLOOKUP($A3,Councils!$B$6:$AE$841,4,0)),0,VLOOKUP($A3,Councils!$B$6:$AE$841,4,0))</f>
        <v>311</v>
      </c>
      <c r="D3">
        <f>IF(ISNA(VLOOKUP($A3,Councils!$B$6:$AE$841,5,0)),0,VLOOKUP($A3,Councils!$B$6:$AE$841,5,0))</f>
        <v>15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31</v>
      </c>
      <c r="J3">
        <f>IF(ISNA(VLOOKUP($A3,Councils!$B$6:$AE$841,11,0)),0,VLOOKUP($A3,Councils!$B$6:$AE$841,11,0))</f>
        <v>-27</v>
      </c>
      <c r="K3" s="63">
        <f>IFERROR(J3/D3,0)</f>
        <v>-1.8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5</v>
      </c>
      <c r="S3">
        <f>IF(ISNA(VLOOKUP($A3,Councils!$B$6:$AE$841,20,0)),0,VLOOKUP($A3,Councils!$B$6:$AE$841,20,0))</f>
        <v>-5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9299</v>
      </c>
      <c r="B4" t="str">
        <f>IF(ISNA(VLOOKUP($A4,Councils!$B$6:$AE$841,3,0)),0,VLOOKUP($A4,Councils!$B$6:$AE$841,3,0))</f>
        <v>Arlington</v>
      </c>
      <c r="C4">
        <f>IF(ISNA(VLOOKUP($A4,Councils!$B$6:$AE$841,4,0)),0,VLOOKUP($A4,Councils!$B$6:$AE$841,4,0))</f>
        <v>195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8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6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7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6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13363</v>
      </c>
      <c r="B5" t="str">
        <f>IF(ISNA(VLOOKUP($A5,Councils!$B$6:$AE$841,3,0)),0,VLOOKUP($A5,Councils!$B$6:$AE$841,3,0))</f>
        <v>Arlington</v>
      </c>
      <c r="C5">
        <f>IF(ISNA(VLOOKUP($A5,Councils!$B$6:$AE$841,4,0)),0,VLOOKUP($A5,Councils!$B$6:$AE$841,4,0))</f>
        <v>80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2813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235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7175</v>
      </c>
      <c r="B4" t="str">
        <f>IF(ISNA(VLOOKUP($A4,Councils!$B$6:$AE$841,3,0)),0,VLOOKUP($A4,Councils!$B$6:$AE$841,3,0))</f>
        <v>Burleson</v>
      </c>
      <c r="C4">
        <f>IF(ISNA(VLOOKUP($A4,Councils!$B$6:$AE$841,4,0)),0,VLOOKUP($A4,Councils!$B$6:$AE$841,4,0))</f>
        <v>150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6</v>
      </c>
      <c r="K4" s="63">
        <f>IFERROR(J4/D4,0)</f>
        <v>0.8571428571428571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10375</v>
      </c>
      <c r="B5" t="str">
        <f>IF(ISNA(VLOOKUP($A5,Councils!$B$6:$AE$841,3,0)),0,VLOOKUP($A5,Councils!$B$6:$AE$841,3,0))</f>
        <v>Hillsboro</v>
      </c>
      <c r="C5">
        <f>IF(ISNA(VLOOKUP($A5,Councils!$B$6:$AE$841,4,0)),0,VLOOKUP($A5,Councils!$B$6:$AE$841,4,0))</f>
        <v>40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50">
        <v>16042</v>
      </c>
      <c r="B6" t="str">
        <f>IF(ISNA(VLOOKUP($A6,Councils!$B$6:$AE$841,3,0)),0,VLOOKUP($A6,Councils!$B$6:$AE$841,3,0))</f>
        <v>Cleburne</v>
      </c>
      <c r="C6">
        <f>IF(ISNA(VLOOKUP($A6,Councils!$B$6:$AE$841,4,0)),0,VLOOKUP($A6,Councils!$B$6:$AE$841,4,0))</f>
        <v>62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:A4">
    <cfRule type="expression" dxfId="184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1167</v>
      </c>
      <c r="B3" t="str">
        <f>IF(ISNA(VLOOKUP($A3,Councils!$B$6:$AE$841,3,0)),0,VLOOKUP($A3,Councils!$B$6:$AE$841,3,0))</f>
        <v>Gainesville</v>
      </c>
      <c r="C3">
        <f>IF(ISNA(VLOOKUP($A3,Councils!$B$6:$AE$841,4,0)),0,VLOOKUP($A3,Councils!$B$6:$AE$841,4,0))</f>
        <v>255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1459</v>
      </c>
      <c r="B4" t="str">
        <f>IF(ISNA(VLOOKUP($A4,Councils!$B$6:$AE$841,3,0)),0,VLOOKUP($A4,Councils!$B$6:$AE$841,3,0))</f>
        <v>Muenster</v>
      </c>
      <c r="C4">
        <f>IF(ISNA(VLOOKUP($A4,Councils!$B$6:$AE$841,4,0)),0,VLOOKUP($A4,Councils!$B$6:$AE$841,4,0))</f>
        <v>288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11905</v>
      </c>
      <c r="B5" t="str">
        <f>IF(ISNA(VLOOKUP($A5,Councils!$B$6:$AE$841,3,0)),0,VLOOKUP($A5,Councils!$B$6:$AE$841,3,0))</f>
        <v>Lindsay</v>
      </c>
      <c r="C5">
        <f>IF(ISNA(VLOOKUP($A5,Councils!$B$6:$AE$841,4,0)),0,VLOOKUP($A5,Councils!$B$6:$AE$841,4,0))</f>
        <v>229</v>
      </c>
      <c r="D5">
        <f>IF(ISNA(VLOOKUP($A5,Councils!$B$6:$AE$841,5,0)),0,VLOOKUP($A5,Councils!$B$6:$AE$841,5,0))</f>
        <v>11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14339</v>
      </c>
      <c r="B6" t="str">
        <f>IF(ISNA(VLOOKUP($A6,Councils!$B$6:$AE$841,3,0)),0,VLOOKUP($A6,Councils!$B$6:$AE$841,3,0))</f>
        <v>Bowie/Henrietta/Montague/Nocon</v>
      </c>
      <c r="C6">
        <f>IF(ISNA(VLOOKUP($A6,Councils!$B$6:$AE$841,4,0)),0,VLOOKUP($A6,Councils!$B$6:$AE$841,4,0))</f>
        <v>67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2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1473</v>
      </c>
      <c r="B3" t="str">
        <f>IF(ISNA(VLOOKUP($A3,Councils!$B$6:$AE$841,3,0)),0,VLOOKUP($A3,Councils!$B$6:$AE$841,3,0))</f>
        <v>Wichita Falls</v>
      </c>
      <c r="C3">
        <f>IF(ISNA(VLOOKUP($A3,Councils!$B$6:$AE$841,4,0)),0,VLOOKUP($A3,Councils!$B$6:$AE$841,4,0))</f>
        <v>152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0.2857142857142857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7371</v>
      </c>
      <c r="B4" t="str">
        <f>IF(ISNA(VLOOKUP($A4,Councils!$B$6:$AE$841,3,0)),0,VLOOKUP($A4,Councils!$B$6:$AE$841,3,0))</f>
        <v>Burkburnett</v>
      </c>
      <c r="C4">
        <f>IF(ISNA(VLOOKUP($A4,Councils!$B$6:$AE$841,4,0)),0,VLOOKUP($A4,Councils!$B$6:$AE$841,4,0))</f>
        <v>103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7435</v>
      </c>
      <c r="B5" t="str">
        <f>IF(ISNA(VLOOKUP($A5,Councils!$B$6:$AE$841,3,0)),0,VLOOKUP($A5,Councils!$B$6:$AE$841,3,0))</f>
        <v>Vernon</v>
      </c>
      <c r="C5">
        <f>IF(ISNA(VLOOKUP($A5,Councils!$B$6:$AE$841,4,0)),0,VLOOKUP($A5,Councils!$B$6:$AE$841,4,0))</f>
        <v>83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  <row r="6" spans="1:22">
      <c r="A6" s="50">
        <v>10998</v>
      </c>
      <c r="B6" t="str">
        <f>IF(ISNA(VLOOKUP($A6,Councils!$B$6:$AE$841,3,0)),0,VLOOKUP($A6,Councils!$B$6:$AE$841,3,0))</f>
        <v>Wichita Falls</v>
      </c>
      <c r="C6">
        <f>IF(ISNA(VLOOKUP($A6,Councils!$B$6:$AE$841,4,0)),0,VLOOKUP($A6,Councils!$B$6:$AE$841,4,0))</f>
        <v>199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1</v>
      </c>
    </row>
    <row r="7" spans="1:22">
      <c r="A7" s="50">
        <v>16522</v>
      </c>
      <c r="B7" t="str">
        <f>IF(ISNA(VLOOKUP($A7,Councils!$B$6:$AE$841,3,0)),0,VLOOKUP($A7,Councils!$B$6:$AE$841,3,0))</f>
        <v>Wichita Falls</v>
      </c>
      <c r="C7">
        <f>IF(ISNA(VLOOKUP($A7,Councils!$B$6:$AE$841,4,0)),0,VLOOKUP($A7,Councils!$B$6:$AE$841,4,0))</f>
        <v>32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1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1</v>
      </c>
      <c r="Q7">
        <f>IF(ISNA(VLOOKUP($A7,Councils!$B$6:$AE$841,18,0)),0,VLOOKUP($A7,Councils!$B$6:$AE$841,18,0))</f>
        <v>1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1</v>
      </c>
      <c r="T7" s="63">
        <f>IFERROR(S7/M7,0)</f>
        <v>0</v>
      </c>
      <c r="U7" t="str">
        <f>IF(ISNA(VLOOKUP($A7,Council_Data!$A$3:$Z$837,24,0)),0,VLOOKUP($A7,Council_Data!$A$3:$Z$837,24,0))</f>
        <v>Stark</v>
      </c>
      <c r="V7">
        <f>IF(ISNA(VLOOKUP($A7,Council_Data!$A$3:$Z$837,23,0)),0,VLOOKUP($A7,Council_Data!$A$3:$Z$837,23,0))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1715</v>
      </c>
      <c r="B3" t="str">
        <f>IF(ISNA(VLOOKUP($A3,Councils!$B$6:$AE$841,3,0)),0,VLOOKUP($A3,Councils!$B$6:$AE$841,3,0))</f>
        <v>Scotland</v>
      </c>
      <c r="C3">
        <f>IF(ISNA(VLOOKUP($A3,Councils!$B$6:$AE$841,4,0)),0,VLOOKUP($A3,Councils!$B$6:$AE$841,4,0))</f>
        <v>91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2</v>
      </c>
    </row>
    <row r="4" spans="1:22">
      <c r="A4" s="50">
        <v>1766</v>
      </c>
      <c r="B4" t="str">
        <f>IF(ISNA(VLOOKUP($A4,Councils!$B$6:$AE$841,3,0)),0,VLOOKUP($A4,Councils!$B$6:$AE$841,3,0))</f>
        <v>Rhineland</v>
      </c>
      <c r="C4">
        <f>IF(ISNA(VLOOKUP($A4,Councils!$B$6:$AE$841,4,0)),0,VLOOKUP($A4,Councils!$B$6:$AE$841,4,0))</f>
        <v>101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1824</v>
      </c>
      <c r="B5" t="str">
        <f>IF(ISNA(VLOOKUP($A5,Councils!$B$6:$AE$841,3,0)),0,VLOOKUP($A5,Councils!$B$6:$AE$841,3,0))</f>
        <v>Windthorst</v>
      </c>
      <c r="C5">
        <f>IF(ISNA(VLOOKUP($A5,Councils!$B$6:$AE$841,4,0)),0,VLOOKUP($A5,Councils!$B$6:$AE$841,4,0))</f>
        <v>275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3740</v>
      </c>
      <c r="B6" t="str">
        <f>IF(ISNA(VLOOKUP($A6,Councils!$B$6:$AE$841,3,0)),0,VLOOKUP($A6,Councils!$B$6:$AE$841,3,0))</f>
        <v>Seymour</v>
      </c>
      <c r="C6">
        <f>IF(ISNA(VLOOKUP($A6,Councils!$B$6:$AE$841,4,0)),0,VLOOKUP($A6,Councils!$B$6:$AE$841,4,0))</f>
        <v>87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0.25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2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7099</v>
      </c>
      <c r="B3" t="str">
        <f>IF(ISNA(VLOOKUP($A3,Councils!$B$6:$AE$841,3,0)),0,VLOOKUP($A3,Councils!$B$6:$AE$841,3,0))</f>
        <v>Grapevine</v>
      </c>
      <c r="C3">
        <f>IF(ISNA(VLOOKUP($A3,Councils!$B$6:$AE$841,4,0)),0,VLOOKUP($A3,Councils!$B$6:$AE$841,4,0))</f>
        <v>288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4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4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0.46153846153846156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-2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9884</v>
      </c>
      <c r="B4" t="str">
        <f>IF(ISNA(VLOOKUP($A4,Councils!$B$6:$AE$841,3,0)),0,VLOOKUP($A4,Councils!$B$6:$AE$841,3,0))</f>
        <v>Lewisville</v>
      </c>
      <c r="C4">
        <f>IF(ISNA(VLOOKUP($A4,Councils!$B$6:$AE$841,4,0)),0,VLOOKUP($A4,Councils!$B$6:$AE$841,4,0))</f>
        <v>384</v>
      </c>
      <c r="D4">
        <f>IF(ISNA(VLOOKUP($A4,Councils!$B$6:$AE$841,5,0)),0,VLOOKUP($A4,Councils!$B$6:$AE$841,5,0))</f>
        <v>18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5.5555555555555552E-2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15789</v>
      </c>
      <c r="B5" t="str">
        <f>IF(ISNA(VLOOKUP($A5,Councils!$B$6:$AE$841,3,0)),0,VLOOKUP($A5,Councils!$B$6:$AE$841,3,0))</f>
        <v>Colleyville</v>
      </c>
      <c r="C5">
        <f>IF(ISNA(VLOOKUP($A5,Councils!$B$6:$AE$841,4,0)),0,VLOOKUP($A5,Councils!$B$6:$AE$841,4,0))</f>
        <v>159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6</v>
      </c>
      <c r="I5">
        <f>IF(ISNA(VLOOKUP($A5,Councils!$B$6:$AE$841,10,0)),0,VLOOKUP($A5,Councils!$B$6:$AE$841,10,0))</f>
        <v>4</v>
      </c>
      <c r="J5">
        <f>IF(ISNA(VLOOKUP($A5,Councils!$B$6:$AE$841,11,0)),0,VLOOKUP($A5,Councils!$B$6:$AE$841,11,0))</f>
        <v>2</v>
      </c>
      <c r="K5" s="63">
        <f>IFERROR(J5/D5,0)</f>
        <v>0.2857142857142857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4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/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93" t="str">
        <f>"Results as of "</f>
        <v xml:space="preserve">Results as of </v>
      </c>
      <c r="Q2" s="394"/>
      <c r="R2" s="193">
        <f>RptDate</f>
        <v>44227</v>
      </c>
      <c r="S2" s="192"/>
    </row>
    <row r="3" spans="1:21" ht="25.5">
      <c r="A3" s="128" t="s">
        <v>888</v>
      </c>
      <c r="C3" s="132" t="s">
        <v>642</v>
      </c>
      <c r="D3" s="132" t="s">
        <v>643</v>
      </c>
      <c r="E3" s="133" t="s">
        <v>644</v>
      </c>
      <c r="F3" s="134" t="s">
        <v>869</v>
      </c>
      <c r="G3" s="135" t="s">
        <v>645</v>
      </c>
      <c r="H3" s="132" t="s">
        <v>646</v>
      </c>
      <c r="I3" s="133" t="s">
        <v>647</v>
      </c>
      <c r="J3" s="134" t="s">
        <v>870</v>
      </c>
      <c r="K3" s="135" t="s">
        <v>648</v>
      </c>
      <c r="L3" s="132" t="s">
        <v>649</v>
      </c>
      <c r="M3" s="133" t="s">
        <v>650</v>
      </c>
      <c r="N3" s="134" t="s">
        <v>871</v>
      </c>
      <c r="O3" s="135" t="s">
        <v>651</v>
      </c>
      <c r="P3" s="132" t="s">
        <v>652</v>
      </c>
      <c r="Q3" s="133" t="s">
        <v>653</v>
      </c>
      <c r="R3" s="134" t="s">
        <v>872</v>
      </c>
      <c r="S3" s="136" t="s">
        <v>654</v>
      </c>
    </row>
    <row r="4" spans="1:21">
      <c r="A4" s="128" t="s">
        <v>873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889</v>
      </c>
      <c r="C5" s="112">
        <f>'Goals-1'!B19</f>
        <v>230</v>
      </c>
      <c r="D5" s="112">
        <f>'Goals-1'!C19</f>
        <v>340</v>
      </c>
      <c r="E5" s="112">
        <f>'Goals-1'!D19</f>
        <v>437</v>
      </c>
      <c r="F5" s="188">
        <f>SUBTOTAL(9,C5:E5)</f>
        <v>1007</v>
      </c>
      <c r="G5" s="112">
        <f>'Goals-1'!F19</f>
        <v>473</v>
      </c>
      <c r="H5" s="112">
        <f>'Goals-1'!G19</f>
        <v>452</v>
      </c>
      <c r="I5" s="112">
        <f>'Goals-1'!H19</f>
        <v>389</v>
      </c>
      <c r="J5" s="188">
        <f>SUBTOTAL(9,G5:I5)</f>
        <v>1314</v>
      </c>
      <c r="K5" s="112">
        <f>'Goals-1'!J19</f>
        <v>315</v>
      </c>
      <c r="L5" s="112">
        <f>'Goals-1'!K19</f>
        <v>494</v>
      </c>
      <c r="M5" s="112">
        <f>'Goals-1'!L19</f>
        <v>476</v>
      </c>
      <c r="N5" s="188">
        <f>SUBTOTAL(9,K5:M5)</f>
        <v>1285</v>
      </c>
      <c r="O5" s="112">
        <f>'Goals-1'!N19</f>
        <v>476</v>
      </c>
      <c r="P5" s="112">
        <f>'Goals-1'!O19</f>
        <v>455</v>
      </c>
      <c r="Q5" s="112">
        <f>'Goals-1'!P19</f>
        <v>463</v>
      </c>
      <c r="R5" s="188">
        <f>SUBTOTAL(9,O5:Q5)</f>
        <v>1394</v>
      </c>
      <c r="S5" s="112">
        <f>SUBTOTAL(9,C5:R5)</f>
        <v>5000</v>
      </c>
      <c r="U5" s="129">
        <f>1597/S5</f>
        <v>0.31940000000000002</v>
      </c>
    </row>
    <row r="6" spans="1:21">
      <c r="A6" s="128"/>
      <c r="B6" s="128" t="s">
        <v>701</v>
      </c>
      <c r="C6" s="112">
        <f>Actuals!B23</f>
        <v>118</v>
      </c>
      <c r="D6" s="112">
        <f>Actuals!C23</f>
        <v>164</v>
      </c>
      <c r="E6" s="112">
        <f>Actuals!D23</f>
        <v>188</v>
      </c>
      <c r="F6" s="122">
        <f>SUBTOTAL(9,C6:E6)</f>
        <v>470</v>
      </c>
      <c r="G6" s="112">
        <f>Actuals!E23</f>
        <v>179</v>
      </c>
      <c r="H6" s="112">
        <f>Actuals!F23</f>
        <v>211</v>
      </c>
      <c r="I6" s="112">
        <f>Actuals!G23</f>
        <v>167</v>
      </c>
      <c r="J6" s="141">
        <f>SUBTOTAL(9,G6:I6)</f>
        <v>557</v>
      </c>
      <c r="K6" s="112">
        <f>Actuals!H23</f>
        <v>116</v>
      </c>
      <c r="L6" s="112" t="str">
        <f>Actuals!I23</f>
        <v/>
      </c>
      <c r="M6" s="112" t="str">
        <f>Actuals!J23</f>
        <v/>
      </c>
      <c r="N6" s="141">
        <f>SUBTOTAL(9,K6:M6)</f>
        <v>116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1143</v>
      </c>
    </row>
    <row r="7" spans="1:21">
      <c r="A7" s="128"/>
      <c r="B7" s="128" t="s">
        <v>890</v>
      </c>
      <c r="C7" s="142">
        <f>IF(C6="",0,C6-C5)</f>
        <v>-112</v>
      </c>
      <c r="D7" s="142">
        <f t="shared" ref="D7:R7" si="0">IF(D6="",0,D6-D5)</f>
        <v>-176</v>
      </c>
      <c r="E7" s="142">
        <f t="shared" si="0"/>
        <v>-249</v>
      </c>
      <c r="F7" s="202">
        <f t="shared" si="0"/>
        <v>-537</v>
      </c>
      <c r="G7" s="142">
        <f t="shared" si="0"/>
        <v>-294</v>
      </c>
      <c r="H7" s="142">
        <f t="shared" si="0"/>
        <v>-241</v>
      </c>
      <c r="I7" s="142">
        <f t="shared" si="0"/>
        <v>-222</v>
      </c>
      <c r="J7" s="202">
        <f t="shared" si="0"/>
        <v>-757</v>
      </c>
      <c r="K7" s="142">
        <f t="shared" si="0"/>
        <v>-199</v>
      </c>
      <c r="L7" s="142">
        <f t="shared" si="0"/>
        <v>0</v>
      </c>
      <c r="M7" s="142">
        <f t="shared" si="0"/>
        <v>0</v>
      </c>
      <c r="N7" s="202">
        <f t="shared" si="0"/>
        <v>-1169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-1394</v>
      </c>
      <c r="S7" s="112">
        <f>S6-S5</f>
        <v>-3857</v>
      </c>
    </row>
    <row r="8" spans="1:21" ht="13.5" thickBot="1">
      <c r="A8" s="128"/>
      <c r="B8" s="128" t="s">
        <v>891</v>
      </c>
      <c r="C8" s="114">
        <f>IF(C7=0,0,C6/C5)</f>
        <v>0.5130434782608696</v>
      </c>
      <c r="D8" s="114">
        <f t="shared" ref="D8:S8" si="1">IF(D7=0,0,D6/D5)</f>
        <v>0.4823529411764706</v>
      </c>
      <c r="E8" s="114">
        <f t="shared" si="1"/>
        <v>0.43020594965675057</v>
      </c>
      <c r="F8" s="143">
        <f t="shared" si="1"/>
        <v>0.46673286991062563</v>
      </c>
      <c r="G8" s="114">
        <f t="shared" si="1"/>
        <v>0.3784355179704017</v>
      </c>
      <c r="H8" s="114">
        <f t="shared" si="1"/>
        <v>0.4668141592920354</v>
      </c>
      <c r="I8" s="114">
        <f t="shared" si="1"/>
        <v>0.42930591259640105</v>
      </c>
      <c r="J8" s="143">
        <f t="shared" si="1"/>
        <v>0.423896499238965</v>
      </c>
      <c r="K8" s="114">
        <f t="shared" si="1"/>
        <v>0.36825396825396828</v>
      </c>
      <c r="L8" s="114">
        <f t="shared" si="1"/>
        <v>0</v>
      </c>
      <c r="M8" s="114">
        <f t="shared" si="1"/>
        <v>0</v>
      </c>
      <c r="N8" s="143">
        <f t="shared" si="1"/>
        <v>9.027237354085603E-2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0.2286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892</v>
      </c>
      <c r="C10" s="112">
        <f>'Goals-4'!D35</f>
        <v>240.3</v>
      </c>
      <c r="D10" s="112">
        <f>'Goals-4'!E35</f>
        <v>325.3</v>
      </c>
      <c r="E10" s="112">
        <f>'Goals-4'!F35</f>
        <v>379.5</v>
      </c>
      <c r="F10" s="144">
        <f>SUBTOTAL(9,C10:E10)</f>
        <v>945.1</v>
      </c>
      <c r="G10" s="112">
        <f>'Goals-4'!G35</f>
        <v>422.7</v>
      </c>
      <c r="H10" s="112">
        <f>'Goals-4'!H35</f>
        <v>364.9</v>
      </c>
      <c r="I10" s="112">
        <f>'Goals-4'!I35</f>
        <v>317.89999999999998</v>
      </c>
      <c r="J10" s="144">
        <f>SUBTOTAL(9,G10:I10)</f>
        <v>1105.5</v>
      </c>
      <c r="K10" s="112">
        <f>'Goals-4'!J35</f>
        <v>305.3</v>
      </c>
      <c r="L10" s="112">
        <f>'Goals-4'!K35</f>
        <v>392.7</v>
      </c>
      <c r="M10" s="112">
        <f>'Goals-4'!L35</f>
        <v>404.3</v>
      </c>
      <c r="N10" s="144">
        <f>SUBTOTAL(9,K10:M10)</f>
        <v>1102.3</v>
      </c>
      <c r="O10" s="112">
        <f>'Goals-4'!M35</f>
        <v>375.4</v>
      </c>
      <c r="P10" s="112">
        <f>'Goals-4'!N35</f>
        <v>413.9</v>
      </c>
      <c r="Q10" s="112">
        <f>'Goals-4'!O35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701</v>
      </c>
      <c r="C11" s="112">
        <f>+C6</f>
        <v>118</v>
      </c>
      <c r="D11" s="112">
        <f>+D6</f>
        <v>164</v>
      </c>
      <c r="E11" s="112">
        <f>+E6</f>
        <v>188</v>
      </c>
      <c r="F11" s="141">
        <f>SUBTOTAL(9,C11:E11)</f>
        <v>470</v>
      </c>
      <c r="G11" s="140">
        <f>+G6</f>
        <v>179</v>
      </c>
      <c r="H11" s="140">
        <f>+H6</f>
        <v>211</v>
      </c>
      <c r="I11" s="140">
        <f>+I6</f>
        <v>167</v>
      </c>
      <c r="J11" s="141">
        <f>SUBTOTAL(9,G11:I11)</f>
        <v>557</v>
      </c>
      <c r="K11" s="140">
        <f>+K6</f>
        <v>116</v>
      </c>
      <c r="L11" s="140" t="str">
        <f>+L6</f>
        <v/>
      </c>
      <c r="M11" s="140" t="str">
        <f>+M6</f>
        <v/>
      </c>
      <c r="N11" s="141">
        <f>SUBTOTAL(9,K11:M11)</f>
        <v>116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1143</v>
      </c>
      <c r="T11" s="145"/>
      <c r="U11" s="129">
        <f>2370/2002</f>
        <v>1.1838161838161838</v>
      </c>
    </row>
    <row r="12" spans="1:21">
      <c r="A12" s="128"/>
      <c r="B12" s="128" t="s">
        <v>890</v>
      </c>
      <c r="C12" s="142">
        <f>IF(C11="",0,C11-C10)</f>
        <v>-122.30000000000001</v>
      </c>
      <c r="D12" s="142">
        <f t="shared" ref="D12:R12" si="2">IF(D11="",0,D11-D10)</f>
        <v>-161.30000000000001</v>
      </c>
      <c r="E12" s="142">
        <f t="shared" si="2"/>
        <v>-191.5</v>
      </c>
      <c r="F12" s="202">
        <f t="shared" si="2"/>
        <v>-475.1</v>
      </c>
      <c r="G12" s="142">
        <f t="shared" si="2"/>
        <v>-243.7</v>
      </c>
      <c r="H12" s="142">
        <f t="shared" si="2"/>
        <v>-153.89999999999998</v>
      </c>
      <c r="I12" s="142">
        <f t="shared" si="2"/>
        <v>-150.89999999999998</v>
      </c>
      <c r="J12" s="202">
        <f t="shared" si="2"/>
        <v>-548.5</v>
      </c>
      <c r="K12" s="142">
        <f t="shared" si="2"/>
        <v>-189.3</v>
      </c>
      <c r="L12" s="142">
        <f t="shared" si="2"/>
        <v>0</v>
      </c>
      <c r="M12" s="142">
        <f t="shared" si="2"/>
        <v>0</v>
      </c>
      <c r="N12" s="202">
        <f t="shared" si="2"/>
        <v>-986.3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-1281.5999999999999</v>
      </c>
      <c r="S12" s="142">
        <f>IF(S11=0,0,S11-S10)</f>
        <v>-3291.5</v>
      </c>
    </row>
    <row r="13" spans="1:21" ht="13.5" thickBot="1">
      <c r="A13" s="128"/>
      <c r="B13" s="128" t="s">
        <v>891</v>
      </c>
      <c r="C13" s="114">
        <f>IF(C12=0,0,C11/C10)</f>
        <v>0.49105285060341236</v>
      </c>
      <c r="D13" s="114">
        <f t="shared" ref="D13:S13" si="3">IF(D12=0,0,D11/D10)</f>
        <v>0.50415001537042725</v>
      </c>
      <c r="E13" s="114">
        <f t="shared" si="3"/>
        <v>0.49538866930171277</v>
      </c>
      <c r="F13" s="143">
        <f t="shared" si="3"/>
        <v>0.49730187281769123</v>
      </c>
      <c r="G13" s="114">
        <f t="shared" si="3"/>
        <v>0.42346818074284365</v>
      </c>
      <c r="H13" s="114">
        <f t="shared" si="3"/>
        <v>0.57824061386681291</v>
      </c>
      <c r="I13" s="114">
        <f t="shared" si="3"/>
        <v>0.52532242843661536</v>
      </c>
      <c r="J13" s="143">
        <f t="shared" si="3"/>
        <v>0.50384441429217552</v>
      </c>
      <c r="K13" s="114">
        <f t="shared" si="3"/>
        <v>0.37995414346544382</v>
      </c>
      <c r="L13" s="114">
        <f t="shared" si="3"/>
        <v>0</v>
      </c>
      <c r="M13" s="114">
        <f t="shared" si="3"/>
        <v>0</v>
      </c>
      <c r="N13" s="143">
        <f t="shared" si="3"/>
        <v>0.10523450966161663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0.25775171947231934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893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894</v>
      </c>
      <c r="C18" s="132" t="s">
        <v>642</v>
      </c>
      <c r="D18" s="132" t="s">
        <v>643</v>
      </c>
      <c r="E18" s="133" t="s">
        <v>644</v>
      </c>
      <c r="F18" s="135" t="s">
        <v>645</v>
      </c>
      <c r="G18" s="132" t="s">
        <v>646</v>
      </c>
      <c r="H18" s="133" t="s">
        <v>647</v>
      </c>
      <c r="I18" s="135" t="s">
        <v>648</v>
      </c>
      <c r="J18" s="132" t="s">
        <v>649</v>
      </c>
      <c r="K18" s="133" t="s">
        <v>650</v>
      </c>
      <c r="L18" s="135" t="s">
        <v>651</v>
      </c>
      <c r="M18" s="132" t="s">
        <v>652</v>
      </c>
      <c r="N18" s="133" t="s">
        <v>653</v>
      </c>
      <c r="O18" s="114"/>
      <c r="P18" s="114"/>
      <c r="Q18" s="114"/>
      <c r="R18" s="114"/>
      <c r="S18" s="114"/>
    </row>
    <row r="19" spans="1:19" hidden="1">
      <c r="A19" s="128"/>
      <c r="B19" s="128" t="s">
        <v>889</v>
      </c>
      <c r="C19" s="146">
        <f>C5</f>
        <v>230</v>
      </c>
      <c r="D19" s="146">
        <f>D5</f>
        <v>340</v>
      </c>
      <c r="E19" s="146">
        <f>E5</f>
        <v>437</v>
      </c>
      <c r="F19" s="146">
        <f>G5</f>
        <v>473</v>
      </c>
      <c r="G19" s="146">
        <f>H5</f>
        <v>452</v>
      </c>
      <c r="H19" s="146">
        <f>I5</f>
        <v>389</v>
      </c>
      <c r="I19" s="146">
        <f>K5</f>
        <v>315</v>
      </c>
      <c r="J19" s="146">
        <f>L5</f>
        <v>494</v>
      </c>
      <c r="K19" s="146">
        <f>M5</f>
        <v>476</v>
      </c>
      <c r="L19" s="146">
        <f>O5</f>
        <v>476</v>
      </c>
      <c r="M19" s="146">
        <f>P5</f>
        <v>455</v>
      </c>
      <c r="N19" s="146">
        <f>Q5</f>
        <v>463</v>
      </c>
      <c r="O19" s="114"/>
      <c r="P19" s="114"/>
      <c r="Q19" s="114"/>
      <c r="R19" s="114"/>
      <c r="S19" s="114"/>
    </row>
    <row r="20" spans="1:19" hidden="1">
      <c r="A20" s="128"/>
      <c r="B20" s="128" t="s">
        <v>701</v>
      </c>
      <c r="C20" s="146">
        <f>IF(C11&gt;0,C11,"")</f>
        <v>118</v>
      </c>
      <c r="D20" s="146">
        <f>IF(D11=0,NA(),D11)</f>
        <v>164</v>
      </c>
      <c r="E20" s="146">
        <f>IF(E11=0,NA(),E11)</f>
        <v>188</v>
      </c>
      <c r="F20" s="146">
        <f>IF(G11=0,NA(),G11)</f>
        <v>179</v>
      </c>
      <c r="G20" s="146">
        <f>IF(H11=0,NA(),H11)</f>
        <v>211</v>
      </c>
      <c r="H20" s="146">
        <f>IF(I11=0,NA(),I11)</f>
        <v>167</v>
      </c>
      <c r="I20" s="146">
        <f>IF(K11=0,NA(),K11)</f>
        <v>116</v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892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93" t="str">
        <f>CONCATENATE("Results as of ",RptDate)</f>
        <v>Results as of 44227</v>
      </c>
      <c r="Q63" s="394"/>
      <c r="R63" s="193">
        <f>RptDate</f>
        <v>44227</v>
      </c>
      <c r="S63" s="192"/>
    </row>
    <row r="64" spans="1:19" ht="13.5" thickBot="1"/>
    <row r="65" spans="1:19" ht="25.5">
      <c r="A65" s="128" t="s">
        <v>895</v>
      </c>
      <c r="C65" s="132" t="s">
        <v>642</v>
      </c>
      <c r="D65" s="132" t="s">
        <v>643</v>
      </c>
      <c r="E65" s="133" t="s">
        <v>644</v>
      </c>
      <c r="F65" s="134" t="s">
        <v>869</v>
      </c>
      <c r="G65" s="135" t="s">
        <v>645</v>
      </c>
      <c r="H65" s="132" t="s">
        <v>646</v>
      </c>
      <c r="I65" s="133" t="s">
        <v>647</v>
      </c>
      <c r="J65" s="134" t="s">
        <v>870</v>
      </c>
      <c r="K65" s="135" t="s">
        <v>648</v>
      </c>
      <c r="L65" s="132" t="s">
        <v>649</v>
      </c>
      <c r="M65" s="133" t="s">
        <v>650</v>
      </c>
      <c r="N65" s="134" t="s">
        <v>871</v>
      </c>
      <c r="O65" s="135" t="s">
        <v>651</v>
      </c>
      <c r="P65" s="132" t="s">
        <v>652</v>
      </c>
      <c r="Q65" s="133" t="s">
        <v>653</v>
      </c>
      <c r="R65" s="134" t="s">
        <v>872</v>
      </c>
      <c r="S65" s="136" t="s">
        <v>654</v>
      </c>
    </row>
    <row r="66" spans="1:19">
      <c r="A66" s="128" t="s">
        <v>873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889</v>
      </c>
      <c r="C67" s="112">
        <f>'Goals-1'!B26</f>
        <v>88</v>
      </c>
      <c r="D67" s="112">
        <f>'Goals-1'!C26</f>
        <v>97</v>
      </c>
      <c r="E67" s="112">
        <f>'Goals-1'!D26</f>
        <v>117</v>
      </c>
      <c r="F67" s="188">
        <f>SUBTOTAL(9,C67:E67)</f>
        <v>302</v>
      </c>
      <c r="G67" s="112">
        <f>'Goals-1'!F26</f>
        <v>124</v>
      </c>
      <c r="H67" s="112">
        <f>'Goals-1'!G26</f>
        <v>120</v>
      </c>
      <c r="I67" s="112">
        <f>'Goals-1'!H26</f>
        <v>124</v>
      </c>
      <c r="J67" s="188">
        <f>SUBTOTAL(9,G67:I67)</f>
        <v>368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1500</v>
      </c>
    </row>
    <row r="68" spans="1:19">
      <c r="A68" s="128"/>
      <c r="B68" s="128" t="s">
        <v>701</v>
      </c>
      <c r="C68" s="140">
        <f>Actuals!B51</f>
        <v>14</v>
      </c>
      <c r="D68" s="140">
        <f>Actuals!C51</f>
        <v>118</v>
      </c>
      <c r="E68" s="140">
        <f>Actuals!D51</f>
        <v>245</v>
      </c>
      <c r="F68" s="188">
        <f>SUBTOTAL(9,C68:E68)</f>
        <v>377</v>
      </c>
      <c r="G68" s="140">
        <f>Actuals!E51</f>
        <v>68</v>
      </c>
      <c r="H68" s="140">
        <f>Actuals!F51</f>
        <v>110</v>
      </c>
      <c r="I68" s="140">
        <f>Actuals!G51</f>
        <v>106</v>
      </c>
      <c r="J68" s="141">
        <f>SUBTOTAL(9,G68:I68)</f>
        <v>284</v>
      </c>
      <c r="K68" s="140">
        <f>Actuals!H51</f>
        <v>179</v>
      </c>
      <c r="L68" s="140" t="str">
        <f>Actuals!I51</f>
        <v/>
      </c>
      <c r="M68" s="140" t="str">
        <f>Actuals!J51</f>
        <v/>
      </c>
      <c r="N68" s="141">
        <f>SUBTOTAL(9,K68:M68)</f>
        <v>179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840</v>
      </c>
    </row>
    <row r="69" spans="1:19">
      <c r="A69" s="128"/>
      <c r="B69" s="128" t="s">
        <v>890</v>
      </c>
      <c r="C69" s="142">
        <f t="shared" ref="C69" si="4">IF(OR(C68=0,C68=" "),0,C68-C67)</f>
        <v>-74</v>
      </c>
      <c r="D69" s="142">
        <f t="shared" ref="D69:R69" si="5">IF(D68="",0,D68-D67)</f>
        <v>21</v>
      </c>
      <c r="E69" s="142">
        <f t="shared" si="5"/>
        <v>128</v>
      </c>
      <c r="F69" s="201">
        <f t="shared" si="5"/>
        <v>75</v>
      </c>
      <c r="G69" s="142">
        <f t="shared" si="5"/>
        <v>-56</v>
      </c>
      <c r="H69" s="142">
        <f t="shared" si="5"/>
        <v>-10</v>
      </c>
      <c r="I69" s="142">
        <f t="shared" si="5"/>
        <v>-18</v>
      </c>
      <c r="J69" s="201">
        <f t="shared" si="5"/>
        <v>-84</v>
      </c>
      <c r="K69" s="142">
        <f t="shared" si="5"/>
        <v>66</v>
      </c>
      <c r="L69" s="142">
        <f t="shared" si="5"/>
        <v>0</v>
      </c>
      <c r="M69" s="142">
        <f t="shared" si="5"/>
        <v>0</v>
      </c>
      <c r="N69" s="201">
        <f t="shared" si="5"/>
        <v>-203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-660</v>
      </c>
    </row>
    <row r="70" spans="1:19" ht="13.5" thickBot="1">
      <c r="A70" s="128"/>
      <c r="B70" s="128" t="s">
        <v>891</v>
      </c>
      <c r="C70" s="114">
        <f>IF(C69=0,0,C68/C67)</f>
        <v>0.15909090909090909</v>
      </c>
      <c r="D70" s="114">
        <f t="shared" ref="D70:S70" si="6">IF(D69=0,0,D68/D67)</f>
        <v>1.2164948453608246</v>
      </c>
      <c r="E70" s="114">
        <f t="shared" si="6"/>
        <v>2.0940170940170941</v>
      </c>
      <c r="F70" s="143">
        <f t="shared" si="6"/>
        <v>1.2483443708609272</v>
      </c>
      <c r="G70" s="114">
        <f t="shared" si="6"/>
        <v>0.54838709677419351</v>
      </c>
      <c r="H70" s="114">
        <f t="shared" si="6"/>
        <v>0.91666666666666663</v>
      </c>
      <c r="I70" s="114">
        <f t="shared" si="6"/>
        <v>0.85483870967741937</v>
      </c>
      <c r="J70" s="143">
        <f t="shared" si="6"/>
        <v>0.77173913043478259</v>
      </c>
      <c r="K70" s="114">
        <f t="shared" si="6"/>
        <v>1.584070796460177</v>
      </c>
      <c r="L70" s="114">
        <f t="shared" si="6"/>
        <v>0</v>
      </c>
      <c r="M70" s="114">
        <f t="shared" si="6"/>
        <v>0</v>
      </c>
      <c r="N70" s="143">
        <f t="shared" si="6"/>
        <v>0.468586387434555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0.56000000000000005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892</v>
      </c>
      <c r="C72" s="112">
        <f>'Goals-4'!D70</f>
        <v>147</v>
      </c>
      <c r="D72" s="112">
        <f>'Goals-4'!E70</f>
        <v>104.1</v>
      </c>
      <c r="E72" s="112">
        <f>'Goals-4'!F70</f>
        <v>104.1</v>
      </c>
      <c r="F72" s="144">
        <f>SUBTOTAL(9,C72:E72)</f>
        <v>355.2</v>
      </c>
      <c r="G72" s="112">
        <f>'Goals-4'!G70</f>
        <v>110.7</v>
      </c>
      <c r="H72" s="112">
        <f>'Goals-4'!H70</f>
        <v>76.8</v>
      </c>
      <c r="I72" s="112">
        <f>'Goals-4'!I70</f>
        <v>87.2</v>
      </c>
      <c r="J72" s="144">
        <f>SUBTOTAL(9,G72:I72)</f>
        <v>274.7</v>
      </c>
      <c r="K72" s="112">
        <f>'Goals-4'!J70</f>
        <v>90.4</v>
      </c>
      <c r="L72" s="112">
        <f>'Goals-4'!K70</f>
        <v>104.9</v>
      </c>
      <c r="M72" s="112">
        <f>'Goals-4'!L70</f>
        <v>116.7</v>
      </c>
      <c r="N72" s="144">
        <f>SUBTOTAL(9,K72:M72)</f>
        <v>312</v>
      </c>
      <c r="O72" s="112">
        <f>'Goals-4'!M70</f>
        <v>120.7</v>
      </c>
      <c r="P72" s="112">
        <f>'Goals-4'!N70</f>
        <v>134.4</v>
      </c>
      <c r="Q72" s="112">
        <f>'Goals-4'!O70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701</v>
      </c>
      <c r="C73" s="140">
        <f>+C68</f>
        <v>14</v>
      </c>
      <c r="D73" s="140">
        <f t="shared" ref="D73:M73" si="7">+D68</f>
        <v>118</v>
      </c>
      <c r="E73" s="140">
        <f t="shared" si="7"/>
        <v>245</v>
      </c>
      <c r="F73" s="141">
        <f>SUBTOTAL(9,C73:E73)</f>
        <v>377</v>
      </c>
      <c r="G73" s="140">
        <f t="shared" si="7"/>
        <v>68</v>
      </c>
      <c r="H73" s="140">
        <f t="shared" si="7"/>
        <v>110</v>
      </c>
      <c r="I73" s="140">
        <f t="shared" si="7"/>
        <v>106</v>
      </c>
      <c r="J73" s="141">
        <f>SUBTOTAL(9,G73:I73)</f>
        <v>284</v>
      </c>
      <c r="K73" s="140">
        <f t="shared" si="7"/>
        <v>179</v>
      </c>
      <c r="L73" s="140" t="str">
        <f t="shared" si="7"/>
        <v/>
      </c>
      <c r="M73" s="140" t="str">
        <f t="shared" si="7"/>
        <v/>
      </c>
      <c r="N73" s="141">
        <f>SUBTOTAL(9,K73:M73)</f>
        <v>179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840</v>
      </c>
    </row>
    <row r="74" spans="1:19">
      <c r="A74" s="128"/>
      <c r="B74" s="128" t="s">
        <v>890</v>
      </c>
      <c r="C74" s="142">
        <f>IF(C73=0,0,C73-C72)</f>
        <v>-133</v>
      </c>
      <c r="D74" s="142">
        <f t="shared" ref="D74:R74" si="8">IF(D73="",0,D73-D72)</f>
        <v>13.900000000000006</v>
      </c>
      <c r="E74" s="142">
        <f t="shared" si="8"/>
        <v>140.9</v>
      </c>
      <c r="F74" s="148">
        <f t="shared" si="8"/>
        <v>21.800000000000011</v>
      </c>
      <c r="G74" s="142">
        <f t="shared" si="8"/>
        <v>-42.7</v>
      </c>
      <c r="H74" s="142">
        <f t="shared" si="8"/>
        <v>33.200000000000003</v>
      </c>
      <c r="I74" s="142">
        <f t="shared" si="8"/>
        <v>18.799999999999997</v>
      </c>
      <c r="J74" s="148">
        <f t="shared" si="8"/>
        <v>9.3000000000000114</v>
      </c>
      <c r="K74" s="142">
        <f t="shared" si="8"/>
        <v>88.6</v>
      </c>
      <c r="L74" s="142">
        <f t="shared" si="8"/>
        <v>0</v>
      </c>
      <c r="M74" s="142">
        <f t="shared" si="8"/>
        <v>0</v>
      </c>
      <c r="N74" s="148">
        <f t="shared" si="8"/>
        <v>-133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-696.8</v>
      </c>
    </row>
    <row r="75" spans="1:19" ht="13.5" thickBot="1">
      <c r="A75" s="128"/>
      <c r="B75" s="128" t="s">
        <v>891</v>
      </c>
      <c r="C75" s="114">
        <f>IF(C74=0,0,C73/C72)</f>
        <v>9.5238095238095233E-2</v>
      </c>
      <c r="D75" s="114">
        <f t="shared" ref="D75:S75" si="10">IF(D74=0,0,D73/D72)</f>
        <v>1.1335254562920269</v>
      </c>
      <c r="E75" s="114">
        <f t="shared" si="10"/>
        <v>2.3535062439961578</v>
      </c>
      <c r="F75" s="143">
        <f t="shared" si="10"/>
        <v>1.0613738738738738</v>
      </c>
      <c r="G75" s="114">
        <f t="shared" si="10"/>
        <v>0.61427280939476059</v>
      </c>
      <c r="H75" s="114">
        <f t="shared" si="10"/>
        <v>1.4322916666666667</v>
      </c>
      <c r="I75" s="114">
        <f t="shared" si="10"/>
        <v>1.2155963302752293</v>
      </c>
      <c r="J75" s="143">
        <f t="shared" si="10"/>
        <v>1.0338551146705497</v>
      </c>
      <c r="K75" s="114">
        <f t="shared" si="10"/>
        <v>1.9800884955752212</v>
      </c>
      <c r="L75" s="114">
        <f t="shared" si="10"/>
        <v>0</v>
      </c>
      <c r="M75" s="114">
        <f t="shared" si="10"/>
        <v>0</v>
      </c>
      <c r="N75" s="143">
        <f t="shared" si="10"/>
        <v>0.57371794871794868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0.5465903175429464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893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894</v>
      </c>
      <c r="C80" s="132" t="s">
        <v>642</v>
      </c>
      <c r="D80" s="132" t="s">
        <v>643</v>
      </c>
      <c r="E80" s="133" t="s">
        <v>644</v>
      </c>
      <c r="F80" s="135" t="s">
        <v>645</v>
      </c>
      <c r="G80" s="132" t="s">
        <v>646</v>
      </c>
      <c r="H80" s="133" t="s">
        <v>647</v>
      </c>
      <c r="I80" s="135" t="s">
        <v>648</v>
      </c>
      <c r="J80" s="132" t="s">
        <v>649</v>
      </c>
      <c r="K80" s="133" t="s">
        <v>650</v>
      </c>
      <c r="L80" s="135" t="s">
        <v>651</v>
      </c>
      <c r="M80" s="132" t="s">
        <v>652</v>
      </c>
      <c r="N80" s="133" t="s">
        <v>653</v>
      </c>
      <c r="O80" s="114"/>
      <c r="P80" s="114"/>
      <c r="Q80" s="114"/>
      <c r="R80" s="114"/>
      <c r="S80" s="114"/>
    </row>
    <row r="81" spans="1:19" hidden="1">
      <c r="A81" s="128"/>
      <c r="B81" s="128" t="s">
        <v>889</v>
      </c>
      <c r="C81" s="146">
        <f>C67</f>
        <v>88</v>
      </c>
      <c r="D81" s="146">
        <f>D67</f>
        <v>97</v>
      </c>
      <c r="E81" s="146">
        <f>E67</f>
        <v>117</v>
      </c>
      <c r="F81" s="146">
        <f>G67</f>
        <v>124</v>
      </c>
      <c r="G81" s="146">
        <f>H67</f>
        <v>120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701</v>
      </c>
      <c r="C82" s="146">
        <f>IF(C68&gt;0,C68,"")</f>
        <v>14</v>
      </c>
      <c r="D82" s="146">
        <f>IF(D68=0,NA(),D68)</f>
        <v>118</v>
      </c>
      <c r="E82" s="146">
        <f>IF(E68=0,NA(),E68)</f>
        <v>245</v>
      </c>
      <c r="F82" s="146">
        <f>IF(G68=0,NA(),G68)</f>
        <v>68</v>
      </c>
      <c r="G82" s="146">
        <f>IF(H68=0,NA(),H68)</f>
        <v>110</v>
      </c>
      <c r="H82" s="146">
        <f>IF(I68=0,NA(),I68)</f>
        <v>106</v>
      </c>
      <c r="I82" s="146">
        <f>IF(K68=0,NA(),K68)</f>
        <v>179</v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892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93" t="str">
        <f>"Results as of "</f>
        <v xml:space="preserve">Results as of </v>
      </c>
      <c r="Q124" s="394"/>
      <c r="R124" s="193">
        <f>RptDate</f>
        <v>44227</v>
      </c>
      <c r="S124" s="192"/>
    </row>
    <row r="125" spans="1:19" ht="13.5" thickBot="1"/>
    <row r="126" spans="1:19" ht="25.5">
      <c r="A126" s="128" t="s">
        <v>897</v>
      </c>
      <c r="C126" s="132" t="s">
        <v>642</v>
      </c>
      <c r="D126" s="132" t="s">
        <v>643</v>
      </c>
      <c r="E126" s="133" t="s">
        <v>644</v>
      </c>
      <c r="F126" s="134" t="s">
        <v>869</v>
      </c>
      <c r="G126" s="135" t="s">
        <v>645</v>
      </c>
      <c r="H126" s="132" t="s">
        <v>646</v>
      </c>
      <c r="I126" s="133" t="s">
        <v>647</v>
      </c>
      <c r="J126" s="134" t="s">
        <v>870</v>
      </c>
      <c r="K126" s="135" t="s">
        <v>648</v>
      </c>
      <c r="L126" s="132" t="s">
        <v>649</v>
      </c>
      <c r="M126" s="133" t="s">
        <v>650</v>
      </c>
      <c r="N126" s="134" t="s">
        <v>871</v>
      </c>
      <c r="O126" s="135" t="s">
        <v>651</v>
      </c>
      <c r="P126" s="132" t="s">
        <v>652</v>
      </c>
      <c r="Q126" s="133" t="s">
        <v>653</v>
      </c>
      <c r="R126" s="134" t="s">
        <v>872</v>
      </c>
      <c r="S126" s="136" t="s">
        <v>654</v>
      </c>
    </row>
    <row r="127" spans="1:19">
      <c r="A127" s="128" t="s">
        <v>873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889</v>
      </c>
      <c r="C128" s="112">
        <f t="shared" ref="C128:S128" si="11">C5-C67</f>
        <v>142</v>
      </c>
      <c r="D128" s="112">
        <f t="shared" si="11"/>
        <v>243</v>
      </c>
      <c r="E128" s="112">
        <f t="shared" si="11"/>
        <v>320</v>
      </c>
      <c r="F128" s="122">
        <f t="shared" si="11"/>
        <v>705</v>
      </c>
      <c r="G128" s="112">
        <f t="shared" si="11"/>
        <v>349</v>
      </c>
      <c r="H128" s="112">
        <f t="shared" si="11"/>
        <v>332</v>
      </c>
      <c r="I128" s="112">
        <f t="shared" si="11"/>
        <v>265</v>
      </c>
      <c r="J128" s="122">
        <f t="shared" si="11"/>
        <v>946</v>
      </c>
      <c r="K128" s="112">
        <f t="shared" si="11"/>
        <v>202</v>
      </c>
      <c r="L128" s="112">
        <f t="shared" si="11"/>
        <v>360</v>
      </c>
      <c r="M128" s="112">
        <f t="shared" si="11"/>
        <v>341</v>
      </c>
      <c r="N128" s="122">
        <f t="shared" si="11"/>
        <v>903</v>
      </c>
      <c r="O128" s="112">
        <f t="shared" si="11"/>
        <v>324</v>
      </c>
      <c r="P128" s="112">
        <f t="shared" si="11"/>
        <v>309</v>
      </c>
      <c r="Q128" s="112">
        <f t="shared" si="11"/>
        <v>313</v>
      </c>
      <c r="R128" s="122">
        <f t="shared" si="11"/>
        <v>946</v>
      </c>
      <c r="S128" s="112">
        <f t="shared" si="11"/>
        <v>3500</v>
      </c>
    </row>
    <row r="129" spans="1:19">
      <c r="A129" s="128"/>
      <c r="B129" s="128" t="s">
        <v>701</v>
      </c>
      <c r="C129" s="140">
        <f t="shared" ref="C129:R129" si="12">IFERROR(C6-C68,"")</f>
        <v>104</v>
      </c>
      <c r="D129" s="140">
        <f t="shared" si="12"/>
        <v>46</v>
      </c>
      <c r="E129" s="140">
        <f t="shared" si="12"/>
        <v>-57</v>
      </c>
      <c r="F129" s="141">
        <f t="shared" si="12"/>
        <v>93</v>
      </c>
      <c r="G129" s="140">
        <f t="shared" si="12"/>
        <v>111</v>
      </c>
      <c r="H129" s="140">
        <f t="shared" si="12"/>
        <v>101</v>
      </c>
      <c r="I129" s="140">
        <f t="shared" si="12"/>
        <v>61</v>
      </c>
      <c r="J129" s="141">
        <f t="shared" si="12"/>
        <v>273</v>
      </c>
      <c r="K129" s="140">
        <f t="shared" si="12"/>
        <v>-63</v>
      </c>
      <c r="L129" s="140" t="str">
        <f t="shared" si="12"/>
        <v/>
      </c>
      <c r="M129" s="140" t="str">
        <f t="shared" si="12"/>
        <v/>
      </c>
      <c r="N129" s="141">
        <f t="shared" si="12"/>
        <v>-63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303</v>
      </c>
    </row>
    <row r="130" spans="1:19">
      <c r="A130" s="128"/>
      <c r="B130" s="128" t="s">
        <v>890</v>
      </c>
      <c r="C130" s="142">
        <f>IF(C129="",0,C129-C128)</f>
        <v>-38</v>
      </c>
      <c r="D130" s="142">
        <f>IF(D129="",0,D129-D128)</f>
        <v>-197</v>
      </c>
      <c r="E130" s="142">
        <f>IF(E129="",0,E129-E128)</f>
        <v>-377</v>
      </c>
      <c r="F130" s="148">
        <f>IF(F129=0,0,F129-F128)</f>
        <v>-612</v>
      </c>
      <c r="G130" s="142">
        <f>IF(OR(G129=0,G129=""),0,G129-G128)</f>
        <v>-238</v>
      </c>
      <c r="H130" s="142">
        <f>IF(OR(H129=0,H129=""),0,H129-H128)</f>
        <v>-231</v>
      </c>
      <c r="I130" s="142">
        <f>IF(OR(I129=0,I129=""),0,I129-I128)</f>
        <v>-204</v>
      </c>
      <c r="J130" s="148">
        <f>IF(J129=0,0,J129-J128)</f>
        <v>-673</v>
      </c>
      <c r="K130" s="142">
        <f>IF(OR(K129=0,K129=""),0,K129-K128)</f>
        <v>-265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-966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-3197</v>
      </c>
    </row>
    <row r="131" spans="1:19" ht="13.5" thickBot="1">
      <c r="A131" s="128"/>
      <c r="B131" s="128" t="s">
        <v>891</v>
      </c>
      <c r="C131" s="114">
        <f>IF(C130=0,0,C129/C128)</f>
        <v>0.73239436619718312</v>
      </c>
      <c r="D131" s="114">
        <f t="shared" ref="D131:S131" si="13">IF(D130=0,0,D129/D128)</f>
        <v>0.18930041152263374</v>
      </c>
      <c r="E131" s="114">
        <f t="shared" si="13"/>
        <v>-0.17812500000000001</v>
      </c>
      <c r="F131" s="143">
        <f t="shared" si="13"/>
        <v>0.13191489361702127</v>
      </c>
      <c r="G131" s="114">
        <f t="shared" si="13"/>
        <v>0.31805157593123207</v>
      </c>
      <c r="H131" s="114">
        <f t="shared" si="13"/>
        <v>0.30421686746987953</v>
      </c>
      <c r="I131" s="114">
        <f t="shared" si="13"/>
        <v>0.23018867924528302</v>
      </c>
      <c r="J131" s="143">
        <f t="shared" si="13"/>
        <v>0.28858350951374206</v>
      </c>
      <c r="K131" s="114">
        <f t="shared" si="13"/>
        <v>-0.31188118811881188</v>
      </c>
      <c r="L131" s="114">
        <f t="shared" si="13"/>
        <v>0</v>
      </c>
      <c r="M131" s="114">
        <f t="shared" si="13"/>
        <v>0</v>
      </c>
      <c r="N131" s="143">
        <f t="shared" si="13"/>
        <v>-6.9767441860465115E-2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8.6571428571428577E-2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896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701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890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891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893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894</v>
      </c>
      <c r="C141" s="132" t="s">
        <v>642</v>
      </c>
      <c r="D141" s="132" t="s">
        <v>643</v>
      </c>
      <c r="E141" s="133" t="s">
        <v>644</v>
      </c>
      <c r="F141" s="135" t="s">
        <v>645</v>
      </c>
      <c r="G141" s="132" t="s">
        <v>646</v>
      </c>
      <c r="H141" s="133" t="s">
        <v>647</v>
      </c>
      <c r="I141" s="135" t="s">
        <v>648</v>
      </c>
      <c r="J141" s="132" t="s">
        <v>649</v>
      </c>
      <c r="K141" s="133" t="s">
        <v>650</v>
      </c>
      <c r="L141" s="135" t="s">
        <v>651</v>
      </c>
      <c r="M141" s="132" t="s">
        <v>652</v>
      </c>
      <c r="N141" s="133" t="s">
        <v>653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889</v>
      </c>
      <c r="C142" s="146">
        <f>C128</f>
        <v>142</v>
      </c>
      <c r="D142" s="146">
        <f>D128</f>
        <v>243</v>
      </c>
      <c r="E142" s="146">
        <f>E128</f>
        <v>320</v>
      </c>
      <c r="F142" s="146">
        <f>G128</f>
        <v>349</v>
      </c>
      <c r="G142" s="146">
        <f>H128</f>
        <v>332</v>
      </c>
      <c r="H142" s="146">
        <f>I128</f>
        <v>265</v>
      </c>
      <c r="I142" s="146">
        <f>K128</f>
        <v>202</v>
      </c>
      <c r="J142" s="146">
        <f>L128</f>
        <v>360</v>
      </c>
      <c r="K142" s="146">
        <f>M128</f>
        <v>341</v>
      </c>
      <c r="L142" s="146">
        <f>O128</f>
        <v>324</v>
      </c>
      <c r="M142" s="146">
        <f>P128</f>
        <v>309</v>
      </c>
      <c r="N142" s="146">
        <f>Q128</f>
        <v>313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701</v>
      </c>
      <c r="C143" s="146">
        <f>IF(C129&lt;&gt;0,C129,"")</f>
        <v>104</v>
      </c>
      <c r="D143" s="146">
        <f>IF(D129=0,NA(),D129)</f>
        <v>46</v>
      </c>
      <c r="E143" s="146">
        <f>IF(E129=0,NA(),E129)</f>
        <v>-57</v>
      </c>
      <c r="F143" s="146">
        <f>IF(G129=0,NA(),G129)</f>
        <v>111</v>
      </c>
      <c r="G143" s="146">
        <f>IF(H129=0,NA(),H129)</f>
        <v>101</v>
      </c>
      <c r="H143" s="146">
        <f>IF(I129=0,NA(),I129)</f>
        <v>61</v>
      </c>
      <c r="I143" s="146">
        <f>IF(K129=0,NA(),K129)</f>
        <v>-63</v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896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8" priority="16" stopIfTrue="1">
      <formula>IF(AND(C$1="Actual", C6="0"),"True","False")</formula>
    </cfRule>
    <cfRule type="cellIs" priority="17" stopIfTrue="1" operator="equal">
      <formula>0</formula>
    </cfRule>
    <cfRule type="cellIs" dxfId="337" priority="18" operator="lessThan">
      <formula>1</formula>
    </cfRule>
  </conditionalFormatting>
  <conditionalFormatting sqref="I19:K19 I14:K17 I21:K21 I76:K79 I81:K81 I83:K83 I137:K140 I142:K142 I144:K145">
    <cfRule type="expression" dxfId="336" priority="19" stopIfTrue="1">
      <formula>IF(AND(I$1="Actual", K12="0"),"True","False")</formula>
    </cfRule>
    <cfRule type="cellIs" priority="20" stopIfTrue="1" operator="equal">
      <formula>0</formula>
    </cfRule>
    <cfRule type="cellIs" dxfId="335" priority="21" operator="lessThan">
      <formula>1</formula>
    </cfRule>
  </conditionalFormatting>
  <conditionalFormatting sqref="L14:M17 L19:N19 L22:M22">
    <cfRule type="expression" dxfId="334" priority="22" stopIfTrue="1">
      <formula>IF(AND(L$1="Actual", #REF!="0"),"True","False")</formula>
    </cfRule>
    <cfRule type="cellIs" priority="23" stopIfTrue="1" operator="equal">
      <formula>0</formula>
    </cfRule>
    <cfRule type="cellIs" dxfId="333" priority="24" operator="lessThan">
      <formula>1</formula>
    </cfRule>
  </conditionalFormatting>
  <conditionalFormatting sqref="C22:H22 N22:O22 N84:O84 C84:H84">
    <cfRule type="expression" dxfId="332" priority="25" stopIfTrue="1">
      <formula>IF(AND(C$1="Actual", C13="0"),"True","False")</formula>
    </cfRule>
    <cfRule type="cellIs" priority="26" stopIfTrue="1" operator="equal">
      <formula>0</formula>
    </cfRule>
    <cfRule type="cellIs" dxfId="331" priority="27" operator="lessThan">
      <formula>1</formula>
    </cfRule>
  </conditionalFormatting>
  <conditionalFormatting sqref="I22:K22 I84:K84">
    <cfRule type="expression" dxfId="330" priority="28" stopIfTrue="1">
      <formula>IF(AND(I$1="Actual", K13="0"),"True","False")</formula>
    </cfRule>
    <cfRule type="cellIs" priority="29" stopIfTrue="1" operator="equal">
      <formula>0</formula>
    </cfRule>
    <cfRule type="cellIs" dxfId="329" priority="30" operator="lessThan">
      <formula>1</formula>
    </cfRule>
  </conditionalFormatting>
  <conditionalFormatting sqref="L21:N21">
    <cfRule type="expression" dxfId="328" priority="13" stopIfTrue="1">
      <formula>IF(AND(L$1="Actual", #REF!="0"),"True","False")</formula>
    </cfRule>
    <cfRule type="cellIs" priority="14" stopIfTrue="1" operator="equal">
      <formula>0</formula>
    </cfRule>
    <cfRule type="cellIs" dxfId="327" priority="15" operator="lessThan">
      <formula>1</formula>
    </cfRule>
  </conditionalFormatting>
  <conditionalFormatting sqref="L76:M79 L81:N81 L84:M84">
    <cfRule type="expression" dxfId="326" priority="10" stopIfTrue="1">
      <formula>IF(AND(L$1="Actual", #REF!="0"),"True","False")</formula>
    </cfRule>
    <cfRule type="cellIs" priority="11" stopIfTrue="1" operator="equal">
      <formula>0</formula>
    </cfRule>
    <cfRule type="cellIs" dxfId="325" priority="12" operator="lessThan">
      <formula>1</formula>
    </cfRule>
  </conditionalFormatting>
  <conditionalFormatting sqref="L83:N83">
    <cfRule type="expression" dxfId="324" priority="7" stopIfTrue="1">
      <formula>IF(AND(L$1="Actual", #REF!="0"),"True","False")</formula>
    </cfRule>
    <cfRule type="cellIs" priority="8" stopIfTrue="1" operator="equal">
      <formula>0</formula>
    </cfRule>
    <cfRule type="cellIs" dxfId="323" priority="9" operator="lessThan">
      <formula>1</formula>
    </cfRule>
  </conditionalFormatting>
  <conditionalFormatting sqref="L137:M140 L142:N142">
    <cfRule type="expression" dxfId="322" priority="4" stopIfTrue="1">
      <formula>IF(AND(L$1="Actual", #REF!="0"),"True","False")</formula>
    </cfRule>
    <cfRule type="cellIs" priority="5" stopIfTrue="1" operator="equal">
      <formula>0</formula>
    </cfRule>
    <cfRule type="cellIs" dxfId="321" priority="6" operator="lessThan">
      <formula>1</formula>
    </cfRule>
  </conditionalFormatting>
  <conditionalFormatting sqref="L144:N145">
    <cfRule type="expression" dxfId="320" priority="1" stopIfTrue="1">
      <formula>IF(AND(L$1="Actual", #REF!="0"),"True","False")</formula>
    </cfRule>
    <cfRule type="cellIs" priority="2" stopIfTrue="1" operator="equal">
      <formula>0</formula>
    </cfRule>
    <cfRule type="cellIs" dxfId="319" priority="3" operator="lessThan">
      <formula>1</formula>
    </cfRule>
  </conditionalFormatting>
  <conditionalFormatting sqref="P8:S9 P13:S21 P75:S83 P70:S71 P131:S132 P136:S145">
    <cfRule type="expression" dxfId="318" priority="31" stopIfTrue="1">
      <formula>IF(AND(P$2="Actual", P6="0"),"True","False")</formula>
    </cfRule>
    <cfRule type="cellIs" priority="32" stopIfTrue="1" operator="equal">
      <formula>0</formula>
    </cfRule>
    <cfRule type="cellIs" dxfId="317" priority="33" operator="lessThan">
      <formula>1</formula>
    </cfRule>
  </conditionalFormatting>
  <conditionalFormatting sqref="P22:S22 P84:S84">
    <cfRule type="expression" dxfId="316" priority="34" stopIfTrue="1">
      <formula>IF(AND(P$2="Actual", P13="0"),"True","False")</formula>
    </cfRule>
    <cfRule type="cellIs" priority="35" stopIfTrue="1" operator="equal">
      <formula>0</formula>
    </cfRule>
    <cfRule type="cellIs" dxfId="31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832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4709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272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-8.3333333333333329E-2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8512</v>
      </c>
      <c r="B4" t="str">
        <f>IF(ISNA(VLOOKUP($A4,Councils!$B$6:$AE$841,3,0)),0,VLOOKUP($A4,Councils!$B$6:$AE$841,3,0))</f>
        <v>North Richland Hills</v>
      </c>
      <c r="C4">
        <f>IF(ISNA(VLOOKUP($A4,Councils!$B$6:$AE$841,4,0)),0,VLOOKUP($A4,Councils!$B$6:$AE$841,4,0))</f>
        <v>344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-2</v>
      </c>
      <c r="K4" s="63">
        <f>IFERROR(J4/D4,0)</f>
        <v>-0.125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16258</v>
      </c>
      <c r="B5" t="str">
        <f>IF(ISNA(VLOOKUP($A5,Councils!$B$6:$AE$841,3,0)),0,VLOOKUP($A5,Councils!$B$6:$AE$841,3,0))</f>
        <v>Fort Worth</v>
      </c>
      <c r="C5">
        <f>IF(ISNA(VLOOKUP($A5,Councils!$B$6:$AE$841,4,0)),0,VLOOKUP($A5,Councils!$B$6:$AE$841,4,0))</f>
        <v>50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50">
        <v>16663</v>
      </c>
      <c r="B6" t="str">
        <f>IF(ISNA(VLOOKUP($A6,Councils!$B$6:$AE$841,3,0)),0,VLOOKUP($A6,Councils!$B$6:$AE$841,3,0))</f>
        <v>Fort Worth</v>
      </c>
      <c r="C6">
        <f>IF(ISNA(VLOOKUP($A6,Councils!$B$6:$AE$841,4,0)),0,VLOOKUP($A6,Councils!$B$6:$AE$841,4,0))</f>
        <v>54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  <row r="7" spans="1:22">
      <c r="A7" s="50">
        <v>17410</v>
      </c>
      <c r="B7" t="str">
        <f>IF(ISNA(VLOOKUP($A7,Councils!$B$6:$AE$841,3,0)),0,VLOOKUP($A7,Councils!$B$6:$AE$841,3,0))</f>
        <v>Fort Worth</v>
      </c>
      <c r="C7">
        <f>IF(ISNA(VLOOKUP($A7,Councils!$B$6:$AE$841,4,0)),0,VLOOKUP($A7,Councils!$B$6:$AE$841,4,0))</f>
        <v>21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1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1</v>
      </c>
      <c r="H7">
        <f>IF(ISNA(VLOOKUP($A7,Councils!$B$6:$AE$841,9,0)),0,VLOOKUP($A7,Councils!$B$6:$AE$841,9,0))</f>
        <v>5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5</v>
      </c>
      <c r="K7" s="63">
        <f>IFERROR(J7/D7,0)</f>
        <v>1.6666666666666667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2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2</v>
      </c>
      <c r="T7" s="63">
        <f>IFERROR(S7/M7,0)</f>
        <v>0</v>
      </c>
      <c r="U7" t="str">
        <f>IF(ISNA(VLOOKUP($A7,Council_Data!$A$3:$Z$837,24,0)),0,VLOOKUP($A7,Council_Data!$A$3:$Z$837,24,0))</f>
        <v>Stark</v>
      </c>
      <c r="V7">
        <f>IF(ISNA(VLOOKUP($A7,Council_Data!$A$3:$Z$837,23,0)),0,VLOOKUP($A7,Council_Data!$A$3:$Z$837,23,0))</f>
        <v>3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7458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75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2</v>
      </c>
    </row>
    <row r="4" spans="1:22">
      <c r="A4" s="50">
        <v>10930</v>
      </c>
      <c r="B4" t="str">
        <f>IF(ISNA(VLOOKUP($A4,Councils!$B$6:$AE$841,3,0)),0,VLOOKUP($A4,Councils!$B$6:$AE$841,3,0))</f>
        <v>Ft Worth</v>
      </c>
      <c r="C4">
        <f>IF(ISNA(VLOOKUP($A4,Councils!$B$6:$AE$841,4,0)),0,VLOOKUP($A4,Councils!$B$6:$AE$841,4,0))</f>
        <v>209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11423</v>
      </c>
      <c r="B5" t="str">
        <f>IF(ISNA(VLOOKUP($A5,Councils!$B$6:$AE$841,3,0)),0,VLOOKUP($A5,Councils!$B$6:$AE$841,3,0))</f>
        <v>Fort Worth</v>
      </c>
      <c r="C5">
        <f>IF(ISNA(VLOOKUP($A5,Councils!$B$6:$AE$841,4,0)),0,VLOOKUP($A5,Councils!$B$6:$AE$841,4,0))</f>
        <v>140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13470</v>
      </c>
      <c r="B6" t="str">
        <f>IF(ISNA(VLOOKUP($A6,Councils!$B$6:$AE$841,3,0)),0,VLOOKUP($A6,Councils!$B$6:$AE$841,3,0))</f>
        <v>Arlington</v>
      </c>
      <c r="C6">
        <f>IF(ISNA(VLOOKUP($A6,Councils!$B$6:$AE$841,4,0)),0,VLOOKUP($A6,Councils!$B$6:$AE$841,4,0))</f>
        <v>210</v>
      </c>
      <c r="D6">
        <f>IF(ISNA(VLOOKUP($A6,Councils!$B$6:$AE$841,5,0)),0,VLOOKUP($A6,Councils!$B$6:$AE$841,5,0))</f>
        <v>10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25</v>
      </c>
      <c r="J6">
        <f>IF(ISNA(VLOOKUP($A6,Councils!$B$6:$AE$841,11,0)),0,VLOOKUP($A6,Councils!$B$6:$AE$841,11,0))</f>
        <v>-25</v>
      </c>
      <c r="K6" s="63">
        <f>IFERROR(J6/D6,0)</f>
        <v>-2.5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6</v>
      </c>
      <c r="S6">
        <f>IF(ISNA(VLOOKUP($A6,Councils!$B$6:$AE$841,20,0)),0,VLOOKUP($A6,Councils!$B$6:$AE$841,20,0))</f>
        <v>-5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1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4771</v>
      </c>
      <c r="B3" t="str">
        <f>IF(ISNA(VLOOKUP($A3,Councils!$B$6:$AE$841,3,0)),0,VLOOKUP($A3,Councils!$B$6:$AE$841,3,0))</f>
        <v>Denton</v>
      </c>
      <c r="C3">
        <f>IF(ISNA(VLOOKUP($A3,Councils!$B$6:$AE$841,4,0)),0,VLOOKUP($A3,Councils!$B$6:$AE$841,4,0))</f>
        <v>291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1</v>
      </c>
      <c r="K3" s="63">
        <f>IFERROR(J3/D3,0)</f>
        <v>7.1428571428571425E-2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5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5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9644</v>
      </c>
      <c r="B4" t="str">
        <f>IF(ISNA(VLOOKUP($A4,Councils!$B$6:$AE$841,3,0)),0,VLOOKUP($A4,Councils!$B$6:$AE$841,3,0))</f>
        <v>Decatur</v>
      </c>
      <c r="C4">
        <f>IF(ISNA(VLOOKUP($A4,Councils!$B$6:$AE$841,4,0)),0,VLOOKUP($A4,Councils!$B$6:$AE$841,4,0))</f>
        <v>94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6</v>
      </c>
      <c r="K4" s="63">
        <f>IFERROR(J4/D4,0)</f>
        <v>1.2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12553</v>
      </c>
      <c r="B5" t="str">
        <f>IF(ISNA(VLOOKUP($A5,Councils!$B$6:$AE$841,3,0)),0,VLOOKUP($A5,Councils!$B$6:$AE$841,3,0))</f>
        <v>Denton</v>
      </c>
      <c r="C5">
        <f>IF(ISNA(VLOOKUP($A5,Councils!$B$6:$AE$841,4,0)),0,VLOOKUP($A5,Councils!$B$6:$AE$841,4,0))</f>
        <v>379</v>
      </c>
      <c r="D5">
        <f>IF(ISNA(VLOOKUP($A5,Councils!$B$6:$AE$841,5,0)),0,VLOOKUP($A5,Councils!$B$6:$AE$841,5,0))</f>
        <v>19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2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9</v>
      </c>
      <c r="I5">
        <f>IF(ISNA(VLOOKUP($A5,Councils!$B$6:$AE$841,10,0)),0,VLOOKUP($A5,Councils!$B$6:$AE$841,10,0))</f>
        <v>5</v>
      </c>
      <c r="J5">
        <f>IF(ISNA(VLOOKUP($A5,Councils!$B$6:$AE$841,11,0)),0,VLOOKUP($A5,Councils!$B$6:$AE$841,11,0))</f>
        <v>4</v>
      </c>
      <c r="K5" s="63">
        <f>IFERROR(J5/D5,0)</f>
        <v>0.21052631578947367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16393</v>
      </c>
      <c r="B6" t="str">
        <f>IF(ISNA(VLOOKUP($A6,Councils!$B$6:$AE$841,3,0)),0,VLOOKUP($A6,Councils!$B$6:$AE$841,3,0))</f>
        <v>Denton</v>
      </c>
      <c r="C6">
        <f>IF(ISNA(VLOOKUP($A6,Councils!$B$6:$AE$841,4,0)),0,VLOOKUP($A6,Councils!$B$6:$AE$841,4,0))</f>
        <v>50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2</v>
      </c>
      <c r="G6">
        <f>IF(ISNA(VLOOKUP($A6,Councils!$B$6:$AE$81023,0)),0,VLOOKUP($A6,Councils!$B$6:$AE$841,8,0))</f>
        <v>-1</v>
      </c>
      <c r="H6">
        <f>IF(ISNA(VLOOKUP($A6,Councils!$B$6:$AE$841,9,0)),0,VLOOKUP($A6,Councils!$B$6:$AE$841,9,0))</f>
        <v>4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2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6269</v>
      </c>
      <c r="B3" t="str">
        <f>IF(ISNA(VLOOKUP($A3,Councils!$B$6:$AE$841,3,0)),0,VLOOKUP($A3,Councils!$B$6:$AE$841,3,0))</f>
        <v>Arlington</v>
      </c>
      <c r="C3">
        <f>IF(ISNA(VLOOKUP($A3,Councils!$B$6:$AE$841,4,0)),0,VLOOKUP($A3,Councils!$B$6:$AE$841,4,0))</f>
        <v>396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3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2</v>
      </c>
      <c r="H3">
        <f>IF(ISNA(VLOOKUP($A3,Councils!$B$6:$AE$841,9,0)),0,VLOOKUP($A3,Councils!$B$6:$AE$841,9,0))</f>
        <v>13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11</v>
      </c>
      <c r="K3" s="63">
        <f>IFERROR(J3/D3,0)</f>
        <v>0.6470588235294118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8895</v>
      </c>
      <c r="B4" t="str">
        <f>IF(ISNA(VLOOKUP($A4,Councils!$B$6:$AE$841,3,0)),0,VLOOKUP($A4,Councils!$B$6:$AE$841,3,0))</f>
        <v>Arlington</v>
      </c>
      <c r="C4">
        <f>IF(ISNA(VLOOKUP($A4,Councils!$B$6:$AE$841,4,0)),0,VLOOKUP($A4,Councils!$B$6:$AE$841,4,0))</f>
        <v>84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2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14549</v>
      </c>
      <c r="B5" t="str">
        <f>IF(ISNA(VLOOKUP($A5,Councils!$B$6:$AE$841,3,0)),0,VLOOKUP($A5,Councils!$B$6:$AE$841,3,0))</f>
        <v>Arlington</v>
      </c>
      <c r="C5">
        <f>IF(ISNA(VLOOKUP($A5,Councils!$B$6:$AE$841,4,0)),0,VLOOKUP($A5,Councils!$B$6:$AE$841,4,0))</f>
        <v>121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4101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156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17196</v>
      </c>
      <c r="B4" t="str">
        <f>IF(ISNA(VLOOKUP($A4,Councils!$B$6:$AE$841,3,0)),0,VLOOKUP($A4,Councils!$B$6:$AE$841,3,0))</f>
        <v>Aledo</v>
      </c>
      <c r="C4">
        <f>IF(ISNA(VLOOKUP($A4,Councils!$B$6:$AE$841,4,0)),0,VLOOKUP($A4,Councils!$B$6:$AE$841,4,0))</f>
        <v>49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-1</v>
      </c>
      <c r="K4" s="63">
        <f>IFERROR(J4/D4,0)</f>
        <v>-0.33333333333333331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3</v>
      </c>
    </row>
    <row r="5" spans="1:22">
      <c r="A5" s="50">
        <v>17404</v>
      </c>
      <c r="B5" t="str">
        <f>IF(ISNA(VLOOKUP($A5,Councils!$B$6:$AE$841,3,0)),0,VLOOKUP($A5,Councils!$B$6:$AE$841,3,0))</f>
        <v>Azle</v>
      </c>
      <c r="C5">
        <f>IF(ISNA(VLOOKUP($A5,Councils!$B$6:$AE$841,4,0)),0,VLOOKUP($A5,Councils!$B$6:$AE$841,4,0))</f>
        <v>38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2045</v>
      </c>
      <c r="B3" t="str">
        <f>IF(ISNA(VLOOKUP($A3,Councils!$B$6:$AE$841,3,0)),0,VLOOKUP($A3,Councils!$B$6:$AE$841,3,0))</f>
        <v>Pilot Point</v>
      </c>
      <c r="C3">
        <f>IF(ISNA(VLOOKUP($A3,Councils!$B$6:$AE$841,4,0)),0,VLOOKUP($A3,Councils!$B$6:$AE$841,4,0))</f>
        <v>151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1</v>
      </c>
      <c r="K3" s="63">
        <f>IFERROR(J3/D3,0)</f>
        <v>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8493</v>
      </c>
      <c r="B4" t="str">
        <f>IF(ISNA(VLOOKUP($A4,Councils!$B$6:$AE$841,3,0)),0,VLOOKUP($A4,Councils!$B$6:$AE$841,3,0))</f>
        <v>The Colony</v>
      </c>
      <c r="C4">
        <f>IF(ISNA(VLOOKUP($A4,Councils!$B$6:$AE$841,4,0)),0,VLOOKUP($A4,Councils!$B$6:$AE$841,4,0))</f>
        <v>150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13408</v>
      </c>
      <c r="B5" t="str">
        <f>IF(ISNA(VLOOKUP($A5,Councils!$B$6:$AE$841,3,0)),0,VLOOKUP($A5,Councils!$B$6:$AE$841,3,0))</f>
        <v>Carrollton</v>
      </c>
      <c r="C5">
        <f>IF(ISNA(VLOOKUP($A5,Councils!$B$6:$AE$841,4,0)),0,VLOOKUP($A5,Councils!$B$6:$AE$841,4,0))</f>
        <v>135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17304</v>
      </c>
      <c r="B6" t="str">
        <f>IF(ISNA(VLOOKUP($A6,Councils!$B$6:$AE$841,3,0)),0,VLOOKUP($A6,Councils!$B$6:$AE$841,3,0))</f>
        <v>Prosper</v>
      </c>
      <c r="C6">
        <f>IF(ISNA(VLOOKUP($A6,Councils!$B$6:$AE$841,4,0)),0,VLOOKUP($A6,Councils!$B$6:$AE$841,4,0))</f>
        <v>68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7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7</v>
      </c>
      <c r="K6" s="63">
        <f>IFERROR(J6/D6,0)</f>
        <v>2.3333333333333335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12575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21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3</v>
      </c>
    </row>
    <row r="4" spans="1:22" ht="14.25" customHeight="1">
      <c r="A4" s="50">
        <v>13317</v>
      </c>
      <c r="B4" t="str">
        <f>IF(ISNA(VLOOKUP($A4,Councils!$B$6:$AE$841,3,0)),0,VLOOKUP($A4,Councils!$B$6:$AE$841,3,0))</f>
        <v>Ft Worth</v>
      </c>
      <c r="C4">
        <f>IF(ISNA(VLOOKUP($A4,Councils!$B$6:$AE$841,4,0)),0,VLOOKUP($A4,Councils!$B$6:$AE$841,4,0))</f>
        <v>21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6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9868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234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12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11</v>
      </c>
      <c r="K3" s="63">
        <f>IFERROR(J3/D3,0)</f>
        <v>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5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4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14679</v>
      </c>
      <c r="B4" t="str">
        <f>IF(ISNA(VLOOKUP($A4,Councils!$B$6:$AE$841,3,0)),0,VLOOKUP($A4,Councils!$B$6:$AE$841,3,0))</f>
        <v>Fort Worth</v>
      </c>
      <c r="C4">
        <f>IF(ISNA(VLOOKUP($A4,Councils!$B$6:$AE$841,4,0)),0,VLOOKUP($A4,Councils!$B$6:$AE$841,4,0))</f>
        <v>207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17024</v>
      </c>
      <c r="B5" t="str">
        <f>IF(ISNA(VLOOKUP($A5,Councils!$B$6:$AE$841,3,0)),0,VLOOKUP($A5,Councils!$B$6:$AE$841,3,0))</f>
        <v>Nas Fort Worth Jrb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50">
        <v>17039</v>
      </c>
      <c r="B6" t="str">
        <f>IF(ISNA(VLOOKUP($A6,Councils!$B$6:$AE$841,3,0)),0,VLOOKUP($A6,Councils!$B$6:$AE$841,3,0))</f>
        <v>Fort Worth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AD6D-9B12-42C5-B30C-EDDF8D897F70}">
  <dimension ref="A1:V6"/>
  <sheetViews>
    <sheetView zoomScaleNormal="100" workbookViewId="0">
      <selection activeCell="C1" sqref="C1"/>
    </sheetView>
  </sheetViews>
  <sheetFormatPr defaultRowHeight="12.75"/>
  <cols>
    <col min="2" max="2" width="16.5703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8347</v>
      </c>
      <c r="B3" t="str">
        <f>IF(ISNA(VLOOKUP($A3,Councils!$B$6:$AE$841,3,0)),0,VLOOKUP($A3,Councils!$B$6:$AE$841,3,0))</f>
        <v>Cleburne</v>
      </c>
      <c r="C3">
        <f>IF(ISNA(VLOOKUP($A3,Councils!$B$6:$AE$841,4,0)),0,VLOOKUP($A3,Councils!$B$6:$AE$841,4,0))</f>
        <v>0</v>
      </c>
      <c r="D3">
        <f>IF(ISNA(VLOOKUP($A3,Councils!$B$6:$AE$841,5,0)),0,VLOOKUP($A3,Councils!$B$6:$AE$841,5,0))</f>
        <v>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3</v>
      </c>
    </row>
    <row r="4" spans="1:22">
      <c r="A4" s="50">
        <v>12445</v>
      </c>
      <c r="B4" t="str">
        <f>IF(ISNA(VLOOKUP($A4,Councils!$B$6:$AE$841,3,0)),0,VLOOKUP($A4,Councils!$B$6:$AE$841,3,0))</f>
        <v>Fort Worth</v>
      </c>
      <c r="C4">
        <f>IF(ISNA(VLOOKUP($A4,Councils!$B$6:$AE$841,4,0)),0,VLOOKUP($A4,Councils!$B$6:$AE$841,4,0))</f>
        <v>0</v>
      </c>
      <c r="D4">
        <f>IF(ISNA(VLOOKUP($A4,Councils!$B$6:$AE$841,5,0)),0,VLOOKUP($A4,Councils!$B$6:$AE$841,5,0))</f>
        <v>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3</v>
      </c>
    </row>
    <row r="5" spans="1:22">
      <c r="A5" s="298">
        <v>14789</v>
      </c>
      <c r="B5" t="str">
        <f>IF(ISNA(VLOOKUP($A5,Councils!$B$6:$AE$841,3,0)),0,VLOOKUP($A5,Councils!$B$6:$AE$841,3,0))</f>
        <v>Denton</v>
      </c>
      <c r="C5">
        <f>IF(ISNA(VLOOKUP($A5,Councils!$B$6:$AE$841,4,0)),0,VLOOKUP($A5,Councils!$B$6:$AE$841,4,0))</f>
        <v>0</v>
      </c>
      <c r="D5">
        <f>IF(ISNA(VLOOKUP($A5,Councils!$B$6:$AE$841,5,0)),0,VLOOKUP($A5,Councils!$B$6:$AE$841,5,0))</f>
        <v>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ref="K5:K6" si="0"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 t="shared" ref="T5:T6" si="1"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298">
        <v>17024</v>
      </c>
      <c r="B6" t="str">
        <f>IF(ISNA(VLOOKUP($A6,Councils!$B$6:$AE$841,3,0)),0,VLOOKUP($A6,Councils!$B$6:$AE$841,3,0))</f>
        <v>Nas Fort Worth Jrb</v>
      </c>
      <c r="C6">
        <f>IF(ISNA(VLOOKUP($A6,Councils!$B$6:$AE$841,4,0)),0,VLOOKUP($A6,Councils!$B$6:$AE$841,4,0))</f>
        <v>28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 t="shared" si="0"/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 t="shared" si="1"/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hyperlinks>
    <hyperlink ref="C1" location="'State Summary'!A1" tooltip="Link back to Diocesan Page" display="Diocesan Page" xr:uid="{BF6A9F69-FFA9-4542-BB6D-949AE3F12F1E}"/>
    <hyperlink ref="A1" location="FTW!A1" tooltip="Back to ELP DD Page" display="FTW DDs" xr:uid="{E9826B62-1F56-4B1E-A2BA-B26AC269969D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4"/>
  <sheetViews>
    <sheetView zoomScaleNormal="100" workbookViewId="0"/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10433</v>
      </c>
      <c r="B3" t="str">
        <f>IF(ISNA(VLOOKUP($A3,Councils!$B$6:$AE$841,3,0)),0,VLOOKUP($A3,Councils!$B$6:$AE$841,3,0))</f>
        <v>Stockdale</v>
      </c>
      <c r="C3">
        <f>IF(ISNA(VLOOKUP($A3,Councils!$B$6:$AE$841,4,0)),0,VLOOKUP($A3,Councils!$B$6:$AE$841,4,0))</f>
        <v>11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16063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25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</sheetData>
  <conditionalFormatting sqref="A3:A4">
    <cfRule type="expression" dxfId="172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A2" sqref="A2"/>
    </sheetView>
  </sheetViews>
  <sheetFormatPr defaultColWidth="9.140625" defaultRowHeight="12.75"/>
  <cols>
    <col min="1" max="1" width="30.7109375" style="282" customWidth="1"/>
    <col min="2" max="2" width="5.140625" style="282" customWidth="1"/>
    <col min="3" max="3" width="5.28515625" style="282" bestFit="1" customWidth="1"/>
    <col min="4" max="4" width="5" style="282" bestFit="1" customWidth="1"/>
    <col min="5" max="5" width="5" style="282" customWidth="1"/>
    <col min="6" max="6" width="5.140625" style="282" bestFit="1" customWidth="1"/>
    <col min="7" max="7" width="5.28515625" style="282" bestFit="1" customWidth="1"/>
    <col min="8" max="8" width="5" style="282" bestFit="1" customWidth="1"/>
    <col min="9" max="9" width="5" style="282" customWidth="1"/>
    <col min="10" max="11" width="4.85546875" style="282" bestFit="1" customWidth="1"/>
    <col min="12" max="13" width="5" style="282" customWidth="1"/>
    <col min="14" max="14" width="5.140625" style="282" bestFit="1" customWidth="1"/>
    <col min="15" max="16" width="5.28515625" style="282" bestFit="1" customWidth="1"/>
    <col min="17" max="17" width="6.7109375" style="282" bestFit="1" customWidth="1"/>
    <col min="18" max="18" width="7.5703125" style="281" bestFit="1" customWidth="1"/>
    <col min="19" max="19" width="10" style="282" customWidth="1"/>
    <col min="20" max="16384" width="9.140625" style="282"/>
  </cols>
  <sheetData>
    <row r="1" spans="1:20">
      <c r="A1" s="26" t="s">
        <v>1279</v>
      </c>
    </row>
    <row r="3" spans="1:20" ht="25.5">
      <c r="A3" s="283" t="s">
        <v>602</v>
      </c>
      <c r="B3" s="284" t="s">
        <v>642</v>
      </c>
      <c r="C3" s="284" t="s">
        <v>643</v>
      </c>
      <c r="D3" s="284" t="s">
        <v>644</v>
      </c>
      <c r="E3" s="284" t="s">
        <v>869</v>
      </c>
      <c r="F3" s="284" t="s">
        <v>645</v>
      </c>
      <c r="G3" s="284" t="s">
        <v>646</v>
      </c>
      <c r="H3" s="284" t="s">
        <v>647</v>
      </c>
      <c r="I3" s="284" t="s">
        <v>870</v>
      </c>
      <c r="J3" s="284" t="s">
        <v>648</v>
      </c>
      <c r="K3" s="284" t="s">
        <v>649</v>
      </c>
      <c r="L3" s="284" t="s">
        <v>650</v>
      </c>
      <c r="M3" s="284" t="s">
        <v>871</v>
      </c>
      <c r="N3" s="284" t="s">
        <v>651</v>
      </c>
      <c r="O3" s="284" t="s">
        <v>652</v>
      </c>
      <c r="P3" s="284" t="s">
        <v>653</v>
      </c>
      <c r="Q3" s="284" t="s">
        <v>872</v>
      </c>
      <c r="R3" s="285" t="s">
        <v>654</v>
      </c>
      <c r="S3" s="286" t="s">
        <v>655</v>
      </c>
      <c r="T3" s="287" t="s">
        <v>604</v>
      </c>
    </row>
    <row r="4" spans="1:20">
      <c r="A4" s="288" t="s">
        <v>609</v>
      </c>
      <c r="B4" s="289">
        <v>5</v>
      </c>
      <c r="C4" s="289">
        <v>8</v>
      </c>
      <c r="D4" s="289">
        <v>10</v>
      </c>
      <c r="E4" s="289">
        <f t="shared" ref="E4:E18" si="0">SUBTOTAL(9,B4:D4)</f>
        <v>23</v>
      </c>
      <c r="F4" s="289">
        <v>11</v>
      </c>
      <c r="G4" s="289">
        <v>10</v>
      </c>
      <c r="H4" s="289">
        <v>9</v>
      </c>
      <c r="I4" s="289">
        <f t="shared" ref="I4:I18" si="1">SUBTOTAL(9,F4:H4)</f>
        <v>30</v>
      </c>
      <c r="J4" s="289">
        <v>6</v>
      </c>
      <c r="K4" s="289">
        <v>10</v>
      </c>
      <c r="L4" s="289">
        <v>11</v>
      </c>
      <c r="M4" s="289">
        <f t="shared" ref="M4:M18" si="2">SUBTOTAL(9,J4:L4)</f>
        <v>27</v>
      </c>
      <c r="N4" s="289">
        <v>11</v>
      </c>
      <c r="O4" s="289">
        <v>10</v>
      </c>
      <c r="P4" s="289">
        <v>10</v>
      </c>
      <c r="Q4" s="289">
        <f t="shared" ref="Q4:Q18" si="3">SUBTOTAL(9,N4:P4)</f>
        <v>31</v>
      </c>
      <c r="R4" s="290">
        <f t="shared" ref="R4:R18" si="4">SUBTOTAL(9,B4:Q4)</f>
        <v>111</v>
      </c>
      <c r="S4" s="291">
        <v>33</v>
      </c>
      <c r="T4" s="291">
        <f t="shared" ref="T4:T19" si="5">SUM($R4-$S4)</f>
        <v>78</v>
      </c>
    </row>
    <row r="5" spans="1:20">
      <c r="A5" s="288" t="s">
        <v>605</v>
      </c>
      <c r="B5" s="289">
        <v>27</v>
      </c>
      <c r="C5" s="289">
        <v>41</v>
      </c>
      <c r="D5" s="289">
        <v>52</v>
      </c>
      <c r="E5" s="289">
        <f t="shared" si="0"/>
        <v>120</v>
      </c>
      <c r="F5" s="289">
        <v>57</v>
      </c>
      <c r="G5" s="289">
        <v>55</v>
      </c>
      <c r="H5" s="289">
        <v>51</v>
      </c>
      <c r="I5" s="289">
        <f t="shared" si="1"/>
        <v>163</v>
      </c>
      <c r="J5" s="289">
        <v>32</v>
      </c>
      <c r="K5" s="289">
        <v>60</v>
      </c>
      <c r="L5" s="289">
        <v>57</v>
      </c>
      <c r="M5" s="289">
        <f t="shared" si="2"/>
        <v>149</v>
      </c>
      <c r="N5" s="289">
        <v>57</v>
      </c>
      <c r="O5" s="289">
        <v>54</v>
      </c>
      <c r="P5" s="289">
        <v>56</v>
      </c>
      <c r="Q5" s="289">
        <f t="shared" si="3"/>
        <v>167</v>
      </c>
      <c r="R5" s="290">
        <f t="shared" si="4"/>
        <v>599</v>
      </c>
      <c r="S5" s="291">
        <v>188</v>
      </c>
      <c r="T5" s="291">
        <f t="shared" si="5"/>
        <v>411</v>
      </c>
    </row>
    <row r="6" spans="1:20">
      <c r="A6" s="288" t="s">
        <v>618</v>
      </c>
      <c r="B6" s="289">
        <v>7</v>
      </c>
      <c r="C6" s="289">
        <v>11</v>
      </c>
      <c r="D6" s="289">
        <v>14</v>
      </c>
      <c r="E6" s="289">
        <f t="shared" si="0"/>
        <v>32</v>
      </c>
      <c r="F6" s="289">
        <v>15</v>
      </c>
      <c r="G6" s="289">
        <v>15</v>
      </c>
      <c r="H6" s="289">
        <v>13</v>
      </c>
      <c r="I6" s="289">
        <f t="shared" si="1"/>
        <v>43</v>
      </c>
      <c r="J6" s="289">
        <v>9</v>
      </c>
      <c r="K6" s="289">
        <v>15</v>
      </c>
      <c r="L6" s="289">
        <v>15</v>
      </c>
      <c r="M6" s="289">
        <f t="shared" si="2"/>
        <v>39</v>
      </c>
      <c r="N6" s="289">
        <v>15</v>
      </c>
      <c r="O6" s="289">
        <v>14</v>
      </c>
      <c r="P6" s="289">
        <v>16</v>
      </c>
      <c r="Q6" s="289">
        <f t="shared" si="3"/>
        <v>45</v>
      </c>
      <c r="R6" s="290">
        <f t="shared" si="4"/>
        <v>159</v>
      </c>
      <c r="S6" s="291">
        <v>45</v>
      </c>
      <c r="T6" s="291">
        <f t="shared" si="5"/>
        <v>114</v>
      </c>
    </row>
    <row r="7" spans="1:20">
      <c r="A7" s="288" t="s">
        <v>610</v>
      </c>
      <c r="B7" s="289">
        <v>12</v>
      </c>
      <c r="C7" s="289">
        <v>17</v>
      </c>
      <c r="D7" s="289">
        <v>22</v>
      </c>
      <c r="E7" s="289">
        <f t="shared" si="0"/>
        <v>51</v>
      </c>
      <c r="F7" s="289">
        <v>24</v>
      </c>
      <c r="G7" s="289">
        <v>23</v>
      </c>
      <c r="H7" s="289">
        <v>21</v>
      </c>
      <c r="I7" s="289">
        <f t="shared" si="1"/>
        <v>68</v>
      </c>
      <c r="J7" s="289">
        <v>14</v>
      </c>
      <c r="K7" s="289">
        <v>23</v>
      </c>
      <c r="L7" s="289">
        <v>24</v>
      </c>
      <c r="M7" s="289">
        <f t="shared" si="2"/>
        <v>61</v>
      </c>
      <c r="N7" s="289">
        <v>24</v>
      </c>
      <c r="O7" s="289">
        <v>23</v>
      </c>
      <c r="P7" s="289">
        <v>26</v>
      </c>
      <c r="Q7" s="289">
        <f t="shared" si="3"/>
        <v>73</v>
      </c>
      <c r="R7" s="290">
        <f t="shared" si="4"/>
        <v>253</v>
      </c>
      <c r="S7" s="291">
        <v>83</v>
      </c>
      <c r="T7" s="291">
        <f t="shared" si="5"/>
        <v>170</v>
      </c>
    </row>
    <row r="8" spans="1:20">
      <c r="A8" s="288" t="s">
        <v>614</v>
      </c>
      <c r="B8" s="289">
        <v>11</v>
      </c>
      <c r="C8" s="289">
        <v>16</v>
      </c>
      <c r="D8" s="289">
        <v>21</v>
      </c>
      <c r="E8" s="289">
        <f t="shared" si="0"/>
        <v>48</v>
      </c>
      <c r="F8" s="289">
        <v>23</v>
      </c>
      <c r="G8" s="289">
        <v>22</v>
      </c>
      <c r="H8" s="289">
        <v>20</v>
      </c>
      <c r="I8" s="289">
        <f t="shared" si="1"/>
        <v>65</v>
      </c>
      <c r="J8" s="289">
        <v>13</v>
      </c>
      <c r="K8" s="289">
        <v>27</v>
      </c>
      <c r="L8" s="289">
        <v>23</v>
      </c>
      <c r="M8" s="289">
        <f t="shared" si="2"/>
        <v>63</v>
      </c>
      <c r="N8" s="289">
        <v>23</v>
      </c>
      <c r="O8" s="289">
        <v>22</v>
      </c>
      <c r="P8" s="289">
        <v>20</v>
      </c>
      <c r="Q8" s="289">
        <f t="shared" si="3"/>
        <v>65</v>
      </c>
      <c r="R8" s="290">
        <f t="shared" si="4"/>
        <v>241</v>
      </c>
      <c r="S8" s="291">
        <v>56</v>
      </c>
      <c r="T8" s="291">
        <f t="shared" si="5"/>
        <v>185</v>
      </c>
    </row>
    <row r="9" spans="1:20">
      <c r="A9" s="288" t="s">
        <v>607</v>
      </c>
      <c r="B9" s="289">
        <v>26</v>
      </c>
      <c r="C9" s="289">
        <v>39</v>
      </c>
      <c r="D9" s="289">
        <v>50</v>
      </c>
      <c r="E9" s="289">
        <f t="shared" si="0"/>
        <v>115</v>
      </c>
      <c r="F9" s="289">
        <v>54</v>
      </c>
      <c r="G9" s="289">
        <v>52</v>
      </c>
      <c r="H9" s="289">
        <v>48</v>
      </c>
      <c r="I9" s="289">
        <f t="shared" si="1"/>
        <v>154</v>
      </c>
      <c r="J9" s="289">
        <v>31</v>
      </c>
      <c r="K9" s="289">
        <v>58</v>
      </c>
      <c r="L9" s="289">
        <v>54</v>
      </c>
      <c r="M9" s="289">
        <f t="shared" si="2"/>
        <v>143</v>
      </c>
      <c r="N9" s="289">
        <v>54</v>
      </c>
      <c r="O9" s="289">
        <v>52</v>
      </c>
      <c r="P9" s="289">
        <v>53</v>
      </c>
      <c r="Q9" s="289">
        <f t="shared" si="3"/>
        <v>159</v>
      </c>
      <c r="R9" s="290">
        <f t="shared" si="4"/>
        <v>571</v>
      </c>
      <c r="S9" s="291">
        <v>188</v>
      </c>
      <c r="T9" s="291">
        <f t="shared" si="5"/>
        <v>383</v>
      </c>
    </row>
    <row r="10" spans="1:20">
      <c r="A10" s="288" t="s">
        <v>608</v>
      </c>
      <c r="B10" s="289">
        <v>7</v>
      </c>
      <c r="C10" s="289">
        <v>10</v>
      </c>
      <c r="D10" s="289">
        <v>13</v>
      </c>
      <c r="E10" s="289">
        <f t="shared" si="0"/>
        <v>30</v>
      </c>
      <c r="F10" s="289">
        <v>14</v>
      </c>
      <c r="G10" s="289">
        <v>14</v>
      </c>
      <c r="H10" s="289">
        <v>12</v>
      </c>
      <c r="I10" s="289">
        <f t="shared" si="1"/>
        <v>40</v>
      </c>
      <c r="J10" s="289">
        <v>8</v>
      </c>
      <c r="K10" s="289">
        <v>10</v>
      </c>
      <c r="L10" s="289">
        <v>14</v>
      </c>
      <c r="M10" s="289">
        <f t="shared" si="2"/>
        <v>32</v>
      </c>
      <c r="N10" s="289">
        <v>14</v>
      </c>
      <c r="O10" s="289">
        <v>13</v>
      </c>
      <c r="P10" s="289">
        <v>18</v>
      </c>
      <c r="Q10" s="289">
        <f t="shared" si="3"/>
        <v>45</v>
      </c>
      <c r="R10" s="290">
        <f t="shared" si="4"/>
        <v>147</v>
      </c>
      <c r="S10" s="291">
        <v>53</v>
      </c>
      <c r="T10" s="291">
        <f t="shared" si="5"/>
        <v>94</v>
      </c>
    </row>
    <row r="11" spans="1:20">
      <c r="A11" s="288" t="s">
        <v>656</v>
      </c>
      <c r="B11" s="289">
        <v>21</v>
      </c>
      <c r="C11" s="289">
        <v>31</v>
      </c>
      <c r="D11" s="289">
        <v>40</v>
      </c>
      <c r="E11" s="289">
        <f t="shared" si="0"/>
        <v>92</v>
      </c>
      <c r="F11" s="289">
        <v>44</v>
      </c>
      <c r="G11" s="289">
        <v>42</v>
      </c>
      <c r="H11" s="289">
        <v>39</v>
      </c>
      <c r="I11" s="289">
        <f t="shared" si="1"/>
        <v>125</v>
      </c>
      <c r="J11" s="289">
        <v>25</v>
      </c>
      <c r="K11" s="289">
        <v>44</v>
      </c>
      <c r="L11" s="289">
        <v>44</v>
      </c>
      <c r="M11" s="289">
        <f t="shared" si="2"/>
        <v>113</v>
      </c>
      <c r="N11" s="289">
        <v>44</v>
      </c>
      <c r="O11" s="289">
        <v>42</v>
      </c>
      <c r="P11" s="289">
        <v>43</v>
      </c>
      <c r="Q11" s="289">
        <f t="shared" si="3"/>
        <v>129</v>
      </c>
      <c r="R11" s="290">
        <f t="shared" si="4"/>
        <v>459</v>
      </c>
      <c r="S11" s="291">
        <v>155</v>
      </c>
      <c r="T11" s="291">
        <f t="shared" si="5"/>
        <v>304</v>
      </c>
    </row>
    <row r="12" spans="1:20">
      <c r="A12" s="288" t="s">
        <v>641</v>
      </c>
      <c r="B12" s="289">
        <v>50</v>
      </c>
      <c r="C12" s="289">
        <v>74</v>
      </c>
      <c r="D12" s="289">
        <v>94</v>
      </c>
      <c r="E12" s="289">
        <f t="shared" si="0"/>
        <v>218</v>
      </c>
      <c r="F12" s="289">
        <v>100</v>
      </c>
      <c r="G12" s="289">
        <v>92</v>
      </c>
      <c r="H12" s="289">
        <v>58</v>
      </c>
      <c r="I12" s="289">
        <f t="shared" si="1"/>
        <v>250</v>
      </c>
      <c r="J12" s="289">
        <v>102</v>
      </c>
      <c r="K12" s="289">
        <v>103</v>
      </c>
      <c r="L12" s="289">
        <v>103</v>
      </c>
      <c r="M12" s="289">
        <f t="shared" si="2"/>
        <v>308</v>
      </c>
      <c r="N12" s="289">
        <v>103</v>
      </c>
      <c r="O12" s="289">
        <v>99</v>
      </c>
      <c r="P12" s="289">
        <v>102</v>
      </c>
      <c r="Q12" s="289">
        <f t="shared" si="3"/>
        <v>304</v>
      </c>
      <c r="R12" s="290">
        <f t="shared" si="4"/>
        <v>1080</v>
      </c>
      <c r="S12" s="291">
        <v>326</v>
      </c>
      <c r="T12" s="291">
        <f t="shared" si="5"/>
        <v>754</v>
      </c>
    </row>
    <row r="13" spans="1:20">
      <c r="A13" s="288" t="s">
        <v>615</v>
      </c>
      <c r="B13" s="289">
        <v>4</v>
      </c>
      <c r="C13" s="289">
        <v>6</v>
      </c>
      <c r="D13" s="289">
        <v>8</v>
      </c>
      <c r="E13" s="289">
        <f t="shared" si="0"/>
        <v>18</v>
      </c>
      <c r="F13" s="289">
        <v>9</v>
      </c>
      <c r="G13" s="289">
        <v>8</v>
      </c>
      <c r="H13" s="289">
        <v>8</v>
      </c>
      <c r="I13" s="289">
        <f t="shared" si="1"/>
        <v>25</v>
      </c>
      <c r="J13" s="289">
        <v>5</v>
      </c>
      <c r="K13" s="289">
        <v>13</v>
      </c>
      <c r="L13" s="289">
        <v>9</v>
      </c>
      <c r="M13" s="289">
        <f t="shared" si="2"/>
        <v>27</v>
      </c>
      <c r="N13" s="289">
        <v>9</v>
      </c>
      <c r="O13" s="289">
        <v>8</v>
      </c>
      <c r="P13" s="289">
        <v>4</v>
      </c>
      <c r="Q13" s="289">
        <f t="shared" si="3"/>
        <v>21</v>
      </c>
      <c r="R13" s="290">
        <f t="shared" si="4"/>
        <v>91</v>
      </c>
      <c r="S13" s="291">
        <v>17</v>
      </c>
      <c r="T13" s="291">
        <f t="shared" si="5"/>
        <v>74</v>
      </c>
    </row>
    <row r="14" spans="1:20">
      <c r="A14" s="288" t="s">
        <v>613</v>
      </c>
      <c r="B14" s="289">
        <v>5</v>
      </c>
      <c r="C14" s="289">
        <v>7</v>
      </c>
      <c r="D14" s="289">
        <v>9</v>
      </c>
      <c r="E14" s="289">
        <f t="shared" si="0"/>
        <v>21</v>
      </c>
      <c r="F14" s="289">
        <v>10</v>
      </c>
      <c r="G14" s="289">
        <v>10</v>
      </c>
      <c r="H14" s="289">
        <v>9</v>
      </c>
      <c r="I14" s="289">
        <f t="shared" si="1"/>
        <v>29</v>
      </c>
      <c r="J14" s="289">
        <v>6</v>
      </c>
      <c r="K14" s="289">
        <v>12</v>
      </c>
      <c r="L14" s="289">
        <v>10</v>
      </c>
      <c r="M14" s="289">
        <f t="shared" si="2"/>
        <v>28</v>
      </c>
      <c r="N14" s="289">
        <v>10</v>
      </c>
      <c r="O14" s="289">
        <v>10</v>
      </c>
      <c r="P14" s="289">
        <v>6</v>
      </c>
      <c r="Q14" s="289">
        <f t="shared" si="3"/>
        <v>26</v>
      </c>
      <c r="R14" s="290">
        <f t="shared" si="4"/>
        <v>104</v>
      </c>
      <c r="S14" s="291">
        <v>22</v>
      </c>
      <c r="T14" s="291">
        <f t="shared" si="5"/>
        <v>82</v>
      </c>
    </row>
    <row r="15" spans="1:20">
      <c r="A15" s="288" t="s">
        <v>611</v>
      </c>
      <c r="B15" s="289">
        <v>8</v>
      </c>
      <c r="C15" s="289">
        <v>11</v>
      </c>
      <c r="D15" s="289">
        <v>15</v>
      </c>
      <c r="E15" s="289">
        <f t="shared" si="0"/>
        <v>34</v>
      </c>
      <c r="F15" s="289">
        <v>16</v>
      </c>
      <c r="G15" s="289">
        <v>15</v>
      </c>
      <c r="H15" s="289">
        <v>14</v>
      </c>
      <c r="I15" s="289">
        <f t="shared" si="1"/>
        <v>45</v>
      </c>
      <c r="J15" s="289">
        <v>9</v>
      </c>
      <c r="K15" s="289">
        <v>17</v>
      </c>
      <c r="L15" s="289">
        <v>16</v>
      </c>
      <c r="M15" s="289">
        <f t="shared" si="2"/>
        <v>42</v>
      </c>
      <c r="N15" s="289">
        <v>16</v>
      </c>
      <c r="O15" s="289">
        <v>15</v>
      </c>
      <c r="P15" s="289">
        <v>14</v>
      </c>
      <c r="Q15" s="289">
        <f t="shared" si="3"/>
        <v>45</v>
      </c>
      <c r="R15" s="290">
        <f t="shared" si="4"/>
        <v>166</v>
      </c>
      <c r="S15" s="291">
        <v>38</v>
      </c>
      <c r="T15" s="291">
        <f t="shared" si="5"/>
        <v>128</v>
      </c>
    </row>
    <row r="16" spans="1:20">
      <c r="A16" s="288" t="s">
        <v>606</v>
      </c>
      <c r="B16" s="289">
        <v>31</v>
      </c>
      <c r="C16" s="289">
        <v>45</v>
      </c>
      <c r="D16" s="289">
        <v>58</v>
      </c>
      <c r="E16" s="289">
        <f t="shared" si="0"/>
        <v>134</v>
      </c>
      <c r="F16" s="289">
        <v>63</v>
      </c>
      <c r="G16" s="289">
        <v>61</v>
      </c>
      <c r="H16" s="289">
        <v>57</v>
      </c>
      <c r="I16" s="289">
        <f t="shared" si="1"/>
        <v>181</v>
      </c>
      <c r="J16" s="289">
        <v>36</v>
      </c>
      <c r="K16" s="289">
        <v>65</v>
      </c>
      <c r="L16" s="289">
        <v>63</v>
      </c>
      <c r="M16" s="289">
        <f t="shared" si="2"/>
        <v>164</v>
      </c>
      <c r="N16" s="289">
        <v>63</v>
      </c>
      <c r="O16" s="289">
        <v>61</v>
      </c>
      <c r="P16" s="30">
        <v>64</v>
      </c>
      <c r="Q16" s="289">
        <f t="shared" si="3"/>
        <v>188</v>
      </c>
      <c r="R16" s="290">
        <f t="shared" si="4"/>
        <v>667</v>
      </c>
      <c r="S16" s="291">
        <v>223</v>
      </c>
      <c r="T16" s="291">
        <f t="shared" si="5"/>
        <v>444</v>
      </c>
    </row>
    <row r="17" spans="1:20">
      <c r="A17" s="288" t="s">
        <v>612</v>
      </c>
      <c r="B17" s="289">
        <v>6</v>
      </c>
      <c r="C17" s="289">
        <v>9</v>
      </c>
      <c r="D17" s="289">
        <v>11</v>
      </c>
      <c r="E17" s="289">
        <f t="shared" si="0"/>
        <v>26</v>
      </c>
      <c r="F17" s="289">
        <v>12</v>
      </c>
      <c r="G17" s="289">
        <v>12</v>
      </c>
      <c r="H17" s="289">
        <v>11</v>
      </c>
      <c r="I17" s="289">
        <f t="shared" si="1"/>
        <v>35</v>
      </c>
      <c r="J17" s="289">
        <v>7</v>
      </c>
      <c r="K17" s="289">
        <v>13</v>
      </c>
      <c r="L17" s="289">
        <v>12</v>
      </c>
      <c r="M17" s="289">
        <f t="shared" si="2"/>
        <v>32</v>
      </c>
      <c r="N17" s="289">
        <v>12</v>
      </c>
      <c r="O17" s="289">
        <v>12</v>
      </c>
      <c r="P17" s="289">
        <v>10</v>
      </c>
      <c r="Q17" s="289">
        <f t="shared" si="3"/>
        <v>34</v>
      </c>
      <c r="R17" s="290">
        <f t="shared" si="4"/>
        <v>127</v>
      </c>
      <c r="S17" s="291">
        <v>32</v>
      </c>
      <c r="T17" s="291">
        <f t="shared" si="5"/>
        <v>95</v>
      </c>
    </row>
    <row r="18" spans="1:20">
      <c r="A18" s="288" t="s">
        <v>617</v>
      </c>
      <c r="B18" s="289">
        <v>10</v>
      </c>
      <c r="C18" s="289">
        <v>15</v>
      </c>
      <c r="D18" s="289">
        <v>20</v>
      </c>
      <c r="E18" s="289">
        <f t="shared" si="0"/>
        <v>45</v>
      </c>
      <c r="F18" s="289">
        <v>21</v>
      </c>
      <c r="G18" s="289">
        <v>21</v>
      </c>
      <c r="H18" s="289">
        <v>19</v>
      </c>
      <c r="I18" s="289">
        <f t="shared" si="1"/>
        <v>61</v>
      </c>
      <c r="J18" s="289">
        <v>12</v>
      </c>
      <c r="K18" s="289">
        <v>24</v>
      </c>
      <c r="L18" s="289">
        <v>21</v>
      </c>
      <c r="M18" s="289">
        <f t="shared" si="2"/>
        <v>57</v>
      </c>
      <c r="N18" s="289">
        <v>21</v>
      </c>
      <c r="O18" s="289">
        <v>20</v>
      </c>
      <c r="P18" s="289">
        <v>21</v>
      </c>
      <c r="Q18" s="289">
        <f t="shared" si="3"/>
        <v>62</v>
      </c>
      <c r="R18" s="290">
        <f t="shared" si="4"/>
        <v>225</v>
      </c>
      <c r="S18" s="291">
        <v>41</v>
      </c>
      <c r="T18" s="291">
        <f t="shared" si="5"/>
        <v>184</v>
      </c>
    </row>
    <row r="19" spans="1:20">
      <c r="A19" s="283" t="s">
        <v>619</v>
      </c>
      <c r="B19" s="290">
        <f>SUM(B4:B18)</f>
        <v>230</v>
      </c>
      <c r="C19" s="290">
        <f t="shared" ref="C19:R19" si="6">SUM(C4:C18)</f>
        <v>340</v>
      </c>
      <c r="D19" s="290">
        <f t="shared" si="6"/>
        <v>437</v>
      </c>
      <c r="E19" s="290">
        <f t="shared" si="6"/>
        <v>1007</v>
      </c>
      <c r="F19" s="290">
        <f t="shared" si="6"/>
        <v>473</v>
      </c>
      <c r="G19" s="290">
        <f t="shared" si="6"/>
        <v>452</v>
      </c>
      <c r="H19" s="290">
        <f t="shared" si="6"/>
        <v>389</v>
      </c>
      <c r="I19" s="290">
        <f t="shared" si="6"/>
        <v>1314</v>
      </c>
      <c r="J19" s="290">
        <f t="shared" si="6"/>
        <v>315</v>
      </c>
      <c r="K19" s="290">
        <f t="shared" si="6"/>
        <v>494</v>
      </c>
      <c r="L19" s="290">
        <f t="shared" si="6"/>
        <v>476</v>
      </c>
      <c r="M19" s="290">
        <f t="shared" si="6"/>
        <v>1285</v>
      </c>
      <c r="N19" s="290">
        <f t="shared" si="6"/>
        <v>476</v>
      </c>
      <c r="O19" s="290">
        <f t="shared" si="6"/>
        <v>455</v>
      </c>
      <c r="P19" s="290">
        <f t="shared" si="6"/>
        <v>463</v>
      </c>
      <c r="Q19" s="290">
        <f t="shared" si="6"/>
        <v>1394</v>
      </c>
      <c r="R19" s="290">
        <f t="shared" si="6"/>
        <v>5000</v>
      </c>
      <c r="S19" s="291">
        <v>1500</v>
      </c>
      <c r="T19" s="291">
        <f t="shared" si="5"/>
        <v>3500</v>
      </c>
    </row>
    <row r="22" spans="1:20">
      <c r="A22" s="308" t="s">
        <v>875</v>
      </c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</row>
    <row r="24" spans="1:20">
      <c r="B24" s="281" t="s">
        <v>642</v>
      </c>
      <c r="C24" s="281" t="s">
        <v>643</v>
      </c>
      <c r="D24" s="281" t="s">
        <v>644</v>
      </c>
      <c r="E24" s="281" t="s">
        <v>869</v>
      </c>
      <c r="F24" s="281" t="s">
        <v>645</v>
      </c>
      <c r="G24" s="281" t="s">
        <v>646</v>
      </c>
      <c r="H24" s="281" t="s">
        <v>647</v>
      </c>
      <c r="I24" s="281" t="s">
        <v>870</v>
      </c>
      <c r="J24" s="281" t="s">
        <v>648</v>
      </c>
      <c r="K24" s="281" t="s">
        <v>649</v>
      </c>
      <c r="L24" s="281" t="s">
        <v>650</v>
      </c>
      <c r="M24" s="281" t="s">
        <v>871</v>
      </c>
      <c r="N24" s="281" t="s">
        <v>651</v>
      </c>
      <c r="O24" s="281" t="s">
        <v>652</v>
      </c>
      <c r="P24" s="281" t="s">
        <v>653</v>
      </c>
      <c r="Q24" s="281" t="s">
        <v>872</v>
      </c>
      <c r="R24" s="281" t="s">
        <v>654</v>
      </c>
    </row>
    <row r="26" spans="1:20">
      <c r="A26" s="281" t="s">
        <v>873</v>
      </c>
      <c r="B26" s="292">
        <f>SUM(B28:B42)</f>
        <v>88</v>
      </c>
      <c r="C26" s="292">
        <f t="shared" ref="C26:R26" si="7">SUM(C28:C42)</f>
        <v>97</v>
      </c>
      <c r="D26" s="292">
        <f t="shared" si="7"/>
        <v>117</v>
      </c>
      <c r="E26" s="292">
        <f t="shared" si="7"/>
        <v>302</v>
      </c>
      <c r="F26" s="292">
        <f t="shared" si="7"/>
        <v>124</v>
      </c>
      <c r="G26" s="292">
        <f t="shared" si="7"/>
        <v>120</v>
      </c>
      <c r="H26" s="292">
        <f t="shared" si="7"/>
        <v>124</v>
      </c>
      <c r="I26" s="292">
        <f t="shared" si="7"/>
        <v>368</v>
      </c>
      <c r="J26" s="292">
        <f t="shared" si="7"/>
        <v>113</v>
      </c>
      <c r="K26" s="292">
        <f t="shared" si="7"/>
        <v>134</v>
      </c>
      <c r="L26" s="292">
        <f t="shared" si="7"/>
        <v>135</v>
      </c>
      <c r="M26" s="292">
        <f t="shared" si="7"/>
        <v>382</v>
      </c>
      <c r="N26" s="292">
        <f t="shared" si="7"/>
        <v>152</v>
      </c>
      <c r="O26" s="292">
        <f t="shared" si="7"/>
        <v>146</v>
      </c>
      <c r="P26" s="292">
        <f t="shared" si="7"/>
        <v>150</v>
      </c>
      <c r="Q26" s="292">
        <f t="shared" si="7"/>
        <v>448</v>
      </c>
      <c r="R26" s="292">
        <f t="shared" si="7"/>
        <v>1500</v>
      </c>
    </row>
    <row r="28" spans="1:20">
      <c r="A28" s="282" t="s">
        <v>59</v>
      </c>
      <c r="B28" s="282">
        <v>2</v>
      </c>
      <c r="C28" s="282">
        <v>2</v>
      </c>
      <c r="D28" s="282">
        <v>3</v>
      </c>
      <c r="E28" s="293">
        <v>7</v>
      </c>
      <c r="F28" s="282">
        <v>3</v>
      </c>
      <c r="G28" s="282">
        <v>3</v>
      </c>
      <c r="H28" s="282">
        <v>3</v>
      </c>
      <c r="I28" s="293">
        <v>9</v>
      </c>
      <c r="J28" s="282">
        <v>2</v>
      </c>
      <c r="K28" s="282">
        <v>3</v>
      </c>
      <c r="L28" s="282">
        <v>3</v>
      </c>
      <c r="M28" s="293">
        <v>8</v>
      </c>
      <c r="N28" s="282">
        <v>3</v>
      </c>
      <c r="O28" s="282">
        <v>3</v>
      </c>
      <c r="P28" s="282">
        <v>3</v>
      </c>
      <c r="Q28" s="293">
        <v>9</v>
      </c>
      <c r="R28" s="292">
        <v>33</v>
      </c>
    </row>
    <row r="29" spans="1:20">
      <c r="A29" s="282" t="s">
        <v>40</v>
      </c>
      <c r="B29" s="282">
        <v>11</v>
      </c>
      <c r="C29" s="282">
        <v>12</v>
      </c>
      <c r="D29" s="282">
        <v>15</v>
      </c>
      <c r="E29" s="293">
        <v>38</v>
      </c>
      <c r="F29" s="282">
        <v>15</v>
      </c>
      <c r="G29" s="282">
        <v>15</v>
      </c>
      <c r="H29" s="282">
        <v>16</v>
      </c>
      <c r="I29" s="293">
        <v>46</v>
      </c>
      <c r="J29" s="282">
        <v>14</v>
      </c>
      <c r="K29" s="282">
        <v>17</v>
      </c>
      <c r="L29" s="282">
        <v>17</v>
      </c>
      <c r="M29" s="293">
        <v>48</v>
      </c>
      <c r="N29" s="282">
        <v>19</v>
      </c>
      <c r="O29" s="282">
        <v>18</v>
      </c>
      <c r="P29" s="282">
        <v>19</v>
      </c>
      <c r="Q29" s="293">
        <v>56</v>
      </c>
      <c r="R29" s="292">
        <v>188</v>
      </c>
    </row>
    <row r="30" spans="1:20">
      <c r="A30" s="282" t="s">
        <v>37</v>
      </c>
      <c r="B30" s="282">
        <v>2</v>
      </c>
      <c r="C30" s="282">
        <v>3</v>
      </c>
      <c r="D30" s="282">
        <v>4</v>
      </c>
      <c r="E30" s="293">
        <v>9</v>
      </c>
      <c r="F30" s="282">
        <v>4</v>
      </c>
      <c r="G30" s="282">
        <v>4</v>
      </c>
      <c r="H30" s="282">
        <v>3</v>
      </c>
      <c r="I30" s="293">
        <v>11</v>
      </c>
      <c r="J30" s="282">
        <v>3</v>
      </c>
      <c r="K30" s="282">
        <v>4</v>
      </c>
      <c r="L30" s="282">
        <v>4</v>
      </c>
      <c r="M30" s="293">
        <v>11</v>
      </c>
      <c r="N30" s="282">
        <v>5</v>
      </c>
      <c r="O30" s="282">
        <v>4</v>
      </c>
      <c r="P30" s="282">
        <v>5</v>
      </c>
      <c r="Q30" s="293">
        <v>14</v>
      </c>
      <c r="R30" s="292">
        <v>45</v>
      </c>
    </row>
    <row r="31" spans="1:20">
      <c r="A31" s="282" t="s">
        <v>66</v>
      </c>
      <c r="B31" s="282">
        <v>5</v>
      </c>
      <c r="C31" s="282">
        <v>6</v>
      </c>
      <c r="D31" s="282">
        <v>6</v>
      </c>
      <c r="E31" s="293">
        <v>17</v>
      </c>
      <c r="F31" s="282">
        <v>7</v>
      </c>
      <c r="G31" s="282">
        <v>7</v>
      </c>
      <c r="H31" s="282">
        <v>7</v>
      </c>
      <c r="I31" s="293">
        <v>21</v>
      </c>
      <c r="J31" s="282">
        <v>7</v>
      </c>
      <c r="K31" s="282">
        <v>7</v>
      </c>
      <c r="L31" s="282">
        <v>7</v>
      </c>
      <c r="M31" s="293">
        <v>21</v>
      </c>
      <c r="N31" s="282">
        <v>8</v>
      </c>
      <c r="O31" s="282">
        <v>8</v>
      </c>
      <c r="P31" s="282">
        <v>8</v>
      </c>
      <c r="Q31" s="293">
        <v>24</v>
      </c>
      <c r="R31" s="292">
        <v>83</v>
      </c>
    </row>
    <row r="32" spans="1:20">
      <c r="A32" s="282" t="s">
        <v>43</v>
      </c>
      <c r="B32" s="282">
        <v>3</v>
      </c>
      <c r="C32" s="282">
        <v>4</v>
      </c>
      <c r="D32" s="282">
        <v>4</v>
      </c>
      <c r="E32" s="293">
        <v>11</v>
      </c>
      <c r="F32" s="282">
        <v>5</v>
      </c>
      <c r="G32" s="282">
        <v>4</v>
      </c>
      <c r="H32" s="282">
        <v>5</v>
      </c>
      <c r="I32" s="293">
        <v>14</v>
      </c>
      <c r="J32" s="282">
        <v>4</v>
      </c>
      <c r="K32" s="282">
        <v>5</v>
      </c>
      <c r="L32" s="282">
        <v>5</v>
      </c>
      <c r="M32" s="293">
        <v>14</v>
      </c>
      <c r="N32" s="282">
        <v>6</v>
      </c>
      <c r="O32" s="282">
        <v>5</v>
      </c>
      <c r="P32" s="282">
        <v>6</v>
      </c>
      <c r="Q32" s="293">
        <v>17</v>
      </c>
      <c r="R32" s="292">
        <v>56</v>
      </c>
    </row>
    <row r="33" spans="1:18">
      <c r="A33" s="282" t="s">
        <v>31</v>
      </c>
      <c r="B33" s="282">
        <v>11</v>
      </c>
      <c r="C33" s="282">
        <v>12</v>
      </c>
      <c r="D33" s="282">
        <v>15</v>
      </c>
      <c r="E33" s="293">
        <v>38</v>
      </c>
      <c r="F33" s="282">
        <v>16</v>
      </c>
      <c r="G33" s="282">
        <v>15</v>
      </c>
      <c r="H33" s="282">
        <v>16</v>
      </c>
      <c r="I33" s="293">
        <v>47</v>
      </c>
      <c r="J33" s="282">
        <v>14</v>
      </c>
      <c r="K33" s="282">
        <v>16</v>
      </c>
      <c r="L33" s="282">
        <v>17</v>
      </c>
      <c r="M33" s="293">
        <v>47</v>
      </c>
      <c r="N33" s="282">
        <v>19</v>
      </c>
      <c r="O33" s="282">
        <v>18</v>
      </c>
      <c r="P33" s="282">
        <v>19</v>
      </c>
      <c r="Q33" s="293">
        <v>56</v>
      </c>
      <c r="R33" s="292">
        <v>188</v>
      </c>
    </row>
    <row r="34" spans="1:18">
      <c r="A34" s="282" t="s">
        <v>23</v>
      </c>
      <c r="B34" s="282">
        <v>3</v>
      </c>
      <c r="C34" s="282">
        <v>4</v>
      </c>
      <c r="D34" s="282">
        <v>5</v>
      </c>
      <c r="E34" s="293">
        <v>12</v>
      </c>
      <c r="F34" s="282">
        <v>4</v>
      </c>
      <c r="G34" s="282">
        <v>4</v>
      </c>
      <c r="H34" s="282">
        <v>4</v>
      </c>
      <c r="I34" s="293">
        <v>12</v>
      </c>
      <c r="J34" s="282">
        <v>4</v>
      </c>
      <c r="K34" s="282">
        <v>5</v>
      </c>
      <c r="L34" s="282">
        <v>5</v>
      </c>
      <c r="M34" s="293">
        <v>14</v>
      </c>
      <c r="N34" s="282">
        <v>5</v>
      </c>
      <c r="O34" s="282">
        <v>5</v>
      </c>
      <c r="P34" s="282">
        <v>5</v>
      </c>
      <c r="Q34" s="293">
        <v>15</v>
      </c>
      <c r="R34" s="292">
        <v>53</v>
      </c>
    </row>
    <row r="35" spans="1:18">
      <c r="A35" s="282" t="s">
        <v>143</v>
      </c>
      <c r="B35" s="282">
        <v>9</v>
      </c>
      <c r="C35" s="282">
        <v>10</v>
      </c>
      <c r="D35" s="282">
        <v>12</v>
      </c>
      <c r="E35" s="293">
        <v>31</v>
      </c>
      <c r="F35" s="282">
        <v>13</v>
      </c>
      <c r="G35" s="282">
        <v>12</v>
      </c>
      <c r="H35" s="282">
        <v>13</v>
      </c>
      <c r="I35" s="293">
        <v>38</v>
      </c>
      <c r="J35" s="282">
        <v>12</v>
      </c>
      <c r="K35" s="282">
        <v>14</v>
      </c>
      <c r="L35" s="282">
        <v>14</v>
      </c>
      <c r="M35" s="293">
        <v>40</v>
      </c>
      <c r="N35" s="282">
        <v>16</v>
      </c>
      <c r="O35" s="282">
        <v>15</v>
      </c>
      <c r="P35" s="282">
        <v>15</v>
      </c>
      <c r="Q35" s="293">
        <v>46</v>
      </c>
      <c r="R35" s="292">
        <v>155</v>
      </c>
    </row>
    <row r="36" spans="1:18">
      <c r="A36" s="282" t="s">
        <v>874</v>
      </c>
      <c r="B36" s="282">
        <v>19</v>
      </c>
      <c r="C36" s="282">
        <v>21</v>
      </c>
      <c r="D36" s="282">
        <v>25</v>
      </c>
      <c r="E36" s="293">
        <v>65</v>
      </c>
      <c r="F36" s="282">
        <v>27</v>
      </c>
      <c r="G36" s="282">
        <v>26</v>
      </c>
      <c r="H36" s="282">
        <v>27</v>
      </c>
      <c r="I36" s="293">
        <v>80</v>
      </c>
      <c r="J36" s="282">
        <v>25</v>
      </c>
      <c r="K36" s="282">
        <v>29</v>
      </c>
      <c r="L36" s="282">
        <v>29</v>
      </c>
      <c r="M36" s="293">
        <v>83</v>
      </c>
      <c r="N36" s="282">
        <v>33</v>
      </c>
      <c r="O36" s="282">
        <v>32</v>
      </c>
      <c r="P36" s="282">
        <v>33</v>
      </c>
      <c r="Q36" s="293">
        <v>98</v>
      </c>
      <c r="R36" s="292">
        <v>326</v>
      </c>
    </row>
    <row r="37" spans="1:18">
      <c r="A37" s="282" t="s">
        <v>90</v>
      </c>
      <c r="B37" s="282">
        <v>1</v>
      </c>
      <c r="C37" s="282">
        <v>1</v>
      </c>
      <c r="D37" s="282">
        <v>1</v>
      </c>
      <c r="E37" s="293">
        <v>3</v>
      </c>
      <c r="F37" s="282">
        <v>1</v>
      </c>
      <c r="G37" s="282">
        <v>1</v>
      </c>
      <c r="H37" s="282">
        <v>1</v>
      </c>
      <c r="I37" s="293">
        <v>3</v>
      </c>
      <c r="J37" s="282">
        <v>1</v>
      </c>
      <c r="K37" s="282">
        <v>2</v>
      </c>
      <c r="L37" s="282">
        <v>2</v>
      </c>
      <c r="M37" s="293">
        <v>5</v>
      </c>
      <c r="N37" s="282">
        <v>2</v>
      </c>
      <c r="O37" s="282">
        <v>2</v>
      </c>
      <c r="P37" s="282">
        <v>2</v>
      </c>
      <c r="Q37" s="293">
        <v>6</v>
      </c>
      <c r="R37" s="292">
        <v>17</v>
      </c>
    </row>
    <row r="38" spans="1:18">
      <c r="A38" s="282" t="s">
        <v>150</v>
      </c>
      <c r="B38" s="282">
        <v>1</v>
      </c>
      <c r="C38" s="282">
        <v>1</v>
      </c>
      <c r="D38" s="282">
        <v>2</v>
      </c>
      <c r="E38" s="293">
        <v>4</v>
      </c>
      <c r="F38" s="282">
        <v>2</v>
      </c>
      <c r="G38" s="282">
        <v>2</v>
      </c>
      <c r="H38" s="282">
        <v>2</v>
      </c>
      <c r="I38" s="293">
        <v>6</v>
      </c>
      <c r="J38" s="282">
        <v>2</v>
      </c>
      <c r="K38" s="282">
        <v>2</v>
      </c>
      <c r="L38" s="282">
        <v>2</v>
      </c>
      <c r="M38" s="293">
        <v>6</v>
      </c>
      <c r="N38" s="282">
        <v>2</v>
      </c>
      <c r="O38" s="282">
        <v>2</v>
      </c>
      <c r="P38" s="282">
        <v>2</v>
      </c>
      <c r="Q38" s="293">
        <v>6</v>
      </c>
      <c r="R38" s="292">
        <v>22</v>
      </c>
    </row>
    <row r="39" spans="1:18">
      <c r="A39" s="282" t="s">
        <v>85</v>
      </c>
      <c r="B39" s="282">
        <v>3</v>
      </c>
      <c r="C39" s="282">
        <v>2</v>
      </c>
      <c r="D39" s="282">
        <v>3</v>
      </c>
      <c r="E39" s="293">
        <v>8</v>
      </c>
      <c r="F39" s="282">
        <v>3</v>
      </c>
      <c r="G39" s="282">
        <v>3</v>
      </c>
      <c r="H39" s="282">
        <v>3</v>
      </c>
      <c r="I39" s="293">
        <v>9</v>
      </c>
      <c r="J39" s="282">
        <v>3</v>
      </c>
      <c r="K39" s="282">
        <v>3</v>
      </c>
      <c r="L39" s="282">
        <v>3</v>
      </c>
      <c r="M39" s="293">
        <v>9</v>
      </c>
      <c r="N39" s="282">
        <v>4</v>
      </c>
      <c r="O39" s="282">
        <v>4</v>
      </c>
      <c r="P39" s="282">
        <v>4</v>
      </c>
      <c r="Q39" s="293">
        <v>12</v>
      </c>
      <c r="R39" s="292">
        <v>38</v>
      </c>
    </row>
    <row r="40" spans="1:18">
      <c r="A40" s="282" t="s">
        <v>27</v>
      </c>
      <c r="B40" s="282">
        <v>13</v>
      </c>
      <c r="C40" s="282">
        <v>14</v>
      </c>
      <c r="D40" s="282">
        <v>17</v>
      </c>
      <c r="E40" s="293">
        <v>44</v>
      </c>
      <c r="F40" s="282">
        <v>18</v>
      </c>
      <c r="G40" s="282">
        <v>18</v>
      </c>
      <c r="H40" s="282">
        <v>18</v>
      </c>
      <c r="I40" s="293">
        <v>54</v>
      </c>
      <c r="J40" s="282">
        <v>17</v>
      </c>
      <c r="K40" s="282">
        <v>20</v>
      </c>
      <c r="L40" s="282">
        <v>20</v>
      </c>
      <c r="M40" s="293">
        <v>57</v>
      </c>
      <c r="N40" s="282">
        <v>23</v>
      </c>
      <c r="O40" s="282">
        <v>23</v>
      </c>
      <c r="P40" s="282">
        <v>22</v>
      </c>
      <c r="Q40" s="293">
        <v>68</v>
      </c>
      <c r="R40" s="292">
        <v>223</v>
      </c>
    </row>
    <row r="41" spans="1:18">
      <c r="A41" s="282" t="s">
        <v>64</v>
      </c>
      <c r="B41" s="282">
        <v>2</v>
      </c>
      <c r="C41" s="282">
        <v>2</v>
      </c>
      <c r="D41" s="282">
        <v>2</v>
      </c>
      <c r="E41" s="293">
        <v>6</v>
      </c>
      <c r="F41" s="282">
        <v>3</v>
      </c>
      <c r="G41" s="282">
        <v>3</v>
      </c>
      <c r="H41" s="282">
        <v>3</v>
      </c>
      <c r="I41" s="293">
        <v>9</v>
      </c>
      <c r="J41" s="282">
        <v>2</v>
      </c>
      <c r="K41" s="282">
        <v>3</v>
      </c>
      <c r="L41" s="282">
        <v>3</v>
      </c>
      <c r="M41" s="293">
        <v>8</v>
      </c>
      <c r="N41" s="282">
        <v>3</v>
      </c>
      <c r="O41" s="282">
        <v>3</v>
      </c>
      <c r="P41" s="282">
        <v>3</v>
      </c>
      <c r="Q41" s="293">
        <v>9</v>
      </c>
      <c r="R41" s="292">
        <v>32</v>
      </c>
    </row>
    <row r="42" spans="1:18">
      <c r="A42" s="282" t="s">
        <v>51</v>
      </c>
      <c r="B42" s="282">
        <v>3</v>
      </c>
      <c r="C42" s="282">
        <v>3</v>
      </c>
      <c r="D42" s="282">
        <v>3</v>
      </c>
      <c r="E42" s="293">
        <v>9</v>
      </c>
      <c r="F42" s="282">
        <v>3</v>
      </c>
      <c r="G42" s="282">
        <v>3</v>
      </c>
      <c r="H42" s="282">
        <v>3</v>
      </c>
      <c r="I42" s="293">
        <v>9</v>
      </c>
      <c r="J42" s="282">
        <v>3</v>
      </c>
      <c r="K42" s="282">
        <v>4</v>
      </c>
      <c r="L42" s="282">
        <v>4</v>
      </c>
      <c r="M42" s="293">
        <v>11</v>
      </c>
      <c r="N42" s="282">
        <v>4</v>
      </c>
      <c r="O42" s="282">
        <v>4</v>
      </c>
      <c r="P42" s="282">
        <v>4</v>
      </c>
      <c r="Q42" s="293">
        <v>12</v>
      </c>
      <c r="R42" s="292">
        <v>41</v>
      </c>
    </row>
    <row r="43" spans="1:18">
      <c r="J43" s="294"/>
    </row>
    <row r="46" spans="1:18">
      <c r="A46" s="308" t="s">
        <v>885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</row>
    <row r="48" spans="1:18">
      <c r="B48" s="282" t="s">
        <v>642</v>
      </c>
      <c r="C48" s="282" t="s">
        <v>643</v>
      </c>
      <c r="D48" s="282" t="s">
        <v>644</v>
      </c>
      <c r="E48" s="282" t="s">
        <v>869</v>
      </c>
      <c r="F48" s="282" t="s">
        <v>645</v>
      </c>
      <c r="G48" s="282" t="s">
        <v>646</v>
      </c>
      <c r="H48" s="282" t="s">
        <v>647</v>
      </c>
      <c r="I48" s="282" t="s">
        <v>870</v>
      </c>
      <c r="J48" s="282" t="s">
        <v>648</v>
      </c>
      <c r="K48" s="282" t="s">
        <v>649</v>
      </c>
      <c r="L48" s="282" t="s">
        <v>650</v>
      </c>
      <c r="M48" s="282" t="s">
        <v>871</v>
      </c>
      <c r="N48" s="282" t="s">
        <v>651</v>
      </c>
      <c r="O48" s="282" t="s">
        <v>652</v>
      </c>
      <c r="P48" s="282" t="s">
        <v>653</v>
      </c>
      <c r="Q48" s="282" t="s">
        <v>872</v>
      </c>
      <c r="R48" s="281" t="s">
        <v>654</v>
      </c>
    </row>
    <row r="50" spans="1:18">
      <c r="A50" s="281" t="s">
        <v>873</v>
      </c>
      <c r="B50" s="292">
        <v>200</v>
      </c>
      <c r="C50" s="292">
        <v>253</v>
      </c>
      <c r="D50" s="292">
        <v>282</v>
      </c>
      <c r="E50" s="292">
        <v>735</v>
      </c>
      <c r="F50" s="292">
        <v>333</v>
      </c>
      <c r="G50" s="292">
        <v>294</v>
      </c>
      <c r="H50" s="292">
        <v>253</v>
      </c>
      <c r="I50" s="292">
        <v>880</v>
      </c>
      <c r="J50" s="292">
        <v>234</v>
      </c>
      <c r="K50" s="292">
        <v>296</v>
      </c>
      <c r="L50" s="292">
        <v>324</v>
      </c>
      <c r="M50" s="292">
        <v>854</v>
      </c>
      <c r="N50" s="292">
        <v>303</v>
      </c>
      <c r="O50" s="292">
        <v>326</v>
      </c>
      <c r="P50" s="292">
        <v>402</v>
      </c>
      <c r="Q50" s="292">
        <v>1031</v>
      </c>
      <c r="R50" s="292">
        <v>3500</v>
      </c>
    </row>
    <row r="52" spans="1:18">
      <c r="A52" s="282" t="s">
        <v>59</v>
      </c>
      <c r="B52" s="293">
        <v>4</v>
      </c>
      <c r="C52" s="293">
        <v>5</v>
      </c>
      <c r="D52" s="293">
        <v>5</v>
      </c>
      <c r="E52" s="293">
        <v>14</v>
      </c>
      <c r="F52" s="293">
        <v>6</v>
      </c>
      <c r="G52" s="293">
        <v>5</v>
      </c>
      <c r="H52" s="293">
        <v>4</v>
      </c>
      <c r="I52" s="293">
        <v>15</v>
      </c>
      <c r="J52" s="293">
        <v>5</v>
      </c>
      <c r="K52" s="293">
        <v>5</v>
      </c>
      <c r="L52" s="293">
        <v>7</v>
      </c>
      <c r="M52" s="293">
        <v>17</v>
      </c>
      <c r="N52" s="293">
        <v>6</v>
      </c>
      <c r="O52" s="293">
        <v>7</v>
      </c>
      <c r="P52" s="293">
        <v>8</v>
      </c>
      <c r="Q52" s="293">
        <v>21</v>
      </c>
      <c r="R52" s="292">
        <v>67</v>
      </c>
    </row>
    <row r="53" spans="1:18">
      <c r="A53" s="282" t="s">
        <v>40</v>
      </c>
      <c r="B53" s="293">
        <v>24</v>
      </c>
      <c r="C53" s="293">
        <v>31</v>
      </c>
      <c r="D53" s="293">
        <v>33</v>
      </c>
      <c r="E53" s="293">
        <v>88</v>
      </c>
      <c r="F53" s="293">
        <v>42</v>
      </c>
      <c r="G53" s="293">
        <v>36</v>
      </c>
      <c r="H53" s="293">
        <v>30</v>
      </c>
      <c r="I53" s="293">
        <v>108</v>
      </c>
      <c r="J53" s="293">
        <v>27</v>
      </c>
      <c r="K53" s="293">
        <v>38</v>
      </c>
      <c r="L53" s="293">
        <v>39</v>
      </c>
      <c r="M53" s="293">
        <v>104</v>
      </c>
      <c r="N53" s="293">
        <v>33</v>
      </c>
      <c r="O53" s="293">
        <v>35</v>
      </c>
      <c r="P53" s="293">
        <v>44</v>
      </c>
      <c r="Q53" s="293">
        <v>112</v>
      </c>
      <c r="R53" s="292">
        <v>412</v>
      </c>
    </row>
    <row r="54" spans="1:18">
      <c r="A54" s="282" t="s">
        <v>37</v>
      </c>
      <c r="B54" s="293">
        <v>7</v>
      </c>
      <c r="C54" s="293">
        <v>8</v>
      </c>
      <c r="D54" s="293">
        <v>9</v>
      </c>
      <c r="E54" s="293">
        <v>24</v>
      </c>
      <c r="F54" s="293">
        <v>9</v>
      </c>
      <c r="G54" s="293">
        <v>9</v>
      </c>
      <c r="H54" s="293">
        <v>10</v>
      </c>
      <c r="I54" s="293">
        <v>28</v>
      </c>
      <c r="J54" s="293">
        <v>8</v>
      </c>
      <c r="K54" s="293">
        <v>9</v>
      </c>
      <c r="L54" s="293">
        <v>10</v>
      </c>
      <c r="M54" s="293">
        <v>27</v>
      </c>
      <c r="N54" s="293">
        <v>7</v>
      </c>
      <c r="O54" s="293">
        <v>9</v>
      </c>
      <c r="P54" s="293">
        <v>10</v>
      </c>
      <c r="Q54" s="293">
        <v>26</v>
      </c>
      <c r="R54" s="292">
        <v>105</v>
      </c>
    </row>
    <row r="55" spans="1:18">
      <c r="A55" s="282" t="s">
        <v>66</v>
      </c>
      <c r="B55" s="293">
        <v>9</v>
      </c>
      <c r="C55" s="293">
        <v>11</v>
      </c>
      <c r="D55" s="293">
        <v>14</v>
      </c>
      <c r="E55" s="293">
        <v>34</v>
      </c>
      <c r="F55" s="293">
        <v>16</v>
      </c>
      <c r="G55" s="293">
        <v>14</v>
      </c>
      <c r="H55" s="293">
        <v>12</v>
      </c>
      <c r="I55" s="293">
        <v>42</v>
      </c>
      <c r="J55" s="293">
        <v>10</v>
      </c>
      <c r="K55" s="293">
        <v>13</v>
      </c>
      <c r="L55" s="293">
        <v>17</v>
      </c>
      <c r="M55" s="293">
        <v>40</v>
      </c>
      <c r="N55" s="293">
        <v>15</v>
      </c>
      <c r="O55" s="293">
        <v>16</v>
      </c>
      <c r="P55" s="293">
        <v>20</v>
      </c>
      <c r="Q55" s="293">
        <v>51</v>
      </c>
      <c r="R55" s="292">
        <v>167</v>
      </c>
    </row>
    <row r="56" spans="1:18">
      <c r="A56" s="282" t="s">
        <v>43</v>
      </c>
      <c r="B56" s="293">
        <v>10</v>
      </c>
      <c r="C56" s="293">
        <v>13</v>
      </c>
      <c r="D56" s="293">
        <v>16</v>
      </c>
      <c r="E56" s="293">
        <v>39</v>
      </c>
      <c r="F56" s="293">
        <v>16</v>
      </c>
      <c r="G56" s="293">
        <v>16</v>
      </c>
      <c r="H56" s="293">
        <v>13</v>
      </c>
      <c r="I56" s="293">
        <v>45</v>
      </c>
      <c r="J56" s="293">
        <v>13</v>
      </c>
      <c r="K56" s="293">
        <v>14</v>
      </c>
      <c r="L56" s="293">
        <v>16</v>
      </c>
      <c r="M56" s="293">
        <v>43</v>
      </c>
      <c r="N56" s="293">
        <v>15</v>
      </c>
      <c r="O56" s="293">
        <v>18</v>
      </c>
      <c r="P56" s="293">
        <v>19</v>
      </c>
      <c r="Q56" s="293">
        <v>52</v>
      </c>
      <c r="R56" s="292">
        <v>179</v>
      </c>
    </row>
    <row r="57" spans="1:18">
      <c r="A57" s="282" t="s">
        <v>31</v>
      </c>
      <c r="B57" s="293">
        <v>26</v>
      </c>
      <c r="C57" s="293">
        <v>30</v>
      </c>
      <c r="D57" s="293">
        <v>33</v>
      </c>
      <c r="E57" s="293">
        <v>89</v>
      </c>
      <c r="F57" s="293">
        <v>39</v>
      </c>
      <c r="G57" s="293">
        <v>35</v>
      </c>
      <c r="H57" s="293">
        <v>30</v>
      </c>
      <c r="I57" s="293">
        <v>104</v>
      </c>
      <c r="J57" s="293">
        <v>29</v>
      </c>
      <c r="K57" s="293">
        <v>36</v>
      </c>
      <c r="L57" s="293">
        <v>35</v>
      </c>
      <c r="M57" s="293">
        <v>100</v>
      </c>
      <c r="N57" s="293">
        <v>35</v>
      </c>
      <c r="O57" s="293">
        <v>39</v>
      </c>
      <c r="P57" s="293">
        <v>45</v>
      </c>
      <c r="Q57" s="293">
        <v>119</v>
      </c>
      <c r="R57" s="292">
        <v>412</v>
      </c>
    </row>
    <row r="58" spans="1:18">
      <c r="A58" s="282" t="s">
        <v>23</v>
      </c>
      <c r="B58" s="293">
        <v>6</v>
      </c>
      <c r="C58" s="293">
        <v>7</v>
      </c>
      <c r="D58" s="293">
        <v>9</v>
      </c>
      <c r="E58" s="293">
        <v>22</v>
      </c>
      <c r="F58" s="293">
        <v>10</v>
      </c>
      <c r="G58" s="293">
        <v>9</v>
      </c>
      <c r="H58" s="293">
        <v>8</v>
      </c>
      <c r="I58" s="293">
        <v>27</v>
      </c>
      <c r="J58" s="293">
        <v>8</v>
      </c>
      <c r="K58" s="293">
        <v>7</v>
      </c>
      <c r="L58" s="293">
        <v>10</v>
      </c>
      <c r="M58" s="293">
        <v>25</v>
      </c>
      <c r="N58" s="293">
        <v>9</v>
      </c>
      <c r="O58" s="293">
        <v>10</v>
      </c>
      <c r="P58" s="293">
        <v>14</v>
      </c>
      <c r="Q58" s="293">
        <v>33</v>
      </c>
      <c r="R58" s="292">
        <v>107</v>
      </c>
    </row>
    <row r="59" spans="1:18">
      <c r="A59" s="282" t="s">
        <v>143</v>
      </c>
      <c r="B59" s="293">
        <v>19</v>
      </c>
      <c r="C59" s="293">
        <v>24</v>
      </c>
      <c r="D59" s="293">
        <v>26</v>
      </c>
      <c r="E59" s="293">
        <v>69</v>
      </c>
      <c r="F59" s="293">
        <v>33</v>
      </c>
      <c r="G59" s="293">
        <v>28</v>
      </c>
      <c r="H59" s="293">
        <v>23</v>
      </c>
      <c r="I59" s="293">
        <v>84</v>
      </c>
      <c r="J59" s="293">
        <v>22</v>
      </c>
      <c r="K59" s="293">
        <v>28</v>
      </c>
      <c r="L59" s="293">
        <v>30</v>
      </c>
      <c r="M59" s="293">
        <v>80</v>
      </c>
      <c r="N59" s="293">
        <v>29</v>
      </c>
      <c r="O59" s="293">
        <v>30</v>
      </c>
      <c r="P59" s="293">
        <v>38</v>
      </c>
      <c r="Q59" s="293">
        <v>97</v>
      </c>
      <c r="R59" s="292">
        <v>330</v>
      </c>
    </row>
    <row r="60" spans="1:18">
      <c r="A60" s="282" t="s">
        <v>874</v>
      </c>
      <c r="B60" s="293">
        <v>44</v>
      </c>
      <c r="C60" s="293">
        <v>56</v>
      </c>
      <c r="D60" s="293">
        <v>56</v>
      </c>
      <c r="E60" s="293">
        <v>156</v>
      </c>
      <c r="F60" s="293">
        <v>64</v>
      </c>
      <c r="G60" s="293">
        <v>61</v>
      </c>
      <c r="H60" s="293">
        <v>56</v>
      </c>
      <c r="I60" s="293">
        <v>181</v>
      </c>
      <c r="J60" s="293">
        <v>49</v>
      </c>
      <c r="K60" s="293">
        <v>66</v>
      </c>
      <c r="L60" s="293">
        <v>68</v>
      </c>
      <c r="M60" s="293">
        <v>183</v>
      </c>
      <c r="N60" s="293">
        <v>70</v>
      </c>
      <c r="O60" s="293">
        <v>73</v>
      </c>
      <c r="P60" s="293">
        <v>86</v>
      </c>
      <c r="Q60" s="293">
        <v>229</v>
      </c>
      <c r="R60" s="292">
        <v>749</v>
      </c>
    </row>
    <row r="61" spans="1:18">
      <c r="A61" s="282" t="s">
        <v>90</v>
      </c>
      <c r="B61" s="293">
        <v>4</v>
      </c>
      <c r="C61" s="293">
        <v>5</v>
      </c>
      <c r="D61" s="293">
        <v>6</v>
      </c>
      <c r="E61" s="293">
        <v>15</v>
      </c>
      <c r="F61" s="293">
        <v>7</v>
      </c>
      <c r="G61" s="293">
        <v>6</v>
      </c>
      <c r="H61" s="293">
        <v>5</v>
      </c>
      <c r="I61" s="293">
        <v>18</v>
      </c>
      <c r="J61" s="293">
        <v>4</v>
      </c>
      <c r="K61" s="293">
        <v>4</v>
      </c>
      <c r="L61" s="293">
        <v>6</v>
      </c>
      <c r="M61" s="293">
        <v>14</v>
      </c>
      <c r="N61" s="293">
        <v>6</v>
      </c>
      <c r="O61" s="293">
        <v>6</v>
      </c>
      <c r="P61" s="293">
        <v>9</v>
      </c>
      <c r="Q61" s="293">
        <v>21</v>
      </c>
      <c r="R61" s="292">
        <v>68</v>
      </c>
    </row>
    <row r="62" spans="1:18">
      <c r="A62" s="282" t="s">
        <v>150</v>
      </c>
      <c r="B62" s="293">
        <v>4</v>
      </c>
      <c r="C62" s="293">
        <v>6</v>
      </c>
      <c r="D62" s="293">
        <v>7</v>
      </c>
      <c r="E62" s="293">
        <v>17</v>
      </c>
      <c r="F62" s="293">
        <v>7</v>
      </c>
      <c r="G62" s="293">
        <v>6</v>
      </c>
      <c r="H62" s="293">
        <v>5</v>
      </c>
      <c r="I62" s="293">
        <v>18</v>
      </c>
      <c r="J62" s="293">
        <v>5</v>
      </c>
      <c r="K62" s="293">
        <v>7</v>
      </c>
      <c r="L62" s="293">
        <v>8</v>
      </c>
      <c r="M62" s="293">
        <v>20</v>
      </c>
      <c r="N62" s="293">
        <v>6</v>
      </c>
      <c r="O62" s="293">
        <v>7</v>
      </c>
      <c r="P62" s="293">
        <v>10</v>
      </c>
      <c r="Q62" s="293">
        <v>23</v>
      </c>
      <c r="R62" s="292">
        <v>78</v>
      </c>
    </row>
    <row r="63" spans="1:18">
      <c r="A63" s="282" t="s">
        <v>85</v>
      </c>
      <c r="B63" s="293">
        <v>7</v>
      </c>
      <c r="C63" s="293">
        <v>9</v>
      </c>
      <c r="D63" s="293">
        <v>9</v>
      </c>
      <c r="E63" s="293">
        <v>25</v>
      </c>
      <c r="F63" s="293">
        <v>11</v>
      </c>
      <c r="G63" s="293">
        <v>10</v>
      </c>
      <c r="H63" s="293">
        <v>8</v>
      </c>
      <c r="I63" s="293">
        <v>29</v>
      </c>
      <c r="J63" s="293">
        <v>8</v>
      </c>
      <c r="K63" s="293">
        <v>10</v>
      </c>
      <c r="L63" s="293">
        <v>12</v>
      </c>
      <c r="M63" s="293">
        <v>30</v>
      </c>
      <c r="N63" s="293">
        <v>10</v>
      </c>
      <c r="O63" s="293">
        <v>10</v>
      </c>
      <c r="P63" s="293">
        <v>13</v>
      </c>
      <c r="Q63" s="293">
        <v>33</v>
      </c>
      <c r="R63" s="292">
        <v>117</v>
      </c>
    </row>
    <row r="64" spans="1:18">
      <c r="A64" s="282" t="s">
        <v>27</v>
      </c>
      <c r="B64" s="293">
        <v>28</v>
      </c>
      <c r="C64" s="293">
        <v>35</v>
      </c>
      <c r="D64" s="293">
        <v>40</v>
      </c>
      <c r="E64" s="293">
        <v>103</v>
      </c>
      <c r="F64" s="293">
        <v>48</v>
      </c>
      <c r="G64" s="293">
        <v>40</v>
      </c>
      <c r="H64" s="293">
        <v>34</v>
      </c>
      <c r="I64" s="293">
        <v>122</v>
      </c>
      <c r="J64" s="293">
        <v>33</v>
      </c>
      <c r="K64" s="293">
        <v>41</v>
      </c>
      <c r="L64" s="293">
        <v>44</v>
      </c>
      <c r="M64" s="293">
        <v>118</v>
      </c>
      <c r="N64" s="293">
        <v>42</v>
      </c>
      <c r="O64" s="293">
        <v>43</v>
      </c>
      <c r="P64" s="293">
        <v>54</v>
      </c>
      <c r="Q64" s="293">
        <v>139</v>
      </c>
      <c r="R64" s="292">
        <v>482</v>
      </c>
    </row>
    <row r="65" spans="1:18">
      <c r="A65" s="282" t="s">
        <v>64</v>
      </c>
      <c r="B65" s="293">
        <v>5</v>
      </c>
      <c r="C65" s="293">
        <v>7</v>
      </c>
      <c r="D65" s="293">
        <v>10</v>
      </c>
      <c r="E65" s="293">
        <v>22</v>
      </c>
      <c r="F65" s="293">
        <v>10</v>
      </c>
      <c r="G65" s="293">
        <v>8</v>
      </c>
      <c r="H65" s="293">
        <v>7</v>
      </c>
      <c r="I65" s="293">
        <v>25</v>
      </c>
      <c r="J65" s="293">
        <v>7</v>
      </c>
      <c r="K65" s="293">
        <v>8</v>
      </c>
      <c r="L65" s="293">
        <v>11</v>
      </c>
      <c r="M65" s="293">
        <v>26</v>
      </c>
      <c r="N65" s="293">
        <v>8</v>
      </c>
      <c r="O65" s="293">
        <v>9</v>
      </c>
      <c r="P65" s="293">
        <v>13</v>
      </c>
      <c r="Q65" s="293">
        <v>30</v>
      </c>
      <c r="R65" s="292">
        <v>103</v>
      </c>
    </row>
    <row r="66" spans="1:18">
      <c r="A66" s="282" t="s">
        <v>51</v>
      </c>
      <c r="B66" s="293">
        <v>3</v>
      </c>
      <c r="C66" s="293">
        <v>6</v>
      </c>
      <c r="D66" s="293">
        <v>9</v>
      </c>
      <c r="E66" s="293">
        <v>18</v>
      </c>
      <c r="F66" s="293">
        <v>15</v>
      </c>
      <c r="G66" s="293">
        <v>11</v>
      </c>
      <c r="H66" s="293">
        <v>8</v>
      </c>
      <c r="I66" s="293">
        <v>34</v>
      </c>
      <c r="J66" s="293">
        <v>6</v>
      </c>
      <c r="K66" s="293">
        <v>10</v>
      </c>
      <c r="L66" s="293">
        <v>11</v>
      </c>
      <c r="M66" s="293">
        <v>27</v>
      </c>
      <c r="N66" s="293">
        <v>12</v>
      </c>
      <c r="O66" s="293">
        <v>14</v>
      </c>
      <c r="P66" s="293">
        <v>19</v>
      </c>
      <c r="Q66" s="293">
        <v>45</v>
      </c>
      <c r="R66" s="292">
        <v>124</v>
      </c>
    </row>
    <row r="69" spans="1:18">
      <c r="A69" s="333" t="s">
        <v>1010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</row>
    <row r="71" spans="1:18" ht="38.25" customHeight="1">
      <c r="A71" s="283" t="s">
        <v>602</v>
      </c>
      <c r="B71" s="284" t="s">
        <v>642</v>
      </c>
      <c r="C71" s="284" t="s">
        <v>643</v>
      </c>
      <c r="D71" s="284" t="s">
        <v>644</v>
      </c>
      <c r="E71" s="284" t="s">
        <v>645</v>
      </c>
      <c r="F71" s="284" t="s">
        <v>646</v>
      </c>
      <c r="G71" s="284" t="s">
        <v>647</v>
      </c>
      <c r="H71" s="284" t="s">
        <v>648</v>
      </c>
      <c r="I71" s="284" t="s">
        <v>649</v>
      </c>
      <c r="J71" s="284" t="s">
        <v>650</v>
      </c>
      <c r="K71" s="284" t="s">
        <v>651</v>
      </c>
      <c r="L71" s="284" t="s">
        <v>652</v>
      </c>
      <c r="M71" s="284" t="s">
        <v>653</v>
      </c>
      <c r="R71" s="282"/>
    </row>
    <row r="72" spans="1:18">
      <c r="A72" s="288" t="s">
        <v>609</v>
      </c>
      <c r="B72" s="289">
        <f t="shared" ref="B72:B84" si="8">B4</f>
        <v>5</v>
      </c>
      <c r="C72" s="289">
        <f t="shared" ref="C72:D84" si="9">SUM(B72,C4)</f>
        <v>13</v>
      </c>
      <c r="D72" s="289">
        <f t="shared" si="9"/>
        <v>23</v>
      </c>
      <c r="E72" s="289">
        <f t="shared" ref="E72:G84" si="10">SUM(D72,F4)</f>
        <v>34</v>
      </c>
      <c r="F72" s="289">
        <f t="shared" si="10"/>
        <v>44</v>
      </c>
      <c r="G72" s="289">
        <f t="shared" si="10"/>
        <v>53</v>
      </c>
      <c r="H72" s="289">
        <f t="shared" ref="H72:H84" si="11">SUM(G72,J4)</f>
        <v>59</v>
      </c>
      <c r="I72" s="289">
        <f t="shared" ref="I72:I84" si="12">SUM(H72,K4)</f>
        <v>69</v>
      </c>
      <c r="J72" s="289">
        <f t="shared" ref="J72:J84" si="13">SUM(I72,L4)</f>
        <v>80</v>
      </c>
      <c r="K72" s="289">
        <f t="shared" ref="K72:K84" si="14">SUM(J72,N4)</f>
        <v>91</v>
      </c>
      <c r="L72" s="289">
        <f t="shared" ref="L72:L84" si="15">SUM(K72,O4)</f>
        <v>101</v>
      </c>
      <c r="M72" s="289">
        <f t="shared" ref="M72:M84" si="16">SUM(L72,P4)</f>
        <v>111</v>
      </c>
      <c r="R72" s="282"/>
    </row>
    <row r="73" spans="1:18">
      <c r="A73" s="288" t="s">
        <v>605</v>
      </c>
      <c r="B73" s="289">
        <f t="shared" si="8"/>
        <v>27</v>
      </c>
      <c r="C73" s="289">
        <f t="shared" si="9"/>
        <v>68</v>
      </c>
      <c r="D73" s="289">
        <f t="shared" si="9"/>
        <v>120</v>
      </c>
      <c r="E73" s="289">
        <f t="shared" si="10"/>
        <v>177</v>
      </c>
      <c r="F73" s="289">
        <f t="shared" si="10"/>
        <v>232</v>
      </c>
      <c r="G73" s="289">
        <f t="shared" si="10"/>
        <v>283</v>
      </c>
      <c r="H73" s="289">
        <f t="shared" si="11"/>
        <v>315</v>
      </c>
      <c r="I73" s="289">
        <f t="shared" si="12"/>
        <v>375</v>
      </c>
      <c r="J73" s="289">
        <f t="shared" si="13"/>
        <v>432</v>
      </c>
      <c r="K73" s="289">
        <f t="shared" si="14"/>
        <v>489</v>
      </c>
      <c r="L73" s="289">
        <f t="shared" si="15"/>
        <v>543</v>
      </c>
      <c r="M73" s="289">
        <f t="shared" si="16"/>
        <v>599</v>
      </c>
      <c r="R73" s="282"/>
    </row>
    <row r="74" spans="1:18">
      <c r="A74" s="288" t="s">
        <v>618</v>
      </c>
      <c r="B74" s="289">
        <f t="shared" si="8"/>
        <v>7</v>
      </c>
      <c r="C74" s="289">
        <f t="shared" si="9"/>
        <v>18</v>
      </c>
      <c r="D74" s="289">
        <f t="shared" si="9"/>
        <v>32</v>
      </c>
      <c r="E74" s="289">
        <f t="shared" si="10"/>
        <v>47</v>
      </c>
      <c r="F74" s="289">
        <f t="shared" si="10"/>
        <v>62</v>
      </c>
      <c r="G74" s="289">
        <f t="shared" si="10"/>
        <v>75</v>
      </c>
      <c r="H74" s="289">
        <f t="shared" si="11"/>
        <v>84</v>
      </c>
      <c r="I74" s="289">
        <f t="shared" si="12"/>
        <v>99</v>
      </c>
      <c r="J74" s="289">
        <f t="shared" si="13"/>
        <v>114</v>
      </c>
      <c r="K74" s="289">
        <f t="shared" si="14"/>
        <v>129</v>
      </c>
      <c r="L74" s="289">
        <f t="shared" si="15"/>
        <v>143</v>
      </c>
      <c r="M74" s="289">
        <f t="shared" si="16"/>
        <v>159</v>
      </c>
      <c r="R74" s="282"/>
    </row>
    <row r="75" spans="1:18">
      <c r="A75" s="288" t="s">
        <v>610</v>
      </c>
      <c r="B75" s="289">
        <f t="shared" si="8"/>
        <v>12</v>
      </c>
      <c r="C75" s="289">
        <f t="shared" si="9"/>
        <v>29</v>
      </c>
      <c r="D75" s="289">
        <f t="shared" si="9"/>
        <v>51</v>
      </c>
      <c r="E75" s="289">
        <f t="shared" si="10"/>
        <v>75</v>
      </c>
      <c r="F75" s="289">
        <f t="shared" si="10"/>
        <v>98</v>
      </c>
      <c r="G75" s="289">
        <f t="shared" si="10"/>
        <v>119</v>
      </c>
      <c r="H75" s="289">
        <f t="shared" si="11"/>
        <v>133</v>
      </c>
      <c r="I75" s="289">
        <f t="shared" si="12"/>
        <v>156</v>
      </c>
      <c r="J75" s="289">
        <f t="shared" si="13"/>
        <v>180</v>
      </c>
      <c r="K75" s="289">
        <f t="shared" si="14"/>
        <v>204</v>
      </c>
      <c r="L75" s="289">
        <f t="shared" si="15"/>
        <v>227</v>
      </c>
      <c r="M75" s="289">
        <f t="shared" si="16"/>
        <v>253</v>
      </c>
      <c r="R75" s="282"/>
    </row>
    <row r="76" spans="1:18">
      <c r="A76" s="288" t="s">
        <v>614</v>
      </c>
      <c r="B76" s="289">
        <f t="shared" si="8"/>
        <v>11</v>
      </c>
      <c r="C76" s="289">
        <f t="shared" si="9"/>
        <v>27</v>
      </c>
      <c r="D76" s="289">
        <f t="shared" si="9"/>
        <v>48</v>
      </c>
      <c r="E76" s="289">
        <f t="shared" si="10"/>
        <v>71</v>
      </c>
      <c r="F76" s="289">
        <f t="shared" si="10"/>
        <v>93</v>
      </c>
      <c r="G76" s="289">
        <f t="shared" si="10"/>
        <v>113</v>
      </c>
      <c r="H76" s="289">
        <f t="shared" si="11"/>
        <v>126</v>
      </c>
      <c r="I76" s="289">
        <f t="shared" si="12"/>
        <v>153</v>
      </c>
      <c r="J76" s="289">
        <f t="shared" si="13"/>
        <v>176</v>
      </c>
      <c r="K76" s="289">
        <f t="shared" si="14"/>
        <v>199</v>
      </c>
      <c r="L76" s="289">
        <f t="shared" si="15"/>
        <v>221</v>
      </c>
      <c r="M76" s="289">
        <f t="shared" si="16"/>
        <v>241</v>
      </c>
      <c r="R76" s="282"/>
    </row>
    <row r="77" spans="1:18">
      <c r="A77" s="288" t="s">
        <v>607</v>
      </c>
      <c r="B77" s="289">
        <f t="shared" si="8"/>
        <v>26</v>
      </c>
      <c r="C77" s="289">
        <f t="shared" si="9"/>
        <v>65</v>
      </c>
      <c r="D77" s="289">
        <f t="shared" si="9"/>
        <v>115</v>
      </c>
      <c r="E77" s="289">
        <f t="shared" si="10"/>
        <v>169</v>
      </c>
      <c r="F77" s="289">
        <f t="shared" si="10"/>
        <v>221</v>
      </c>
      <c r="G77" s="289">
        <f t="shared" si="10"/>
        <v>269</v>
      </c>
      <c r="H77" s="289">
        <f t="shared" si="11"/>
        <v>300</v>
      </c>
      <c r="I77" s="289">
        <f t="shared" si="12"/>
        <v>358</v>
      </c>
      <c r="J77" s="289">
        <f t="shared" si="13"/>
        <v>412</v>
      </c>
      <c r="K77" s="289">
        <f t="shared" si="14"/>
        <v>466</v>
      </c>
      <c r="L77" s="289">
        <f t="shared" si="15"/>
        <v>518</v>
      </c>
      <c r="M77" s="289">
        <f t="shared" si="16"/>
        <v>571</v>
      </c>
      <c r="R77" s="282"/>
    </row>
    <row r="78" spans="1:18">
      <c r="A78" s="288" t="s">
        <v>608</v>
      </c>
      <c r="B78" s="289">
        <f t="shared" si="8"/>
        <v>7</v>
      </c>
      <c r="C78" s="289">
        <f t="shared" si="9"/>
        <v>17</v>
      </c>
      <c r="D78" s="289">
        <f t="shared" si="9"/>
        <v>30</v>
      </c>
      <c r="E78" s="289">
        <f t="shared" si="10"/>
        <v>44</v>
      </c>
      <c r="F78" s="289">
        <f t="shared" si="10"/>
        <v>58</v>
      </c>
      <c r="G78" s="289">
        <f t="shared" si="10"/>
        <v>70</v>
      </c>
      <c r="H78" s="289">
        <f t="shared" si="11"/>
        <v>78</v>
      </c>
      <c r="I78" s="289">
        <f t="shared" si="12"/>
        <v>88</v>
      </c>
      <c r="J78" s="289">
        <f t="shared" si="13"/>
        <v>102</v>
      </c>
      <c r="K78" s="289">
        <f t="shared" si="14"/>
        <v>116</v>
      </c>
      <c r="L78" s="289">
        <f t="shared" si="15"/>
        <v>129</v>
      </c>
      <c r="M78" s="289">
        <f t="shared" si="16"/>
        <v>147</v>
      </c>
      <c r="R78" s="282"/>
    </row>
    <row r="79" spans="1:18">
      <c r="A79" s="288" t="s">
        <v>656</v>
      </c>
      <c r="B79" s="289">
        <f t="shared" si="8"/>
        <v>21</v>
      </c>
      <c r="C79" s="289">
        <f t="shared" si="9"/>
        <v>52</v>
      </c>
      <c r="D79" s="289">
        <f t="shared" si="9"/>
        <v>92</v>
      </c>
      <c r="E79" s="289">
        <f t="shared" si="10"/>
        <v>136</v>
      </c>
      <c r="F79" s="289">
        <f t="shared" si="10"/>
        <v>178</v>
      </c>
      <c r="G79" s="289">
        <f t="shared" si="10"/>
        <v>217</v>
      </c>
      <c r="H79" s="289">
        <f t="shared" si="11"/>
        <v>242</v>
      </c>
      <c r="I79" s="289">
        <f t="shared" si="12"/>
        <v>286</v>
      </c>
      <c r="J79" s="289">
        <f t="shared" si="13"/>
        <v>330</v>
      </c>
      <c r="K79" s="289">
        <f t="shared" si="14"/>
        <v>374</v>
      </c>
      <c r="L79" s="289">
        <f t="shared" si="15"/>
        <v>416</v>
      </c>
      <c r="M79" s="289">
        <f t="shared" si="16"/>
        <v>459</v>
      </c>
      <c r="R79" s="282"/>
    </row>
    <row r="80" spans="1:18">
      <c r="A80" s="288" t="s">
        <v>641</v>
      </c>
      <c r="B80" s="289">
        <f t="shared" si="8"/>
        <v>50</v>
      </c>
      <c r="C80" s="289">
        <f t="shared" si="9"/>
        <v>124</v>
      </c>
      <c r="D80" s="289">
        <f t="shared" si="9"/>
        <v>218</v>
      </c>
      <c r="E80" s="289">
        <f t="shared" si="10"/>
        <v>318</v>
      </c>
      <c r="F80" s="289">
        <f t="shared" si="10"/>
        <v>410</v>
      </c>
      <c r="G80" s="289">
        <f t="shared" si="10"/>
        <v>468</v>
      </c>
      <c r="H80" s="289">
        <f t="shared" si="11"/>
        <v>570</v>
      </c>
      <c r="I80" s="289">
        <f t="shared" si="12"/>
        <v>673</v>
      </c>
      <c r="J80" s="289">
        <f t="shared" si="13"/>
        <v>776</v>
      </c>
      <c r="K80" s="289">
        <f t="shared" si="14"/>
        <v>879</v>
      </c>
      <c r="L80" s="289">
        <f t="shared" si="15"/>
        <v>978</v>
      </c>
      <c r="M80" s="289">
        <f t="shared" si="16"/>
        <v>1080</v>
      </c>
      <c r="R80" s="282"/>
    </row>
    <row r="81" spans="1:18">
      <c r="A81" s="288" t="s">
        <v>615</v>
      </c>
      <c r="B81" s="289">
        <f t="shared" si="8"/>
        <v>4</v>
      </c>
      <c r="C81" s="289">
        <f t="shared" si="9"/>
        <v>10</v>
      </c>
      <c r="D81" s="289">
        <f t="shared" si="9"/>
        <v>18</v>
      </c>
      <c r="E81" s="289">
        <f t="shared" si="10"/>
        <v>27</v>
      </c>
      <c r="F81" s="289">
        <f t="shared" si="10"/>
        <v>35</v>
      </c>
      <c r="G81" s="289">
        <f t="shared" si="10"/>
        <v>43</v>
      </c>
      <c r="H81" s="289">
        <f t="shared" si="11"/>
        <v>48</v>
      </c>
      <c r="I81" s="289">
        <f t="shared" si="12"/>
        <v>61</v>
      </c>
      <c r="J81" s="289">
        <f t="shared" si="13"/>
        <v>70</v>
      </c>
      <c r="K81" s="289">
        <f t="shared" si="14"/>
        <v>79</v>
      </c>
      <c r="L81" s="289">
        <f t="shared" si="15"/>
        <v>87</v>
      </c>
      <c r="M81" s="289">
        <f t="shared" si="16"/>
        <v>91</v>
      </c>
      <c r="R81" s="282"/>
    </row>
    <row r="82" spans="1:18">
      <c r="A82" s="288" t="s">
        <v>613</v>
      </c>
      <c r="B82" s="289">
        <f t="shared" si="8"/>
        <v>5</v>
      </c>
      <c r="C82" s="289">
        <f t="shared" si="9"/>
        <v>12</v>
      </c>
      <c r="D82" s="289">
        <f t="shared" si="9"/>
        <v>21</v>
      </c>
      <c r="E82" s="289">
        <f t="shared" si="10"/>
        <v>31</v>
      </c>
      <c r="F82" s="289">
        <f t="shared" si="10"/>
        <v>41</v>
      </c>
      <c r="G82" s="289">
        <f t="shared" si="10"/>
        <v>50</v>
      </c>
      <c r="H82" s="289">
        <f t="shared" si="11"/>
        <v>56</v>
      </c>
      <c r="I82" s="289">
        <f t="shared" si="12"/>
        <v>68</v>
      </c>
      <c r="J82" s="289">
        <f t="shared" si="13"/>
        <v>78</v>
      </c>
      <c r="K82" s="289">
        <f t="shared" si="14"/>
        <v>88</v>
      </c>
      <c r="L82" s="289">
        <f t="shared" si="15"/>
        <v>98</v>
      </c>
      <c r="M82" s="289">
        <f t="shared" si="16"/>
        <v>104</v>
      </c>
      <c r="R82" s="282"/>
    </row>
    <row r="83" spans="1:18">
      <c r="A83" s="288" t="s">
        <v>611</v>
      </c>
      <c r="B83" s="289">
        <f t="shared" si="8"/>
        <v>8</v>
      </c>
      <c r="C83" s="289">
        <f t="shared" si="9"/>
        <v>19</v>
      </c>
      <c r="D83" s="289">
        <f t="shared" si="9"/>
        <v>34</v>
      </c>
      <c r="E83" s="289">
        <f t="shared" si="10"/>
        <v>50</v>
      </c>
      <c r="F83" s="289">
        <f t="shared" si="10"/>
        <v>65</v>
      </c>
      <c r="G83" s="289">
        <f t="shared" si="10"/>
        <v>79</v>
      </c>
      <c r="H83" s="289">
        <f t="shared" si="11"/>
        <v>88</v>
      </c>
      <c r="I83" s="289">
        <f t="shared" si="12"/>
        <v>105</v>
      </c>
      <c r="J83" s="289">
        <f t="shared" si="13"/>
        <v>121</v>
      </c>
      <c r="K83" s="289">
        <f t="shared" si="14"/>
        <v>137</v>
      </c>
      <c r="L83" s="289">
        <f t="shared" si="15"/>
        <v>152</v>
      </c>
      <c r="M83" s="289">
        <f t="shared" si="16"/>
        <v>166</v>
      </c>
      <c r="R83" s="282"/>
    </row>
    <row r="84" spans="1:18">
      <c r="A84" s="288" t="s">
        <v>606</v>
      </c>
      <c r="B84" s="289">
        <f t="shared" si="8"/>
        <v>31</v>
      </c>
      <c r="C84" s="289">
        <f t="shared" si="9"/>
        <v>76</v>
      </c>
      <c r="D84" s="289">
        <f t="shared" si="9"/>
        <v>134</v>
      </c>
      <c r="E84" s="289">
        <f t="shared" si="10"/>
        <v>197</v>
      </c>
      <c r="F84" s="289">
        <f t="shared" si="10"/>
        <v>258</v>
      </c>
      <c r="G84" s="289">
        <f t="shared" si="10"/>
        <v>315</v>
      </c>
      <c r="H84" s="289">
        <f t="shared" si="11"/>
        <v>351</v>
      </c>
      <c r="I84" s="289">
        <f t="shared" si="12"/>
        <v>416</v>
      </c>
      <c r="J84" s="289">
        <f t="shared" si="13"/>
        <v>479</v>
      </c>
      <c r="K84" s="289">
        <f t="shared" si="14"/>
        <v>542</v>
      </c>
      <c r="L84" s="289">
        <f t="shared" si="15"/>
        <v>603</v>
      </c>
      <c r="M84" s="289">
        <f t="shared" si="16"/>
        <v>667</v>
      </c>
      <c r="R84" s="282"/>
    </row>
    <row r="85" spans="1:18">
      <c r="A85" s="288" t="s">
        <v>612</v>
      </c>
      <c r="B85" s="289">
        <f t="shared" ref="B85:B86" si="17">B17</f>
        <v>6</v>
      </c>
      <c r="C85" s="289">
        <f t="shared" ref="C85:D85" si="18">SUM(B85,C17)</f>
        <v>15</v>
      </c>
      <c r="D85" s="289">
        <f t="shared" si="18"/>
        <v>26</v>
      </c>
      <c r="E85" s="289">
        <f t="shared" ref="E85:G85" si="19">SUM(D85,F17)</f>
        <v>38</v>
      </c>
      <c r="F85" s="289">
        <f t="shared" si="19"/>
        <v>50</v>
      </c>
      <c r="G85" s="289">
        <f t="shared" si="19"/>
        <v>61</v>
      </c>
      <c r="H85" s="289">
        <f t="shared" ref="H85:J85" si="20">SUM(G85,J17)</f>
        <v>68</v>
      </c>
      <c r="I85" s="289">
        <f t="shared" si="20"/>
        <v>81</v>
      </c>
      <c r="J85" s="289">
        <f t="shared" si="20"/>
        <v>93</v>
      </c>
      <c r="K85" s="289">
        <f t="shared" ref="K85:M85" si="21">SUM(J85,N17)</f>
        <v>105</v>
      </c>
      <c r="L85" s="289">
        <f t="shared" si="21"/>
        <v>117</v>
      </c>
      <c r="M85" s="289">
        <f t="shared" si="21"/>
        <v>127</v>
      </c>
      <c r="R85" s="282"/>
    </row>
    <row r="86" spans="1:18">
      <c r="A86" s="288" t="s">
        <v>617</v>
      </c>
      <c r="B86" s="289">
        <f t="shared" si="17"/>
        <v>10</v>
      </c>
      <c r="C86" s="289">
        <f t="shared" ref="C86:D86" si="22">SUM(B86,C18)</f>
        <v>25</v>
      </c>
      <c r="D86" s="289">
        <f t="shared" si="22"/>
        <v>45</v>
      </c>
      <c r="E86" s="289">
        <f t="shared" ref="E86:G86" si="23">SUM(D86,F18)</f>
        <v>66</v>
      </c>
      <c r="F86" s="289">
        <f t="shared" si="23"/>
        <v>87</v>
      </c>
      <c r="G86" s="289">
        <f t="shared" si="23"/>
        <v>106</v>
      </c>
      <c r="H86" s="289">
        <f t="shared" ref="H86:J86" si="24">SUM(G86,J18)</f>
        <v>118</v>
      </c>
      <c r="I86" s="289">
        <f t="shared" si="24"/>
        <v>142</v>
      </c>
      <c r="J86" s="289">
        <f t="shared" si="24"/>
        <v>163</v>
      </c>
      <c r="K86" s="289">
        <f t="shared" ref="K86:M86" si="25">SUM(J86,N18)</f>
        <v>184</v>
      </c>
      <c r="L86" s="289">
        <f t="shared" si="25"/>
        <v>204</v>
      </c>
      <c r="M86" s="289">
        <f t="shared" si="25"/>
        <v>225</v>
      </c>
      <c r="R86" s="282"/>
    </row>
    <row r="87" spans="1:18">
      <c r="A87" s="283" t="s">
        <v>619</v>
      </c>
      <c r="B87" s="290">
        <f>SUM(B72:B86)</f>
        <v>230</v>
      </c>
      <c r="C87" s="290">
        <f t="shared" ref="C87:M87" si="26">SUM(C72:C86)</f>
        <v>570</v>
      </c>
      <c r="D87" s="290">
        <f t="shared" si="26"/>
        <v>1007</v>
      </c>
      <c r="E87" s="290">
        <f t="shared" si="26"/>
        <v>1480</v>
      </c>
      <c r="F87" s="290">
        <f t="shared" si="26"/>
        <v>1932</v>
      </c>
      <c r="G87" s="290">
        <f t="shared" si="26"/>
        <v>2321</v>
      </c>
      <c r="H87" s="290">
        <f t="shared" si="26"/>
        <v>2636</v>
      </c>
      <c r="I87" s="290">
        <f t="shared" si="26"/>
        <v>3130</v>
      </c>
      <c r="J87" s="290">
        <f t="shared" si="26"/>
        <v>3606</v>
      </c>
      <c r="K87" s="290">
        <f t="shared" si="26"/>
        <v>4082</v>
      </c>
      <c r="L87" s="290">
        <f t="shared" si="26"/>
        <v>4537</v>
      </c>
      <c r="M87" s="290">
        <f t="shared" si="26"/>
        <v>5000</v>
      </c>
      <c r="R87" s="282"/>
    </row>
    <row r="99" spans="1:18">
      <c r="A99" s="295" t="s">
        <v>658</v>
      </c>
      <c r="B99" s="296">
        <v>379</v>
      </c>
      <c r="C99" s="296">
        <v>379</v>
      </c>
      <c r="D99" s="296">
        <v>379</v>
      </c>
      <c r="E99" s="296"/>
      <c r="F99" s="296">
        <v>379</v>
      </c>
      <c r="G99" s="296">
        <v>379</v>
      </c>
      <c r="H99" s="296">
        <v>379</v>
      </c>
      <c r="I99" s="296"/>
      <c r="J99" s="296">
        <v>379</v>
      </c>
      <c r="K99" s="296">
        <v>379</v>
      </c>
      <c r="L99" s="296">
        <v>379</v>
      </c>
      <c r="M99" s="296"/>
      <c r="N99" s="296">
        <v>379</v>
      </c>
      <c r="O99" s="296">
        <v>380</v>
      </c>
      <c r="P99" s="296">
        <v>380</v>
      </c>
      <c r="Q99" s="296"/>
      <c r="R99" s="297">
        <f>SUM(B99:P99)</f>
        <v>4550</v>
      </c>
    </row>
    <row r="100" spans="1:18">
      <c r="A100" s="295" t="s">
        <v>659</v>
      </c>
      <c r="B100" s="296">
        <v>237</v>
      </c>
      <c r="C100" s="296">
        <v>237</v>
      </c>
      <c r="D100" s="296">
        <v>237</v>
      </c>
      <c r="E100" s="296"/>
      <c r="F100" s="296">
        <v>237</v>
      </c>
      <c r="G100" s="296">
        <v>237</v>
      </c>
      <c r="H100" s="296">
        <v>237</v>
      </c>
      <c r="I100" s="296"/>
      <c r="J100" s="296">
        <v>238</v>
      </c>
      <c r="K100" s="296">
        <v>238</v>
      </c>
      <c r="L100" s="296">
        <v>238</v>
      </c>
      <c r="M100" s="296"/>
      <c r="N100" s="296">
        <v>238</v>
      </c>
      <c r="O100" s="296">
        <v>238</v>
      </c>
      <c r="P100" s="296">
        <v>238</v>
      </c>
      <c r="Q100" s="296"/>
      <c r="R100" s="297">
        <f>SUM(B100:P100)</f>
        <v>2850</v>
      </c>
    </row>
    <row r="101" spans="1:18">
      <c r="A101" s="295" t="s">
        <v>660</v>
      </c>
      <c r="B101" s="296">
        <v>125</v>
      </c>
      <c r="C101" s="296">
        <v>125</v>
      </c>
      <c r="D101" s="296">
        <v>125</v>
      </c>
      <c r="E101" s="296"/>
      <c r="F101" s="296">
        <v>125</v>
      </c>
      <c r="G101" s="296">
        <v>125</v>
      </c>
      <c r="H101" s="296">
        <v>125</v>
      </c>
      <c r="I101" s="296"/>
      <c r="J101" s="296">
        <v>125</v>
      </c>
      <c r="K101" s="296">
        <v>125</v>
      </c>
      <c r="L101" s="296">
        <v>125</v>
      </c>
      <c r="M101" s="296"/>
      <c r="N101" s="296">
        <v>125</v>
      </c>
      <c r="O101" s="296">
        <v>125</v>
      </c>
      <c r="P101" s="296">
        <v>125</v>
      </c>
      <c r="Q101" s="296"/>
      <c r="R101" s="297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3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9730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35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2687</v>
      </c>
      <c r="B3" t="str">
        <f>IF(ISNA(VLOOKUP($A3,Councils!$B$6:$AE$841,3,0)),0,VLOOKUP($A3,Councils!$B$6:$AE$841,3,0))</f>
        <v>Del Rio</v>
      </c>
      <c r="C3">
        <f>IF(ISNA(VLOOKUP($A3,Councils!$B$6:$AE$841,4,0)),0,VLOOKUP($A3,Councils!$B$6:$AE$841,4,0))</f>
        <v>170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3245</v>
      </c>
      <c r="B4" t="str">
        <f>IF(ISNA(VLOOKUP($A4,Councils!$B$6:$AE$841,3,0)),0,VLOOKUP($A4,Councils!$B$6:$AE$841,3,0))</f>
        <v>Uvalde</v>
      </c>
      <c r="C4">
        <f>IF(ISNA(VLOOKUP($A4,Councils!$B$6:$AE$841,4,0)),0,VLOOKUP($A4,Councils!$B$6:$AE$841,4,0))</f>
        <v>173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7163</v>
      </c>
      <c r="B5" t="str">
        <f>IF(ISNA(VLOOKUP($A5,Councils!$B$6:$AE$841,3,0)),0,VLOOKUP($A5,Councils!$B$6:$AE$841,3,0))</f>
        <v>Hondo</v>
      </c>
      <c r="C5">
        <f>IF(ISNA(VLOOKUP($A5,Councils!$B$6:$AE$841,4,0)),0,VLOOKUP($A5,Councils!$B$6:$AE$841,4,0))</f>
        <v>76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5192</v>
      </c>
      <c r="B3" t="str">
        <f>IF(ISNA(VLOOKUP($A3,Councils!$B$6:$AE$841,3,0)),0,VLOOKUP($A3,Councils!$B$6:$AE$841,3,0))</f>
        <v>Devine</v>
      </c>
      <c r="C3">
        <f>IF(ISNA(VLOOKUP($A3,Councils!$B$6:$AE$841,4,0)),0,VLOOKUP($A3,Councils!$B$6:$AE$841,4,0))</f>
        <v>170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8327</v>
      </c>
      <c r="B4" t="str">
        <f>IF(ISNA(VLOOKUP($A4,Councils!$B$6:$AE$841,3,0)),0,VLOOKUP($A4,Councils!$B$6:$AE$841,3,0))</f>
        <v>Pearsall</v>
      </c>
      <c r="C4">
        <f>IF(ISNA(VLOOKUP($A4,Councils!$B$6:$AE$841,4,0)),0,VLOOKUP($A4,Councils!$B$6:$AE$841,4,0))</f>
        <v>135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4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8621</v>
      </c>
      <c r="B5" t="str">
        <f>IF(ISNA(VLOOKUP($A5,Councils!$B$6:$AE$841,3,0)),0,VLOOKUP($A5,Councils!$B$6:$AE$841,3,0))</f>
        <v>Lytle</v>
      </c>
      <c r="C5">
        <f>IF(ISNA(VLOOKUP($A5,Councils!$B$6:$AE$841,4,0)),0,VLOOKUP($A5,Councils!$B$6:$AE$841,4,0))</f>
        <v>82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12367</v>
      </c>
      <c r="B6" t="str">
        <f>IF(ISNA(VLOOKUP($A6,Councils!$B$6:$AE$841,3,0)),0,VLOOKUP($A6,Councils!$B$6:$AE$841,3,0))</f>
        <v>Dilley</v>
      </c>
      <c r="C6">
        <f>IF(ISNA(VLOOKUP($A6,Councils!$B$6:$AE$841,4,0)),0,VLOOKUP($A6,Councils!$B$6:$AE$841,4,0))</f>
        <v>76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4786</v>
      </c>
      <c r="B3" t="str">
        <f>IF(ISNA(VLOOKUP($A3,Councils!$B$6:$AE$841,3,0)),0,VLOOKUP($A3,Councils!$B$6:$AE$841,3,0))</f>
        <v>San Antonio S W</v>
      </c>
      <c r="C3">
        <f>IF(ISNA(VLOOKUP($A3,Councils!$B$6:$AE$841,4,0)),0,VLOOKUP($A3,Councils!$B$6:$AE$841,4,0))</f>
        <v>65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5262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193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9682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51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17179</v>
      </c>
      <c r="B6" t="str">
        <f>IF(ISNA(VLOOKUP($A6,Councils!$B$6:$AE$841,3,0)),0,VLOOKUP($A6,Councils!$B$6:$AE$841,3,0))</f>
        <v>Jbsa-Lackland</v>
      </c>
      <c r="C6">
        <f>IF(ISNA(VLOOKUP($A6,Councils!$B$6:$AE$841,4,0)),0,VLOOKUP($A6,Councils!$B$6:$AE$841,4,0))</f>
        <v>29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8158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168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11599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171</v>
      </c>
      <c r="D4">
        <f>IF(ISNA(VLOOKUP($A4,Councils!$B$6:$AE$841,5,0)),0,VLOOKUP($A4,Councils!$B$6:$AE$841,5,0))</f>
        <v>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12521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15053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7983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349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5</v>
      </c>
      <c r="K3" s="63">
        <f>IFERROR(J3/D3,0)</f>
        <v>0.29411764705882354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8306</v>
      </c>
      <c r="B4" t="str">
        <f>IF(ISNA(VLOOKUP($A4,Councils!$B$6:$AE$841,3,0)),0,VLOOKUP($A4,Councils!$B$6:$AE$841,3,0))</f>
        <v>Helotes</v>
      </c>
      <c r="C4">
        <f>IF(ISNA(VLOOKUP($A4,Councils!$B$6:$AE$841,4,0)),0,VLOOKUP($A4,Councils!$B$6:$AE$841,4,0))</f>
        <v>353</v>
      </c>
      <c r="D4">
        <f>IF(ISNA(VLOOKUP($A4,Councils!$B$6:$AE$841,5,0)),0,VLOOKUP($A4,Councils!$B$6:$AE$841,5,0))</f>
        <v>17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9</v>
      </c>
      <c r="J4">
        <f>IF(ISNA(VLOOKUP($A4,Councils!$B$6:$AE$841,11,0)),0,VLOOKUP($A4,Councils!$B$6:$AE$841,11,0))</f>
        <v>-9</v>
      </c>
      <c r="K4" s="63">
        <f>IFERROR(J4/D4,0)</f>
        <v>-0.52941176470588236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10240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178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16</v>
      </c>
      <c r="J5">
        <f>IF(ISNA(VLOOKUP($A5,Councils!$B$6:$AE$841,11,0)),0,VLOOKUP($A5,Councils!$B$6:$AE$841,11,0))</f>
        <v>-13</v>
      </c>
      <c r="K5" s="63">
        <f>IFERROR(J5/D5,0)</f>
        <v>-1.4444444444444444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6</v>
      </c>
      <c r="S5">
        <f>IF(ISNA(VLOOKUP($A5,Councils!$B$6:$AE$841,20,0)),0,VLOOKUP($A5,Councils!$B$6:$AE$841,20,0))</f>
        <v>-6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16730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155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6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5</v>
      </c>
      <c r="K6" s="63">
        <f>IFERROR(J6/D6,0)</f>
        <v>0.7142857142857143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6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4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6409</v>
      </c>
      <c r="B3" t="str">
        <f>IF(ISNA(VLOOKUP($A3,Councils!$B$6:$AE$841,3,0)),0,VLOOKUP($A3,Councils!$B$6:$AE$841,3,0))</f>
        <v>Kerrville</v>
      </c>
      <c r="C3">
        <f>IF(ISNA(VLOOKUP($A3,Councils!$B$6:$AE$841,4,0)),0,VLOOKUP($A3,Councils!$B$6:$AE$841,4,0))</f>
        <v>215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9765</v>
      </c>
      <c r="B4" t="str">
        <f>IF(ISNA(VLOOKUP($A4,Councils!$B$6:$AE$841,3,0)),0,VLOOKUP($A4,Councils!$B$6:$AE$841,3,0))</f>
        <v>Fredericksburg</v>
      </c>
      <c r="C4">
        <f>IF(ISNA(VLOOKUP($A4,Councils!$B$6:$AE$841,4,0)),0,VLOOKUP($A4,Councils!$B$6:$AE$841,4,0))</f>
        <v>234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15240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216</v>
      </c>
      <c r="D5">
        <f>IF(ISNA(VLOOKUP($A5,Councils!$B$6:$AE$841,5,0)),0,VLOOKUP($A5,Councils!$B$6:$AE$841,5,0))</f>
        <v>11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34</v>
      </c>
      <c r="J5">
        <f>IF(ISNA(VLOOKUP($A5,Councils!$B$6:$AE$841,11,0)),0,VLOOKUP($A5,Councils!$B$6:$AE$841,11,0))</f>
        <v>-31</v>
      </c>
      <c r="K5" s="63">
        <f>IFERROR(J5/D5,0)</f>
        <v>-2.8181818181818183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4</v>
      </c>
      <c r="S5">
        <f>IF(ISNA(VLOOKUP($A5,Councils!$B$6:$AE$841,20,0)),0,VLOOKUP($A5,Councils!$B$6:$AE$841,20,0))</f>
        <v>-3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16180</v>
      </c>
      <c r="B6" t="str">
        <f>IF(ISNA(VLOOKUP($A6,Councils!$B$6:$AE$841,3,0)),0,VLOOKUP($A6,Councils!$B$6:$AE$841,3,0))</f>
        <v>Comfort</v>
      </c>
      <c r="C6">
        <f>IF(ISNA(VLOOKUP($A6,Councils!$B$6:$AE$841,4,0)),0,VLOOKUP($A6,Councils!$B$6:$AE$841,4,0))</f>
        <v>33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4140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251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10258</v>
      </c>
      <c r="B4" t="str">
        <f>IF(ISNA(VLOOKUP($A4,Councils!$B$6:$AE$841,3,0)),0,VLOOKUP($A4,Councils!$B$6:$AE$841,3,0))</f>
        <v>Bandera</v>
      </c>
      <c r="C4">
        <f>IF(ISNA(VLOOKUP($A4,Councils!$B$6:$AE$841,4,0)),0,VLOOKUP($A4,Councils!$B$6:$AE$841,4,0))</f>
        <v>138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2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0.42857142857142855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10940</v>
      </c>
      <c r="B5" t="str">
        <f>IF(ISNA(VLOOKUP($A5,Councils!$B$6:$AE$841,3,0)),0,VLOOKUP($A5,Councils!$B$6:$AE$841,3,0))</f>
        <v>Boerne</v>
      </c>
      <c r="C5">
        <f>IF(ISNA(VLOOKUP($A5,Councils!$B$6:$AE$841,4,0)),0,VLOOKUP($A5,Councils!$B$6:$AE$841,4,0))</f>
        <v>386</v>
      </c>
      <c r="D5">
        <f>IF(ISNA(VLOOKUP($A5,Councils!$B$6:$AE$841,5,0)),0,VLOOKUP($A5,Councils!$B$6:$AE$841,5,0))</f>
        <v>19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3</v>
      </c>
      <c r="G5">
        <f>IF(ISNA(VLOOKUP($A5,Councils!$B$6:$AE$81023,0)),0,VLOOKUP($A5,Councils!$B$6:$AE$841,8,0))</f>
        <v>-3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23</v>
      </c>
      <c r="J5">
        <f>IF(ISNA(VLOOKUP($A5,Councils!$B$6:$AE$841,11,0)),0,VLOOKUP($A5,Councils!$B$6:$AE$841,11,0))</f>
        <v>-22</v>
      </c>
      <c r="K5" s="63">
        <f>IFERROR(J5/D5,0)</f>
        <v>-1.1578947368421053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5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3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14690</v>
      </c>
      <c r="B6" t="str">
        <f>IF(ISNA(VLOOKUP($A6,Councils!$B$6:$AE$841,3,0)),0,VLOOKUP($A6,Councils!$B$6:$AE$841,3,0))</f>
        <v>Leon Springs</v>
      </c>
      <c r="C6">
        <f>IF(ISNA(VLOOKUP($A6,Councils!$B$6:$AE$841,4,0)),0,VLOOKUP($A6,Councils!$B$6:$AE$841,4,0))</f>
        <v>151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0.2857142857142857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7613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424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2</v>
      </c>
      <c r="G3">
        <f>IF(ISNA(VLOOKUP($A3,Councils!$B$6:$AE$81023,0)),0,VLOOKUP($A3,Councils!$B$6:$AE$841,8,0))</f>
        <v>-2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5</v>
      </c>
      <c r="J3">
        <f>IF(ISNA(VLOOKUP($A3,Councils!$B$6:$AE$841,11,0)),0,VLOOKUP($A3,Councils!$B$6:$AE$841,11,0))</f>
        <v>-1</v>
      </c>
      <c r="K3" s="63">
        <f>IFERROR(J3/D3,0)</f>
        <v>-0.05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7965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249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5</v>
      </c>
      <c r="J4">
        <f>IF(ISNA(VLOOKUP($A4,Councils!$B$6:$AE$841,11,0)),0,VLOOKUP($A4,Councils!$B$6:$AE$841,11,0))</f>
        <v>-4</v>
      </c>
      <c r="K4" s="63">
        <f>IFERROR(J4/D4,0)</f>
        <v>-0.33333333333333331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8521</v>
      </c>
      <c r="B5" t="str">
        <f>IF(ISNA(VLOOKUP($A5,Councils!$B$6:$AE$841,3,0)),0,VLOOKUP($A5,Councils!$B$6:$AE$841,3,0))</f>
        <v>Bulverde</v>
      </c>
      <c r="C5">
        <f>IF(ISNA(VLOOKUP($A5,Councils!$B$6:$AE$841,4,0)),0,VLOOKUP($A5,Councils!$B$6:$AE$841,4,0))</f>
        <v>244</v>
      </c>
      <c r="D5">
        <f>IF(ISNA(VLOOKUP($A5,Councils!$B$6:$AE$841,5,0)),0,VLOOKUP($A5,Councils!$B$6:$AE$841,5,0))</f>
        <v>12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3</v>
      </c>
      <c r="J5">
        <f>IF(ISNA(VLOOKUP($A5,Councils!$B$6:$AE$841,11,0)),0,VLOOKUP($A5,Councils!$B$6:$AE$841,11,0))</f>
        <v>-2</v>
      </c>
      <c r="K5" s="63">
        <f>IFERROR(J5/D5,0)</f>
        <v>-0.16666666666666666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3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9967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486</v>
      </c>
      <c r="D6">
        <f>IF(ISNA(VLOOKUP($A6,Councils!$B$6:$AE$841,5,0)),0,VLOOKUP($A6,Councils!$B$6:$AE$841,5,0))</f>
        <v>20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4</v>
      </c>
      <c r="G6">
        <f>IF(ISNA(VLOOKUP($A6,Councils!$B$6:$AE$81023,0)),0,VLOOKUP($A6,Councils!$B$6:$AE$841,8,0))</f>
        <v>-4</v>
      </c>
      <c r="H6">
        <f>IF(ISNA(VLOOKUP($A6,Councils!$B$6:$AE$841,9,0)),0,VLOOKUP($A6,Councils!$B$6:$AE$841,9,0))</f>
        <v>12</v>
      </c>
      <c r="I6">
        <f>IF(ISNA(VLOOKUP($A6,Councils!$B$6:$AE$841,10,0)),0,VLOOKUP($A6,Councils!$B$6:$AE$841,10,0))</f>
        <v>4</v>
      </c>
      <c r="J6">
        <f>IF(ISNA(VLOOKUP($A6,Councils!$B$6:$AE$841,11,0)),0,VLOOKUP($A6,Councils!$B$6:$AE$841,11,0))</f>
        <v>8</v>
      </c>
      <c r="K6" s="63">
        <f>IFERROR(J6/D6,0)</f>
        <v>0.4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-1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13523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96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13704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168</v>
      </c>
      <c r="D4">
        <f>IF(ISNA(VLOOKUP($A4,Councils!$B$6:$AE$841,5,0)),0,VLOOKUP($A4,Councils!$B$6:$AE$841,5,0))</f>
        <v>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18</v>
      </c>
      <c r="G4">
        <f>IF(ISNA(VLOOKUP($A4,Councils!$B$6:$AE$81023,0)),0,VLOOKUP($A4,Councils!$B$6:$AE$841,8,0))</f>
        <v>-18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18</v>
      </c>
      <c r="J4">
        <f>IF(ISNA(VLOOKUP($A4,Councils!$B$6:$AE$841,11,0)),0,VLOOKUP($A4,Councils!$B$6:$AE$841,11,0))</f>
        <v>-16</v>
      </c>
      <c r="K4" s="63">
        <f>IFERROR(J4/D4,0)</f>
        <v>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17492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32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279</vt:i4>
      </vt:variant>
      <vt:variant>
        <vt:lpstr>Named Ranges</vt:lpstr>
      </vt:variant>
      <vt:variant>
        <vt:i4>14</vt:i4>
      </vt:variant>
    </vt:vector>
  </HeadingPairs>
  <TitlesOfParts>
    <vt:vector size="293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Historical_Members_Data_96-16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DD12</vt:lpstr>
      <vt:lpstr>DD13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DD33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DD163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DD181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DD202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'Historical_Members_Data_96-16'!Print_Area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'Historical_Members_Data_96-16'!Print_Titles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2021-02-02T23:38:07Z</dcterms:modified>
</cp:coreProperties>
</file>